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Doc\Paperwork\Fit Testing\"/>
    </mc:Choice>
  </mc:AlternateContent>
  <bookViews>
    <workbookView xWindow="-120" yWindow="-120" windowWidth="20736" windowHeight="11160" tabRatio="901" activeTab="1"/>
  </bookViews>
  <sheets>
    <sheet name="Wages" sheetId="22" r:id="rId1"/>
    <sheet name="Inputs and Parameters" sheetId="16" r:id="rId2"/>
    <sheet name="Profile 2015" sheetId="5" r:id="rId3"/>
    <sheet name="Potential Savings from Fit Test" sheetId="17" r:id="rId4"/>
    <sheet name="Updated Table" sheetId="23" r:id="rId5"/>
    <sheet name="Table 1" sheetId="19" r:id="rId6"/>
    <sheet name="CBP_2015" sheetId="21" r:id="rId7"/>
    <sheet name="Table 1 Dec 2015 ICR REDON Adj " sheetId="15" r:id="rId8"/>
    <sheet name="Sources 2014" sheetId="13" r:id="rId9"/>
    <sheet name="Profile 2011" sheetId="4" r:id="rId10"/>
    <sheet name="Inputs and Parameters (Old)" sheetId="11" r:id="rId11"/>
    <sheet name="Table 1 May 2011 ICR" sheetId="1" r:id="rId12"/>
    <sheet name="Table 1 FINAL (Draft)" sheetId="18" r:id="rId13"/>
    <sheet name="Table 1 April 2014 ICR" sheetId="12" r:id="rId14"/>
    <sheet name="Table 1 November 2015 ICR" sheetId="14" r:id="rId15"/>
  </sheets>
  <definedNames>
    <definedName name="_xlnm._FilterDatabase" localSheetId="2" hidden="1">'Profile 2015'!#REF!</definedName>
    <definedName name="_xlnm.Print_Area" localSheetId="10">'Inputs and Parameters (Old)'!$F$2:$I$209</definedName>
    <definedName name="_xlnm.Print_Area" localSheetId="13">'Table 1 April 2014 ICR'!$A$7:$G$23</definedName>
    <definedName name="_xlnm.Print_Area" localSheetId="14">'Table 1 November 2015 ICR'!$A$7:$G$23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6" l="1"/>
  <c r="B6" i="16"/>
  <c r="B7" i="16"/>
  <c r="B4" i="16"/>
  <c r="H38" i="23" l="1"/>
  <c r="C129" i="16"/>
  <c r="H22" i="23"/>
  <c r="H24" i="23"/>
  <c r="H16" i="23"/>
  <c r="C33" i="23" l="1"/>
  <c r="C17" i="23"/>
  <c r="C10" i="23"/>
  <c r="B84" i="16" l="1"/>
  <c r="G117" i="16"/>
  <c r="H51" i="16"/>
  <c r="G51" i="16"/>
  <c r="G52" i="16"/>
  <c r="G50" i="16"/>
  <c r="C25" i="23"/>
  <c r="F44" i="23"/>
  <c r="J44" i="23" s="1"/>
  <c r="F39" i="23"/>
  <c r="F38" i="23"/>
  <c r="J38" i="23" s="1"/>
  <c r="H39" i="23"/>
  <c r="H53" i="23"/>
  <c r="H52" i="23"/>
  <c r="H51" i="23"/>
  <c r="H50" i="23"/>
  <c r="H44" i="23"/>
  <c r="H32" i="23"/>
  <c r="H31" i="23"/>
  <c r="H30" i="23"/>
  <c r="H29" i="23"/>
  <c r="H28" i="23"/>
  <c r="H27" i="23"/>
  <c r="H21" i="23"/>
  <c r="E4" i="22"/>
  <c r="L14" i="23"/>
  <c r="E5" i="22"/>
  <c r="L53" i="23"/>
  <c r="E6" i="22"/>
  <c r="E3" i="22"/>
  <c r="H15" i="23"/>
  <c r="H14" i="23"/>
  <c r="H13" i="23"/>
  <c r="G5" i="16"/>
  <c r="G6" i="16"/>
  <c r="G7" i="16"/>
  <c r="G4" i="16"/>
  <c r="F40" i="23"/>
  <c r="J45" i="23"/>
  <c r="H5" i="16"/>
  <c r="L28" i="23"/>
  <c r="L24" i="23"/>
  <c r="G144" i="16"/>
  <c r="C23" i="19"/>
  <c r="C48" i="5"/>
  <c r="C49" i="5"/>
  <c r="V38" i="5"/>
  <c r="U42" i="5"/>
  <c r="U46" i="5"/>
  <c r="T49" i="5"/>
  <c r="L57" i="5"/>
  <c r="M57" i="5"/>
  <c r="L58" i="5"/>
  <c r="M58" i="5"/>
  <c r="L59" i="5"/>
  <c r="M59" i="5"/>
  <c r="M56" i="5"/>
  <c r="U39" i="5"/>
  <c r="L56" i="5"/>
  <c r="T39" i="5"/>
  <c r="N13" i="5"/>
  <c r="T38" i="5"/>
  <c r="O13" i="5"/>
  <c r="U38" i="5"/>
  <c r="N14" i="5"/>
  <c r="O14" i="5"/>
  <c r="N15" i="5"/>
  <c r="O15" i="5"/>
  <c r="U40" i="5"/>
  <c r="N16" i="5"/>
  <c r="T41" i="5"/>
  <c r="O16" i="5"/>
  <c r="U41" i="5"/>
  <c r="N17" i="5"/>
  <c r="T42" i="5"/>
  <c r="O17" i="5"/>
  <c r="N18" i="5"/>
  <c r="T43" i="5"/>
  <c r="O18" i="5"/>
  <c r="U43" i="5"/>
  <c r="N19" i="5"/>
  <c r="T44" i="5"/>
  <c r="O19" i="5"/>
  <c r="U44" i="5"/>
  <c r="N20" i="5"/>
  <c r="T40" i="5"/>
  <c r="O20" i="5"/>
  <c r="N21" i="5"/>
  <c r="T45" i="5"/>
  <c r="O21" i="5"/>
  <c r="U45" i="5"/>
  <c r="N22" i="5"/>
  <c r="T46" i="5"/>
  <c r="O22" i="5"/>
  <c r="N23" i="5"/>
  <c r="O23" i="5"/>
  <c r="N24" i="5"/>
  <c r="O24" i="5"/>
  <c r="N25" i="5"/>
  <c r="O25" i="5"/>
  <c r="N26" i="5"/>
  <c r="O26" i="5"/>
  <c r="N27" i="5"/>
  <c r="O27" i="5"/>
  <c r="N28" i="5"/>
  <c r="O28" i="5"/>
  <c r="N29" i="5"/>
  <c r="O29" i="5"/>
  <c r="N30" i="5"/>
  <c r="O30" i="5"/>
  <c r="N31" i="5"/>
  <c r="O31" i="5"/>
  <c r="N33" i="5"/>
  <c r="T48" i="5"/>
  <c r="O33" i="5"/>
  <c r="U48" i="5"/>
  <c r="O12" i="5"/>
  <c r="D8" i="5"/>
  <c r="N12" i="5"/>
  <c r="C8" i="5"/>
  <c r="U49" i="5"/>
  <c r="T47" i="5"/>
  <c r="U47" i="5"/>
  <c r="C24" i="17"/>
  <c r="F8" i="5"/>
  <c r="B191" i="16"/>
  <c r="B221" i="16" s="1"/>
  <c r="C221" i="16" s="1"/>
  <c r="H191" i="16"/>
  <c r="H221" i="16" s="1"/>
  <c r="I221" i="16" s="1"/>
  <c r="B198" i="16"/>
  <c r="C15" i="16"/>
  <c r="G46" i="17"/>
  <c r="D8" i="18"/>
  <c r="O8" i="18" s="1"/>
  <c r="D11" i="18"/>
  <c r="D14" i="18"/>
  <c r="D15" i="18"/>
  <c r="D17" i="18"/>
  <c r="D18" i="18"/>
  <c r="K8" i="18"/>
  <c r="C18" i="18"/>
  <c r="K18" i="18" s="1"/>
  <c r="C17" i="18"/>
  <c r="C15" i="18"/>
  <c r="K15" i="18" s="1"/>
  <c r="C14" i="18"/>
  <c r="C11" i="18"/>
  <c r="K11" i="18" s="1"/>
  <c r="G23" i="17"/>
  <c r="F23" i="17"/>
  <c r="G22" i="17"/>
  <c r="F22" i="17"/>
  <c r="F21" i="17"/>
  <c r="F20" i="17"/>
  <c r="H20" i="17"/>
  <c r="G19" i="17"/>
  <c r="F19" i="17"/>
  <c r="F18" i="17"/>
  <c r="H18" i="17"/>
  <c r="F17" i="17"/>
  <c r="H17" i="17"/>
  <c r="H15" i="17"/>
  <c r="I15" i="17"/>
  <c r="F14" i="17"/>
  <c r="H14" i="17"/>
  <c r="F13" i="17"/>
  <c r="H13" i="17"/>
  <c r="F12" i="17"/>
  <c r="G11" i="17"/>
  <c r="F11" i="17"/>
  <c r="G10" i="17"/>
  <c r="F10" i="17"/>
  <c r="B6" i="17"/>
  <c r="P6" i="17"/>
  <c r="C4" i="17"/>
  <c r="H21" i="17"/>
  <c r="H12" i="17"/>
  <c r="AS226" i="16"/>
  <c r="AT226" i="16" s="1"/>
  <c r="AU223" i="16"/>
  <c r="AU222" i="16"/>
  <c r="AU221" i="16"/>
  <c r="AS221" i="16"/>
  <c r="AU219" i="16"/>
  <c r="AT201" i="16"/>
  <c r="AO198" i="16"/>
  <c r="H198" i="16"/>
  <c r="AO191" i="16"/>
  <c r="AT186" i="16"/>
  <c r="H185" i="16" s="1"/>
  <c r="H219" i="16" s="1"/>
  <c r="I219" i="16" s="1"/>
  <c r="AT173" i="16"/>
  <c r="AT174" i="16" s="1"/>
  <c r="AT175" i="16" s="1"/>
  <c r="AT145" i="16"/>
  <c r="AT146" i="16" s="1"/>
  <c r="AT147" i="16" s="1"/>
  <c r="AO145" i="16"/>
  <c r="AO149" i="16" s="1"/>
  <c r="AT87" i="16"/>
  <c r="AT163" i="16" s="1"/>
  <c r="AT83" i="16"/>
  <c r="AT71" i="16"/>
  <c r="AT72" i="16" s="1"/>
  <c r="AT73" i="16" s="1"/>
  <c r="AT57" i="16"/>
  <c r="AT62" i="16" s="1"/>
  <c r="AO24" i="16"/>
  <c r="AO71" i="16" s="1"/>
  <c r="AU15" i="16"/>
  <c r="AP15" i="16"/>
  <c r="I15" i="16"/>
  <c r="AO185" i="16"/>
  <c r="AT149" i="16"/>
  <c r="AO199" i="16"/>
  <c r="AT94" i="16"/>
  <c r="AT95" i="16" s="1"/>
  <c r="AT96" i="16" s="1"/>
  <c r="AT97" i="16"/>
  <c r="AT99" i="16" s="1"/>
  <c r="D84" i="11"/>
  <c r="B181" i="11"/>
  <c r="B174" i="11"/>
  <c r="C14" i="11"/>
  <c r="B204" i="11"/>
  <c r="Q49" i="5"/>
  <c r="P49" i="5"/>
  <c r="Q48" i="5"/>
  <c r="P48" i="5"/>
  <c r="Q46" i="5"/>
  <c r="Q45" i="5"/>
  <c r="Q44" i="5"/>
  <c r="Q43" i="5"/>
  <c r="Q42" i="5"/>
  <c r="Q41" i="5"/>
  <c r="Q40" i="5"/>
  <c r="Q39" i="5"/>
  <c r="P39" i="5"/>
  <c r="P46" i="5"/>
  <c r="P45" i="5"/>
  <c r="P44" i="5"/>
  <c r="P43" i="5"/>
  <c r="P42" i="5"/>
  <c r="P41" i="5"/>
  <c r="P40" i="5"/>
  <c r="Q38" i="5"/>
  <c r="P38" i="5"/>
  <c r="R38" i="5"/>
  <c r="Q47" i="5"/>
  <c r="P47" i="5"/>
  <c r="K209" i="11"/>
  <c r="M206" i="11"/>
  <c r="M205" i="11"/>
  <c r="M204" i="11"/>
  <c r="M202" i="11"/>
  <c r="K204" i="11"/>
  <c r="G174" i="11"/>
  <c r="M14" i="11"/>
  <c r="L54" i="11"/>
  <c r="L55" i="11"/>
  <c r="L56" i="11"/>
  <c r="L68" i="11"/>
  <c r="L80" i="11"/>
  <c r="L84" i="11"/>
  <c r="N85" i="11"/>
  <c r="L132" i="11"/>
  <c r="L133" i="11"/>
  <c r="L134" i="11"/>
  <c r="L156" i="11"/>
  <c r="L157" i="11"/>
  <c r="L158" i="11"/>
  <c r="L169" i="11"/>
  <c r="L184" i="11"/>
  <c r="K206" i="11"/>
  <c r="AS223" i="16"/>
  <c r="B168" i="11"/>
  <c r="AS219" i="16"/>
  <c r="G204" i="11"/>
  <c r="H204" i="11"/>
  <c r="AO221" i="16"/>
  <c r="L150" i="11"/>
  <c r="L151" i="11"/>
  <c r="B202" i="11"/>
  <c r="L204" i="11"/>
  <c r="C204" i="11"/>
  <c r="L206" i="11"/>
  <c r="L209" i="11"/>
  <c r="L63" i="11"/>
  <c r="L86" i="11"/>
  <c r="L88" i="11"/>
  <c r="L89" i="11"/>
  <c r="L59" i="11"/>
  <c r="L60" i="11"/>
  <c r="K202" i="11"/>
  <c r="G168" i="11"/>
  <c r="L94" i="11"/>
  <c r="L96" i="11"/>
  <c r="L99" i="11"/>
  <c r="L91" i="11"/>
  <c r="L64" i="11"/>
  <c r="L65" i="11"/>
  <c r="L136" i="11"/>
  <c r="L69" i="11"/>
  <c r="L70" i="11"/>
  <c r="C23" i="1"/>
  <c r="G181" i="11"/>
  <c r="L185" i="11"/>
  <c r="AS224" i="16"/>
  <c r="AT224" i="16" s="1"/>
  <c r="L61" i="11"/>
  <c r="N99" i="11"/>
  <c r="G202" i="11"/>
  <c r="AO219" i="16"/>
  <c r="AU218" i="16"/>
  <c r="AT212" i="16"/>
  <c r="L97" i="11"/>
  <c r="L100" i="11"/>
  <c r="L101" i="11"/>
  <c r="L144" i="11"/>
  <c r="L145" i="11"/>
  <c r="L146" i="11"/>
  <c r="L170" i="11"/>
  <c r="G182" i="11"/>
  <c r="B182" i="11"/>
  <c r="L202" i="11"/>
  <c r="C202" i="11"/>
  <c r="H202" i="11"/>
  <c r="L195" i="11"/>
  <c r="M201" i="11"/>
  <c r="L75" i="11"/>
  <c r="L186" i="11"/>
  <c r="K207" i="11"/>
  <c r="N89" i="11"/>
  <c r="L105" i="11"/>
  <c r="L92" i="11"/>
  <c r="L93" i="11"/>
  <c r="L72" i="11"/>
  <c r="L73" i="11"/>
  <c r="N38" i="5"/>
  <c r="N39" i="5"/>
  <c r="B39" i="5"/>
  <c r="E47" i="5"/>
  <c r="E46" i="5"/>
  <c r="F46" i="5"/>
  <c r="E45" i="5"/>
  <c r="F45" i="5"/>
  <c r="E44" i="5"/>
  <c r="F44" i="5"/>
  <c r="E43" i="5"/>
  <c r="F43" i="5"/>
  <c r="E42" i="5"/>
  <c r="F42" i="5"/>
  <c r="E41" i="5"/>
  <c r="F41" i="5"/>
  <c r="E40" i="5"/>
  <c r="F40" i="5"/>
  <c r="E39" i="5"/>
  <c r="F39" i="5"/>
  <c r="E38" i="5"/>
  <c r="F38" i="5"/>
  <c r="M38" i="5"/>
  <c r="O38" i="5"/>
  <c r="D4" i="4"/>
  <c r="D8" i="4"/>
  <c r="D10" i="4"/>
  <c r="C7" i="4"/>
  <c r="M39" i="5"/>
  <c r="V39" i="5"/>
  <c r="R39" i="5"/>
  <c r="L98" i="11"/>
  <c r="L176" i="11"/>
  <c r="K203" i="11"/>
  <c r="M203" i="11"/>
  <c r="M208" i="11"/>
  <c r="AS220" i="16"/>
  <c r="AU220" i="16" s="1"/>
  <c r="G206" i="11"/>
  <c r="H206" i="11"/>
  <c r="AO223" i="16"/>
  <c r="O39" i="5"/>
  <c r="B206" i="11"/>
  <c r="C206" i="11"/>
  <c r="L103" i="11"/>
  <c r="L207" i="11"/>
  <c r="F47" i="5"/>
  <c r="K39" i="5"/>
  <c r="J39" i="5"/>
  <c r="H39" i="5"/>
  <c r="C39" i="5"/>
  <c r="G39" i="5"/>
  <c r="I39" i="5"/>
  <c r="D49" i="5"/>
  <c r="B49" i="5"/>
  <c r="N49" i="5"/>
  <c r="M49" i="5"/>
  <c r="K49" i="5"/>
  <c r="J49" i="5"/>
  <c r="H49" i="5"/>
  <c r="G49" i="5"/>
  <c r="N48" i="5"/>
  <c r="M48" i="5"/>
  <c r="K48" i="5"/>
  <c r="J48" i="5"/>
  <c r="H48" i="5"/>
  <c r="G48" i="5"/>
  <c r="B48" i="5"/>
  <c r="V48" i="5"/>
  <c r="N46" i="5"/>
  <c r="M46" i="5"/>
  <c r="K46" i="5"/>
  <c r="J46" i="5"/>
  <c r="H46" i="5"/>
  <c r="G46" i="5"/>
  <c r="C46" i="5"/>
  <c r="B46" i="5"/>
  <c r="N45" i="5"/>
  <c r="M45" i="5"/>
  <c r="K45" i="5"/>
  <c r="J45" i="5"/>
  <c r="H45" i="5"/>
  <c r="G45" i="5"/>
  <c r="C45" i="5"/>
  <c r="B45" i="5"/>
  <c r="N44" i="5"/>
  <c r="M44" i="5"/>
  <c r="K44" i="5"/>
  <c r="J44" i="5"/>
  <c r="H44" i="5"/>
  <c r="G44" i="5"/>
  <c r="C44" i="5"/>
  <c r="B44" i="5"/>
  <c r="N43" i="5"/>
  <c r="M43" i="5"/>
  <c r="K43" i="5"/>
  <c r="J43" i="5"/>
  <c r="H43" i="5"/>
  <c r="G43" i="5"/>
  <c r="C43" i="5"/>
  <c r="B43" i="5"/>
  <c r="N42" i="5"/>
  <c r="M42" i="5"/>
  <c r="K42" i="5"/>
  <c r="J42" i="5"/>
  <c r="H42" i="5"/>
  <c r="G42" i="5"/>
  <c r="C42" i="5"/>
  <c r="B42" i="5"/>
  <c r="N41" i="5"/>
  <c r="M41" i="5"/>
  <c r="K41" i="5"/>
  <c r="J41" i="5"/>
  <c r="H41" i="5"/>
  <c r="G41" i="5"/>
  <c r="C41" i="5"/>
  <c r="B41" i="5"/>
  <c r="N40" i="5"/>
  <c r="N47" i="5"/>
  <c r="M40" i="5"/>
  <c r="K40" i="5"/>
  <c r="J40" i="5"/>
  <c r="H40" i="5"/>
  <c r="G40" i="5"/>
  <c r="C40" i="5"/>
  <c r="B40" i="5"/>
  <c r="K38" i="5"/>
  <c r="J38" i="5"/>
  <c r="H38" i="5"/>
  <c r="G38" i="5"/>
  <c r="C38" i="5"/>
  <c r="B38" i="5"/>
  <c r="S40" i="5"/>
  <c r="W40" i="5"/>
  <c r="S41" i="5"/>
  <c r="W41" i="5"/>
  <c r="S42" i="5"/>
  <c r="W42" i="5"/>
  <c r="S43" i="5"/>
  <c r="W43" i="5"/>
  <c r="S44" i="5"/>
  <c r="W44" i="5"/>
  <c r="S45" i="5"/>
  <c r="W45" i="5"/>
  <c r="S46" i="5"/>
  <c r="W46" i="5"/>
  <c r="S38" i="5"/>
  <c r="W38" i="5"/>
  <c r="R40" i="5"/>
  <c r="V40" i="5"/>
  <c r="R41" i="5"/>
  <c r="V41" i="5"/>
  <c r="R42" i="5"/>
  <c r="V42" i="5"/>
  <c r="R43" i="5"/>
  <c r="V43" i="5"/>
  <c r="V47" i="5"/>
  <c r="R44" i="5"/>
  <c r="V44" i="5"/>
  <c r="R45" i="5"/>
  <c r="V45" i="5"/>
  <c r="R46" i="5"/>
  <c r="V46" i="5"/>
  <c r="S39" i="5"/>
  <c r="W39" i="5"/>
  <c r="L102" i="11"/>
  <c r="K205" i="11"/>
  <c r="L205" i="11"/>
  <c r="AS222" i="16"/>
  <c r="O40" i="5"/>
  <c r="O41" i="5"/>
  <c r="O42" i="5"/>
  <c r="O43" i="5"/>
  <c r="O44" i="5"/>
  <c r="O45" i="5"/>
  <c r="O46" i="5"/>
  <c r="K208" i="11"/>
  <c r="B47" i="5"/>
  <c r="L178" i="11"/>
  <c r="L162" i="11"/>
  <c r="L164" i="11"/>
  <c r="C47" i="5"/>
  <c r="W47" i="5"/>
  <c r="B144" i="16"/>
  <c r="H144" i="16" s="1"/>
  <c r="H145" i="16" s="1"/>
  <c r="H149" i="16" s="1"/>
  <c r="B16" i="18" s="1"/>
  <c r="H47" i="5"/>
  <c r="K47" i="5"/>
  <c r="I40" i="5"/>
  <c r="I41" i="5"/>
  <c r="I42" i="5"/>
  <c r="I43" i="5"/>
  <c r="I44" i="5"/>
  <c r="I45" i="5"/>
  <c r="I46" i="5"/>
  <c r="G47" i="5"/>
  <c r="I38" i="5"/>
  <c r="J47" i="5"/>
  <c r="L38" i="5"/>
  <c r="M47" i="5"/>
  <c r="L39" i="5"/>
  <c r="L40" i="5"/>
  <c r="L41" i="5"/>
  <c r="L42" i="5"/>
  <c r="L43" i="5"/>
  <c r="L44" i="5"/>
  <c r="L45" i="5"/>
  <c r="L46" i="5"/>
  <c r="V49" i="5"/>
  <c r="E8" i="5"/>
  <c r="B13" i="16"/>
  <c r="L208" i="11"/>
  <c r="R47" i="5"/>
  <c r="S47" i="5"/>
  <c r="G132" i="11"/>
  <c r="G133" i="11"/>
  <c r="G23" i="11"/>
  <c r="G54" i="11"/>
  <c r="I47" i="5"/>
  <c r="L47" i="5"/>
  <c r="L49" i="5"/>
  <c r="H14" i="11"/>
  <c r="F22" i="1"/>
  <c r="C13" i="4"/>
  <c r="C12" i="4"/>
  <c r="L12" i="4"/>
  <c r="K12" i="4"/>
  <c r="J12" i="4"/>
  <c r="I12" i="4"/>
  <c r="H12" i="4"/>
  <c r="G12" i="4"/>
  <c r="F12" i="4"/>
  <c r="E12" i="4"/>
  <c r="D12" i="4"/>
  <c r="D16" i="4"/>
  <c r="L9" i="4"/>
  <c r="K9" i="4"/>
  <c r="C5" i="4"/>
  <c r="C4" i="4"/>
  <c r="C8" i="4"/>
  <c r="L4" i="4"/>
  <c r="L8" i="4"/>
  <c r="K4" i="4"/>
  <c r="K8" i="4"/>
  <c r="J4" i="4"/>
  <c r="J8" i="4"/>
  <c r="J10" i="4"/>
  <c r="I4" i="4"/>
  <c r="I8" i="4"/>
  <c r="I10" i="4"/>
  <c r="H4" i="4"/>
  <c r="H8" i="4"/>
  <c r="H10" i="4"/>
  <c r="G4" i="4"/>
  <c r="G8" i="4"/>
  <c r="G10" i="4"/>
  <c r="F4" i="4"/>
  <c r="F8" i="4"/>
  <c r="F10" i="4"/>
  <c r="E4" i="4"/>
  <c r="E8" i="4"/>
  <c r="E10" i="4"/>
  <c r="L10" i="4"/>
  <c r="B131" i="11"/>
  <c r="B132" i="11"/>
  <c r="E7" i="5"/>
  <c r="R49" i="5"/>
  <c r="D17" i="12"/>
  <c r="F16" i="4"/>
  <c r="F17" i="4"/>
  <c r="F18" i="4"/>
  <c r="H16" i="4"/>
  <c r="H17" i="4"/>
  <c r="H18" i="4"/>
  <c r="L16" i="4"/>
  <c r="L17" i="4"/>
  <c r="L18" i="4"/>
  <c r="J16" i="4"/>
  <c r="J17" i="4"/>
  <c r="J18" i="4"/>
  <c r="G80" i="11"/>
  <c r="O47" i="5"/>
  <c r="E6" i="5"/>
  <c r="G68" i="11"/>
  <c r="G69" i="11"/>
  <c r="G70" i="11"/>
  <c r="G84" i="11"/>
  <c r="B21" i="12"/>
  <c r="G156" i="11"/>
  <c r="D17" i="4"/>
  <c r="D18" i="4"/>
  <c r="C9" i="4"/>
  <c r="E16" i="4"/>
  <c r="E17" i="4"/>
  <c r="E18" i="4"/>
  <c r="G16" i="4"/>
  <c r="G17" i="4"/>
  <c r="G18" i="4"/>
  <c r="I16" i="4"/>
  <c r="I17" i="4"/>
  <c r="I18" i="4"/>
  <c r="K16" i="4"/>
  <c r="K17" i="4"/>
  <c r="K18" i="4"/>
  <c r="C16" i="4"/>
  <c r="G134" i="11"/>
  <c r="G136" i="11"/>
  <c r="G55" i="11"/>
  <c r="G59" i="11"/>
  <c r="F17" i="1"/>
  <c r="B22" i="1"/>
  <c r="B21" i="1"/>
  <c r="B11" i="1"/>
  <c r="B17" i="1"/>
  <c r="D17" i="1"/>
  <c r="D22" i="1"/>
  <c r="D21" i="1"/>
  <c r="K10" i="4"/>
  <c r="C16" i="18"/>
  <c r="C10" i="4"/>
  <c r="AT13" i="16"/>
  <c r="AT15" i="16" s="1"/>
  <c r="AT16" i="16" s="1"/>
  <c r="C17" i="14"/>
  <c r="C17" i="15"/>
  <c r="C21" i="14"/>
  <c r="C21" i="15"/>
  <c r="C22" i="14"/>
  <c r="C22" i="15"/>
  <c r="L12" i="11"/>
  <c r="L112" i="11"/>
  <c r="C17" i="4"/>
  <c r="C20" i="4"/>
  <c r="B136" i="11"/>
  <c r="B133" i="11"/>
  <c r="B209" i="11"/>
  <c r="C209" i="11"/>
  <c r="B12" i="11"/>
  <c r="B17" i="12"/>
  <c r="G157" i="11"/>
  <c r="D22" i="12"/>
  <c r="C17" i="12"/>
  <c r="E17" i="12"/>
  <c r="F17" i="12"/>
  <c r="G94" i="11"/>
  <c r="G96" i="11"/>
  <c r="G99" i="11"/>
  <c r="C18" i="4"/>
  <c r="O49" i="5"/>
  <c r="G86" i="11"/>
  <c r="G88" i="11"/>
  <c r="G150" i="11"/>
  <c r="E21" i="1"/>
  <c r="C21" i="12"/>
  <c r="E17" i="1"/>
  <c r="E22" i="1"/>
  <c r="C22" i="12"/>
  <c r="G63" i="11"/>
  <c r="G64" i="11"/>
  <c r="G65" i="11"/>
  <c r="B22" i="12"/>
  <c r="G91" i="11"/>
  <c r="G92" i="11"/>
  <c r="G93" i="11"/>
  <c r="G169" i="11"/>
  <c r="AO220" i="16"/>
  <c r="G144" i="11"/>
  <c r="G61" i="11"/>
  <c r="G60" i="11"/>
  <c r="G56" i="11"/>
  <c r="F21" i="1"/>
  <c r="C21" i="18"/>
  <c r="G97" i="11"/>
  <c r="G100" i="11"/>
  <c r="G101" i="11"/>
  <c r="L14" i="11"/>
  <c r="L18" i="11"/>
  <c r="L190" i="11"/>
  <c r="L192" i="11"/>
  <c r="B17" i="14"/>
  <c r="G209" i="11"/>
  <c r="H209" i="11"/>
  <c r="AO226" i="16"/>
  <c r="AO13" i="16"/>
  <c r="AO15" i="16" s="1"/>
  <c r="G75" i="11"/>
  <c r="B10" i="12"/>
  <c r="B134" i="11"/>
  <c r="G16" i="18"/>
  <c r="D17" i="14"/>
  <c r="B112" i="11"/>
  <c r="B121" i="11"/>
  <c r="B190" i="11"/>
  <c r="B192" i="11"/>
  <c r="B14" i="11"/>
  <c r="G183" i="11"/>
  <c r="G184" i="11"/>
  <c r="G158" i="11"/>
  <c r="G203" i="11"/>
  <c r="H203" i="11"/>
  <c r="L114" i="11"/>
  <c r="L115" i="11"/>
  <c r="L116" i="11"/>
  <c r="L117" i="11"/>
  <c r="L121" i="11"/>
  <c r="L19" i="11"/>
  <c r="L20" i="11"/>
  <c r="M18" i="11"/>
  <c r="G151" i="11"/>
  <c r="L16" i="11"/>
  <c r="L15" i="11"/>
  <c r="L32" i="11"/>
  <c r="L49" i="11"/>
  <c r="B8" i="1"/>
  <c r="D21" i="12"/>
  <c r="G12" i="11"/>
  <c r="G105" i="11"/>
  <c r="E22" i="12"/>
  <c r="G170" i="11"/>
  <c r="G72" i="11"/>
  <c r="G145" i="11"/>
  <c r="B20" i="12"/>
  <c r="G73" i="11"/>
  <c r="G89" i="11"/>
  <c r="G98" i="11"/>
  <c r="G175" i="11"/>
  <c r="AO222" i="16"/>
  <c r="F20" i="1"/>
  <c r="B20" i="1"/>
  <c r="F10" i="1"/>
  <c r="D20" i="1"/>
  <c r="E17" i="14"/>
  <c r="D16" i="18"/>
  <c r="E21" i="12"/>
  <c r="C20" i="18"/>
  <c r="C20" i="14"/>
  <c r="C20" i="15"/>
  <c r="G207" i="11"/>
  <c r="H207" i="11"/>
  <c r="AO224" i="16"/>
  <c r="F17" i="14"/>
  <c r="B18" i="11"/>
  <c r="B49" i="11"/>
  <c r="B15" i="11"/>
  <c r="B33" i="11"/>
  <c r="B16" i="11"/>
  <c r="B32" i="11"/>
  <c r="B114" i="11"/>
  <c r="B115" i="11"/>
  <c r="F10" i="12"/>
  <c r="F22" i="12"/>
  <c r="D10" i="12"/>
  <c r="B11" i="12"/>
  <c r="F21" i="12"/>
  <c r="L122" i="11"/>
  <c r="L123" i="11"/>
  <c r="F14" i="1"/>
  <c r="L125" i="11"/>
  <c r="B14" i="1"/>
  <c r="B13" i="1"/>
  <c r="M15" i="11"/>
  <c r="L42" i="11"/>
  <c r="M20" i="11"/>
  <c r="M16" i="11"/>
  <c r="L33" i="11"/>
  <c r="L34" i="11"/>
  <c r="L35" i="11"/>
  <c r="M19" i="11"/>
  <c r="L41" i="11"/>
  <c r="G190" i="11"/>
  <c r="G192" i="11"/>
  <c r="G14" i="11"/>
  <c r="G18" i="11"/>
  <c r="G112" i="11"/>
  <c r="G205" i="11"/>
  <c r="H205" i="11"/>
  <c r="G176" i="11"/>
  <c r="E20" i="1"/>
  <c r="C20" i="12"/>
  <c r="H183" i="11"/>
  <c r="G146" i="11"/>
  <c r="D20" i="12"/>
  <c r="G103" i="11"/>
  <c r="G162" i="11"/>
  <c r="G164" i="11"/>
  <c r="G102" i="11"/>
  <c r="D13" i="1"/>
  <c r="F13" i="1"/>
  <c r="D10" i="1"/>
  <c r="B10" i="1"/>
  <c r="F11" i="1"/>
  <c r="C9" i="18"/>
  <c r="C19" i="18"/>
  <c r="B19" i="11"/>
  <c r="B42" i="11"/>
  <c r="C18" i="11"/>
  <c r="B20" i="11"/>
  <c r="B41" i="11"/>
  <c r="C13" i="14"/>
  <c r="C13" i="15"/>
  <c r="C10" i="14"/>
  <c r="C10" i="15"/>
  <c r="B8" i="14"/>
  <c r="B116" i="11"/>
  <c r="B13" i="14"/>
  <c r="G19" i="11"/>
  <c r="G41" i="11"/>
  <c r="B125" i="11"/>
  <c r="B122" i="11"/>
  <c r="C16" i="11"/>
  <c r="C15" i="11"/>
  <c r="C19" i="11"/>
  <c r="D11" i="12"/>
  <c r="F11" i="12"/>
  <c r="F20" i="12"/>
  <c r="C13" i="12"/>
  <c r="B23" i="1"/>
  <c r="D14" i="1"/>
  <c r="G16" i="11"/>
  <c r="G33" i="11"/>
  <c r="L43" i="11"/>
  <c r="L44" i="11"/>
  <c r="L47" i="11"/>
  <c r="F8" i="1"/>
  <c r="G114" i="11"/>
  <c r="G115" i="11"/>
  <c r="G121" i="11"/>
  <c r="G15" i="11"/>
  <c r="G32" i="11"/>
  <c r="G49" i="11"/>
  <c r="H18" i="11"/>
  <c r="G20" i="11"/>
  <c r="G208" i="11"/>
  <c r="H208" i="11"/>
  <c r="E20" i="12"/>
  <c r="E10" i="1"/>
  <c r="C10" i="12"/>
  <c r="E10" i="12"/>
  <c r="E13" i="1"/>
  <c r="D11" i="1"/>
  <c r="B43" i="11"/>
  <c r="B44" i="11"/>
  <c r="C20" i="11"/>
  <c r="C10" i="18"/>
  <c r="H19" i="11"/>
  <c r="G34" i="11"/>
  <c r="G35" i="11"/>
  <c r="B14" i="14"/>
  <c r="C11" i="14"/>
  <c r="C11" i="15"/>
  <c r="C14" i="14"/>
  <c r="C14" i="15"/>
  <c r="B123" i="11"/>
  <c r="G13" i="18"/>
  <c r="D14" i="14"/>
  <c r="B117" i="11"/>
  <c r="G12" i="18"/>
  <c r="D13" i="14"/>
  <c r="B34" i="11"/>
  <c r="H16" i="11"/>
  <c r="B8" i="12"/>
  <c r="E14" i="1"/>
  <c r="C14" i="12"/>
  <c r="L46" i="11"/>
  <c r="D8" i="1"/>
  <c r="H15" i="11"/>
  <c r="G116" i="11"/>
  <c r="B13" i="12"/>
  <c r="G42" i="11"/>
  <c r="G43" i="11"/>
  <c r="H20" i="11"/>
  <c r="G122" i="11"/>
  <c r="G125" i="11"/>
  <c r="E11" i="1"/>
  <c r="C11" i="12"/>
  <c r="E11" i="12"/>
  <c r="F23" i="1"/>
  <c r="E13" i="14"/>
  <c r="D12" i="18"/>
  <c r="E14" i="14"/>
  <c r="D13" i="18"/>
  <c r="C8" i="14"/>
  <c r="C23" i="14"/>
  <c r="C8" i="15"/>
  <c r="F13" i="14"/>
  <c r="F14" i="14"/>
  <c r="B35" i="11"/>
  <c r="B47" i="11"/>
  <c r="G7" i="18"/>
  <c r="B46" i="11"/>
  <c r="B14" i="12"/>
  <c r="B23" i="12"/>
  <c r="E8" i="1"/>
  <c r="E23" i="1"/>
  <c r="C8" i="12"/>
  <c r="C23" i="12"/>
  <c r="D23" i="1"/>
  <c r="G46" i="11"/>
  <c r="G44" i="11"/>
  <c r="G47" i="11"/>
  <c r="G123" i="11"/>
  <c r="D14" i="12"/>
  <c r="D13" i="12"/>
  <c r="G117" i="11"/>
  <c r="E14" i="12"/>
  <c r="C13" i="18"/>
  <c r="E13" i="12"/>
  <c r="C12" i="18"/>
  <c r="C26" i="15"/>
  <c r="L196" i="11"/>
  <c r="B195" i="11"/>
  <c r="AT213" i="16"/>
  <c r="AO212" i="16" s="1"/>
  <c r="D8" i="14"/>
  <c r="D7" i="18"/>
  <c r="K201" i="11"/>
  <c r="L201" i="11"/>
  <c r="AS218" i="16"/>
  <c r="F8" i="14"/>
  <c r="F14" i="12"/>
  <c r="D8" i="12"/>
  <c r="F13" i="12"/>
  <c r="F8" i="12"/>
  <c r="E8" i="14"/>
  <c r="E8" i="12"/>
  <c r="E23" i="12"/>
  <c r="C7" i="18"/>
  <c r="L198" i="11"/>
  <c r="G195" i="11"/>
  <c r="F23" i="12"/>
  <c r="D23" i="12"/>
  <c r="G201" i="11"/>
  <c r="H201" i="11"/>
  <c r="AO218" i="16"/>
  <c r="AP218" i="16" s="1"/>
  <c r="AO213" i="16"/>
  <c r="G196" i="11"/>
  <c r="G198" i="11"/>
  <c r="G15" i="17"/>
  <c r="G18" i="17"/>
  <c r="I23" i="17"/>
  <c r="J23" i="17"/>
  <c r="C36" i="17"/>
  <c r="C45" i="17"/>
  <c r="I16" i="17"/>
  <c r="J16" i="17"/>
  <c r="G16" i="17"/>
  <c r="G12" i="17"/>
  <c r="I17" i="17"/>
  <c r="J17" i="17"/>
  <c r="G17" i="17"/>
  <c r="I20" i="17"/>
  <c r="J20" i="17"/>
  <c r="G20" i="17"/>
  <c r="I14" i="17"/>
  <c r="G14" i="17"/>
  <c r="I22" i="17"/>
  <c r="J22" i="17"/>
  <c r="I21" i="17"/>
  <c r="J21" i="17"/>
  <c r="G21" i="17"/>
  <c r="I19" i="17"/>
  <c r="J19" i="17"/>
  <c r="I18" i="17"/>
  <c r="J18" i="17"/>
  <c r="G13" i="17"/>
  <c r="I13" i="17"/>
  <c r="J13" i="17"/>
  <c r="B24" i="16"/>
  <c r="I12" i="17"/>
  <c r="J12" i="17"/>
  <c r="B23" i="11"/>
  <c r="B80" i="11"/>
  <c r="B54" i="11"/>
  <c r="B55" i="11"/>
  <c r="B84" i="11"/>
  <c r="B173" i="16"/>
  <c r="B174" i="16" s="1"/>
  <c r="K53" i="23" s="1"/>
  <c r="I24" i="17"/>
  <c r="I29" i="17"/>
  <c r="B21" i="14"/>
  <c r="B56" i="11"/>
  <c r="J14" i="17"/>
  <c r="J24" i="17"/>
  <c r="I28" i="17"/>
  <c r="G24" i="17"/>
  <c r="B59" i="11"/>
  <c r="B91" i="11"/>
  <c r="B68" i="11"/>
  <c r="B69" i="11"/>
  <c r="B70" i="11"/>
  <c r="B156" i="11"/>
  <c r="B150" i="11"/>
  <c r="B81" i="11"/>
  <c r="C31" i="17"/>
  <c r="C37" i="17"/>
  <c r="C38" i="17"/>
  <c r="C91" i="11"/>
  <c r="B86" i="11"/>
  <c r="B87" i="11"/>
  <c r="B88" i="11"/>
  <c r="B89" i="11"/>
  <c r="B94" i="11"/>
  <c r="B175" i="11"/>
  <c r="I30" i="17"/>
  <c r="B63" i="11"/>
  <c r="B75" i="11"/>
  <c r="B10" i="14"/>
  <c r="B61" i="11"/>
  <c r="B60" i="11"/>
  <c r="B169" i="11"/>
  <c r="C40" i="17"/>
  <c r="C46" i="17"/>
  <c r="C47" i="17"/>
  <c r="G47" i="17"/>
  <c r="G49" i="17"/>
  <c r="H84" i="16"/>
  <c r="K24" i="17"/>
  <c r="D21" i="14"/>
  <c r="B183" i="11"/>
  <c r="B151" i="11"/>
  <c r="B92" i="11"/>
  <c r="B105" i="11"/>
  <c r="B11" i="14"/>
  <c r="B157" i="11"/>
  <c r="B22" i="14"/>
  <c r="B82" i="11"/>
  <c r="B95" i="11"/>
  <c r="B96" i="11"/>
  <c r="B144" i="11"/>
  <c r="B205" i="11"/>
  <c r="C205" i="11"/>
  <c r="B176" i="11"/>
  <c r="B64" i="11"/>
  <c r="B65" i="11"/>
  <c r="B73" i="11"/>
  <c r="F10" i="14"/>
  <c r="B97" i="11"/>
  <c r="B100" i="11"/>
  <c r="B99" i="11"/>
  <c r="F21" i="14"/>
  <c r="G20" i="18"/>
  <c r="B162" i="11"/>
  <c r="B164" i="11"/>
  <c r="B170" i="11"/>
  <c r="B203" i="11"/>
  <c r="C203" i="11"/>
  <c r="B20" i="14"/>
  <c r="B145" i="11"/>
  <c r="B158" i="11"/>
  <c r="D22" i="14"/>
  <c r="E21" i="14"/>
  <c r="D20" i="18"/>
  <c r="B184" i="11"/>
  <c r="C183" i="11"/>
  <c r="B207" i="11"/>
  <c r="B93" i="11"/>
  <c r="B23" i="14"/>
  <c r="B26" i="15"/>
  <c r="B72" i="11"/>
  <c r="D10" i="14"/>
  <c r="G9" i="18"/>
  <c r="E22" i="14"/>
  <c r="D21" i="18"/>
  <c r="B146" i="11"/>
  <c r="D20" i="14"/>
  <c r="B98" i="11"/>
  <c r="B102" i="11"/>
  <c r="D11" i="14"/>
  <c r="F22" i="14"/>
  <c r="G21" i="18"/>
  <c r="B208" i="11"/>
  <c r="C208" i="11"/>
  <c r="C207" i="11"/>
  <c r="D9" i="18"/>
  <c r="E10" i="14"/>
  <c r="B101" i="11"/>
  <c r="B103" i="11"/>
  <c r="G10" i="18"/>
  <c r="F11" i="14"/>
  <c r="E11" i="14"/>
  <c r="D10" i="18"/>
  <c r="D23" i="14"/>
  <c r="E20" i="14"/>
  <c r="D19" i="18"/>
  <c r="G19" i="18"/>
  <c r="F20" i="14"/>
  <c r="E23" i="14"/>
  <c r="E26" i="15"/>
  <c r="F23" i="14"/>
  <c r="F26" i="15"/>
  <c r="B201" i="11"/>
  <c r="C201" i="11"/>
  <c r="D26" i="15"/>
  <c r="G22" i="18"/>
  <c r="G52" i="23" l="1"/>
  <c r="B167" i="16"/>
  <c r="AV88" i="16"/>
  <c r="B199" i="16"/>
  <c r="B223" i="16" s="1"/>
  <c r="C223" i="16" s="1"/>
  <c r="B15" i="16"/>
  <c r="B22" i="19"/>
  <c r="J39" i="23"/>
  <c r="J40" i="23" s="1"/>
  <c r="F45" i="23"/>
  <c r="AT100" i="16"/>
  <c r="AT103" i="16" s="1"/>
  <c r="AT102" i="16"/>
  <c r="AU225" i="16"/>
  <c r="H199" i="16"/>
  <c r="H223" i="16" s="1"/>
  <c r="I223" i="16" s="1"/>
  <c r="AT89" i="16"/>
  <c r="AV92" i="16" s="1"/>
  <c r="B185" i="16"/>
  <c r="B219" i="16" s="1"/>
  <c r="C219" i="16" s="1"/>
  <c r="AT222" i="16"/>
  <c r="AT58" i="16"/>
  <c r="AT59" i="16" s="1"/>
  <c r="AT117" i="16"/>
  <c r="AT221" i="16"/>
  <c r="AP221" i="16"/>
  <c r="O13" i="18"/>
  <c r="AO207" i="16"/>
  <c r="AO209" i="16" s="1"/>
  <c r="AT125" i="16"/>
  <c r="AT127" i="16" s="1"/>
  <c r="AT128" i="16" s="1"/>
  <c r="AT129" i="16" s="1"/>
  <c r="AT130" i="16" s="1"/>
  <c r="L38" i="23"/>
  <c r="M38" i="23" s="1"/>
  <c r="O10" i="18"/>
  <c r="AT207" i="16"/>
  <c r="AT209" i="16" s="1"/>
  <c r="O18" i="18"/>
  <c r="L32" i="23"/>
  <c r="O20" i="18"/>
  <c r="AO125" i="16"/>
  <c r="AP219" i="16"/>
  <c r="O19" i="18"/>
  <c r="AP224" i="16"/>
  <c r="AO57" i="16"/>
  <c r="AO62" i="16" s="1"/>
  <c r="AO64" i="16" s="1"/>
  <c r="AO72" i="16"/>
  <c r="AO73" i="16" s="1"/>
  <c r="AT202" i="16"/>
  <c r="AT203" i="16" s="1"/>
  <c r="AT164" i="16"/>
  <c r="AT64" i="16"/>
  <c r="AT187" i="16"/>
  <c r="AT157" i="16"/>
  <c r="AT158" i="16" s="1"/>
  <c r="AT159" i="16" s="1"/>
  <c r="AT63" i="16"/>
  <c r="AT218" i="16"/>
  <c r="AP222" i="16"/>
  <c r="AT91" i="16"/>
  <c r="AO146" i="16"/>
  <c r="AO147" i="16" s="1"/>
  <c r="AT66" i="16"/>
  <c r="C23" i="15"/>
  <c r="C28" i="15" s="1"/>
  <c r="AP220" i="16"/>
  <c r="AT101" i="16"/>
  <c r="AT193" i="16" s="1"/>
  <c r="AT195" i="16" s="1"/>
  <c r="AV102" i="16"/>
  <c r="AO215" i="16"/>
  <c r="O12" i="18"/>
  <c r="O21" i="18"/>
  <c r="AT219" i="16"/>
  <c r="AO173" i="16"/>
  <c r="AO174" i="16" s="1"/>
  <c r="AO175" i="16" s="1"/>
  <c r="O15" i="18"/>
  <c r="AU16" i="16"/>
  <c r="AT33" i="16"/>
  <c r="AO17" i="16"/>
  <c r="AO16" i="16"/>
  <c r="AT19" i="16"/>
  <c r="AU19" i="16" s="1"/>
  <c r="AT215" i="16"/>
  <c r="AO19" i="16"/>
  <c r="AP226" i="16"/>
  <c r="H146" i="16"/>
  <c r="E16" i="18" s="1"/>
  <c r="F16" i="18" s="1"/>
  <c r="O11" i="18"/>
  <c r="O9" i="18"/>
  <c r="AS225" i="16"/>
  <c r="AT225" i="16" s="1"/>
  <c r="AT104" i="16"/>
  <c r="D53" i="23"/>
  <c r="F53" i="23" s="1"/>
  <c r="B21" i="19"/>
  <c r="G53" i="23" s="1"/>
  <c r="B83" i="16"/>
  <c r="B87" i="16"/>
  <c r="B163" i="16" s="1"/>
  <c r="K51" i="23" s="1"/>
  <c r="H24" i="16"/>
  <c r="H10" i="19"/>
  <c r="B85" i="16"/>
  <c r="B57" i="16"/>
  <c r="B71" i="16"/>
  <c r="O7" i="18"/>
  <c r="B16" i="16"/>
  <c r="B17" i="16"/>
  <c r="H6" i="16"/>
  <c r="L51" i="23"/>
  <c r="L52" i="23"/>
  <c r="L15" i="23"/>
  <c r="D22" i="18"/>
  <c r="B19" i="16"/>
  <c r="B50" i="16" s="1"/>
  <c r="B125" i="16"/>
  <c r="H13" i="16"/>
  <c r="B226" i="16"/>
  <c r="C226" i="16" s="1"/>
  <c r="D52" i="23"/>
  <c r="F52" i="23" s="1"/>
  <c r="B207" i="16"/>
  <c r="B209" i="16" s="1"/>
  <c r="K14" i="18"/>
  <c r="O14" i="18"/>
  <c r="L6" i="23"/>
  <c r="L8" i="23"/>
  <c r="L7" i="23"/>
  <c r="L9" i="23"/>
  <c r="H4" i="16"/>
  <c r="C22" i="18"/>
  <c r="B17" i="15"/>
  <c r="AT223" i="16"/>
  <c r="AP223" i="16"/>
  <c r="L50" i="23"/>
  <c r="H7" i="16"/>
  <c r="L29" i="23"/>
  <c r="L27" i="23"/>
  <c r="L31" i="23"/>
  <c r="AT17" i="16"/>
  <c r="O16" i="18"/>
  <c r="AO83" i="16"/>
  <c r="AO87" i="16"/>
  <c r="L39" i="23"/>
  <c r="M39" i="23" s="1"/>
  <c r="L44" i="23"/>
  <c r="L16" i="23"/>
  <c r="L21" i="23"/>
  <c r="L22" i="23"/>
  <c r="L13" i="23"/>
  <c r="L30" i="23"/>
  <c r="AO225" i="16"/>
  <c r="B145" i="16"/>
  <c r="B146" i="16" s="1"/>
  <c r="K44" i="23" s="1"/>
  <c r="K45" i="23" s="1"/>
  <c r="O17" i="18"/>
  <c r="K17" i="18"/>
  <c r="B168" i="16" l="1"/>
  <c r="D22" i="19"/>
  <c r="K52" i="23" s="1"/>
  <c r="J52" i="23"/>
  <c r="M44" i="23"/>
  <c r="M45" i="23" s="1"/>
  <c r="AT21" i="16"/>
  <c r="J53" i="23"/>
  <c r="M53" i="23" s="1"/>
  <c r="M40" i="23"/>
  <c r="AT134" i="16"/>
  <c r="AT138" i="16" s="1"/>
  <c r="AT52" i="16"/>
  <c r="E16" i="19"/>
  <c r="AP225" i="16"/>
  <c r="AO58" i="16"/>
  <c r="AO59" i="16" s="1"/>
  <c r="AO157" i="16"/>
  <c r="AO158" i="16" s="1"/>
  <c r="AO159" i="16" s="1"/>
  <c r="AO63" i="16"/>
  <c r="AO66" i="16"/>
  <c r="AO127" i="16"/>
  <c r="AO128" i="16" s="1"/>
  <c r="AO129" i="16" s="1"/>
  <c r="AO130" i="16" s="1"/>
  <c r="AO134" i="16"/>
  <c r="AO186" i="16"/>
  <c r="AO187" i="16" s="1"/>
  <c r="AT78" i="16"/>
  <c r="AT67" i="16"/>
  <c r="AT68" i="16" s="1"/>
  <c r="AT76" i="16" s="1"/>
  <c r="AT20" i="16"/>
  <c r="AT42" i="16" s="1"/>
  <c r="H147" i="16"/>
  <c r="F17" i="15" s="1"/>
  <c r="AT179" i="16"/>
  <c r="AT181" i="16" s="1"/>
  <c r="J16" i="18"/>
  <c r="K16" i="18" s="1"/>
  <c r="AT114" i="16"/>
  <c r="AT92" i="16"/>
  <c r="AT116" i="16" s="1"/>
  <c r="AT135" i="16"/>
  <c r="AT136" i="16" s="1"/>
  <c r="D17" i="15"/>
  <c r="E17" i="15" s="1"/>
  <c r="AO52" i="16"/>
  <c r="AP19" i="16"/>
  <c r="AO34" i="16"/>
  <c r="AP17" i="16"/>
  <c r="AO21" i="16"/>
  <c r="AP21" i="16" s="1"/>
  <c r="AO20" i="16"/>
  <c r="AO42" i="16" s="1"/>
  <c r="AO33" i="16"/>
  <c r="AO35" i="16" s="1"/>
  <c r="AO36" i="16" s="1"/>
  <c r="AP16" i="16"/>
  <c r="H226" i="16"/>
  <c r="I226" i="16" s="1"/>
  <c r="H15" i="16"/>
  <c r="H125" i="16"/>
  <c r="H207" i="16"/>
  <c r="H209" i="16" s="1"/>
  <c r="C26" i="18"/>
  <c r="O22" i="18"/>
  <c r="D7" i="23"/>
  <c r="F7" i="23" s="1"/>
  <c r="C16" i="16"/>
  <c r="B34" i="16"/>
  <c r="AO94" i="16"/>
  <c r="AO97" i="16"/>
  <c r="AO99" i="16" s="1"/>
  <c r="AO163" i="16"/>
  <c r="AO89" i="16"/>
  <c r="AO91" i="16" s="1"/>
  <c r="AP20" i="16"/>
  <c r="AT43" i="16"/>
  <c r="AU21" i="16"/>
  <c r="B134" i="16"/>
  <c r="B135" i="16" s="1"/>
  <c r="K39" i="23" s="1"/>
  <c r="B127" i="16"/>
  <c r="B128" i="16" s="1"/>
  <c r="B129" i="16" s="1"/>
  <c r="K38" i="23" s="1"/>
  <c r="H50" i="16"/>
  <c r="B52" i="16"/>
  <c r="B72" i="16"/>
  <c r="B73" i="16" s="1"/>
  <c r="D16" i="23"/>
  <c r="F16" i="23" s="1"/>
  <c r="H87" i="16"/>
  <c r="H83" i="16"/>
  <c r="H57" i="16"/>
  <c r="H85" i="16"/>
  <c r="H71" i="16"/>
  <c r="H72" i="16" s="1"/>
  <c r="H73" i="16" s="1"/>
  <c r="H173" i="16"/>
  <c r="AT34" i="16"/>
  <c r="AT35" i="16" s="1"/>
  <c r="AT36" i="16" s="1"/>
  <c r="AU17" i="16"/>
  <c r="AU20" i="16"/>
  <c r="B20" i="16"/>
  <c r="B21" i="16"/>
  <c r="C19" i="16"/>
  <c r="B62" i="16"/>
  <c r="B157" i="16" s="1"/>
  <c r="B158" i="16" s="1"/>
  <c r="K50" i="23" s="1"/>
  <c r="B58" i="16"/>
  <c r="B66" i="16"/>
  <c r="D13" i="23"/>
  <c r="B89" i="16"/>
  <c r="B90" i="16" s="1"/>
  <c r="B94" i="16"/>
  <c r="B97" i="16"/>
  <c r="B192" i="16" s="1"/>
  <c r="B222" i="16" s="1"/>
  <c r="C222" i="16" s="1"/>
  <c r="D51" i="23"/>
  <c r="F51" i="23" s="1"/>
  <c r="B20" i="19"/>
  <c r="G51" i="23" s="1"/>
  <c r="D21" i="19"/>
  <c r="B175" i="16"/>
  <c r="G21" i="19" s="1"/>
  <c r="N53" i="23" s="1"/>
  <c r="D44" i="23"/>
  <c r="B149" i="16"/>
  <c r="B16" i="19" s="1"/>
  <c r="G44" i="23" s="1"/>
  <c r="G45" i="23" s="1"/>
  <c r="D6" i="23"/>
  <c r="C17" i="16"/>
  <c r="B33" i="16"/>
  <c r="N52" i="23" l="1"/>
  <c r="G22" i="19"/>
  <c r="M52" i="23"/>
  <c r="K54" i="23"/>
  <c r="J7" i="23"/>
  <c r="M7" i="23" s="1"/>
  <c r="J51" i="23"/>
  <c r="M51" i="23" s="1"/>
  <c r="J16" i="23"/>
  <c r="M16" i="23" s="1"/>
  <c r="K40" i="23"/>
  <c r="AO67" i="16"/>
  <c r="AO68" i="16" s="1"/>
  <c r="AO76" i="16" s="1"/>
  <c r="AO78" i="16"/>
  <c r="AO138" i="16"/>
  <c r="AO135" i="16"/>
  <c r="AO136" i="16" s="1"/>
  <c r="B35" i="16"/>
  <c r="B36" i="16" s="1"/>
  <c r="AO43" i="16"/>
  <c r="AO44" i="16" s="1"/>
  <c r="AT75" i="16"/>
  <c r="B200" i="16"/>
  <c r="D20" i="19"/>
  <c r="B164" i="16"/>
  <c r="G20" i="19" s="1"/>
  <c r="N51" i="23" s="1"/>
  <c r="B95" i="16"/>
  <c r="B96" i="16" s="1"/>
  <c r="B117" i="16"/>
  <c r="B10" i="19" s="1"/>
  <c r="G35" i="23" s="1"/>
  <c r="D24" i="23"/>
  <c r="B19" i="19"/>
  <c r="G50" i="23" s="1"/>
  <c r="G54" i="23" s="1"/>
  <c r="D50" i="23"/>
  <c r="F50" i="23" s="1"/>
  <c r="J50" i="23" s="1"/>
  <c r="B21" i="18"/>
  <c r="B22" i="15"/>
  <c r="H174" i="16"/>
  <c r="AO92" i="16"/>
  <c r="H134" i="16"/>
  <c r="H127" i="16"/>
  <c r="H128" i="16" s="1"/>
  <c r="B59" i="16"/>
  <c r="H94" i="16"/>
  <c r="H89" i="16"/>
  <c r="B21" i="15"/>
  <c r="H163" i="16"/>
  <c r="H97" i="16"/>
  <c r="H192" i="16" s="1"/>
  <c r="B20" i="18"/>
  <c r="AO164" i="16"/>
  <c r="AO200" i="16"/>
  <c r="H16" i="16"/>
  <c r="H17" i="16"/>
  <c r="F6" i="23"/>
  <c r="J6" i="23" s="1"/>
  <c r="M6" i="23" s="1"/>
  <c r="F13" i="23"/>
  <c r="J13" i="23" s="1"/>
  <c r="M13" i="23" s="1"/>
  <c r="B186" i="16"/>
  <c r="B63" i="16"/>
  <c r="B64" i="16"/>
  <c r="D14" i="23"/>
  <c r="F14" i="23" s="1"/>
  <c r="D38" i="23"/>
  <c r="B12" i="19"/>
  <c r="G38" i="23" s="1"/>
  <c r="AO102" i="16"/>
  <c r="AO100" i="16"/>
  <c r="AO103" i="16" s="1"/>
  <c r="H19" i="16"/>
  <c r="D16" i="19"/>
  <c r="F16" i="19" s="1"/>
  <c r="B147" i="16"/>
  <c r="G16" i="19" s="1"/>
  <c r="N45" i="23" s="1"/>
  <c r="C21" i="16"/>
  <c r="B42" i="16"/>
  <c r="D8" i="23"/>
  <c r="F8" i="23" s="1"/>
  <c r="B7" i="19"/>
  <c r="G10" i="23" s="1"/>
  <c r="H52" i="16"/>
  <c r="B91" i="16"/>
  <c r="B92" i="16" s="1"/>
  <c r="B98" i="16"/>
  <c r="B43" i="16"/>
  <c r="D9" i="23"/>
  <c r="F9" i="23" s="1"/>
  <c r="C20" i="16"/>
  <c r="B67" i="16"/>
  <c r="B68" i="16" s="1"/>
  <c r="B78" i="16"/>
  <c r="B9" i="19" s="1"/>
  <c r="G17" i="23" s="1"/>
  <c r="D15" i="23"/>
  <c r="F15" i="23" s="1"/>
  <c r="AT44" i="16"/>
  <c r="H66" i="16"/>
  <c r="H62" i="16"/>
  <c r="H157" i="16" s="1"/>
  <c r="H58" i="16"/>
  <c r="D39" i="23"/>
  <c r="B138" i="16"/>
  <c r="B13" i="19" s="1"/>
  <c r="G39" i="23" s="1"/>
  <c r="AO95" i="16"/>
  <c r="AO96" i="16" s="1"/>
  <c r="AO117" i="16"/>
  <c r="G40" i="23" l="1"/>
  <c r="G56" i="23"/>
  <c r="J8" i="23"/>
  <c r="M8" i="23" s="1"/>
  <c r="J15" i="23"/>
  <c r="M15" i="23" s="1"/>
  <c r="J9" i="23"/>
  <c r="M9" i="23" s="1"/>
  <c r="J14" i="23"/>
  <c r="M14" i="23" s="1"/>
  <c r="AO75" i="16"/>
  <c r="AO101" i="16"/>
  <c r="AO192" i="16" s="1"/>
  <c r="AO193" i="16" s="1"/>
  <c r="B75" i="16"/>
  <c r="D9" i="19" s="1"/>
  <c r="K17" i="23" s="1"/>
  <c r="AO104" i="16"/>
  <c r="AO116" i="16" s="1"/>
  <c r="B99" i="16"/>
  <c r="B102" i="16" s="1"/>
  <c r="B107" i="16"/>
  <c r="F10" i="23"/>
  <c r="E20" i="19"/>
  <c r="F20" i="19"/>
  <c r="H200" i="16"/>
  <c r="J20" i="18"/>
  <c r="D21" i="15"/>
  <c r="E21" i="15" s="1"/>
  <c r="H164" i="16"/>
  <c r="F21" i="15" s="1"/>
  <c r="E20" i="18"/>
  <c r="F20" i="18" s="1"/>
  <c r="H138" i="16"/>
  <c r="H135" i="16"/>
  <c r="D19" i="19"/>
  <c r="B159" i="16"/>
  <c r="G19" i="19" s="1"/>
  <c r="N50" i="23" s="1"/>
  <c r="N54" i="23" s="1"/>
  <c r="AT45" i="16"/>
  <c r="AT48" i="16" s="1"/>
  <c r="AT47" i="16"/>
  <c r="K23" i="23"/>
  <c r="B220" i="16"/>
  <c r="C220" i="16" s="1"/>
  <c r="B187" i="16"/>
  <c r="B179" i="16"/>
  <c r="B181" i="16" s="1"/>
  <c r="D10" i="23"/>
  <c r="B76" i="16"/>
  <c r="G9" i="19" s="1"/>
  <c r="N17" i="23" s="1"/>
  <c r="F24" i="23"/>
  <c r="J24" i="23" s="1"/>
  <c r="M24" i="23" s="1"/>
  <c r="D25" i="23"/>
  <c r="H59" i="16"/>
  <c r="B44" i="16"/>
  <c r="I19" i="16"/>
  <c r="H20" i="16"/>
  <c r="H21" i="16"/>
  <c r="AO47" i="16"/>
  <c r="AO45" i="16"/>
  <c r="AO48" i="16" s="1"/>
  <c r="D17" i="23"/>
  <c r="H33" i="16"/>
  <c r="I17" i="16"/>
  <c r="H90" i="16"/>
  <c r="AO114" i="16"/>
  <c r="F54" i="23"/>
  <c r="B23" i="19"/>
  <c r="B201" i="16"/>
  <c r="B224" i="16"/>
  <c r="H67" i="16"/>
  <c r="H68" i="16" s="1"/>
  <c r="H78" i="16"/>
  <c r="AO201" i="16"/>
  <c r="B19" i="18"/>
  <c r="B20" i="15"/>
  <c r="H158" i="16"/>
  <c r="D13" i="19"/>
  <c r="B136" i="16"/>
  <c r="G13" i="19" s="1"/>
  <c r="N39" i="23" s="1"/>
  <c r="H186" i="16"/>
  <c r="H63" i="16"/>
  <c r="H64" i="16"/>
  <c r="B8" i="15"/>
  <c r="B7" i="18"/>
  <c r="B130" i="16"/>
  <c r="G12" i="19" s="1"/>
  <c r="N38" i="23" s="1"/>
  <c r="N40" i="23" s="1"/>
  <c r="D12" i="19"/>
  <c r="F17" i="23"/>
  <c r="H34" i="16"/>
  <c r="I16" i="16"/>
  <c r="H222" i="16"/>
  <c r="I222" i="16" s="1"/>
  <c r="B193" i="16"/>
  <c r="H193" i="16"/>
  <c r="H95" i="16"/>
  <c r="H96" i="16" s="1"/>
  <c r="H117" i="16"/>
  <c r="B13" i="15"/>
  <c r="B12" i="18"/>
  <c r="H129" i="16"/>
  <c r="E21" i="18"/>
  <c r="F21" i="18" s="1"/>
  <c r="D22" i="15"/>
  <c r="E22" i="15" s="1"/>
  <c r="E21" i="19"/>
  <c r="H175" i="16"/>
  <c r="F22" i="15" s="1"/>
  <c r="F21" i="19"/>
  <c r="J21" i="18"/>
  <c r="K25" i="23"/>
  <c r="AP200" i="16" l="1"/>
  <c r="AO179" i="16"/>
  <c r="AO181" i="16" s="1"/>
  <c r="H75" i="16"/>
  <c r="D10" i="15" s="1"/>
  <c r="E10" i="15" s="1"/>
  <c r="B109" i="16"/>
  <c r="B108" i="16"/>
  <c r="E9" i="19"/>
  <c r="F9" i="19"/>
  <c r="B10" i="18"/>
  <c r="B11" i="15"/>
  <c r="H98" i="16"/>
  <c r="H91" i="16"/>
  <c r="H92" i="16" s="1"/>
  <c r="D21" i="23"/>
  <c r="F21" i="23" s="1"/>
  <c r="H224" i="16"/>
  <c r="H201" i="16"/>
  <c r="I200" i="16"/>
  <c r="J12" i="18"/>
  <c r="D13" i="15"/>
  <c r="E13" i="15" s="1"/>
  <c r="E12" i="19"/>
  <c r="E12" i="18"/>
  <c r="F12" i="18" s="1"/>
  <c r="H130" i="16"/>
  <c r="F13" i="15" s="1"/>
  <c r="F12" i="19"/>
  <c r="C224" i="16"/>
  <c r="B225" i="16"/>
  <c r="C225" i="16" s="1"/>
  <c r="M50" i="23"/>
  <c r="M54" i="23" s="1"/>
  <c r="J54" i="23"/>
  <c r="B45" i="16"/>
  <c r="B48" i="16" s="1"/>
  <c r="G7" i="19" s="1"/>
  <c r="N10" i="23" s="1"/>
  <c r="B47" i="16"/>
  <c r="D7" i="19" s="1"/>
  <c r="K10" i="23" s="1"/>
  <c r="F25" i="23"/>
  <c r="D31" i="23"/>
  <c r="F31" i="23" s="1"/>
  <c r="J31" i="23" s="1"/>
  <c r="M31" i="23" s="1"/>
  <c r="D32" i="23"/>
  <c r="F32" i="23" s="1"/>
  <c r="J32" i="23" s="1"/>
  <c r="M32" i="23" s="1"/>
  <c r="H159" i="16"/>
  <c r="F20" i="15" s="1"/>
  <c r="F19" i="19"/>
  <c r="J19" i="18"/>
  <c r="D20" i="15"/>
  <c r="E20" i="15" s="1"/>
  <c r="E19" i="18"/>
  <c r="F19" i="18" s="1"/>
  <c r="E19" i="19"/>
  <c r="H35" i="16"/>
  <c r="H36" i="16" s="1"/>
  <c r="H42" i="16"/>
  <c r="I21" i="16"/>
  <c r="H136" i="16"/>
  <c r="F14" i="15" s="1"/>
  <c r="E13" i="19"/>
  <c r="F13" i="19"/>
  <c r="D14" i="15"/>
  <c r="E14" i="15" s="1"/>
  <c r="J13" i="18"/>
  <c r="E13" i="18"/>
  <c r="F13" i="18" s="1"/>
  <c r="J10" i="23"/>
  <c r="M10" i="23"/>
  <c r="K21" i="18"/>
  <c r="M17" i="23"/>
  <c r="J17" i="23"/>
  <c r="H220" i="16"/>
  <c r="I220" i="16" s="1"/>
  <c r="H187" i="16"/>
  <c r="H179" i="16"/>
  <c r="H181" i="16" s="1"/>
  <c r="B9" i="18"/>
  <c r="B10" i="15"/>
  <c r="D22" i="23"/>
  <c r="F22" i="23" s="1"/>
  <c r="J22" i="23" s="1"/>
  <c r="M22" i="23" s="1"/>
  <c r="H43" i="16"/>
  <c r="I20" i="16"/>
  <c r="H76" i="16"/>
  <c r="F10" i="15" s="1"/>
  <c r="B13" i="18"/>
  <c r="B14" i="15"/>
  <c r="K20" i="18"/>
  <c r="B100" i="16"/>
  <c r="B103" i="16" s="1"/>
  <c r="E9" i="18" l="1"/>
  <c r="F9" i="18" s="1"/>
  <c r="J9" i="18"/>
  <c r="K31" i="23"/>
  <c r="B110" i="16"/>
  <c r="B104" i="16"/>
  <c r="B111" i="16"/>
  <c r="K32" i="23"/>
  <c r="B101" i="16"/>
  <c r="B114" i="16" s="1"/>
  <c r="K12" i="18"/>
  <c r="K13" i="18"/>
  <c r="M25" i="23"/>
  <c r="J25" i="23"/>
  <c r="I224" i="16"/>
  <c r="H225" i="16"/>
  <c r="I225" i="16" s="1"/>
  <c r="B23" i="15"/>
  <c r="B28" i="15" s="1"/>
  <c r="H44" i="16"/>
  <c r="J21" i="23"/>
  <c r="M21" i="23" s="1"/>
  <c r="F23" i="23"/>
  <c r="B22" i="18"/>
  <c r="H99" i="16"/>
  <c r="D27" i="23"/>
  <c r="I101" i="16"/>
  <c r="D28" i="23"/>
  <c r="F28" i="23" s="1"/>
  <c r="D29" i="23"/>
  <c r="F29" i="23" s="1"/>
  <c r="E98" i="16"/>
  <c r="D30" i="23"/>
  <c r="F30" i="23" s="1"/>
  <c r="K19" i="18"/>
  <c r="K9" i="18"/>
  <c r="J28" i="23" l="1"/>
  <c r="M28" i="23" s="1"/>
  <c r="J30" i="23"/>
  <c r="M30" i="23" s="1"/>
  <c r="J29" i="23"/>
  <c r="M29" i="23" s="1"/>
  <c r="D10" i="19"/>
  <c r="D23" i="19" s="1"/>
  <c r="B112" i="16"/>
  <c r="B116" i="16" s="1"/>
  <c r="G10" i="19" s="1"/>
  <c r="F27" i="23"/>
  <c r="J27" i="23" s="1"/>
  <c r="M27" i="23" s="1"/>
  <c r="D33" i="23"/>
  <c r="M23" i="23"/>
  <c r="J23" i="23"/>
  <c r="I104" i="16"/>
  <c r="I103" i="16"/>
  <c r="I102" i="16"/>
  <c r="K27" i="23"/>
  <c r="H100" i="16"/>
  <c r="K30" i="23" s="1"/>
  <c r="H102" i="16"/>
  <c r="K29" i="23"/>
  <c r="H47" i="16"/>
  <c r="E7" i="19" s="1"/>
  <c r="H45" i="16"/>
  <c r="H48" i="16" s="1"/>
  <c r="F8" i="15" s="1"/>
  <c r="G23" i="19" l="1"/>
  <c r="N35" i="23"/>
  <c r="N56" i="23" s="1"/>
  <c r="J10" i="19"/>
  <c r="B218" i="16"/>
  <c r="C218" i="16" s="1"/>
  <c r="H103" i="16"/>
  <c r="K28" i="23"/>
  <c r="K33" i="23" s="1"/>
  <c r="I114" i="16"/>
  <c r="D8" i="15"/>
  <c r="E7" i="18"/>
  <c r="F7" i="19"/>
  <c r="J7" i="18"/>
  <c r="H101" i="16"/>
  <c r="H114" i="16" s="1"/>
  <c r="F33" i="23"/>
  <c r="F35" i="23" s="1"/>
  <c r="F56" i="23" s="1"/>
  <c r="H104" i="16" l="1"/>
  <c r="H116" i="16" s="1"/>
  <c r="F11" i="15" s="1"/>
  <c r="F23" i="15" s="1"/>
  <c r="F28" i="15" s="1"/>
  <c r="K35" i="23"/>
  <c r="K56" i="23" s="1"/>
  <c r="M33" i="23"/>
  <c r="M35" i="23" s="1"/>
  <c r="M56" i="23" s="1"/>
  <c r="J33" i="23"/>
  <c r="J35" i="23" s="1"/>
  <c r="J56" i="23" s="1"/>
  <c r="F7" i="18"/>
  <c r="L7" i="18" s="1"/>
  <c r="D11" i="15"/>
  <c r="E11" i="15" s="1"/>
  <c r="E10" i="18"/>
  <c r="F10" i="18" s="1"/>
  <c r="J10" i="18"/>
  <c r="K10" i="18" s="1"/>
  <c r="E10" i="19"/>
  <c r="F10" i="19"/>
  <c r="F23" i="19" s="1"/>
  <c r="H218" i="16"/>
  <c r="I218" i="16" s="1"/>
  <c r="K7" i="18"/>
  <c r="E8" i="15"/>
  <c r="D23" i="15"/>
  <c r="D28" i="15" s="1"/>
  <c r="F22" i="18" l="1"/>
  <c r="J22" i="18"/>
  <c r="E23" i="15"/>
  <c r="E28" i="15" s="1"/>
  <c r="E23" i="19"/>
  <c r="K10" i="19"/>
  <c r="E22" i="18"/>
  <c r="D26" i="18" s="1"/>
  <c r="K22" i="18" l="1"/>
</calcChain>
</file>

<file path=xl/comments1.xml><?xml version="1.0" encoding="utf-8"?>
<comments xmlns="http://schemas.openxmlformats.org/spreadsheetml/2006/main">
  <authors>
    <author>CMarsden</author>
    <author>Owen, Todd - OSHA</author>
    <author>Anita Singh</author>
  </authors>
  <commentList>
    <comment ref="B9" authorId="0" shapeId="0">
      <text>
        <r>
          <rPr>
            <b/>
            <sz val="9"/>
            <color indexed="81"/>
            <rFont val="Tahoma"/>
            <family val="2"/>
          </rPr>
          <t>CMarsden:</t>
        </r>
        <r>
          <rPr>
            <sz val="9"/>
            <color indexed="81"/>
            <rFont val="Tahoma"/>
            <family val="2"/>
          </rPr>
          <t xml:space="preserve">
Longitudinal Business Database (Business Dynamics Statistics)  
https://www.census.gov/ces/dataproducts/bds/data_firm.html
"Economy Wide" 2012 Entry Rate
</t>
        </r>
      </text>
    </comment>
    <comment ref="H9" authorId="0" shapeId="0">
      <text>
        <r>
          <rPr>
            <b/>
            <sz val="9"/>
            <color indexed="81"/>
            <rFont val="Tahoma"/>
            <family val="2"/>
          </rPr>
          <t>CMarsden:</t>
        </r>
        <r>
          <rPr>
            <sz val="9"/>
            <color indexed="81"/>
            <rFont val="Tahoma"/>
            <family val="2"/>
          </rPr>
          <t xml:space="preserve">
Longitudinal Business Database (Business Dynamics Statistics)  
https://www.census.gov/ces/dataproducts/bds/data_firm.html
"Economy Wide" 2012 Entry Rate
</t>
        </r>
      </text>
    </comment>
    <comment ref="AO9" authorId="0" shapeId="0">
      <text>
        <r>
          <rPr>
            <b/>
            <sz val="9"/>
            <color indexed="81"/>
            <rFont val="Tahoma"/>
            <family val="2"/>
          </rPr>
          <t>CMarsden:</t>
        </r>
        <r>
          <rPr>
            <sz val="9"/>
            <color indexed="81"/>
            <rFont val="Tahoma"/>
            <family val="2"/>
          </rPr>
          <t xml:space="preserve">
Longitudinal Business Database (Business Dynamics Statistics)  
https://www.census.gov/ces/dataproducts/bds/data_firm.html
"Economy Wide" 2011 Entry Rate</t>
        </r>
      </text>
    </comment>
    <comment ref="H13" authorId="0" shapeId="0">
      <text>
        <r>
          <rPr>
            <b/>
            <sz val="9"/>
            <color indexed="81"/>
            <rFont val="Tahoma"/>
            <family val="2"/>
          </rPr>
          <t>CMarsden:</t>
        </r>
        <r>
          <rPr>
            <sz val="9"/>
            <color indexed="81"/>
            <rFont val="Tahoma"/>
            <family val="2"/>
          </rPr>
          <t xml:space="preserve">
This was calculated using the 2001 Respirator Usage in Private Sector Firms DOL BLS Survey. Table 1 "Number and percent of establishments using respirators by selected type of use and by industry division" contains the number (in thousands) of establishments reported to be using respirators. ERG compared the "total use" row to the 2001 County Business Patterns for each sector estimating the share of establishments using respirators by sector. Mapping of sectors was straightforward but there were some exceptions. Namely, 95 (Auxiliaries, except Corporate, Subsidiary, and Regional Managing Offices) and 99 (Unclassified) were excluded altogether. For the agricultural sector, ERG assumed 100% were using respirators, because a greater number of establishments were reported as using respirators in the Respirator Usage Survey than the total number of establishments in the CBP. Secondly, for the mining sector, ERG only included firms in NAICS 211111, 211112, 213111, 213112 (O&amp;G industries) which are covered by OSHA. The remainder of sector 21 (Mining) is covered by MSHA. See tab "Profile 11" for the calculations. This methodology was new for the 2014 ICR but resulted in a comparable number of affected establishments.</t>
        </r>
      </text>
    </comment>
    <comment ref="AO13" authorId="0" shapeId="0">
      <text>
        <r>
          <rPr>
            <b/>
            <sz val="9"/>
            <color indexed="81"/>
            <rFont val="Tahoma"/>
            <family val="2"/>
          </rPr>
          <t>CMarsden:</t>
        </r>
        <r>
          <rPr>
            <sz val="9"/>
            <color indexed="81"/>
            <rFont val="Tahoma"/>
            <family val="2"/>
          </rPr>
          <t xml:space="preserve">
This was calculated using the 2001 Respirator Usage in Private Sector Firms DOL BLS Survey. Table 1 "Number and percent of establishments using respirators by selected type of use and by industry division" contains the number (in thousands) of establishments reported to be using respirators. ERG compared the "total use" row to the 2001 County Business Patterns for each sector estimating the share of establishments using respirators by sector. Mapping of sectors was straightforward but there were some exceptions. Namely, 95 (Auxiliaries, except Corporate, Subsidiary, and Regional Managing Offices) and 99 (Unclassified) were excluded altogether. For the agricultural sector, ERG assumed 100% were using respirators, because a greater number of establishments were reported as using respirators in the Respirator Usage Survey than the total number of establishments in the CBP. Secondly, for the mining sector, ERG only included firms in NAICS 211111, 211112, 213111, 213112 (O&amp;G industries) which are covered by OSHA. The remainder of sector 21 (Mining) is covered by MSHA. See tab "Profile 11" for the calculations. This methodology was new for the 2014 ICR but resulted in a comparable number of affected establishments.</t>
        </r>
      </text>
    </comment>
    <comment ref="AO33" authorId="1" shapeId="0">
      <text>
        <r>
          <rPr>
            <b/>
            <sz val="9"/>
            <color indexed="81"/>
            <rFont val="Tahoma"/>
            <family val="2"/>
          </rPr>
          <t>Owen, Todd - OSHA:</t>
        </r>
        <r>
          <rPr>
            <sz val="9"/>
            <color indexed="81"/>
            <rFont val="Tahoma"/>
            <family val="2"/>
          </rPr>
          <t xml:space="preserve">
We must have corrected this in the suppoting statement 62,193 x 4 = 248,772</t>
        </r>
      </text>
    </comment>
    <comment ref="AO34" authorId="1" shapeId="0">
      <text>
        <r>
          <rPr>
            <b/>
            <sz val="9"/>
            <color indexed="81"/>
            <rFont val="Tahoma"/>
            <family val="2"/>
          </rPr>
          <t>Owen, Todd - OSHA:</t>
        </r>
        <r>
          <rPr>
            <sz val="9"/>
            <color indexed="81"/>
            <rFont val="Tahoma"/>
            <family val="2"/>
          </rPr>
          <t xml:space="preserve">
Large = 1,269 x 8 = 10,152</t>
        </r>
      </text>
    </comment>
    <comment ref="AO35" authorId="1" shapeId="0">
      <text>
        <r>
          <rPr>
            <b/>
            <sz val="9"/>
            <color indexed="81"/>
            <rFont val="Tahoma"/>
            <family val="2"/>
          </rPr>
          <t>Owen, Todd - OSHA:This is the correct total</t>
        </r>
      </text>
    </comment>
    <comment ref="B56" authorId="0" shapeId="0">
      <text>
        <r>
          <rPr>
            <b/>
            <sz val="9"/>
            <color indexed="81"/>
            <rFont val="Tahoma"/>
            <family val="2"/>
          </rPr>
          <t>CMarsden:</t>
        </r>
        <r>
          <rPr>
            <sz val="9"/>
            <color indexed="81"/>
            <rFont val="Tahoma"/>
            <family val="2"/>
          </rPr>
          <t xml:space="preserve">
BLS JOLTS Total Separations Rate, 2013.</t>
        </r>
      </text>
    </comment>
    <comment ref="H56" authorId="0" shapeId="0">
      <text>
        <r>
          <rPr>
            <b/>
            <sz val="9"/>
            <color indexed="81"/>
            <rFont val="Tahoma"/>
            <family val="2"/>
          </rPr>
          <t>CMarsden:</t>
        </r>
        <r>
          <rPr>
            <sz val="9"/>
            <color indexed="81"/>
            <rFont val="Tahoma"/>
            <family val="2"/>
          </rPr>
          <t xml:space="preserve">
BLS JOLTS Total Separations Rate, 2013.</t>
        </r>
      </text>
    </comment>
    <comment ref="AO56" authorId="0" shapeId="0">
      <text>
        <r>
          <rPr>
            <b/>
            <sz val="9"/>
            <color indexed="81"/>
            <rFont val="Tahoma"/>
            <family val="2"/>
          </rPr>
          <t>CMarsden:</t>
        </r>
        <r>
          <rPr>
            <sz val="9"/>
            <color indexed="81"/>
            <rFont val="Tahoma"/>
            <family val="2"/>
          </rPr>
          <t xml:space="preserve">
BLS JOLTS Total Separations Rate, 2013.</t>
        </r>
      </text>
    </comment>
    <comment ref="B90" authorId="2" shapeId="0">
      <text>
        <r>
          <rPr>
            <b/>
            <sz val="9"/>
            <color indexed="81"/>
            <rFont val="Tahoma"/>
            <family val="2"/>
          </rPr>
          <t>Anita Singh:</t>
        </r>
        <r>
          <rPr>
            <sz val="9"/>
            <color indexed="81"/>
            <rFont val="Tahoma"/>
            <family val="2"/>
          </rPr>
          <t xml:space="preserve">
Earlier this was the same as Cell B89 (which includes both Portacount and REDON). So edited formula to only include REDON.</t>
        </r>
      </text>
    </comment>
    <comment ref="B91" authorId="2" shapeId="0">
      <text>
        <r>
          <rPr>
            <b/>
            <sz val="9"/>
            <color indexed="81"/>
            <rFont val="Tahoma"/>
            <family val="2"/>
          </rPr>
          <t>Anita Singh:</t>
        </r>
        <r>
          <rPr>
            <sz val="9"/>
            <color indexed="81"/>
            <rFont val="Tahoma"/>
            <family val="2"/>
          </rPr>
          <t xml:space="preserve">
Replaced 0.5 in  the formula by 25/60? Since both Portacount and REDON are 25 mins and not 30 mins</t>
        </r>
      </text>
    </comment>
    <comment ref="H91" authorId="2" shapeId="0">
      <text>
        <r>
          <rPr>
            <b/>
            <sz val="9"/>
            <color indexed="81"/>
            <rFont val="Tahoma"/>
            <family val="2"/>
          </rPr>
          <t>Anita Singh:</t>
        </r>
        <r>
          <rPr>
            <sz val="9"/>
            <color indexed="81"/>
            <rFont val="Tahoma"/>
            <family val="2"/>
          </rPr>
          <t xml:space="preserve">
Replaced 0.5 in the formula by 25/60? Since both Portacount and REDON are 25 mins and not 30 mins.</t>
        </r>
      </text>
    </comment>
    <comment ref="B95" authorId="2" shapeId="0">
      <text>
        <r>
          <rPr>
            <b/>
            <sz val="9"/>
            <color indexed="81"/>
            <rFont val="Tahoma"/>
            <family val="2"/>
          </rPr>
          <t>Anita Singh:</t>
        </r>
        <r>
          <rPr>
            <sz val="9"/>
            <color indexed="81"/>
            <rFont val="Tahoma"/>
            <family val="2"/>
          </rPr>
          <t xml:space="preserve">
This was using 25 mins instead of 30 mins. Edited it. Based on updated table (column H), this  testing  by respirator manufactorershould be 30 mins?</t>
        </r>
      </text>
    </comment>
    <comment ref="B99" authorId="2" shapeId="0">
      <text>
        <r>
          <rPr>
            <b/>
            <sz val="9"/>
            <color indexed="81"/>
            <rFont val="Tahoma"/>
            <family val="2"/>
          </rPr>
          <t>Anita Singh:</t>
        </r>
        <r>
          <rPr>
            <sz val="9"/>
            <color indexed="81"/>
            <rFont val="Tahoma"/>
            <family val="2"/>
          </rPr>
          <t xml:space="preserve">
Edited formula there was an error here.</t>
        </r>
      </text>
    </comment>
    <comment ref="H99" authorId="2" shapeId="0">
      <text>
        <r>
          <rPr>
            <b/>
            <sz val="9"/>
            <color indexed="81"/>
            <rFont val="Tahoma"/>
            <family val="2"/>
          </rPr>
          <t>Anita Singh:</t>
        </r>
        <r>
          <rPr>
            <sz val="9"/>
            <color indexed="81"/>
            <rFont val="Tahoma"/>
            <family val="2"/>
          </rPr>
          <t xml:space="preserve">
This should only include REDON. Earlier it was also including Portacount.</t>
        </r>
      </text>
    </comment>
    <comment ref="B117"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H117"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AO117"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AT117"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AT127" authorId="0" shapeId="0">
      <text>
        <r>
          <rPr>
            <b/>
            <sz val="9"/>
            <color indexed="81"/>
            <rFont val="Tahoma"/>
            <family val="2"/>
          </rPr>
          <t>CMarsden:</t>
        </r>
        <r>
          <rPr>
            <sz val="9"/>
            <color indexed="81"/>
            <rFont val="Tahoma"/>
            <family val="2"/>
          </rPr>
          <t xml:space="preserve">
Intentionally not rounded to ensure consistency with the table in the May 2011 ICR Package that Todd Owen sent ERG in 2014 for updating.</t>
        </r>
      </text>
    </comment>
    <comment ref="AT128" authorId="0" shapeId="0">
      <text>
        <r>
          <rPr>
            <b/>
            <sz val="9"/>
            <color indexed="81"/>
            <rFont val="Tahoma"/>
            <family val="2"/>
          </rPr>
          <t>CMarsden:</t>
        </r>
        <r>
          <rPr>
            <sz val="9"/>
            <color indexed="81"/>
            <rFont val="Tahoma"/>
            <family val="2"/>
          </rPr>
          <t xml:space="preserve">
Intentionally not rounded - see comment in cell above.</t>
        </r>
      </text>
    </comment>
    <comment ref="B129" authorId="2" shapeId="0">
      <text>
        <r>
          <rPr>
            <b/>
            <sz val="9"/>
            <color indexed="81"/>
            <rFont val="Tahoma"/>
            <family val="2"/>
          </rPr>
          <t>Anita Singh:</t>
        </r>
        <r>
          <rPr>
            <sz val="9"/>
            <color indexed="81"/>
            <rFont val="Tahoma"/>
            <family val="2"/>
          </rPr>
          <t xml:space="preserve">
Replaced 0.08 by 5/60.</t>
        </r>
      </text>
    </comment>
    <comment ref="B135" authorId="2" shapeId="0">
      <text>
        <r>
          <rPr>
            <b/>
            <sz val="9"/>
            <color indexed="81"/>
            <rFont val="Tahoma"/>
            <family val="2"/>
          </rPr>
          <t>Anita Singh:</t>
        </r>
        <r>
          <rPr>
            <sz val="9"/>
            <color indexed="81"/>
            <rFont val="Tahoma"/>
            <family val="2"/>
          </rPr>
          <t xml:space="preserve">
Replaced 0.17 by 10/60</t>
        </r>
      </text>
    </comment>
    <comment ref="B138"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H138"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AO138"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AT138"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B146" authorId="2" shapeId="0">
      <text>
        <r>
          <rPr>
            <b/>
            <sz val="9"/>
            <color indexed="81"/>
            <rFont val="Tahoma"/>
            <family val="2"/>
          </rPr>
          <t>Anita Singh:</t>
        </r>
        <r>
          <rPr>
            <sz val="9"/>
            <color indexed="81"/>
            <rFont val="Tahoma"/>
            <family val="2"/>
          </rPr>
          <t xml:space="preserve">
Replaced 0.08 by 5/60
</t>
        </r>
      </text>
    </comment>
    <comment ref="B149" authorId="0" shapeId="0">
      <text>
        <r>
          <rPr>
            <b/>
            <sz val="9"/>
            <color indexed="81"/>
            <rFont val="Tahoma"/>
            <family val="2"/>
          </rPr>
          <t>CMarsden:</t>
        </r>
        <r>
          <rPr>
            <sz val="9"/>
            <color indexed="81"/>
            <rFont val="Tahoma"/>
            <family val="2"/>
          </rPr>
          <t xml:space="preserve">
3 changes on sorbent bed filters annually (one response per change)</t>
        </r>
      </text>
    </comment>
    <comment ref="H149" authorId="0" shapeId="0">
      <text>
        <r>
          <rPr>
            <b/>
            <sz val="9"/>
            <color indexed="81"/>
            <rFont val="Tahoma"/>
            <family val="2"/>
          </rPr>
          <t>CMarsden:</t>
        </r>
        <r>
          <rPr>
            <sz val="9"/>
            <color indexed="81"/>
            <rFont val="Tahoma"/>
            <family val="2"/>
          </rPr>
          <t xml:space="preserve">
3 changes on sorbent bed filters annually (one response per change)</t>
        </r>
      </text>
    </comment>
    <comment ref="AO149" authorId="0" shapeId="0">
      <text>
        <r>
          <rPr>
            <b/>
            <sz val="9"/>
            <color indexed="81"/>
            <rFont val="Tahoma"/>
            <family val="2"/>
          </rPr>
          <t>CMarsden:</t>
        </r>
        <r>
          <rPr>
            <sz val="9"/>
            <color indexed="81"/>
            <rFont val="Tahoma"/>
            <family val="2"/>
          </rPr>
          <t xml:space="preserve">
3 changes on sorbent bed filters annually (one response per change)</t>
        </r>
      </text>
    </comment>
    <comment ref="AT149" authorId="0" shapeId="0">
      <text>
        <r>
          <rPr>
            <b/>
            <sz val="9"/>
            <color indexed="81"/>
            <rFont val="Tahoma"/>
            <family val="2"/>
          </rPr>
          <t>CMarsden:</t>
        </r>
        <r>
          <rPr>
            <sz val="9"/>
            <color indexed="81"/>
            <rFont val="Tahoma"/>
            <family val="2"/>
          </rPr>
          <t xml:space="preserve">
3 changes on sorbent bed filters annually (one response per change)</t>
        </r>
      </text>
    </comment>
    <comment ref="B158" authorId="2" shapeId="0">
      <text>
        <r>
          <rPr>
            <b/>
            <sz val="9"/>
            <color indexed="81"/>
            <rFont val="Tahoma"/>
            <family val="2"/>
          </rPr>
          <t>Anita Singh:</t>
        </r>
        <r>
          <rPr>
            <sz val="9"/>
            <color indexed="81"/>
            <rFont val="Tahoma"/>
            <family val="2"/>
          </rPr>
          <t xml:space="preserve">
Replaced 0.08 by 5/60</t>
        </r>
      </text>
    </comment>
    <comment ref="B163" authorId="2" shapeId="0">
      <text>
        <r>
          <rPr>
            <b/>
            <sz val="9"/>
            <color indexed="81"/>
            <rFont val="Tahoma"/>
            <family val="2"/>
          </rPr>
          <t>Anita Singh:</t>
        </r>
        <r>
          <rPr>
            <sz val="9"/>
            <color indexed="81"/>
            <rFont val="Tahoma"/>
            <family val="2"/>
          </rPr>
          <t xml:space="preserve">
Replaced 0.08 by 5/60</t>
        </r>
      </text>
    </comment>
    <comment ref="A166" authorId="2" shapeId="0">
      <text>
        <r>
          <rPr>
            <b/>
            <sz val="9"/>
            <color indexed="81"/>
            <rFont val="Tahoma"/>
            <family val="2"/>
          </rPr>
          <t>Anita Singh:</t>
        </r>
        <r>
          <rPr>
            <sz val="9"/>
            <color indexed="81"/>
            <rFont val="Tahoma"/>
            <family val="2"/>
          </rPr>
          <t xml:space="preserve">
Added this</t>
        </r>
      </text>
    </comment>
    <comment ref="B174" authorId="2" shapeId="0">
      <text>
        <r>
          <rPr>
            <b/>
            <sz val="9"/>
            <color indexed="81"/>
            <rFont val="Tahoma"/>
            <family val="2"/>
          </rPr>
          <t>Anita Singh:</t>
        </r>
        <r>
          <rPr>
            <sz val="9"/>
            <color indexed="81"/>
            <rFont val="Tahoma"/>
            <family val="2"/>
          </rPr>
          <t xml:space="preserve">
Replaced 0.08 by 5/60</t>
        </r>
      </text>
    </comment>
    <comment ref="A189" authorId="1" shapeId="0">
      <text>
        <r>
          <rPr>
            <b/>
            <sz val="9"/>
            <color indexed="81"/>
            <rFont val="Tahoma"/>
            <family val="2"/>
          </rPr>
          <t>Owen, Todd - OSHA:</t>
        </r>
        <r>
          <rPr>
            <sz val="9"/>
            <color indexed="81"/>
            <rFont val="Tahoma"/>
            <family val="2"/>
          </rPr>
          <t xml:space="preserve">
Are the costs for all quantitative fit-tests the same?   Does this cost estimateconflice with the PEA?</t>
        </r>
      </text>
    </comment>
    <comment ref="G189" authorId="1" shapeId="0">
      <text>
        <r>
          <rPr>
            <b/>
            <sz val="9"/>
            <color indexed="81"/>
            <rFont val="Tahoma"/>
            <family val="2"/>
          </rPr>
          <t>Owen, Todd - OSHA:</t>
        </r>
        <r>
          <rPr>
            <sz val="9"/>
            <color indexed="81"/>
            <rFont val="Tahoma"/>
            <family val="2"/>
          </rPr>
          <t xml:space="preserve">
Are the costs for all quantitative fit-tests the same?   Does this cost estimateconflice with the PEA?</t>
        </r>
      </text>
    </comment>
    <comment ref="A197" authorId="1" shapeId="0">
      <text>
        <r>
          <rPr>
            <b/>
            <sz val="9"/>
            <color indexed="81"/>
            <rFont val="Tahoma"/>
            <family val="2"/>
          </rPr>
          <t>Owen, Todd - OSHA:</t>
        </r>
        <r>
          <rPr>
            <sz val="9"/>
            <color indexed="81"/>
            <rFont val="Tahoma"/>
            <family val="2"/>
          </rPr>
          <t xml:space="preserve">
Does this cost conflict with the  PEA?</t>
        </r>
      </text>
    </comment>
    <comment ref="G197" authorId="1" shapeId="0">
      <text>
        <r>
          <rPr>
            <b/>
            <sz val="9"/>
            <color indexed="81"/>
            <rFont val="Tahoma"/>
            <family val="2"/>
          </rPr>
          <t>Owen, Todd - OSHA:</t>
        </r>
        <r>
          <rPr>
            <sz val="9"/>
            <color indexed="81"/>
            <rFont val="Tahoma"/>
            <family val="2"/>
          </rPr>
          <t xml:space="preserve">
Does this cost conflict with the  PEA?</t>
        </r>
      </text>
    </comment>
  </commentList>
</comments>
</file>

<file path=xl/comments2.xml><?xml version="1.0" encoding="utf-8"?>
<comments xmlns="http://schemas.openxmlformats.org/spreadsheetml/2006/main">
  <authors>
    <author>CMarsden</author>
  </authors>
  <commentList>
    <comment ref="B3" authorId="0" shapeId="0">
      <text>
        <r>
          <rPr>
            <b/>
            <sz val="9"/>
            <color indexed="81"/>
            <rFont val="Tahoma"/>
            <family val="2"/>
          </rPr>
          <t>CMarsden:</t>
        </r>
        <r>
          <rPr>
            <sz val="9"/>
            <color indexed="81"/>
            <rFont val="Tahoma"/>
            <family val="2"/>
          </rPr>
          <t xml:space="preserve">
Previous ICRs have treated data from the FEA and the 2001 ICR as being "2001 data". Notably, the FEA used 1993 CBP and the 2001 ICR relied on the FEA. Thus, these data might actually be considered 1993 data. </t>
        </r>
      </text>
    </comment>
    <comment ref="D38" authorId="0" shapeId="0">
      <text>
        <r>
          <rPr>
            <b/>
            <sz val="9"/>
            <color indexed="81"/>
            <rFont val="Tahoma"/>
            <family val="2"/>
          </rPr>
          <t>CMarsden:</t>
        </r>
        <r>
          <rPr>
            <sz val="9"/>
            <color indexed="81"/>
            <rFont val="Tahoma"/>
            <family val="2"/>
          </rPr>
          <t xml:space="preserve">
note that this number is larger than the total CBP number of establishments.</t>
        </r>
      </text>
    </comment>
  </commentList>
</comments>
</file>

<file path=xl/comments3.xml><?xml version="1.0" encoding="utf-8"?>
<comments xmlns="http://schemas.openxmlformats.org/spreadsheetml/2006/main">
  <authors>
    <author>Anita Singh</author>
  </authors>
  <commentList>
    <comment ref="J13" authorId="0" shapeId="0">
      <text>
        <r>
          <rPr>
            <b/>
            <sz val="9"/>
            <color indexed="81"/>
            <rFont val="Tahoma"/>
            <family val="2"/>
          </rPr>
          <t>Anita Singh:</t>
        </r>
        <r>
          <rPr>
            <sz val="9"/>
            <color indexed="81"/>
            <rFont val="Tahoma"/>
            <family val="2"/>
          </rPr>
          <t xml:space="preserve">
Hidden Column used for calculation.</t>
        </r>
      </text>
    </comment>
    <comment ref="J21" authorId="0" shapeId="0">
      <text>
        <r>
          <rPr>
            <b/>
            <sz val="9"/>
            <color indexed="81"/>
            <rFont val="Tahoma"/>
            <family val="2"/>
          </rPr>
          <t>Anita Singh:</t>
        </r>
        <r>
          <rPr>
            <sz val="9"/>
            <color indexed="81"/>
            <rFont val="Tahoma"/>
            <family val="2"/>
          </rPr>
          <t xml:space="preserve">
Hidden Column used for calculation.</t>
        </r>
      </text>
    </comment>
    <comment ref="N35" authorId="0" shapeId="0">
      <text>
        <r>
          <rPr>
            <b/>
            <sz val="9"/>
            <color indexed="81"/>
            <rFont val="Tahoma"/>
            <family val="2"/>
          </rPr>
          <t>Anita Singh:</t>
        </r>
        <r>
          <rPr>
            <sz val="9"/>
            <color indexed="81"/>
            <rFont val="Tahoma"/>
            <family val="2"/>
          </rPr>
          <t xml:space="preserve">
This one is lightly off.</t>
        </r>
      </text>
    </comment>
    <comment ref="G52" authorId="0" shapeId="0">
      <text>
        <r>
          <rPr>
            <b/>
            <sz val="9"/>
            <color indexed="81"/>
            <rFont val="Tahoma"/>
            <family val="2"/>
          </rPr>
          <t>Anita Singh:</t>
        </r>
        <r>
          <rPr>
            <sz val="9"/>
            <color indexed="81"/>
            <rFont val="Tahoma"/>
            <family val="2"/>
          </rPr>
          <t xml:space="preserve">
This was not calculated in tab "Table 1) during last update.</t>
        </r>
      </text>
    </comment>
    <comment ref="K52" authorId="0" shapeId="0">
      <text>
        <r>
          <rPr>
            <b/>
            <sz val="9"/>
            <color indexed="81"/>
            <rFont val="Tahoma"/>
            <family val="2"/>
          </rPr>
          <t>Anita Singh:</t>
        </r>
        <r>
          <rPr>
            <sz val="9"/>
            <color indexed="81"/>
            <rFont val="Tahoma"/>
            <family val="2"/>
          </rPr>
          <t xml:space="preserve">
This was not calculated in tab "Table 1) during last update.</t>
        </r>
      </text>
    </comment>
    <comment ref="N52" authorId="0" shapeId="0">
      <text>
        <r>
          <rPr>
            <b/>
            <sz val="9"/>
            <color indexed="81"/>
            <rFont val="Tahoma"/>
            <family val="2"/>
          </rPr>
          <t>Anita Singh:</t>
        </r>
        <r>
          <rPr>
            <sz val="9"/>
            <color indexed="81"/>
            <rFont val="Tahoma"/>
            <family val="2"/>
          </rPr>
          <t xml:space="preserve">
This was not calculated in tab "Table 1) during last update.</t>
        </r>
      </text>
    </comment>
    <comment ref="N56" authorId="0" shapeId="0">
      <text>
        <r>
          <rPr>
            <b/>
            <sz val="9"/>
            <color indexed="81"/>
            <rFont val="Tahoma"/>
            <family val="2"/>
          </rPr>
          <t>Anita Singh:</t>
        </r>
        <r>
          <rPr>
            <sz val="9"/>
            <color indexed="81"/>
            <rFont val="Tahoma"/>
            <family val="2"/>
          </rPr>
          <t xml:space="preserve">
Total cost off by $11.</t>
        </r>
      </text>
    </comment>
  </commentList>
</comments>
</file>

<file path=xl/comments4.xml><?xml version="1.0" encoding="utf-8"?>
<comments xmlns="http://schemas.openxmlformats.org/spreadsheetml/2006/main">
  <authors>
    <author>Anita Singh</author>
  </authors>
  <commentList>
    <comment ref="C5" authorId="0" shapeId="0">
      <text>
        <r>
          <rPr>
            <b/>
            <sz val="9"/>
            <color indexed="81"/>
            <rFont val="Tahoma"/>
            <family val="2"/>
          </rPr>
          <t>Anita Singh:</t>
        </r>
        <r>
          <rPr>
            <sz val="9"/>
            <color indexed="81"/>
            <rFont val="Tahoma"/>
            <family val="2"/>
          </rPr>
          <t xml:space="preserve">
Pasted hours from column "Requested Burden Hours" of tab "Table 1 FINAL (Edited)" from spreadsheet </t>
        </r>
        <r>
          <rPr>
            <b/>
            <sz val="9"/>
            <color indexed="81"/>
            <rFont val="Tahoma"/>
            <family val="2"/>
          </rPr>
          <t>RespiratoryProtection_2015_ICRUpdate_Calculations_Updated by ERG_122215_Final Table edited_Edits from Tom Mockler (002)_revised_060816</t>
        </r>
        <r>
          <rPr>
            <sz val="9"/>
            <color indexed="81"/>
            <rFont val="Tahoma"/>
            <family val="2"/>
          </rPr>
          <t xml:space="preserve"> (Saved here R:\ECON\OSHA_je\ICR-2015\Respiratory Protection)</t>
        </r>
      </text>
    </comment>
  </commentList>
</comments>
</file>

<file path=xl/comments5.xml><?xml version="1.0" encoding="utf-8"?>
<comments xmlns="http://schemas.openxmlformats.org/spreadsheetml/2006/main">
  <authors>
    <author>Owen, Todd - OSHA</author>
  </authors>
  <commentList>
    <comment ref="C7" authorId="0" shapeId="0">
      <text>
        <r>
          <rPr>
            <b/>
            <sz val="9"/>
            <color indexed="81"/>
            <rFont val="Tahoma"/>
            <family val="2"/>
          </rPr>
          <t>Owen, Todd - OSHA:</t>
        </r>
        <r>
          <rPr>
            <sz val="9"/>
            <color indexed="81"/>
            <rFont val="Tahoma"/>
            <family val="2"/>
          </rPr>
          <t xml:space="preserve">
This colunmn does not reflect the current approved burden hours.  It should contain the numbers from the "Requested Burden Hours" column from the November, 20214 ICR</t>
        </r>
      </text>
    </comment>
  </commentList>
</comments>
</file>

<file path=xl/comments6.xml><?xml version="1.0" encoding="utf-8"?>
<comments xmlns="http://schemas.openxmlformats.org/spreadsheetml/2006/main">
  <authors>
    <author>LEX-TG</author>
  </authors>
  <commentList>
    <comment ref="B4" authorId="0" shapeId="0">
      <text>
        <r>
          <rPr>
            <b/>
            <sz val="8"/>
            <color indexed="81"/>
            <rFont val="Tahoma"/>
            <family val="2"/>
          </rPr>
          <t>LEX-TG:</t>
        </r>
        <r>
          <rPr>
            <sz val="8"/>
            <color indexed="81"/>
            <rFont val="Tahoma"/>
            <family val="2"/>
          </rPr>
          <t xml:space="preserve">
Calculated this based on the the percentage given. Looked up values for 1997 in economic census, and they roughly match these values. </t>
        </r>
      </text>
    </comment>
    <comment ref="B9" authorId="0" shapeId="0">
      <text>
        <r>
          <rPr>
            <b/>
            <sz val="8"/>
            <color indexed="81"/>
            <rFont val="Tahoma"/>
            <family val="2"/>
          </rPr>
          <t>LEX-TG:</t>
        </r>
        <r>
          <rPr>
            <sz val="8"/>
            <color indexed="81"/>
            <rFont val="Tahoma"/>
            <family val="2"/>
          </rPr>
          <t xml:space="preserve">
Source: US Census Bureau, 2007 economics census data. Looked at the number of establishments per industry for each industry</t>
        </r>
      </text>
    </comment>
    <comment ref="G9" authorId="0" shapeId="0">
      <text>
        <r>
          <rPr>
            <b/>
            <sz val="8"/>
            <color indexed="81"/>
            <rFont val="Tahoma"/>
            <family val="2"/>
          </rPr>
          <t>LEX-TG:</t>
        </r>
        <r>
          <rPr>
            <sz val="8"/>
            <color indexed="81"/>
            <rFont val="Tahoma"/>
            <family val="2"/>
          </rPr>
          <t xml:space="preserve">
Source: Sector 31: EC0731I1: Manufacturing: Industry Series: Detailed Statistics by Industry for the United States: 2007  http://factfinder.census.gov/servlet/IBQTable?_bm=y&amp;-geo_id=&amp;-ds_name=EC0731I1&amp;-_lang=en
</t>
        </r>
      </text>
    </comment>
    <comment ref="K9" authorId="0" shapeId="0">
      <text>
        <r>
          <rPr>
            <b/>
            <sz val="8"/>
            <color indexed="81"/>
            <rFont val="Tahoma"/>
            <family val="2"/>
          </rPr>
          <t>LEX-TG:</t>
        </r>
        <r>
          <rPr>
            <sz val="8"/>
            <color indexed="81"/>
            <rFont val="Tahoma"/>
            <family val="2"/>
          </rPr>
          <t xml:space="preserve">
Sum of finance and insurance industry and real estate and rental and leasing industry</t>
        </r>
      </text>
    </comment>
    <comment ref="L9" authorId="0" shapeId="0">
      <text>
        <r>
          <rPr>
            <b/>
            <sz val="8"/>
            <color indexed="81"/>
            <rFont val="Tahoma"/>
            <family val="2"/>
          </rPr>
          <t>LEX-TG:</t>
        </r>
        <r>
          <rPr>
            <sz val="8"/>
            <color indexed="81"/>
            <rFont val="Tahoma"/>
            <family val="2"/>
          </rPr>
          <t xml:space="preserve">
Sum of all industries not included in the other categories</t>
        </r>
      </text>
    </comment>
    <comment ref="B16" authorId="0" shapeId="0">
      <text>
        <r>
          <rPr>
            <b/>
            <sz val="8"/>
            <color indexed="81"/>
            <rFont val="Tahoma"/>
            <family val="2"/>
          </rPr>
          <t>LEX-TG:</t>
        </r>
        <r>
          <rPr>
            <sz val="8"/>
            <color indexed="81"/>
            <rFont val="Tahoma"/>
            <family val="2"/>
          </rPr>
          <t xml:space="preserve">
Calculated by taking number of employees per establishment in 2007 and multiplying it by percent of employees required to use respirators in 2001. Assumed that the percentages haven't changed
Note: did not use this in the end. Used total change in labor force, 0.7%, to adjust original FEA estimate (5,000,000).</t>
        </r>
      </text>
    </comment>
    <comment ref="B17" authorId="0" shapeId="0">
      <text>
        <r>
          <rPr>
            <b/>
            <sz val="8"/>
            <color indexed="81"/>
            <rFont val="Tahoma"/>
            <family val="2"/>
          </rPr>
          <t>LEX-TG:</t>
        </r>
        <r>
          <rPr>
            <sz val="8"/>
            <color indexed="81"/>
            <rFont val="Tahoma"/>
            <family val="2"/>
          </rPr>
          <t xml:space="preserve">
Calculated by taking number of employees per establishment in 2001 and multiplying it by number of establishments in 2007</t>
        </r>
      </text>
    </comment>
    <comment ref="B18" authorId="0" shapeId="0">
      <text>
        <r>
          <rPr>
            <b/>
            <sz val="8"/>
            <color indexed="81"/>
            <rFont val="Tahoma"/>
            <family val="2"/>
          </rPr>
          <t>LEX-TG:</t>
        </r>
        <r>
          <rPr>
            <sz val="8"/>
            <color indexed="81"/>
            <rFont val="Tahoma"/>
            <family val="2"/>
          </rPr>
          <t xml:space="preserve">
Calculated by taking number of employees per establishment in 2007 and multiplying it by percent of employees required to use respirators in 2001. Assumed that the percentages haven't changed
Note: did not use this in the end. Used total change in labor force, 0.7%, to adjust original FEA estimate (5,000,000).</t>
        </r>
      </text>
    </comment>
  </commentList>
</comments>
</file>

<file path=xl/comments7.xml><?xml version="1.0" encoding="utf-8"?>
<comments xmlns="http://schemas.openxmlformats.org/spreadsheetml/2006/main">
  <authors>
    <author>CMarsden</author>
    <author>Owen, Todd - OSHA</author>
    <author>Anita Singh</author>
  </authors>
  <commentList>
    <comment ref="B8" authorId="0" shapeId="0">
      <text>
        <r>
          <rPr>
            <b/>
            <sz val="9"/>
            <color indexed="81"/>
            <rFont val="Tahoma"/>
            <family val="2"/>
          </rPr>
          <t>CMarsden:</t>
        </r>
        <r>
          <rPr>
            <sz val="9"/>
            <color indexed="81"/>
            <rFont val="Tahoma"/>
            <family val="2"/>
          </rPr>
          <t xml:space="preserve">
Longitudinal Business Database (Business Dynamics Statistics)  
https://www.census.gov/ces/dataproducts/bds/data_firm.html
"Economy Wide" 2012 Entry Rate
</t>
        </r>
      </text>
    </comment>
    <comment ref="G8" authorId="0" shapeId="0">
      <text>
        <r>
          <rPr>
            <b/>
            <sz val="9"/>
            <color indexed="81"/>
            <rFont val="Tahoma"/>
            <family val="2"/>
          </rPr>
          <t>CMarsden:</t>
        </r>
        <r>
          <rPr>
            <sz val="9"/>
            <color indexed="81"/>
            <rFont val="Tahoma"/>
            <family val="2"/>
          </rPr>
          <t xml:space="preserve">
Longitudinal Business Database (Business Dynamics Statistics)  
https://www.census.gov/ces/dataproducts/bds/data_firm.html
"Economy Wide" 2011 Entry Rate</t>
        </r>
      </text>
    </comment>
    <comment ref="B12" authorId="0" shapeId="0">
      <text>
        <r>
          <rPr>
            <b/>
            <sz val="9"/>
            <color indexed="81"/>
            <rFont val="Tahoma"/>
            <family val="2"/>
          </rPr>
          <t>CMarsden:</t>
        </r>
        <r>
          <rPr>
            <sz val="9"/>
            <color indexed="81"/>
            <rFont val="Tahoma"/>
            <family val="2"/>
          </rPr>
          <t xml:space="preserve">
This was calculated using the 2001 Respirator Usage in Private Sector Firms DOL BLS Survey. Table 1 "Number and percent of establishments using respirators by selected type of use and by industry division" contains the number (in thousands) of establishments reported to be using respirators. ERG compared the "total use" row to the 2001 County Business Patterns for each sector estimating the share of establishments using respirators by sector. Mapping of sectors was straightforward but there were some exceptions. Namely, 95 (Auxiliaries, except Corporate, Subsidiary, and Regional Managing Offices) and 99 (Unclassified) were excluded altogether. For the agricultural sector, ERG assumed 100% were using respirators, because a greater number of establishments were reported as using respirators in the Respirator Usage Survey than the total number of establishments in the CBP. Secondly, for the mining sector, ERG only included firms in NAICS 211111, 211112, 213111, 213112 (O&amp;G industries) which are covered by OSHA. The remainder of sector 21 (Mining) is covered by MSHA. See tab "Profile 11" for the calculations. This methodology was new for the 2014 ICR but resulted in a comparable number of affected establishments.</t>
        </r>
      </text>
    </comment>
    <comment ref="G12" authorId="0" shapeId="0">
      <text>
        <r>
          <rPr>
            <b/>
            <sz val="9"/>
            <color indexed="81"/>
            <rFont val="Tahoma"/>
            <family val="2"/>
          </rPr>
          <t>CMarsden:</t>
        </r>
        <r>
          <rPr>
            <sz val="9"/>
            <color indexed="81"/>
            <rFont val="Tahoma"/>
            <family val="2"/>
          </rPr>
          <t xml:space="preserve">
This was calculated using the 2001 Respirator Usage in Private Sector Firms DOL BLS Survey. Table 1 "Number and percent of establishments using respirators by selected type of use and by industry division" contains the number (in thousands) of establishments reported to be using respirators. ERG compared the "total use" row to the 2001 County Business Patterns for each sector estimating the share of establishments using respirators by sector. Mapping of sectors was straightforward but there were some exceptions. Namely, 95 (Auxiliaries, except Corporate, Subsidiary, and Regional Managing Offices) and 99 (Unclassified) were excluded altogether. For the agricultural sector, ERG assumed 100% were using respirators, because a greater number of establishments were reported as using respirators in the Respirator Usage Survey than the total number of establishments in the CBP. Secondly, for the mining sector, ERG only included firms in NAICS 211111, 211112, 213111, 213112 (O&amp;G industries) which are covered by OSHA. The remainder of sector 21 (Mining) is covered by MSHA. See tab "Profile 11" for the calculations. This methodology was new for the 2014 ICR but resulted in a comparable number of affected establishments.</t>
        </r>
      </text>
    </comment>
    <comment ref="B19" authorId="1" shapeId="0">
      <text>
        <r>
          <rPr>
            <b/>
            <sz val="9"/>
            <color indexed="81"/>
            <rFont val="Tahoma"/>
            <family val="2"/>
          </rPr>
          <t>Owen, Todd - OSHA: According to the  supporting statement it is 2,211 (110570 x .02 = 2,211.4 or 2211 (rounded)</t>
        </r>
        <r>
          <rPr>
            <sz val="9"/>
            <color indexed="81"/>
            <rFont val="Tahoma"/>
            <family val="2"/>
          </rPr>
          <t xml:space="preserve">
</t>
        </r>
        <r>
          <rPr>
            <b/>
            <sz val="9"/>
            <color indexed="81"/>
            <rFont val="Tahoma"/>
            <family val="2"/>
          </rPr>
          <t xml:space="preserve">Anita: </t>
        </r>
        <r>
          <rPr>
            <sz val="9"/>
            <color indexed="81"/>
            <rFont val="Tahoma"/>
            <family val="2"/>
          </rPr>
          <t xml:space="preserve">It seems like what we have here is correct. Could it be that the number 110,570 in the supporting is an error? The total employers that update the program is 110,517 (as shown in cell B18) out of which the large firms is 2% of 110,517 = 2,210. 
On page 15 of the supporting statement, it shows that the total employers who update the program is 110,517 (as already shown earlier twice in this paragraph). So maybe the 110,570 shown later in the same paragraph is an error?
</t>
        </r>
        <r>
          <rPr>
            <b/>
            <i/>
            <sz val="9"/>
            <color indexed="81"/>
            <rFont val="Tahoma"/>
            <family val="2"/>
          </rPr>
          <t>TODD:  Concur typo in supporting statement.</t>
        </r>
      </text>
    </comment>
    <comment ref="B23" authorId="2" shapeId="0">
      <text>
        <r>
          <rPr>
            <b/>
            <sz val="9"/>
            <color indexed="81"/>
            <rFont val="Tahoma"/>
            <family val="2"/>
          </rPr>
          <t>Anita Singh:</t>
        </r>
        <r>
          <rPr>
            <sz val="9"/>
            <color indexed="81"/>
            <rFont val="Tahoma"/>
            <family val="2"/>
          </rPr>
          <t xml:space="preserve">
Changed total respirator users.</t>
        </r>
      </text>
    </comment>
    <comment ref="C23" authorId="2" shapeId="0">
      <text>
        <r>
          <rPr>
            <b/>
            <sz val="9"/>
            <color indexed="81"/>
            <rFont val="Tahoma"/>
            <family val="2"/>
          </rPr>
          <t>Anita Singh:</t>
        </r>
        <r>
          <rPr>
            <sz val="9"/>
            <color indexed="81"/>
            <rFont val="Tahoma"/>
            <family val="2"/>
          </rPr>
          <t xml:space="preserve">
Not used anywhere. Delete this?</t>
        </r>
      </text>
    </comment>
    <comment ref="D23" authorId="2" shapeId="0">
      <text>
        <r>
          <rPr>
            <b/>
            <sz val="9"/>
            <color indexed="81"/>
            <rFont val="Tahoma"/>
            <family val="2"/>
          </rPr>
          <t>Anita Singh:</t>
        </r>
        <r>
          <rPr>
            <sz val="9"/>
            <color indexed="81"/>
            <rFont val="Tahoma"/>
            <family val="2"/>
          </rPr>
          <t xml:space="preserve">
Delete this once we decide which total to use?</t>
        </r>
      </text>
    </comment>
    <comment ref="B29" authorId="1" shapeId="0">
      <text>
        <r>
          <rPr>
            <b/>
            <sz val="9"/>
            <color indexed="81"/>
            <rFont val="Tahoma"/>
            <family val="2"/>
          </rPr>
          <t>Owen, Todd - OSHA:</t>
        </r>
        <r>
          <rPr>
            <sz val="9"/>
            <color indexed="81"/>
            <rFont val="Tahoma"/>
            <family val="2"/>
          </rPr>
          <t xml:space="preserve">
Should this be 4 hours</t>
        </r>
      </text>
    </comment>
    <comment ref="B30" authorId="1" shapeId="0">
      <text>
        <r>
          <rPr>
            <b/>
            <sz val="9"/>
            <color indexed="81"/>
            <rFont val="Tahoma"/>
            <family val="2"/>
          </rPr>
          <t>Owen, Todd - OSHA:</t>
        </r>
        <r>
          <rPr>
            <sz val="9"/>
            <color indexed="81"/>
            <rFont val="Tahoma"/>
            <family val="2"/>
          </rPr>
          <t xml:space="preserve">
Should this be 8 hours</t>
        </r>
      </text>
    </comment>
    <comment ref="B32" authorId="1" shapeId="0">
      <text>
        <r>
          <rPr>
            <b/>
            <sz val="9"/>
            <color indexed="81"/>
            <rFont val="Tahoma"/>
            <family val="2"/>
          </rPr>
          <t>Owen, Todd - OSHA:</t>
        </r>
        <r>
          <rPr>
            <sz val="9"/>
            <color indexed="81"/>
            <rFont val="Tahoma"/>
            <family val="2"/>
          </rPr>
          <t xml:space="preserve">
Shouldn't  this be 62,183 x 4 =  248,732</t>
        </r>
      </text>
    </comment>
    <comment ref="G32" authorId="1" shapeId="0">
      <text>
        <r>
          <rPr>
            <b/>
            <sz val="9"/>
            <color indexed="81"/>
            <rFont val="Tahoma"/>
            <family val="2"/>
          </rPr>
          <t>Owen, Todd - OSHA:</t>
        </r>
        <r>
          <rPr>
            <sz val="9"/>
            <color indexed="81"/>
            <rFont val="Tahoma"/>
            <family val="2"/>
          </rPr>
          <t xml:space="preserve">
We must have corrected this in the suppoting statement 62,193 x 4 = 248,772</t>
        </r>
      </text>
    </comment>
    <comment ref="B33" authorId="1" shapeId="0">
      <text>
        <r>
          <rPr>
            <b/>
            <sz val="9"/>
            <color indexed="81"/>
            <rFont val="Tahoma"/>
            <family val="2"/>
          </rPr>
          <t>Owen, Todd - OSHA:</t>
        </r>
        <r>
          <rPr>
            <sz val="9"/>
            <color indexed="81"/>
            <rFont val="Tahoma"/>
            <family val="2"/>
          </rPr>
          <t xml:space="preserve">
Shouldn't this be 1269 x 8 hours? 10,152</t>
        </r>
      </text>
    </comment>
    <comment ref="G33" authorId="1" shapeId="0">
      <text>
        <r>
          <rPr>
            <b/>
            <sz val="9"/>
            <color indexed="81"/>
            <rFont val="Tahoma"/>
            <family val="2"/>
          </rPr>
          <t>Owen, Todd - OSHA:</t>
        </r>
        <r>
          <rPr>
            <sz val="9"/>
            <color indexed="81"/>
            <rFont val="Tahoma"/>
            <family val="2"/>
          </rPr>
          <t xml:space="preserve">
Large = 1,269 x 8 = 10,152</t>
        </r>
      </text>
    </comment>
    <comment ref="B34" authorId="1" shapeId="0">
      <text>
        <r>
          <rPr>
            <b/>
            <sz val="9"/>
            <color indexed="81"/>
            <rFont val="Tahoma"/>
            <family val="2"/>
          </rPr>
          <t>Owen, Todd - OSHA:</t>
        </r>
        <r>
          <rPr>
            <sz val="9"/>
            <color indexed="81"/>
            <rFont val="Tahoma"/>
            <family val="2"/>
          </rPr>
          <t xml:space="preserve">
My total is 248,732 + 10,152 = 258,884</t>
        </r>
      </text>
    </comment>
    <comment ref="G34" authorId="1" shapeId="0">
      <text>
        <r>
          <rPr>
            <b/>
            <sz val="9"/>
            <color indexed="81"/>
            <rFont val="Tahoma"/>
            <family val="2"/>
          </rPr>
          <t>Owen, Todd - OSHA:This is the correct total</t>
        </r>
      </text>
    </comment>
    <comment ref="B35" authorId="1" shapeId="0">
      <text>
        <r>
          <rPr>
            <b/>
            <sz val="9"/>
            <color indexed="81"/>
            <rFont val="Tahoma"/>
            <family val="2"/>
          </rPr>
          <t>Owen, Todd - OSHA:</t>
        </r>
        <r>
          <rPr>
            <sz val="9"/>
            <color indexed="81"/>
            <rFont val="Tahoma"/>
            <family val="2"/>
          </rPr>
          <t xml:space="preserve">
My total is 14,450,905</t>
        </r>
      </text>
    </comment>
    <comment ref="B38" authorId="1" shapeId="0">
      <text>
        <r>
          <rPr>
            <b/>
            <sz val="9"/>
            <color indexed="81"/>
            <rFont val="Tahoma"/>
            <family val="2"/>
          </rPr>
          <t>Owen, Todd - OSHA:</t>
        </r>
        <r>
          <rPr>
            <sz val="9"/>
            <color indexed="81"/>
            <rFont val="Tahoma"/>
            <family val="2"/>
          </rPr>
          <t xml:space="preserve">
This should be 2 hours</t>
        </r>
      </text>
    </comment>
    <comment ref="B39" authorId="1" shapeId="0">
      <text>
        <r>
          <rPr>
            <b/>
            <sz val="9"/>
            <color indexed="81"/>
            <rFont val="Tahoma"/>
            <family val="2"/>
          </rPr>
          <t>Owen, Todd - OSHA:</t>
        </r>
        <r>
          <rPr>
            <sz val="9"/>
            <color indexed="81"/>
            <rFont val="Tahoma"/>
            <family val="2"/>
          </rPr>
          <t xml:space="preserve">
This should be 4 hours</t>
        </r>
      </text>
    </comment>
    <comment ref="B41" authorId="1" shapeId="0">
      <text>
        <r>
          <rPr>
            <b/>
            <sz val="9"/>
            <color indexed="81"/>
            <rFont val="Tahoma"/>
            <family val="2"/>
          </rPr>
          <t>Owen, Todd - OSHA:</t>
        </r>
        <r>
          <rPr>
            <sz val="9"/>
            <color indexed="81"/>
            <rFont val="Tahoma"/>
            <family val="2"/>
          </rPr>
          <t xml:space="preserve">
 This is 110,270 x 2 = 220,540
</t>
        </r>
        <r>
          <rPr>
            <b/>
            <sz val="9"/>
            <color indexed="81"/>
            <rFont val="Tahoma"/>
            <family val="2"/>
          </rPr>
          <t>Anita:</t>
        </r>
        <r>
          <rPr>
            <sz val="9"/>
            <color indexed="81"/>
            <rFont val="Tahoma"/>
            <family val="2"/>
          </rPr>
          <t xml:space="preserve"> Where is the </t>
        </r>
        <r>
          <rPr>
            <b/>
            <sz val="9"/>
            <color indexed="81"/>
            <rFont val="Tahoma"/>
            <family val="2"/>
          </rPr>
          <t>110,270</t>
        </r>
        <r>
          <rPr>
            <sz val="9"/>
            <color indexed="81"/>
            <rFont val="Tahoma"/>
            <family val="2"/>
          </rPr>
          <t xml:space="preserve"> coming from? The number of small firms updating the program is 108,307 based on cell B20.
</t>
        </r>
        <r>
          <rPr>
            <b/>
            <i/>
            <sz val="9"/>
            <color indexed="81"/>
            <rFont val="Tahoma"/>
            <family val="2"/>
          </rPr>
          <t>Todd: Concur with Anita</t>
        </r>
      </text>
    </comment>
    <comment ref="B42" authorId="1" shapeId="0">
      <text>
        <r>
          <rPr>
            <b/>
            <sz val="9"/>
            <color indexed="81"/>
            <rFont val="Tahoma"/>
            <family val="2"/>
          </rPr>
          <t>Owen, Todd - OSHA:</t>
        </r>
        <r>
          <rPr>
            <sz val="9"/>
            <color indexed="81"/>
            <rFont val="Tahoma"/>
            <family val="2"/>
          </rPr>
          <t xml:space="preserve">
This is 2,211 x 4  = 8,844
</t>
        </r>
        <r>
          <rPr>
            <b/>
            <sz val="9"/>
            <color indexed="81"/>
            <rFont val="Tahoma"/>
            <family val="2"/>
          </rPr>
          <t>Anita:</t>
        </r>
        <r>
          <rPr>
            <sz val="9"/>
            <color indexed="81"/>
            <rFont val="Tahoma"/>
            <family val="2"/>
          </rPr>
          <t xml:space="preserve"> If the calculation in cell B19 (2,210) is correct then this should be correct. 
</t>
        </r>
        <r>
          <rPr>
            <b/>
            <i/>
            <sz val="9"/>
            <color indexed="81"/>
            <rFont val="Tahoma"/>
            <family val="2"/>
          </rPr>
          <t>Todd:  Concur with Anita</t>
        </r>
      </text>
    </comment>
    <comment ref="B43" authorId="1" shapeId="0">
      <text>
        <r>
          <rPr>
            <b/>
            <sz val="9"/>
            <color indexed="81"/>
            <rFont val="Tahoma"/>
            <family val="2"/>
          </rPr>
          <t>Owen, Todd - OSHA:</t>
        </r>
        <r>
          <rPr>
            <sz val="9"/>
            <color indexed="81"/>
            <rFont val="Tahoma"/>
            <family val="2"/>
          </rPr>
          <t xml:space="preserve">
I am getting 229,384</t>
        </r>
      </text>
    </comment>
    <comment ref="B44" authorId="1" shapeId="0">
      <text>
        <r>
          <rPr>
            <b/>
            <sz val="9"/>
            <color indexed="81"/>
            <rFont val="Tahoma"/>
            <family val="2"/>
          </rPr>
          <t>Owen, Todd - OSHA:</t>
        </r>
        <r>
          <rPr>
            <sz val="9"/>
            <color indexed="81"/>
            <rFont val="Tahoma"/>
            <family val="2"/>
          </rPr>
          <t xml:space="preserve">
$12,804,125</t>
        </r>
      </text>
    </comment>
    <comment ref="B46" authorId="1" shapeId="0">
      <text>
        <r>
          <rPr>
            <b/>
            <sz val="9"/>
            <color indexed="81"/>
            <rFont val="Tahoma"/>
            <family val="2"/>
          </rPr>
          <t>Owen, Todd - OSHA:</t>
        </r>
        <r>
          <rPr>
            <sz val="9"/>
            <color indexed="81"/>
            <rFont val="Tahoma"/>
            <family val="2"/>
          </rPr>
          <t xml:space="preserve">
488,268</t>
        </r>
      </text>
    </comment>
    <comment ref="B47" authorId="1" shapeId="0">
      <text>
        <r>
          <rPr>
            <b/>
            <sz val="9"/>
            <color indexed="81"/>
            <rFont val="Tahoma"/>
            <family val="2"/>
          </rPr>
          <t>Owen, Todd - OSHA:</t>
        </r>
        <r>
          <rPr>
            <sz val="9"/>
            <color indexed="81"/>
            <rFont val="Tahoma"/>
            <family val="2"/>
          </rPr>
          <t xml:space="preserve">
27,255,120</t>
        </r>
      </text>
    </comment>
    <comment ref="B49" authorId="1" shapeId="0">
      <text>
        <r>
          <rPr>
            <b/>
            <sz val="9"/>
            <color indexed="81"/>
            <rFont val="Tahoma"/>
            <family val="2"/>
          </rPr>
          <t>Owen, Todd - OSHA:</t>
        </r>
        <r>
          <rPr>
            <sz val="9"/>
            <color indexed="81"/>
            <rFont val="Tahoma"/>
            <family val="2"/>
          </rPr>
          <t xml:space="preserve">
New (62,183+1269) + Updated (110,270 x 2,211) = 175,993
</t>
        </r>
        <r>
          <rPr>
            <b/>
            <sz val="9"/>
            <color indexed="81"/>
            <rFont val="Tahoma"/>
            <family val="2"/>
          </rPr>
          <t>Anita:</t>
        </r>
        <r>
          <rPr>
            <sz val="9"/>
            <color indexed="81"/>
            <rFont val="Tahoma"/>
            <family val="2"/>
          </rPr>
          <t xml:space="preserve"> Not sure where the 110,270 is coming from. In cell B19 your comment mentioned "</t>
        </r>
        <r>
          <rPr>
            <i/>
            <sz val="9"/>
            <color indexed="81"/>
            <rFont val="Tahoma"/>
            <family val="2"/>
          </rPr>
          <t>According to the  supporting statement it is 2,211 (</t>
        </r>
        <r>
          <rPr>
            <b/>
            <i/>
            <sz val="9"/>
            <color indexed="81"/>
            <rFont val="Tahoma"/>
            <family val="2"/>
          </rPr>
          <t>110570</t>
        </r>
        <r>
          <rPr>
            <i/>
            <sz val="9"/>
            <color indexed="81"/>
            <rFont val="Tahoma"/>
            <family val="2"/>
          </rPr>
          <t xml:space="preserve"> x .02 = 2,211.4 or 2211 (rounded)</t>
        </r>
        <r>
          <rPr>
            <sz val="9"/>
            <color indexed="81"/>
            <rFont val="Tahoma"/>
            <family val="2"/>
          </rPr>
          <t xml:space="preserve">". My initial suspicion is that  maybe you wanted to type 110,570 here and instead typed 110,270. But again I think 110,270 is not correct. The total number of employers updating the program is 110,517 (as shown in cell B18).
</t>
        </r>
        <r>
          <rPr>
            <b/>
            <i/>
            <sz val="9"/>
            <color indexed="81"/>
            <rFont val="Tahoma"/>
            <family val="2"/>
          </rPr>
          <t>Todd:  Concur with Anita</t>
        </r>
      </text>
    </comment>
    <comment ref="B53" authorId="0" shapeId="0">
      <text>
        <r>
          <rPr>
            <b/>
            <sz val="9"/>
            <color indexed="81"/>
            <rFont val="Tahoma"/>
            <family val="2"/>
          </rPr>
          <t>CMarsden:</t>
        </r>
        <r>
          <rPr>
            <sz val="9"/>
            <color indexed="81"/>
            <rFont val="Tahoma"/>
            <family val="2"/>
          </rPr>
          <t xml:space="preserve">
BLS JOLTS Total Separations Rate, 2013.</t>
        </r>
      </text>
    </comment>
    <comment ref="G53" authorId="0" shapeId="0">
      <text>
        <r>
          <rPr>
            <b/>
            <sz val="9"/>
            <color indexed="81"/>
            <rFont val="Tahoma"/>
            <family val="2"/>
          </rPr>
          <t>CMarsden:</t>
        </r>
        <r>
          <rPr>
            <sz val="9"/>
            <color indexed="81"/>
            <rFont val="Tahoma"/>
            <family val="2"/>
          </rPr>
          <t xml:space="preserve">
BLS JOLTS Total Separations Rate, 2013.</t>
        </r>
      </text>
    </comment>
    <comment ref="B105"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G105"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L105" authorId="0" shapeId="0">
      <text>
        <r>
          <rPr>
            <b/>
            <sz val="9"/>
            <color indexed="81"/>
            <rFont val="Tahoma"/>
            <family val="2"/>
          </rPr>
          <t>CMarsden:</t>
        </r>
        <r>
          <rPr>
            <sz val="9"/>
            <color indexed="81"/>
            <rFont val="Tahoma"/>
            <family val="2"/>
          </rPr>
          <t xml:space="preserve">
Each employee tested in house counts as two responses, one for the managers and one for the tested worker.</t>
        </r>
      </text>
    </comment>
    <comment ref="L114" authorId="0" shapeId="0">
      <text>
        <r>
          <rPr>
            <b/>
            <sz val="9"/>
            <color indexed="81"/>
            <rFont val="Tahoma"/>
            <family val="2"/>
          </rPr>
          <t>CMarsden:</t>
        </r>
        <r>
          <rPr>
            <sz val="9"/>
            <color indexed="81"/>
            <rFont val="Tahoma"/>
            <family val="2"/>
          </rPr>
          <t xml:space="preserve">
Intentionally not rounded to ensure consistency with the table in the May 2011 ICR Package that Todd Owen sent ERG in 2014 for updating.</t>
        </r>
      </text>
    </comment>
    <comment ref="L115" authorId="0" shapeId="0">
      <text>
        <r>
          <rPr>
            <b/>
            <sz val="9"/>
            <color indexed="81"/>
            <rFont val="Tahoma"/>
            <family val="2"/>
          </rPr>
          <t>CMarsden:</t>
        </r>
        <r>
          <rPr>
            <sz val="9"/>
            <color indexed="81"/>
            <rFont val="Tahoma"/>
            <family val="2"/>
          </rPr>
          <t xml:space="preserve">
Intentionally not rounded - see comment in cell above.</t>
        </r>
      </text>
    </comment>
    <comment ref="B125"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G125"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L125" authorId="0" shapeId="0">
      <text>
        <r>
          <rPr>
            <b/>
            <sz val="9"/>
            <color indexed="81"/>
            <rFont val="Tahoma"/>
            <family val="2"/>
          </rPr>
          <t>CMarsden:</t>
        </r>
        <r>
          <rPr>
            <sz val="9"/>
            <color indexed="81"/>
            <rFont val="Tahoma"/>
            <family val="2"/>
          </rPr>
          <t xml:space="preserve">
The number of respirators is multiplied by 12 because they must be inspected monthly.</t>
        </r>
      </text>
    </comment>
    <comment ref="B136" authorId="0" shapeId="0">
      <text>
        <r>
          <rPr>
            <b/>
            <sz val="9"/>
            <color indexed="81"/>
            <rFont val="Tahoma"/>
            <family val="2"/>
          </rPr>
          <t>CMarsden:</t>
        </r>
        <r>
          <rPr>
            <sz val="9"/>
            <color indexed="81"/>
            <rFont val="Tahoma"/>
            <family val="2"/>
          </rPr>
          <t xml:space="preserve">
3 changes on sorbent bed filters annually (one response per change)</t>
        </r>
      </text>
    </comment>
    <comment ref="G136" authorId="0" shapeId="0">
      <text>
        <r>
          <rPr>
            <b/>
            <sz val="9"/>
            <color indexed="81"/>
            <rFont val="Tahoma"/>
            <family val="2"/>
          </rPr>
          <t>CMarsden:</t>
        </r>
        <r>
          <rPr>
            <sz val="9"/>
            <color indexed="81"/>
            <rFont val="Tahoma"/>
            <family val="2"/>
          </rPr>
          <t xml:space="preserve">
3 changes on sorbent bed filters annually (one response per change)</t>
        </r>
      </text>
    </comment>
    <comment ref="L136" authorId="0" shapeId="0">
      <text>
        <r>
          <rPr>
            <b/>
            <sz val="9"/>
            <color indexed="81"/>
            <rFont val="Tahoma"/>
            <family val="2"/>
          </rPr>
          <t>CMarsden:</t>
        </r>
        <r>
          <rPr>
            <sz val="9"/>
            <color indexed="81"/>
            <rFont val="Tahoma"/>
            <family val="2"/>
          </rPr>
          <t xml:space="preserve">
3 changes on sorbent bed filters annually (one response per change)</t>
        </r>
      </text>
    </comment>
    <comment ref="B169" authorId="1" shapeId="0">
      <text>
        <r>
          <rPr>
            <b/>
            <sz val="9"/>
            <color indexed="81"/>
            <rFont val="Tahoma"/>
            <family val="2"/>
          </rPr>
          <t>Owen, Todd - OSHA:</t>
        </r>
        <r>
          <rPr>
            <sz val="9"/>
            <color indexed="81"/>
            <rFont val="Tahoma"/>
            <family val="2"/>
          </rPr>
          <t xml:space="preserve">
Shouldn't we include additional examinations  cell B68</t>
        </r>
      </text>
    </comment>
    <comment ref="A172" authorId="1" shapeId="0">
      <text>
        <r>
          <rPr>
            <b/>
            <sz val="9"/>
            <color indexed="81"/>
            <rFont val="Tahoma"/>
            <family val="2"/>
          </rPr>
          <t>Owen, Todd - OSHA:</t>
        </r>
        <r>
          <rPr>
            <sz val="9"/>
            <color indexed="81"/>
            <rFont val="Tahoma"/>
            <family val="2"/>
          </rPr>
          <t xml:space="preserve">
Are the costs for all quantitative fit-tests the same?   Does this cost estimateconflice with the PEA?</t>
        </r>
      </text>
    </comment>
    <comment ref="B175" authorId="1" shapeId="0">
      <text>
        <r>
          <rPr>
            <b/>
            <sz val="9"/>
            <color indexed="81"/>
            <rFont val="Tahoma"/>
            <family val="2"/>
          </rPr>
          <t>Owen, Todd - OSHA:</t>
        </r>
        <r>
          <rPr>
            <sz val="9"/>
            <color indexed="81"/>
            <rFont val="Tahoma"/>
            <family val="2"/>
          </rPr>
          <t xml:space="preserve">
I'm not sure why we are using B98; should it be B94</t>
        </r>
      </text>
    </comment>
    <comment ref="A180" authorId="1" shapeId="0">
      <text>
        <r>
          <rPr>
            <b/>
            <sz val="9"/>
            <color indexed="81"/>
            <rFont val="Tahoma"/>
            <family val="2"/>
          </rPr>
          <t>Owen, Todd - OSHA:</t>
        </r>
        <r>
          <rPr>
            <sz val="9"/>
            <color indexed="81"/>
            <rFont val="Tahoma"/>
            <family val="2"/>
          </rPr>
          <t xml:space="preserve">
Does this cost conflict with the  PEA?</t>
        </r>
      </text>
    </comment>
  </commentList>
</comments>
</file>

<file path=xl/comments8.xml><?xml version="1.0" encoding="utf-8"?>
<comments xmlns="http://schemas.openxmlformats.org/spreadsheetml/2006/main">
  <authors>
    <author>Owen, Todd - OSHA</author>
  </authors>
  <commentList>
    <comment ref="C5" authorId="0" shapeId="0">
      <text>
        <r>
          <rPr>
            <b/>
            <sz val="9"/>
            <color indexed="81"/>
            <rFont val="Tahoma"/>
            <family val="2"/>
          </rPr>
          <t>Owen, Todd - OSHA:</t>
        </r>
        <r>
          <rPr>
            <sz val="9"/>
            <color indexed="81"/>
            <rFont val="Tahoma"/>
            <family val="2"/>
          </rPr>
          <t xml:space="preserve">
This colunmn does not reflect the current approved burden hours.  It should contain the numbers from the "Requested Burden Hours" column from the November, 2014 ICR</t>
        </r>
      </text>
    </comment>
  </commentList>
</comments>
</file>

<file path=xl/comments9.xml><?xml version="1.0" encoding="utf-8"?>
<comments xmlns="http://schemas.openxmlformats.org/spreadsheetml/2006/main">
  <authors>
    <author>Owen, Todd - OSHA</author>
  </authors>
  <commentList>
    <comment ref="C7" authorId="0" shapeId="0">
      <text>
        <r>
          <rPr>
            <b/>
            <sz val="9"/>
            <color indexed="81"/>
            <rFont val="Tahoma"/>
            <family val="2"/>
          </rPr>
          <t>Owen, Todd - OSHA:</t>
        </r>
        <r>
          <rPr>
            <sz val="9"/>
            <color indexed="81"/>
            <rFont val="Tahoma"/>
            <family val="2"/>
          </rPr>
          <t xml:space="preserve">
This colunmn does not reflect the current approved burden hours.  It should contain the numbers from the "Requested Burden Hours" column from the November, 20214 ICR</t>
        </r>
      </text>
    </comment>
  </commentList>
</comments>
</file>

<file path=xl/sharedStrings.xml><?xml version="1.0" encoding="utf-8"?>
<sst xmlns="http://schemas.openxmlformats.org/spreadsheetml/2006/main" count="4627" uniqueCount="568">
  <si>
    <t>Information Collection Requirement</t>
  </si>
  <si>
    <t>Responses</t>
  </si>
  <si>
    <t>Estimated Cost</t>
  </si>
  <si>
    <t>Description</t>
  </si>
  <si>
    <t>Respiratory Protection Program</t>
  </si>
  <si>
    <t>Medical Evaluation</t>
  </si>
  <si>
    <t>Medical Evaluation:  Initial Medical Evaluations, Follow-up Medical Examinations, Additional Medical Evaluations, and Information Provided to the PLHCP</t>
  </si>
  <si>
    <t>Fit Testing</t>
  </si>
  <si>
    <t>Maintenance and Care of Respirators:</t>
  </si>
  <si>
    <t>Storing and Marking Emergency-Use Respirator</t>
  </si>
  <si>
    <t>Burden Hour Change</t>
  </si>
  <si>
    <t>Requested Burden Hours</t>
  </si>
  <si>
    <t>Current Burden Hours</t>
  </si>
  <si>
    <t xml:space="preserve">Certification of Emergency-Use Respirator </t>
  </si>
  <si>
    <t>Breathing air quality and use</t>
  </si>
  <si>
    <t>Certificate of Analysis of Cylinders</t>
  </si>
  <si>
    <t>Sorbent Beds and Filters</t>
  </si>
  <si>
    <t>Training and Information</t>
  </si>
  <si>
    <t>OSHA is not taking burden hours for employers to retain training records since OSHA does not require or request such records.</t>
  </si>
  <si>
    <t>Recordkeeping</t>
  </si>
  <si>
    <t>Medical-Evaluation Records</t>
  </si>
  <si>
    <t>Fit-Testing Records</t>
  </si>
  <si>
    <t>Employee Access</t>
  </si>
  <si>
    <t>Wages</t>
  </si>
  <si>
    <t>Supervisor</t>
  </si>
  <si>
    <t>Secretary</t>
  </si>
  <si>
    <t>Worker (employee)</t>
  </si>
  <si>
    <t>Manufacturing</t>
  </si>
  <si>
    <t>Services</t>
  </si>
  <si>
    <t>Private Industry</t>
  </si>
  <si>
    <t>Agriculture, forestry and fishing</t>
  </si>
  <si>
    <t xml:space="preserve">Mining </t>
  </si>
  <si>
    <t>Construction</t>
  </si>
  <si>
    <t>Transportation and public utilities</t>
  </si>
  <si>
    <t>Wholesale trade</t>
  </si>
  <si>
    <t>Retail trade</t>
  </si>
  <si>
    <t xml:space="preserve">Finance, insurance and real estate </t>
  </si>
  <si>
    <t>Goods Producing</t>
  </si>
  <si>
    <t>Service Producing</t>
  </si>
  <si>
    <t>Industry respirator use calculations</t>
  </si>
  <si>
    <t xml:space="preserve">1) Source: Respirator Usage in Private Sector Firms, 2001. U.S. Department of Labor, Bureau of Labor Statistics (BLS) and the National Institute for Occupational Safety and Health (NIOSH). September 2003. Text Table 1: “Number and percent of establishments using respirators, by selected type of use and industry division.” Total Use  </t>
  </si>
  <si>
    <t>Total number of establishments 2001</t>
  </si>
  <si>
    <t>Total number of employees 2001</t>
  </si>
  <si>
    <t>By Establishment</t>
  </si>
  <si>
    <t>By Number of Employees</t>
  </si>
  <si>
    <t>Number of establishments requiring use of respirators 2001</t>
  </si>
  <si>
    <t>Percent of establishments requiring use of respirators 2001</t>
  </si>
  <si>
    <t xml:space="preserve">Number of employees required to use respirators 2001 </t>
  </si>
  <si>
    <t>Percent of employees required to use respirators 2001</t>
  </si>
  <si>
    <t>Number of establishments using respirators 2001 (sum of voluntary and required)</t>
  </si>
  <si>
    <t>Total number of establishments 2007</t>
  </si>
  <si>
    <t>Total number of employees 2007</t>
  </si>
  <si>
    <t>Average number of employees per establishment</t>
  </si>
  <si>
    <t>Percent of establishments using respirators 2001 (sum of voluntary and required)</t>
  </si>
  <si>
    <t>New employers that are small firms</t>
  </si>
  <si>
    <t>New employers that are large firms</t>
  </si>
  <si>
    <t>Employers that update their program yearly</t>
  </si>
  <si>
    <t>Small firms</t>
  </si>
  <si>
    <t>Large firms</t>
  </si>
  <si>
    <t>Number of employees required to use respirators 2007</t>
  </si>
  <si>
    <t>Change in labor force from 2001 to 2007</t>
  </si>
  <si>
    <t>Establishment Entry rate (2005)</t>
  </si>
  <si>
    <t>New employers (developing new programs)</t>
  </si>
  <si>
    <t>Employer distribution</t>
  </si>
  <si>
    <t>Employers covered by the Standard (2007)</t>
  </si>
  <si>
    <t>Number</t>
  </si>
  <si>
    <t>(A) Respiratory Protection Program</t>
  </si>
  <si>
    <t>Burden hours small firms</t>
  </si>
  <si>
    <t>Burden hours large firms</t>
  </si>
  <si>
    <t>Number of hours to update program small firms</t>
  </si>
  <si>
    <t>Number of hours to update program large firms</t>
  </si>
  <si>
    <t>Total Cost</t>
  </si>
  <si>
    <t>Updated programs</t>
  </si>
  <si>
    <t>New programs</t>
  </si>
  <si>
    <t>Total Burden hours for new programs</t>
  </si>
  <si>
    <t>Total Burden hours for updating</t>
  </si>
  <si>
    <t>Percentage of total</t>
  </si>
  <si>
    <t>Percentage of category</t>
  </si>
  <si>
    <t>Total cost (updated and new)</t>
  </si>
  <si>
    <t>Total hours (updated and new)</t>
  </si>
  <si>
    <t>(B) Medical Evaluation</t>
  </si>
  <si>
    <t>Rate of separation 2009</t>
  </si>
  <si>
    <t>Burden hours new employees</t>
  </si>
  <si>
    <t>Total cost for new employees</t>
  </si>
  <si>
    <t>Percentage of workers that require follow-up</t>
  </si>
  <si>
    <t>New employees requiring follow-up</t>
  </si>
  <si>
    <t>Number of questionnaires (for new employees)</t>
  </si>
  <si>
    <t>Burden hours follow up</t>
  </si>
  <si>
    <t>Total cost follow up</t>
  </si>
  <si>
    <t>Total cost of review</t>
  </si>
  <si>
    <t>Total burden hours of reviewing them</t>
  </si>
  <si>
    <t>% of workers w/additional med. Evaluations</t>
  </si>
  <si>
    <t xml:space="preserve">Number of addtl med evals. </t>
  </si>
  <si>
    <t>Burden hours for addltl. Med evals</t>
  </si>
  <si>
    <t>Cost of addltl. Med evals</t>
  </si>
  <si>
    <t>(C) Fit Testing</t>
  </si>
  <si>
    <t>Worker distribution</t>
  </si>
  <si>
    <t>Workers covered by the Standard (2005)</t>
  </si>
  <si>
    <t>Number of employees that receive fit tests</t>
  </si>
  <si>
    <t>Tests</t>
  </si>
  <si>
    <t>QAQC</t>
  </si>
  <si>
    <t>% of  these mployees tested by respirator manufacturers</t>
  </si>
  <si>
    <t>% of these employees tested by outside contractors</t>
  </si>
  <si>
    <t>No. of these employees tested by outside contractors</t>
  </si>
  <si>
    <t>No. of  these employees tested by respirator manufacturers</t>
  </si>
  <si>
    <t>Number of  these employees tested in-house</t>
  </si>
  <si>
    <t xml:space="preserve">Number of employees with additional paperwork req. </t>
  </si>
  <si>
    <t>Burden hours</t>
  </si>
  <si>
    <t>Cost</t>
  </si>
  <si>
    <t>Burden hours (supervisors):</t>
  </si>
  <si>
    <t>Burden hours (workers):</t>
  </si>
  <si>
    <t>Burden hours (Total):</t>
  </si>
  <si>
    <t>Cost (supervisors):</t>
  </si>
  <si>
    <t>Cost (workers):</t>
  </si>
  <si>
    <t>Cost (Total):</t>
  </si>
  <si>
    <t xml:space="preserve">Total Burden hours: </t>
  </si>
  <si>
    <t>(D) Maintenance and care of respirators</t>
  </si>
  <si>
    <t xml:space="preserve">% of employers must comply with marking req. </t>
  </si>
  <si>
    <t>Employers affected by provision</t>
  </si>
  <si>
    <t>% of these employers that are new</t>
  </si>
  <si>
    <t>number of these employers that are new</t>
  </si>
  <si>
    <t>number of emg. Resp. for these (2/new emp)</t>
  </si>
  <si>
    <t>Storing and marking of emergency use respirators</t>
  </si>
  <si>
    <t>Cert. of inspection records for emergency-use resp.</t>
  </si>
  <si>
    <t>Total respirators requiring inspection</t>
  </si>
  <si>
    <t>(E) Breathing air quality and use</t>
  </si>
  <si>
    <t>2001 number</t>
  </si>
  <si>
    <t>total employment change (from 2001 to 2007)</t>
  </si>
  <si>
    <t>2007 number</t>
  </si>
  <si>
    <t>Sorbent beds and filters</t>
  </si>
  <si>
    <t>(G) Recordkeeping</t>
  </si>
  <si>
    <t>(F) Training and Information</t>
  </si>
  <si>
    <t>No calculations required</t>
  </si>
  <si>
    <t>Respirator Fit-Testing Records</t>
  </si>
  <si>
    <t>Total medical records required yearly</t>
  </si>
  <si>
    <t>% of employees subject to medical evaluations</t>
  </si>
  <si>
    <t>No. of employees subject to medical evaluations</t>
  </si>
  <si>
    <t>13)</t>
  </si>
  <si>
    <t>Medical examinations</t>
  </si>
  <si>
    <t>Fit-testing materials</t>
  </si>
  <si>
    <t>Quantitative Fit tests</t>
  </si>
  <si>
    <t>CPI increase</t>
  </si>
  <si>
    <t>2010 number</t>
  </si>
  <si>
    <t>2004 value</t>
  </si>
  <si>
    <t>Cost of administering medical examinations(from B)</t>
  </si>
  <si>
    <t>14)</t>
  </si>
  <si>
    <t>Inspection rate</t>
  </si>
  <si>
    <t>Inspections</t>
  </si>
  <si>
    <t>Compliance officer hourly rate</t>
  </si>
  <si>
    <t>15)</t>
  </si>
  <si>
    <t>Paperwork requirements 2004</t>
  </si>
  <si>
    <t>Paperwork requirements requested 2011</t>
  </si>
  <si>
    <t>Total cost to provide medical examinations (current):</t>
  </si>
  <si>
    <t>Total cost to provide medical examinations (2004):</t>
  </si>
  <si>
    <t>Difference</t>
  </si>
  <si>
    <t>Cost of administering medical examinations(from B) 2007</t>
  </si>
  <si>
    <t>Cost of administering medical examinations(from B) 2004</t>
  </si>
  <si>
    <t>Change from total cost in 2004</t>
  </si>
  <si>
    <t>Responses:</t>
  </si>
  <si>
    <t xml:space="preserve">Responses: </t>
  </si>
  <si>
    <t>NAICS</t>
  </si>
  <si>
    <t>Utilities</t>
  </si>
  <si>
    <t>Wholesale Trade</t>
  </si>
  <si>
    <t>Retail Trade</t>
  </si>
  <si>
    <t>Transportation and Warehousing</t>
  </si>
  <si>
    <t>Real Estate and Rental and Leasing</t>
  </si>
  <si>
    <t>est</t>
  </si>
  <si>
    <t>emp</t>
  </si>
  <si>
    <t>Sector</t>
  </si>
  <si>
    <t>Total</t>
  </si>
  <si>
    <t>NA</t>
  </si>
  <si>
    <t>% establishments that update programs</t>
  </si>
  <si>
    <t>Total surveys (new and additional* NOT FOLLOW UP)</t>
  </si>
  <si>
    <t>Establishment Entry rate (2011)</t>
  </si>
  <si>
    <t>Employers covered by the Standard (2011)</t>
  </si>
  <si>
    <t>11----</t>
  </si>
  <si>
    <t>21----</t>
  </si>
  <si>
    <t>22----</t>
  </si>
  <si>
    <t>23----</t>
  </si>
  <si>
    <t>31----</t>
  </si>
  <si>
    <t>42----</t>
  </si>
  <si>
    <t>44----</t>
  </si>
  <si>
    <t>48----</t>
  </si>
  <si>
    <t>51----</t>
  </si>
  <si>
    <t>52----</t>
  </si>
  <si>
    <t>53----</t>
  </si>
  <si>
    <t>54----</t>
  </si>
  <si>
    <t>55----</t>
  </si>
  <si>
    <t>56----</t>
  </si>
  <si>
    <t>61----</t>
  </si>
  <si>
    <t>62----</t>
  </si>
  <si>
    <t>71----</t>
  </si>
  <si>
    <t>72----</t>
  </si>
  <si>
    <t>81----</t>
  </si>
  <si>
    <t>99----</t>
  </si>
  <si>
    <t>------</t>
  </si>
  <si>
    <t>Total Establishments</t>
  </si>
  <si>
    <t>Total Employees</t>
  </si>
  <si>
    <t>Affected Estabs</t>
  </si>
  <si>
    <t>Affected Employees</t>
  </si>
  <si>
    <t>Sector Name</t>
  </si>
  <si>
    <t>Forestry, Fishing, Hunting, and Agriculture Support</t>
  </si>
  <si>
    <t>Mining</t>
  </si>
  <si>
    <t>Information</t>
  </si>
  <si>
    <t>Finance and Insurance</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</si>
  <si>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</si>
  <si>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</si>
  <si>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</si>
  <si>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</si>
  <si>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</si>
  <si>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</si>
  <si>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</si>
  <si>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</si>
  <si>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Unclassified</t>
  </si>
  <si>
    <t>Auxiliaries, except Corporate, Subsidiary, and Regional Managing Offices</t>
  </si>
  <si>
    <t>95----</t>
  </si>
  <si>
    <t>2001 Respiratory Survey Industry Group</t>
  </si>
  <si>
    <t>Agriculture, forestry, and fishing</t>
  </si>
  <si>
    <t>Finance, insurance, and real estate</t>
  </si>
  <si>
    <t>Subtotal</t>
  </si>
  <si>
    <t>CBP EST</t>
  </si>
  <si>
    <t>CBP EMP</t>
  </si>
  <si>
    <t xml:space="preserve">Excluded </t>
  </si>
  <si>
    <t>RespSurvEst_inflated</t>
  </si>
  <si>
    <t>Mining**</t>
  </si>
  <si>
    <t>Agriculture, forestry, and fishing*</t>
  </si>
  <si>
    <t>* Assumed 100% of agricultural establishments.</t>
  </si>
  <si>
    <t>** In this sector, only 211111, 211112, 213111, and 213112 are under OSHA's jurisdiction.</t>
  </si>
  <si>
    <t>Respirator Survey Original Estimate</t>
  </si>
  <si>
    <t>CBP for relevant 6 digit NAICS in the Mining Sector</t>
  </si>
  <si>
    <t>Rate of separation 2013</t>
  </si>
  <si>
    <t>Covered Employees</t>
  </si>
  <si>
    <t>Average Employment (2011 Survey) based on Table 3</t>
  </si>
  <si>
    <t>2013 number</t>
  </si>
  <si>
    <t>CPI increase (10-13)</t>
  </si>
  <si>
    <t>Cost of administering medical examinations(from B) 2013</t>
  </si>
  <si>
    <t>Difference (2011 ICR - 2014 ICR)</t>
  </si>
  <si>
    <t>Change from total cost in 2011 ICR to 2014 ICR</t>
  </si>
  <si>
    <t>Cost of administering medical examinations(from B) (2011 ICR to 2014 ICR)</t>
  </si>
  <si>
    <t>Difference (from 2011 ICR to 2014 ICR)</t>
  </si>
  <si>
    <t>There is an increase in burden hours due to the increase in new employers developing new programs (from 74,196 to 77,969), as a result of using the Bureau of Labor Statistics, Longitudinal Business Database (1997-2005) instead of U.S. Census data for this estimate.</t>
  </si>
  <si>
    <t>The decrease in burden hours is due to the lower number of covered workers (from 5,412,000 to 4,965,000) overall, a total decrease of 447,000 covered workers. The lower number of covered workers is a result of using 2007 U.S. Census economic data instead of 2005 County Business Pattern (CBP) data.  Also, the decrease in burden hours is affected by the increase in the separations rate or job turnover rate (from 40.5% to 46.2%), which results in a higher number of new employees</t>
  </si>
  <si>
    <t>See above.</t>
  </si>
  <si>
    <t>The overall number of employers covered by the standard decreased from 639,623 to 618,804 as a result of using 2007 U.S. Census economic data instead of 2005 County Business Pattern (CBP) data.  This is a decrease of 20,819 in establishments covered by the regulation.</t>
  </si>
  <si>
    <t>The 54 hour increase is due to the use of 2007 U.S. Census economic data instead of 2005 County Business Pattern (CBP) data.  (See footnotes 11 and 15.)</t>
  </si>
  <si>
    <t xml:space="preserve">Although there is a lower number of total covered workers (from 5,412,000 to 4,965,000), the burden hours increased as a result of the increase in the separations rate or job turnover rate (from 40.5% to 46.2%), which results in  a higher number of new employees. </t>
  </si>
  <si>
    <t>TOTALS</t>
  </si>
  <si>
    <t>Number of establishments using respirators in 2007 (assuming perecentage of establishment with respirators has remained the same)</t>
  </si>
  <si>
    <t>Note: Not used in 2011 ICR, instead used the total change in the size of the labor force to adjust the original FEA estimate (5,000,000).</t>
  </si>
  <si>
    <t>2004 number</t>
  </si>
  <si>
    <t>Used In Text</t>
  </si>
  <si>
    <t>2011 ICR</t>
  </si>
  <si>
    <t>2014 ICR</t>
  </si>
  <si>
    <t>Total Burden Hours</t>
  </si>
  <si>
    <t>Medical Exam Unit Cost</t>
  </si>
  <si>
    <t>Total For Medical Exams</t>
  </si>
  <si>
    <t>Total for Fit Testing Materials</t>
  </si>
  <si>
    <t>Unit Cost for Fit Testing Materials</t>
  </si>
  <si>
    <t>Unit Cost for Quantitative Tests</t>
  </si>
  <si>
    <t>Total for Quantitative Tests</t>
  </si>
  <si>
    <t>Total for Operations and Maintenance</t>
  </si>
  <si>
    <t>ICR Year</t>
  </si>
  <si>
    <t>Data Year</t>
  </si>
  <si>
    <t>ECEC, 2013 December News Release</t>
  </si>
  <si>
    <t>Wages &amp; Benefits Markup</t>
  </si>
  <si>
    <t>Rate of increase for medical exam unit cost</t>
  </si>
  <si>
    <t>Rate of increase for fit testing materials and quant unit cost</t>
  </si>
  <si>
    <t>2013 CPI for Medical Services</t>
  </si>
  <si>
    <t>2013 CPI (Overall)</t>
  </si>
  <si>
    <t>Turnover Rate</t>
  </si>
  <si>
    <t>Total Separations from 2013 JOLTS survey</t>
  </si>
  <si>
    <t>New Establishments Rate</t>
  </si>
  <si>
    <t>BLS Longitudinal Business Survey: Business Dynamics Statistics, 1977-2011</t>
  </si>
  <si>
    <t>County Business Patterns 2001, 2011</t>
  </si>
  <si>
    <t>Total Establishments, Employment</t>
  </si>
  <si>
    <t xml:space="preserve">Source </t>
  </si>
  <si>
    <t>File/Documentation</t>
  </si>
  <si>
    <t>I:\ECON\OSHA_je\ICR-2014\Respiratory Protection\DEC_2013_NewsRelease_Tables9&amp;10.pdf</t>
  </si>
  <si>
    <t>I:\ECON\OSHA_je\ICR-2014\Respiratory Protection\CPI_MedicalServices_2014.xls</t>
  </si>
  <si>
    <t>I:\ECON\OSHA_je\ICR-2014\Respiratory Protection\CPI_Overall_2014.xls</t>
  </si>
  <si>
    <t>I:\ECON\OSHA_je\ICR-2014\Respiratory Protection\JOLTS_2013_TotalSeparations.xls</t>
  </si>
  <si>
    <t>I:\ECON\OSHA_je\ICR-2014\Respiratory Protection\OSHA-H049-2006-0920-1569.pdf</t>
  </si>
  <si>
    <t>Original Final Economic Analysis OSHA</t>
  </si>
  <si>
    <t>Downloaded from Census.gov</t>
  </si>
  <si>
    <t>I:\ECON\OSHA_je\ICR-2014\Respiratory Protection\LongitudinalBusinessDatabase_.BusinessDynamicsStatistics_2011xls.xls</t>
  </si>
  <si>
    <t>Parameter Estimated</t>
  </si>
  <si>
    <t>2001 Total Affected Employees</t>
  </si>
  <si>
    <t>2011 ICR (Used 2007 Economic Census)</t>
  </si>
  <si>
    <t>2014 ICR (Used 2011 County Business Patterns)</t>
  </si>
  <si>
    <t>Paperwork requirements 2011</t>
  </si>
  <si>
    <t>Paperwork requirements requested 2014</t>
  </si>
  <si>
    <t>Difference (2011-2014)</t>
  </si>
  <si>
    <t>Difference (2008-2011)</t>
  </si>
  <si>
    <t>2008 ICR</t>
  </si>
  <si>
    <t>Total Covered Establishments</t>
  </si>
  <si>
    <t>Description of Change</t>
  </si>
  <si>
    <t>The decrease in burden hours is due to the lower turnover rate and thus a lower number of new workers requiring initial medical examinations and follow up examinations in spite of an overall increase in covered workers (from 4,965,000 to 4,976,500). The higher number of covered workers is a result of using 2011 County Business Patterns data instead of 2007 Economic Census. The lower turnover rate is due to using the 2013 JOLTS survey (42.2%) instead of the 2010 JOLTS survey (46.2%).</t>
  </si>
  <si>
    <t>Although there is a higher number of total covered workers (from 4,965,000 to 4,976,500), the burden hours decreased as a result of the decrease in the separations rate or job turnover rate (from 46.2% to 42.2%), which results in a lower number of new employees.</t>
  </si>
  <si>
    <t>There is a decrease in burden hours due to the decrease in new employers developing new programs (from 77,969 to 63,462), as a result of using the Bureau of Labor Statistics, Longitudinal Business Database (1997-2011) establishment entry rate.</t>
  </si>
  <si>
    <t>The increase in burden hours is due to the increase in covered workers (from 4,965,000 to 4,976,500). The higher number of covered workers is a result of using 2011 County Business Patterns (CBP) data instead of 2007 Economic Census data.</t>
  </si>
  <si>
    <t>The overall number of employers covered by the standard decreased from 618,804 to 610,213 as a result of using the 2011 CBP data instead of the 2007 Economic Census data.  This is a decrease of 8,591 in establishments covered by the regulation.</t>
  </si>
  <si>
    <t>The 14 hour increase is due to the use of 2011 CBP data instead of 2007 Economic Census data.  (See footnotes 11 and 15.)</t>
  </si>
  <si>
    <t>The increase in burden hours is due to the increase in covered workers, (from 4,965,000 to 4,976,500), as a result of using the 2011 CBP data instead of the 2007 Economic Census data.</t>
  </si>
  <si>
    <t>2011 number</t>
  </si>
  <si>
    <t>total employment change (from 2001 to 2011)</t>
  </si>
  <si>
    <t>Change in Employment 2001 to 2012</t>
  </si>
  <si>
    <t>Detailed explanation of methodology: Respirator Usage in Private Sector Firms, 2001. U.S. Department of Labor, Bureau of Labor Statistics (BLS) and the National Institute for Occupational Safety and Health (NIOSH). September 2003. Text Table 1: “Number and percent of establishments using respirators, by selected type of use and industry division.” OSHA estimated the share of establishments using respirators in each sector by calculating the ratio of the number of establishments reported in Table 1 to total establishments reported by the 2001 County Business Patterns (CBP) and applying this same ratio to the 2012 County Business Patterns. OSHA adjusted the total 2001 CBP to represent only those industries covered by the regulation. To compare the CBP to the sectors reported in the Respirator Usage Survey, OSHA aggregated some CBP sectors: 22 (Utilities) and 48-49 (Transportation and Warehousing); 52 (Finance and Insurance) and 53 (Real Estate and Rental and Leasing); and 51 (Information) and 54-81. Notably, 95 (Auxiliaries, except Corporate, Subsidiary, and Regional Managing Offices) and 99 (Unclassified) were excluded from the comparison. OSHA applied the resulting percentages to the 2012 CBP (the latest available as of April 2015) to determine the total number of establishments within each industry division using respirators in 2012. Notably, the number of agricultural establishments reported in the 2001 Respirator Usage survey exceeded the total number of agricultural establishments reported by CBP in 2001 in sector 11 (Forestry, Fishing, Hunting, and Agriculture Support). This difference occurred because the Respiratory Usage survey included animal and crop production establishments which are not counted in CBP or covered by OSHA. Because OSHA cannot determine how many of the establishments were animal and crop production and how many were in CBP’s sector 11 industries, OSHA conservatively assumed 100% of establishments in sector 11 were covered. For sector 21 (Mining) OSHA used only establishments in NAICS 211111, 211111, 213111, and 213112) because other mining industries are not regulated by OSHA.</t>
  </si>
  <si>
    <t>2015 ICR (Used 2012 County Business Patterns)</t>
  </si>
  <si>
    <t>2015 ICR</t>
  </si>
  <si>
    <t>Difference (2011-2015)</t>
  </si>
  <si>
    <t>Estimated number of PortaCount users</t>
  </si>
  <si>
    <t>PortaCount percentage of total market</t>
  </si>
  <si>
    <t>No. of these employees tested with a PortaCount in-house</t>
  </si>
  <si>
    <t>No. of these employees tested with a PortaCount by outside contractors</t>
  </si>
  <si>
    <t>Assumes employees experience a 5 minute time savings when tested with a PortaCount. The remaining employees experience 0.5 hour testing.</t>
  </si>
  <si>
    <t xml:space="preserve">Assumes 50% of the 8% of employees are tested with a PortaCount. </t>
  </si>
  <si>
    <t>Assumes employees are experiencing a 5 minute time savings when tested with a PortaCount. The remaining employees experience 0.5 hour testing.</t>
  </si>
  <si>
    <t>Establishment Entry rate (2012)</t>
  </si>
  <si>
    <t>Employers covered by the Standard (2012)</t>
  </si>
  <si>
    <t>Workers covered by the Standard (2012)</t>
  </si>
  <si>
    <t>The decrease in burden hours is due to the lower turnover rate and thus a lower number of new workers requiring initial medical examinations and follow up examinations in spite of an overall increase in covered workers (from 4,965,000 to 5,087,000). The higher number of covered workers is a result of using 2012 County Business Patterns data instead of 2007 Economic Census. The lower turnover rate is due to using the 2013 JOLTS survey (42.2%) instead of the 2010 JOLTS survey (46.2%).</t>
  </si>
  <si>
    <t>There is an increase in burden hours due to the increase in new employers developing new programs (from 77,969 to 63,452), as a result of using the Bureau of Labor Statistics, Longitudinal Business Database (1997-2011) establishment entry rate.</t>
  </si>
  <si>
    <t>The decrease in burden hours is due to the time savings resulting from use of PortaCount machines.</t>
  </si>
  <si>
    <t>The overall number of employers covered by the standard decreased from 618,804 to 616,035 as a result of using the 2012 CBP data instead of the 2007 Economic Census data.  This is a decrease of 2,769 in establishments covered by the regulation.</t>
  </si>
  <si>
    <t>The 145 hour increase is due to the use of 2012 CBP data instead of 2007 Economic Census data.  (See footnotes 11 and 15.)</t>
  </si>
  <si>
    <t>Although there is a higher number of total covered workers (from 4,965,000 to 5,087,000), the burden hours decreased as a result of the decrease in the separations rate or job turnover rate (from 46.2% to 42.2%), which results in a lower number of new employees.</t>
  </si>
  <si>
    <t>Note: this table reflects the difference between the 2011 ICR Update and the 2015 ICR Update</t>
  </si>
  <si>
    <t>Note: this table reflects the difference between the 2011 ICR Update and the 2014 ICR Update</t>
  </si>
  <si>
    <t>The increase in burden hours is due to the increase in covered workers, (from 4,965,000 to 5,087,000), as a result of using the 2012 CBP data instead of the 2007 Economic Census data.</t>
  </si>
  <si>
    <t>Note: 5.5 million is ~400,000 workers less than Chet's modified spreadsheet.</t>
  </si>
  <si>
    <t>Note: Has not been updated from the 2014 ICR Update</t>
  </si>
  <si>
    <t>Note: Fixed to reflect small firms (see 2014 ICR calculation)</t>
  </si>
  <si>
    <t>Note: Fixed to reflect large firms (see 2014 ICR calculation)</t>
  </si>
  <si>
    <t>Note: Updated using Table 9 http://www.bls.gov/news.release/archives/ecec_06102015.htm</t>
  </si>
  <si>
    <t>Note: Updated</t>
  </si>
  <si>
    <r>
      <t>Burden hours small firms  (</t>
    </r>
    <r>
      <rPr>
        <i/>
        <sz val="9"/>
        <color indexed="10"/>
        <rFont val="Calibri"/>
        <family val="2"/>
      </rPr>
      <t>large firms)</t>
    </r>
  </si>
  <si>
    <t>Burden hours large firms (Small firms</t>
  </si>
  <si>
    <t>Written Respiratory Protection Program  Maintenance</t>
  </si>
  <si>
    <t>This is missing; its in the supporting statement</t>
  </si>
  <si>
    <t>Notes by Anita (Delete later)</t>
  </si>
  <si>
    <t>Changed based on Todd's comment. Number changed from $3,713,011</t>
  </si>
  <si>
    <t>Changed based on Todd's comment. Number changed from $160,259,428</t>
  </si>
  <si>
    <t>Potential savings from proposed fit testing protocols</t>
  </si>
  <si>
    <t>Wage - loaded</t>
  </si>
  <si>
    <t>Mean wage</t>
  </si>
  <si>
    <t>Fringe rate</t>
  </si>
  <si>
    <t>Safety and health specialist</t>
  </si>
  <si>
    <t>Time saving per test - min.</t>
  </si>
  <si>
    <t>Wage</t>
  </si>
  <si>
    <t>Share switching</t>
  </si>
  <si>
    <t>BLS</t>
  </si>
  <si>
    <t>Wage loaded</t>
  </si>
  <si>
    <t>H&amp;S specialists time per testee</t>
  </si>
  <si>
    <t>Respirator Type</t>
  </si>
  <si>
    <t>No. of users [a]</t>
  </si>
  <si>
    <t>Quantitative Fit test</t>
  </si>
  <si>
    <t>Cost Savings</t>
  </si>
  <si>
    <t>Powered</t>
  </si>
  <si>
    <t>Loose-fitting facepiece</t>
  </si>
  <si>
    <t>N</t>
  </si>
  <si>
    <t>Hood/helmet without neck seal</t>
  </si>
  <si>
    <t>Hood/helmet with neck seal</t>
  </si>
  <si>
    <t>Y</t>
  </si>
  <si>
    <t>Tight-fitting half facepiece</t>
  </si>
  <si>
    <t>Tight-fitting full facepiece</t>
  </si>
  <si>
    <t>Non Powered</t>
  </si>
  <si>
    <t>Dust mask (disposable)</t>
  </si>
  <si>
    <t>O</t>
  </si>
  <si>
    <t>Half-mask</t>
  </si>
  <si>
    <t>Full-facepiece</t>
  </si>
  <si>
    <t>M</t>
  </si>
  <si>
    <t>Mouth-piece</t>
  </si>
  <si>
    <t>Air Supplied</t>
  </si>
  <si>
    <t>SCBA</t>
  </si>
  <si>
    <t>check</t>
  </si>
  <si>
    <t>Airline, with half-mask</t>
  </si>
  <si>
    <t>Airline, with full-facepiece</t>
  </si>
  <si>
    <t>Airline, with integral hood/helmet</t>
  </si>
  <si>
    <t>Combination SCBA/airline</t>
  </si>
  <si>
    <t>[a] Based in NIOSH Respirator Survey; benchmarked to 2012 CBP employment totals.</t>
  </si>
  <si>
    <t>s</t>
  </si>
  <si>
    <t>Testee</t>
  </si>
  <si>
    <t>5 min</t>
  </si>
  <si>
    <t>Tester</t>
  </si>
  <si>
    <t>1.25 min</t>
  </si>
  <si>
    <t>PortaCount % of total market</t>
  </si>
  <si>
    <t>Original 1998 compliance</t>
  </si>
  <si>
    <t>Contractor portion</t>
  </si>
  <si>
    <t>Assumed PortaCount portion of QNFT market</t>
  </si>
  <si>
    <t># Portacount serviced by contractors</t>
  </si>
  <si>
    <t>Estimated # of originally compliant benefiting</t>
  </si>
  <si>
    <t>residual in-house</t>
  </si>
  <si>
    <t>Estimated number of REDON users</t>
  </si>
  <si>
    <t>REDON percentage of total market</t>
  </si>
  <si>
    <t>% of  these employees tested by respirator manufacturers</t>
  </si>
  <si>
    <t>TOTALS from tab "Table 1 November 2015 ICR"</t>
  </si>
  <si>
    <t>TOTALS (w/ REDON)</t>
  </si>
  <si>
    <t>TOTALS (w/ Portacount)</t>
  </si>
  <si>
    <r>
      <t>(</t>
    </r>
    <r>
      <rPr>
        <b/>
        <sz val="11"/>
        <color indexed="8"/>
        <rFont val="Calibri"/>
        <family val="2"/>
      </rPr>
      <t>Anita</t>
    </r>
    <r>
      <rPr>
        <sz val="11"/>
        <color theme="1"/>
        <rFont val="Calibri"/>
        <family val="2"/>
        <scheme val="minor"/>
      </rPr>
      <t>: Replaced 5,087,000 ('Profile 2015'!$F$7))</t>
    </r>
  </si>
  <si>
    <t>Assumes employees are experiencing a 5 minute time savings when tested with a REDON. The remaining employees experience 0.5 hour testing.</t>
  </si>
  <si>
    <t xml:space="preserve">Assumes 50% of the 8% of employees are tested with a REDON. </t>
  </si>
  <si>
    <t>No. of these employees tested with REDON by outside contractors</t>
  </si>
  <si>
    <t>No. of these employees tested with REDON in-house</t>
  </si>
  <si>
    <t>Assumes employees experience a 5 minute time savings when tested with REDON. The remaining employees experience 0.5 hour testing.</t>
  </si>
  <si>
    <t>Program Change</t>
  </si>
  <si>
    <t>2015/6 ICR</t>
  </si>
  <si>
    <t xml:space="preserve">Adjustment </t>
  </si>
  <si>
    <t>Industry Profile &amp; Redon changes</t>
  </si>
  <si>
    <t>Portacount NPRM savings</t>
  </si>
  <si>
    <t>REDON % of total market</t>
  </si>
  <si>
    <t># REDON serviced by contractors</t>
  </si>
  <si>
    <t>Portacount Cost</t>
  </si>
  <si>
    <t>REDON Burden Hours</t>
  </si>
  <si>
    <t>Burden Hour Change from REDON to Portacount</t>
  </si>
  <si>
    <t>Burden Hour Change from Current to REDON</t>
  </si>
  <si>
    <t>D-C</t>
  </si>
  <si>
    <t>E+F</t>
  </si>
  <si>
    <t>Based on Todd's comment this column should contain the numbers from the "Requested Burden Hours" column from the November, 2014 ICR</t>
  </si>
  <si>
    <t>Portacount Burden Hours</t>
  </si>
  <si>
    <t>Current to REDON to Portacount</t>
  </si>
  <si>
    <t>The Portacount burden hour is net 441,896 higher compared to 2014 ICR burden hours due to the the higher number of employees in the updated ICR. I think the ("savings") 86,274 is in here (total of 441,896).</t>
  </si>
  <si>
    <r>
      <rPr>
        <b/>
        <u/>
        <sz val="11"/>
        <color indexed="17"/>
        <rFont val="Calibri"/>
        <family val="2"/>
      </rPr>
      <t>Note from Tom Mockler:</t>
    </r>
    <r>
      <rPr>
        <sz val="11"/>
        <color indexed="17"/>
        <rFont val="Calibri"/>
        <family val="2"/>
      </rPr>
      <t xml:space="preserve"> The sum of E+F should equal D-C.  D-C almost gives the total needed for E, except the change needs to separate out the Portacount change into F.  </t>
    </r>
  </si>
  <si>
    <t>2015 ICR (Used 2012 County Business Patterns)--with PortaCount Savings</t>
  </si>
  <si>
    <t>Estimated number of REDON and PortaCount users</t>
  </si>
  <si>
    <t>PortaCount &amp; REDON percentage of total market</t>
  </si>
  <si>
    <t>No. of these employees tested with PortaCount &amp; REDON in-house</t>
  </si>
  <si>
    <t>PortaCount change</t>
  </si>
  <si>
    <t>Program Adjustment</t>
  </si>
  <si>
    <t xml:space="preserve">Total burden hours after all changes have been made, including factoring in the reduced time for both REDON and PortaCount. </t>
  </si>
  <si>
    <t>Reflects all changes (including REDON) before the PortaCount reduction is introduced</t>
  </si>
  <si>
    <r>
      <t>Reflects</t>
    </r>
    <r>
      <rPr>
        <b/>
        <i/>
        <sz val="11"/>
        <color indexed="17"/>
        <rFont val="Calibri"/>
        <family val="2"/>
      </rPr>
      <t xml:space="preserve"> only </t>
    </r>
    <r>
      <rPr>
        <b/>
        <sz val="11"/>
        <color indexed="17"/>
        <rFont val="Calibri"/>
        <family val="2"/>
      </rPr>
      <t>the PortaCount change</t>
    </r>
  </si>
  <si>
    <t>Reflects the costs of Column D</t>
  </si>
  <si>
    <t>REDON hours</t>
  </si>
  <si>
    <t>Portacount (pre-NPRM)</t>
  </si>
  <si>
    <t>subdivided hours (pre-NPRM)</t>
  </si>
  <si>
    <t>other fit testing</t>
  </si>
  <si>
    <t>REDON share</t>
  </si>
  <si>
    <t>REDON hours (each for worker &amp; supervisor)</t>
  </si>
  <si>
    <t>other</t>
  </si>
  <si>
    <t>total REDON burden hours</t>
  </si>
  <si>
    <t>total other burden hrs</t>
  </si>
  <si>
    <t>REDON cost supervisors</t>
  </si>
  <si>
    <t>REDPM cost workers</t>
  </si>
  <si>
    <t>supervisor cost other</t>
  </si>
  <si>
    <t>worker cost other</t>
  </si>
  <si>
    <t>REDON Subtotal</t>
  </si>
  <si>
    <t>Other Subtotal</t>
  </si>
  <si>
    <t>PortaCount User Estimate</t>
  </si>
  <si>
    <t>REDON method User Estimate</t>
  </si>
  <si>
    <t>PortaCount &amp; REDON (Combined)</t>
  </si>
  <si>
    <t>Based on CBP 2015</t>
  </si>
  <si>
    <t>Market Share Estimate</t>
  </si>
  <si>
    <r>
      <t xml:space="preserve">Numbers pulled from tab "Fit Test Savings" of </t>
    </r>
    <r>
      <rPr>
        <b/>
        <sz val="11"/>
        <color indexed="8"/>
        <rFont val="Calibri"/>
        <family val="2"/>
      </rPr>
      <t>Respirator use_092617.xlsx (Spreadsheet saved here R:\ECON\OSHA_je\ICR-2017\Respiratory Protection)</t>
    </r>
  </si>
  <si>
    <t>USCODE</t>
  </si>
  <si>
    <t>LFO</t>
  </si>
  <si>
    <t>EMP</t>
  </si>
  <si>
    <t>EST</t>
  </si>
  <si>
    <t>-</t>
  </si>
  <si>
    <t>Change in Employment 2001 to 2015</t>
  </si>
  <si>
    <t xml:space="preserve"> </t>
  </si>
  <si>
    <t>Workers covered by the Standard</t>
  </si>
  <si>
    <t>Employers covered by the Standard</t>
  </si>
  <si>
    <t>Number of emg. Resp. for these (2/new emp)</t>
  </si>
  <si>
    <t>Number of these employers that are new</t>
  </si>
  <si>
    <t>2017 ICR</t>
  </si>
  <si>
    <t>total employment change (from 2001 to 2015)</t>
  </si>
  <si>
    <t>2015 number</t>
  </si>
  <si>
    <r>
      <t xml:space="preserve">Hard-entered from cell B162 of tab "Inputs and Parameters REDON" of spreadsheet </t>
    </r>
    <r>
      <rPr>
        <b/>
        <sz val="11"/>
        <color indexed="8"/>
        <rFont val="Calibri"/>
        <family val="2"/>
      </rPr>
      <t>RespiratoryProtection_2015_ICRUpdate_Calculations_Updated by ERG_122215_Final Table edited_Edits from Tom Mockler (002)_revised_060816</t>
    </r>
  </si>
  <si>
    <t>Total cost to provide medical examinations (Previous ICR):</t>
  </si>
  <si>
    <t>Total cost to provide medical examinations (Previous):</t>
  </si>
  <si>
    <t>Difference (from 2011 ICR to 2017 ICR)</t>
  </si>
  <si>
    <t>Difference (2011 ICR - 2017 ICR)</t>
  </si>
  <si>
    <t>Change from total cost in 2011 ICR to 2017 ICR</t>
  </si>
  <si>
    <t>(Anita: Replaced 5,087,000 ('Profile 2015'!$F$7))</t>
  </si>
  <si>
    <r>
      <rPr>
        <b/>
        <u/>
        <sz val="11"/>
        <color indexed="8"/>
        <rFont val="Calibri"/>
        <family val="2"/>
      </rPr>
      <t>Note</t>
    </r>
    <r>
      <rPr>
        <b/>
        <sz val="11"/>
        <color indexed="8"/>
        <rFont val="Calibri"/>
        <family val="2"/>
      </rPr>
      <t>:</t>
    </r>
    <r>
      <rPr>
        <sz val="11"/>
        <color theme="1"/>
        <rFont val="Calibri"/>
        <family val="2"/>
        <scheme val="minor"/>
      </rPr>
      <t xml:space="preserve"> Pasted values from column A through L from tab "Inputs and Parameters REDON" of spreadsheet RespiratoryProtection_2015_ICRUpdate_Calculations_Updated by ERG_122215_Final Table edited_Edits from Tom Mockler (002)_revised_060816 (Saved here: R:\ECON\OSHA_je\ICR-2015\Respiratory Protection)</t>
    </r>
  </si>
  <si>
    <t>Paperwork requirements 2015</t>
  </si>
  <si>
    <t>Difference (2015-2017)</t>
  </si>
  <si>
    <t xml:space="preserve">Total hours </t>
  </si>
  <si>
    <t>Total cost</t>
  </si>
  <si>
    <t>b81</t>
  </si>
  <si>
    <t>b87</t>
  </si>
  <si>
    <t>b23</t>
  </si>
  <si>
    <t>b79</t>
  </si>
  <si>
    <t>b82</t>
  </si>
  <si>
    <t>(This version includes both REDON and Portacount fit tests)</t>
  </si>
  <si>
    <t>(This version includes only REDON fit tests)</t>
  </si>
  <si>
    <t>Burden hours (OSH Technician):</t>
  </si>
  <si>
    <t>OSH Technician</t>
  </si>
  <si>
    <t>Occupational Title</t>
  </si>
  <si>
    <t>Standard Occupational Code</t>
  </si>
  <si>
    <t>11-1021</t>
  </si>
  <si>
    <t>Worker</t>
  </si>
  <si>
    <t>00-0000</t>
  </si>
  <si>
    <t>43-6010</t>
  </si>
  <si>
    <t>Occupational Health and Safety Specialists and Technicians</t>
  </si>
  <si>
    <t>29-9010</t>
  </si>
  <si>
    <t>Cost (OSH Technician):</t>
  </si>
  <si>
    <t>OSHA (OES) Wage Inputs</t>
  </si>
  <si>
    <t>With PortaCount &amp; REDON</t>
  </si>
  <si>
    <t xml:space="preserve">With REDON </t>
  </si>
  <si>
    <r>
      <t>Estimated Annualized Respondent Hour and Cost Burden Table</t>
    </r>
    <r>
      <rPr>
        <sz val="8"/>
        <color indexed="8"/>
        <rFont val="Times New Roman"/>
        <family val="1"/>
      </rPr>
      <t> </t>
    </r>
  </si>
  <si>
    <r>
      <t>*</t>
    </r>
    <r>
      <rPr>
        <sz val="12"/>
        <color indexed="8"/>
        <rFont val="Times New Roman"/>
        <family val="1"/>
      </rPr>
      <t xml:space="preserve"> The “</t>
    </r>
    <r>
      <rPr>
        <i/>
        <sz val="12"/>
        <color indexed="8"/>
        <rFont val="Times New Roman"/>
        <family val="1"/>
      </rPr>
      <t>Additional PortaCount® Quantitative Fit-Testing Protocols: Amendment to Respiratory Protection Standard”</t>
    </r>
    <r>
      <rPr>
        <sz val="12"/>
        <color indexed="8"/>
        <rFont val="Times New Roman"/>
        <family val="1"/>
      </rPr>
      <t xml:space="preserve"> final rule impacts the highlighted rows only.</t>
    </r>
  </si>
  <si>
    <t>Supervisor replaced with "OSH Technician"</t>
  </si>
  <si>
    <t>Adjusted here to include OSH Technician instead of Supervisor</t>
  </si>
  <si>
    <t>Type of Respondent</t>
  </si>
  <si>
    <t>Number of Responses per Respondent</t>
  </si>
  <si>
    <t>Total Number of Responses</t>
  </si>
  <si>
    <t>Average Burden per Response</t>
  </si>
  <si>
    <t>(In Hrs.)</t>
  </si>
  <si>
    <t>Avg.  Hourly Wage Rate*</t>
  </si>
  <si>
    <t>Total Burden Costs</t>
  </si>
  <si>
    <t>A. Respiratory Protection Program</t>
  </si>
  <si>
    <t>Subtotal (A.)</t>
  </si>
  <si>
    <t>B.  Medical Evaluation</t>
  </si>
  <si>
    <r>
      <t>15/60</t>
    </r>
    <r>
      <rPr>
        <sz val="8"/>
        <color indexed="8"/>
        <rFont val="Times New Roman"/>
        <family val="1"/>
      </rPr>
      <t> </t>
    </r>
  </si>
  <si>
    <t>15/60</t>
  </si>
  <si>
    <t>30/60</t>
  </si>
  <si>
    <t>Subtotal (B.)</t>
  </si>
  <si>
    <r>
      <t>C. Fit Testing</t>
    </r>
    <r>
      <rPr>
        <sz val="8"/>
        <color indexed="8"/>
        <rFont val="Times New Roman"/>
        <family val="1"/>
      </rPr>
      <t> </t>
    </r>
  </si>
  <si>
    <t>1. Quantitative Fit Testing by Outside Contractors</t>
  </si>
  <si>
    <t>REDON</t>
  </si>
  <si>
    <t>25/60</t>
  </si>
  <si>
    <t>PortaCount</t>
  </si>
  <si>
    <t>Subtotal (C.1.)</t>
  </si>
  <si>
    <t>2. Qualitative Fit testing by Respirator manufacturers</t>
  </si>
  <si>
    <r>
      <t>PortaCount protocals (Program Change)</t>
    </r>
    <r>
      <rPr>
        <sz val="12"/>
        <color indexed="8"/>
        <rFont val="Times New Roman"/>
        <family val="1"/>
      </rPr>
      <t>*</t>
    </r>
  </si>
  <si>
    <t>PortaCount protocals (Program Change)</t>
  </si>
  <si>
    <t>Subtotal (C.3)</t>
  </si>
  <si>
    <t>Subtotal (C.)</t>
  </si>
  <si>
    <t>D. Maintenance and Care of Respirators</t>
  </si>
  <si>
    <t>Storing and Marking Emergency-Use Respirators</t>
  </si>
  <si>
    <t>Certification of Inspection Records for Emergency-Use Respirators</t>
  </si>
  <si>
    <t>Subtotal (D.)</t>
  </si>
  <si>
    <t>E. Breathing Air Quality and Use</t>
  </si>
  <si>
    <t>Certificate of Analysis for Cylinders</t>
  </si>
  <si>
    <t xml:space="preserve"> Subtotal (E.)</t>
  </si>
  <si>
    <t>F. Training and Information</t>
  </si>
  <si>
    <t>G. Recordkeeping</t>
  </si>
  <si>
    <t>Written Respiratory Protection Program Records</t>
  </si>
  <si>
    <t>Subtotal (G.)</t>
  </si>
  <si>
    <t>TOTAL</t>
  </si>
  <si>
    <t xml:space="preserve"> (Rounded)</t>
  </si>
  <si>
    <t>(Rounded)</t>
  </si>
  <si>
    <t>3. In-House Fit Testing by OSH Technician</t>
  </si>
  <si>
    <t>Mean Hour Wage Rate (A)</t>
  </si>
  <si>
    <t xml:space="preserve">Fringe Benefits (B) </t>
  </si>
  <si>
    <t>Loaded Hourly Wage Rate 
(C) = (A)/((1-(B))</t>
  </si>
  <si>
    <t>5/60</t>
  </si>
  <si>
    <t>10/60</t>
  </si>
  <si>
    <t>Subtotal (C.2.)</t>
  </si>
  <si>
    <t>No. of Respondents:</t>
  </si>
  <si>
    <t xml:space="preserve">No. of Responses: </t>
  </si>
  <si>
    <t>No of Responses per Respondent:</t>
  </si>
  <si>
    <t>No. of employees</t>
  </si>
  <si>
    <t>Formula adds B97 twice. Error??</t>
  </si>
  <si>
    <t>Source</t>
  </si>
  <si>
    <t>BLS, 2016; BLS, 2017</t>
  </si>
  <si>
    <t>Source:</t>
  </si>
  <si>
    <t>BLS, 2016 (Bureau of Labor Statistics, Occupational Employment Statistics (OES), May 2016; date accessed:  September 12, 2017; https://www.bls.gov/oes/tables.htm</t>
  </si>
  <si>
    <t>BLS, 2017 (Employer Costs for Employee Compensation news release text; For release 10:00 AM (EDT), December, 2017) Link: https://www.bls.gov/news.release/archives/ecec_12152017.htm</t>
  </si>
  <si>
    <r>
      <t>WAGE HOUR ESTIMATES</t>
    </r>
    <r>
      <rPr>
        <sz val="11"/>
        <color indexed="9"/>
        <rFont val="Calibri"/>
        <family val="2"/>
      </rPr>
      <t> </t>
    </r>
  </si>
  <si>
    <r>
      <t xml:space="preserve">Number of Respondents
</t>
    </r>
    <r>
      <rPr>
        <i/>
        <sz val="11"/>
        <color rgb="FF000000"/>
        <rFont val="Times New Roman"/>
        <family val="1"/>
      </rPr>
      <t>(Hard-entered. As it appears in the Supporting Statement sent by Rachel)</t>
    </r>
  </si>
  <si>
    <r>
      <t xml:space="preserve">Number of Respondents </t>
    </r>
    <r>
      <rPr>
        <i/>
        <sz val="12"/>
        <color indexed="8"/>
        <rFont val="Times New Roman"/>
        <family val="1"/>
      </rPr>
      <t>(Created by ERG - Linked to the tabs)</t>
    </r>
  </si>
  <si>
    <t>Other (Qualitative Fit Testing)</t>
  </si>
  <si>
    <t>Comparing Burden Hours from "Table 1"</t>
  </si>
  <si>
    <t>Comparing Burden Costs from "Table 1"</t>
  </si>
  <si>
    <t>Comparing Total Number of Responses</t>
  </si>
  <si>
    <t>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</si>
</sst>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43" formatCode="_(* #,##0.00_);_(* \(#,##0.00\);_(* &quot;-&quot;??_);_(@_)"/>
    <numFmt numFmtId="164" formatCode="&quot;$&quot;#,##0.00"/>
    <numFmt numFmtId="165" formatCode="0.0%"/>
    <numFmt numFmtId="166" formatCode="&quot;$&quot;#,##0"/>
    <numFmt numFmtId="167" formatCode="#,##0.000000"/>
    <numFmt numFmtId="168" formatCode="_(* #,##0_);_(* \(#,##0\);_(* &quot;-&quot;??_);_(@_)"/>
    <numFmt numFmtId="169" formatCode="#,##0.0"/>
    <numFmt numFmtId="170" formatCode="&quot;$&quot;#,##0.000"/>
    <numFmt numFmtId="171" formatCode="&quot;$&quot;#,##0.0000"/>
  </numFmts>
  <fonts count="66" x14ac:knownFonts="1">
    <font>
      <sz val="11"/>
      <color theme="1"/>
      <name val="Calibri"/>
      <family val="2"/>
      <scheme val="minor"/>
    </font>
    <font>
      <b/>
      <sz val="11"/>
      <color indexed="8"/>
      <name val="Calibri"/>
      <family val="2"/>
    </font>
    <font>
      <sz val="8"/>
      <color indexed="81"/>
      <name val="Tahoma"/>
      <family val="2"/>
    </font>
    <font>
      <b/>
      <sz val="8"/>
      <color indexed="81"/>
      <name val="Tahoma"/>
      <family val="2"/>
    </font>
    <font>
      <sz val="11"/>
      <name val="Calibri"/>
      <family val="2"/>
    </font>
    <font>
      <sz val="12"/>
      <color indexed="8"/>
      <name val="Times New Roman"/>
      <family val="1"/>
    </font>
    <font>
      <sz val="8"/>
      <color indexed="8"/>
      <name val="Times New Roman"/>
      <family val="1"/>
    </font>
    <font>
      <sz val="9"/>
      <color indexed="81"/>
      <name val="Tahoma"/>
      <family val="2"/>
    </font>
    <font>
      <b/>
      <sz val="9"/>
      <color indexed="81"/>
      <name val="Tahoma"/>
      <family val="2"/>
    </font>
    <font>
      <i/>
      <sz val="9"/>
      <color indexed="10"/>
      <name val="Calibri"/>
      <family val="2"/>
    </font>
    <font>
      <i/>
      <sz val="9"/>
      <color indexed="81"/>
      <name val="Tahoma"/>
      <family val="2"/>
    </font>
    <font>
      <b/>
      <i/>
      <sz val="9"/>
      <color indexed="81"/>
      <name val="Tahoma"/>
      <family val="2"/>
    </font>
    <font>
      <b/>
      <sz val="11"/>
      <color indexed="17"/>
      <name val="Calibri"/>
      <family val="2"/>
    </font>
    <font>
      <sz val="11"/>
      <color indexed="17"/>
      <name val="Calibri"/>
      <family val="2"/>
    </font>
    <font>
      <b/>
      <u/>
      <sz val="11"/>
      <color indexed="17"/>
      <name val="Calibri"/>
      <family val="2"/>
    </font>
    <font>
      <b/>
      <i/>
      <sz val="11"/>
      <color indexed="17"/>
      <name val="Calibri"/>
      <family val="2"/>
    </font>
    <font>
      <b/>
      <sz val="11"/>
      <name val="Calibri"/>
      <family val="2"/>
    </font>
    <font>
      <b/>
      <u/>
      <sz val="11"/>
      <color indexed="8"/>
      <name val="Calibri"/>
      <family val="2"/>
    </font>
    <font>
      <sz val="11"/>
      <color indexed="9"/>
      <name val="Calibri"/>
      <family val="2"/>
    </font>
    <font>
      <i/>
      <sz val="12"/>
      <color indexed="8"/>
      <name val="Times New Roman"/>
      <family val="1"/>
    </font>
    <font>
      <sz val="11"/>
      <color theme="1"/>
      <name val="Calibri"/>
      <family val="2"/>
      <scheme val="minor"/>
    </font>
    <font>
      <u/>
      <sz val="11"/>
      <color theme="10"/>
      <name val="Calibri"/>
      <family val="2"/>
    </font>
    <font>
      <b/>
      <sz val="11"/>
      <color theme="1"/>
      <name val="Calibri"/>
      <family val="2"/>
      <scheme val="minor"/>
    </font>
    <font>
      <i/>
      <sz val="11"/>
      <color theme="1"/>
      <name val="Calibri"/>
      <family val="2"/>
      <scheme val="minor"/>
    </font>
    <font>
      <sz val="11"/>
      <color theme="1"/>
      <name val="Times New Roman"/>
      <family val="1"/>
    </font>
    <font>
      <sz val="9"/>
      <color theme="1"/>
      <name val="Arial"/>
      <family val="2"/>
    </font>
    <font>
      <i/>
      <sz val="9"/>
      <color theme="1"/>
      <name val="Calibri"/>
      <family val="2"/>
      <scheme val="minor"/>
    </font>
    <font>
      <b/>
      <i/>
      <sz val="9"/>
      <color theme="1"/>
      <name val="Calibri"/>
      <family val="2"/>
      <scheme val="minor"/>
    </font>
    <font>
      <b/>
      <sz val="9"/>
      <color theme="1"/>
      <name val="Calibri"/>
      <family val="2"/>
      <scheme val="minor"/>
    </font>
    <font>
      <b/>
      <sz val="14"/>
      <color theme="1"/>
      <name val="Calibri"/>
      <family val="2"/>
      <scheme val="minor"/>
    </font>
    <font>
      <sz val="8"/>
      <color theme="1"/>
      <name val="Calibri"/>
      <family val="2"/>
      <scheme val="minor"/>
    </font>
    <font>
      <i/>
      <sz val="8"/>
      <color theme="1"/>
      <name val="Calibri"/>
      <family val="2"/>
      <scheme val="minor"/>
    </font>
    <font>
      <sz val="9"/>
      <color theme="1"/>
      <name val="Calibri"/>
      <family val="2"/>
      <scheme val="minor"/>
    </font>
    <font>
      <b/>
      <i/>
      <sz val="8"/>
      <color theme="1"/>
      <name val="Calibri"/>
      <family val="2"/>
      <scheme val="minor"/>
    </font>
    <font>
      <b/>
      <i/>
      <sz val="11"/>
      <color theme="1"/>
      <name val="Calibri"/>
      <family val="2"/>
      <scheme val="minor"/>
    </font>
    <font>
      <b/>
      <sz val="10"/>
      <color theme="1"/>
      <name val="Calibri"/>
      <family val="2"/>
      <scheme val="minor"/>
    </font>
    <font>
      <sz val="10"/>
      <color theme="1"/>
      <name val="Calibri"/>
      <family val="2"/>
      <scheme val="minor"/>
    </font>
    <font>
      <sz val="12"/>
      <color theme="1"/>
      <name val="Times New Roman"/>
      <family val="1"/>
    </font>
    <font>
      <sz val="8"/>
      <color theme="1"/>
      <name val="Times New Roman"/>
      <family val="1"/>
    </font>
    <font>
      <sz val="11"/>
      <color theme="0" tint="-0.249977111117893"/>
      <name val="Calibri"/>
      <family val="2"/>
      <scheme val="minor"/>
    </font>
    <font>
      <sz val="8"/>
      <color theme="0" tint="-0.249977111117893"/>
      <name val="Calibri"/>
      <family val="2"/>
      <scheme val="minor"/>
    </font>
    <font>
      <b/>
      <sz val="11"/>
      <color theme="1"/>
      <name val="Times New Roman"/>
      <family val="1"/>
    </font>
    <font>
      <sz val="11"/>
      <color rgb="FFFF0000"/>
      <name val="Calibri"/>
      <family val="2"/>
      <scheme val="minor"/>
    </font>
    <font>
      <sz val="11"/>
      <name val="Calibri"/>
      <family val="2"/>
      <scheme val="minor"/>
    </font>
    <font>
      <sz val="11"/>
      <color theme="0" tint="-0.34998626667073579"/>
      <name val="Calibri"/>
      <family val="2"/>
      <scheme val="minor"/>
    </font>
    <font>
      <b/>
      <sz val="10"/>
      <color theme="1"/>
      <name val="Arial"/>
      <family val="2"/>
    </font>
    <font>
      <sz val="11"/>
      <color rgb="FFFF0000"/>
      <name val="Times New Roman"/>
      <family val="1"/>
    </font>
    <font>
      <sz val="11"/>
      <color rgb="FF0070C0"/>
      <name val="Calibri"/>
      <family val="2"/>
      <scheme val="minor"/>
    </font>
    <font>
      <b/>
      <sz val="11"/>
      <color rgb="FF0070C0"/>
      <name val="Calibri"/>
      <family val="2"/>
      <scheme val="minor"/>
    </font>
    <font>
      <b/>
      <sz val="11"/>
      <color rgb="FF00B050"/>
      <name val="Calibri"/>
      <family val="2"/>
      <scheme val="minor"/>
    </font>
    <font>
      <sz val="11"/>
      <color rgb="FF00B050"/>
      <name val="Calibri"/>
      <family val="2"/>
      <scheme val="minor"/>
    </font>
    <font>
      <i/>
      <sz val="10"/>
      <color theme="1"/>
      <name val="Calibri"/>
      <family val="2"/>
      <scheme val="minor"/>
    </font>
    <font>
      <b/>
      <i/>
      <sz val="10"/>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2"/>
      <color theme="1"/>
      <name val="Times New Roman"/>
      <family val="1"/>
    </font>
    <font>
      <i/>
      <sz val="12"/>
      <color theme="1"/>
      <name val="Times New Roman"/>
      <family val="1"/>
    </font>
    <font>
      <b/>
      <i/>
      <sz val="12"/>
      <color theme="1"/>
      <name val="Times New Roman"/>
      <family val="1"/>
    </font>
    <font>
      <i/>
      <sz val="11"/>
      <color rgb="FF000000"/>
      <name val="Times New Roman"/>
      <family val="1"/>
    </font>
    <font>
      <b/>
      <sz val="10"/>
      <color theme="0" tint="-0.499984740745262"/>
      <name val="Calibri"/>
      <family val="2"/>
      <scheme val="minor"/>
    </font>
    <font>
      <b/>
      <sz val="11"/>
      <color theme="0" tint="-0.499984740745262"/>
      <name val="Calibri"/>
      <family val="2"/>
      <scheme val="minor"/>
    </font>
    <font>
      <sz val="11"/>
      <color theme="0" tint="-0.499984740745262"/>
      <name val="Calibri"/>
      <family val="2"/>
      <scheme val="minor"/>
    </font>
    <font>
      <b/>
      <sz val="12"/>
      <color theme="0" tint="-0.499984740745262"/>
      <name val="Times New Roman"/>
      <family val="1"/>
    </font>
    <font>
      <sz val="12"/>
      <color theme="0" tint="-0.499984740745262"/>
      <name val="Times New Roman"/>
      <family val="1"/>
    </font>
    <font>
      <b/>
      <i/>
      <sz val="12"/>
      <color theme="0" tint="-0.499984740745262"/>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43" fontId="20" fillId="0" borderId="0" applyFont="0" applyFill="0" applyBorder="0" applyAlignment="0" applyProtection="0"/>
    <xf numFmtId="0" fontId="21" fillId="0" borderId="0" applyNumberFormat="0" applyFill="0" applyBorder="0" applyAlignment="0" applyProtection="0">
      <alignment vertical="top"/>
      <protection locked="0"/>
    </xf>
  </cellStyleXfs>
  <cellXfs count="424">
    <xf numFmtId="0" fontId="0" fillId="0" borderId="0" xfId="0"/>
    <xf numFmtId="0" fontId="0" fillId="0" borderId="0" xfId="0" applyAlignment="1">
      <alignment wrapText="1"/>
    </xf>
    <xf numFmtId="3" fontId="0" fillId="0" borderId="0" xfId="0" applyNumberFormat="1"/>
    <xf numFmtId="0" fontId="22" fillId="0" borderId="0" xfId="0" applyFont="1"/>
    <xf numFmtId="0" fontId="23" fillId="0" borderId="0" xfId="0" applyFont="1"/>
    <xf numFmtId="0" fontId="24" fillId="0" borderId="0" xfId="0" applyFont="1" applyAlignment="1">
      <alignment horizontal="left" indent="15"/>
    </xf>
    <xf numFmtId="8" fontId="24" fillId="0" borderId="0" xfId="0" applyNumberFormat="1" applyFont="1" applyAlignment="1">
      <alignment horizontal="left" indent="15"/>
    </xf>
    <xf numFmtId="164" fontId="0" fillId="0" borderId="0" xfId="0" applyNumberFormat="1"/>
    <xf numFmtId="9" fontId="0" fillId="0" borderId="0" xfId="0" applyNumberFormat="1"/>
    <xf numFmtId="3" fontId="0" fillId="0" borderId="0" xfId="0" applyNumberFormat="1" applyAlignment="1">
      <alignment horizontal="center" wrapText="1"/>
    </xf>
    <xf numFmtId="3" fontId="0" fillId="0" borderId="0" xfId="0" applyNumberFormat="1" applyAlignment="1">
      <alignment wrapText="1"/>
    </xf>
    <xf numFmtId="165" fontId="0" fillId="0" borderId="0" xfId="0" applyNumberFormat="1" applyAlignment="1">
      <alignment horizontal="center" wrapText="1"/>
    </xf>
    <xf numFmtId="165" fontId="0" fillId="0" borderId="0" xfId="0" applyNumberFormat="1" applyAlignment="1">
      <alignment wrapText="1"/>
    </xf>
    <xf numFmtId="3" fontId="25" fillId="0" borderId="0" xfId="0" applyNumberFormat="1" applyFont="1" applyAlignment="1">
      <alignment horizontal="right"/>
    </xf>
    <xf numFmtId="1" fontId="0" fillId="0" borderId="0" xfId="0" applyNumberFormat="1" applyAlignment="1">
      <alignment wrapText="1"/>
    </xf>
    <xf numFmtId="9" fontId="0" fillId="0" borderId="0" xfId="0" applyNumberFormat="1" applyAlignment="1">
      <alignment horizontal="center" wrapText="1"/>
    </xf>
    <xf numFmtId="0" fontId="26" fillId="0" borderId="0" xfId="0" applyFont="1" applyAlignment="1">
      <alignment horizontal="left" wrapText="1" indent="4"/>
    </xf>
    <xf numFmtId="165" fontId="0" fillId="0" borderId="0" xfId="0" applyNumberFormat="1"/>
    <xf numFmtId="165" fontId="0" fillId="0" borderId="1" xfId="0" applyNumberFormat="1" applyBorder="1" applyAlignment="1">
      <alignment horizontal="center" wrapText="1"/>
    </xf>
    <xf numFmtId="0" fontId="0" fillId="0" borderId="2" xfId="0" applyBorder="1" applyAlignment="1">
      <alignment wrapText="1"/>
    </xf>
    <xf numFmtId="165" fontId="21" fillId="0" borderId="0" xfId="5" applyNumberFormat="1" applyAlignment="1" applyProtection="1"/>
    <xf numFmtId="166" fontId="0" fillId="0" borderId="0" xfId="0" applyNumberFormat="1"/>
    <xf numFmtId="9" fontId="24" fillId="0" borderId="0" xfId="0" applyNumberFormat="1" applyFont="1" applyAlignment="1">
      <alignment horizontal="left" indent="15"/>
    </xf>
    <xf numFmtId="0" fontId="0" fillId="0" borderId="0" xfId="0" applyAlignment="1">
      <alignment horizontal="center"/>
    </xf>
    <xf numFmtId="165" fontId="4" fillId="0" borderId="0" xfId="5" applyNumberFormat="1" applyFont="1" applyAlignment="1" applyProtection="1">
      <alignment horizontal="center"/>
    </xf>
    <xf numFmtId="0" fontId="27" fillId="0" borderId="0" xfId="0" applyFont="1" applyAlignment="1">
      <alignment horizontal="left" wrapText="1" indent="1"/>
    </xf>
    <xf numFmtId="0" fontId="27" fillId="0" borderId="0" xfId="0" applyFont="1" applyAlignment="1">
      <alignment horizontal="left" wrapText="1" indent="8"/>
    </xf>
    <xf numFmtId="0" fontId="28" fillId="0" borderId="0" xfId="0" applyFont="1" applyAlignment="1">
      <alignment horizontal="left" indent="7"/>
    </xf>
    <xf numFmtId="0" fontId="23" fillId="0" borderId="0" xfId="0" applyFont="1" applyAlignment="1">
      <alignment horizontal="left" wrapText="1" indent="4"/>
    </xf>
    <xf numFmtId="3" fontId="0" fillId="0" borderId="0" xfId="0" applyNumberFormat="1" applyAlignment="1">
      <alignment horizontal="right" wrapText="1"/>
    </xf>
    <xf numFmtId="0" fontId="28" fillId="0" borderId="0" xfId="0" applyFont="1" applyAlignment="1">
      <alignment horizontal="left" indent="8"/>
    </xf>
    <xf numFmtId="0" fontId="29" fillId="0" borderId="0" xfId="0" applyFont="1"/>
    <xf numFmtId="0" fontId="30" fillId="0" borderId="0" xfId="0" applyFont="1" applyAlignment="1">
      <alignment horizontal="left" indent="5"/>
    </xf>
    <xf numFmtId="0" fontId="31" fillId="0" borderId="0" xfId="0" applyFont="1" applyAlignment="1">
      <alignment horizontal="left" indent="4"/>
    </xf>
    <xf numFmtId="0" fontId="32" fillId="0" borderId="0" xfId="0" applyFont="1" applyAlignment="1">
      <alignment horizontal="left" wrapText="1" indent="1"/>
    </xf>
    <xf numFmtId="0" fontId="33" fillId="0" borderId="0" xfId="0" applyFont="1" applyAlignment="1">
      <alignment horizontal="left" wrapText="1" indent="4"/>
    </xf>
    <xf numFmtId="166" fontId="22" fillId="0" borderId="0" xfId="0" applyNumberFormat="1" applyFont="1"/>
    <xf numFmtId="0" fontId="33" fillId="0" borderId="3" xfId="0" applyFont="1" applyBorder="1" applyAlignment="1">
      <alignment horizontal="left" wrapText="1" indent="4"/>
    </xf>
    <xf numFmtId="0" fontId="30" fillId="0" borderId="4" xfId="0" applyFont="1" applyBorder="1" applyAlignment="1">
      <alignment horizontal="left" wrapText="1" indent="4"/>
    </xf>
    <xf numFmtId="3" fontId="0" fillId="0" borderId="4" xfId="0" applyNumberFormat="1" applyBorder="1"/>
    <xf numFmtId="0" fontId="30" fillId="0" borderId="0" xfId="0" applyFont="1" applyAlignment="1">
      <alignment horizontal="left" wrapText="1" indent="4"/>
    </xf>
    <xf numFmtId="166" fontId="34" fillId="0" borderId="0" xfId="0" applyNumberFormat="1" applyFont="1"/>
    <xf numFmtId="3" fontId="34" fillId="0" borderId="0" xfId="0" applyNumberFormat="1" applyFont="1"/>
    <xf numFmtId="166" fontId="34" fillId="0" borderId="3" xfId="0" applyNumberFormat="1" applyFont="1" applyBorder="1"/>
    <xf numFmtId="9" fontId="0" fillId="0" borderId="4" xfId="0" applyNumberFormat="1" applyBorder="1"/>
    <xf numFmtId="0" fontId="35" fillId="0" borderId="0" xfId="0" applyFont="1" applyAlignment="1">
      <alignment horizontal="left" wrapText="1" indent="2"/>
    </xf>
    <xf numFmtId="0" fontId="35" fillId="0" borderId="4" xfId="0" applyFont="1" applyBorder="1" applyAlignment="1">
      <alignment horizontal="left" wrapText="1" indent="2"/>
    </xf>
    <xf numFmtId="3" fontId="22" fillId="0" borderId="4" xfId="0" applyNumberFormat="1" applyFont="1" applyBorder="1"/>
    <xf numFmtId="0" fontId="35" fillId="0" borderId="3" xfId="0" applyFont="1" applyBorder="1" applyAlignment="1">
      <alignment horizontal="left" wrapText="1" indent="2"/>
    </xf>
    <xf numFmtId="166" fontId="22" fillId="0" borderId="3" xfId="0" applyNumberFormat="1" applyFont="1" applyBorder="1"/>
    <xf numFmtId="0" fontId="36" fillId="0" borderId="0" xfId="0" applyFont="1" applyAlignment="1">
      <alignment horizontal="left" indent="3"/>
    </xf>
    <xf numFmtId="0" fontId="36" fillId="0" borderId="0" xfId="0" applyFont="1" applyAlignment="1">
      <alignment horizontal="left" indent="5"/>
    </xf>
    <xf numFmtId="0" fontId="36" fillId="0" borderId="0" xfId="0" applyFont="1" applyAlignment="1">
      <alignment horizontal="left" indent="9"/>
    </xf>
    <xf numFmtId="0" fontId="0" fillId="0" borderId="0" xfId="0" applyAlignment="1">
      <alignment horizontal="left" indent="5"/>
    </xf>
    <xf numFmtId="1" fontId="0" fillId="0" borderId="0" xfId="0" applyNumberFormat="1"/>
    <xf numFmtId="0" fontId="35" fillId="0" borderId="0" xfId="0" applyFont="1" applyAlignment="1">
      <alignment horizontal="left" indent="2"/>
    </xf>
    <xf numFmtId="0" fontId="0" fillId="0" borderId="0" xfId="0" applyAlignment="1">
      <alignment horizontal="left" indent="14"/>
    </xf>
    <xf numFmtId="10" fontId="0" fillId="0" borderId="0" xfId="0" applyNumberFormat="1"/>
    <xf numFmtId="0" fontId="30" fillId="0" borderId="0" xfId="0" applyFont="1" applyAlignment="1">
      <alignment horizontal="left" indent="7"/>
    </xf>
    <xf numFmtId="0" fontId="32" fillId="0" borderId="0" xfId="0" applyFont="1" applyAlignment="1">
      <alignment horizontal="left" indent="7"/>
    </xf>
    <xf numFmtId="0" fontId="27" fillId="0" borderId="0" xfId="0" applyFont="1" applyAlignment="1">
      <alignment horizontal="left" indent="3"/>
    </xf>
    <xf numFmtId="0" fontId="32" fillId="0" borderId="0" xfId="0" applyFont="1" applyAlignment="1">
      <alignment horizontal="left" indent="5"/>
    </xf>
    <xf numFmtId="6" fontId="0" fillId="0" borderId="0" xfId="0" applyNumberFormat="1"/>
    <xf numFmtId="8" fontId="0" fillId="0" borderId="0" xfId="0" applyNumberFormat="1"/>
    <xf numFmtId="164" fontId="0" fillId="0" borderId="0" xfId="0" applyNumberFormat="1" applyAlignment="1">
      <alignment horizontal="center" vertical="top"/>
    </xf>
    <xf numFmtId="0" fontId="24" fillId="0" borderId="0" xfId="0" applyFont="1" applyAlignment="1">
      <alignment horizontal="center" vertical="top"/>
    </xf>
    <xf numFmtId="0" fontId="0" fillId="0" borderId="0" xfId="0" applyAlignment="1">
      <alignment horizontal="center" vertical="top"/>
    </xf>
    <xf numFmtId="8" fontId="24" fillId="0" borderId="0" xfId="0" applyNumberFormat="1" applyFont="1" applyAlignment="1">
      <alignment horizontal="center" vertical="top"/>
    </xf>
    <xf numFmtId="3" fontId="0" fillId="0" borderId="0" xfId="0" applyNumberFormat="1" applyAlignment="1">
      <alignment horizontal="center" vertical="top"/>
    </xf>
    <xf numFmtId="0" fontId="22" fillId="0" borderId="0" xfId="0" applyFont="1" applyAlignment="1">
      <alignment wrapText="1"/>
    </xf>
    <xf numFmtId="0" fontId="22" fillId="0" borderId="0" xfId="0" applyFont="1" applyAlignment="1">
      <alignment horizontal="center" vertical="top"/>
    </xf>
    <xf numFmtId="0" fontId="22" fillId="0" borderId="0" xfId="0" applyFont="1" applyAlignment="1">
      <alignment horizontal="center" wrapText="1"/>
    </xf>
    <xf numFmtId="0" fontId="22" fillId="0" borderId="0" xfId="0" applyFont="1" applyAlignment="1">
      <alignment horizontal="center"/>
    </xf>
    <xf numFmtId="167" fontId="0" fillId="0" borderId="0" xfId="0" applyNumberFormat="1"/>
    <xf numFmtId="0" fontId="37" fillId="0" borderId="0" xfId="0" applyFont="1"/>
    <xf numFmtId="0" fontId="38" fillId="0" borderId="0" xfId="0" applyFont="1"/>
    <xf numFmtId="3" fontId="22" fillId="0" borderId="0" xfId="0" applyNumberFormat="1" applyFont="1"/>
    <xf numFmtId="0" fontId="0" fillId="0" borderId="5" xfId="0" applyBorder="1" applyAlignment="1">
      <alignment wrapText="1"/>
    </xf>
    <xf numFmtId="0" fontId="0" fillId="0" borderId="6" xfId="0" applyBorder="1"/>
    <xf numFmtId="0" fontId="22" fillId="5" borderId="7" xfId="0" applyFont="1" applyFill="1" applyBorder="1" applyAlignment="1">
      <alignment horizontal="center" wrapText="1"/>
    </xf>
    <xf numFmtId="0" fontId="22" fillId="5" borderId="8" xfId="0" applyFont="1" applyFill="1" applyBorder="1" applyAlignment="1">
      <alignment horizontal="center" wrapText="1"/>
    </xf>
    <xf numFmtId="6" fontId="39" fillId="0" borderId="0" xfId="0" applyNumberFormat="1" applyFont="1"/>
    <xf numFmtId="0" fontId="40" fillId="0" borderId="0" xfId="0" applyFont="1" applyAlignment="1">
      <alignment horizontal="left" indent="5"/>
    </xf>
    <xf numFmtId="0" fontId="41" fillId="0" borderId="9" xfId="0" applyFont="1" applyBorder="1" applyAlignment="1">
      <alignment horizontal="center" wrapText="1"/>
    </xf>
    <xf numFmtId="3" fontId="24" fillId="0" borderId="9" xfId="0" applyNumberFormat="1" applyFont="1" applyBorder="1" applyAlignment="1">
      <alignment vertical="top" wrapText="1"/>
    </xf>
    <xf numFmtId="3" fontId="41" fillId="6" borderId="9" xfId="0" applyNumberFormat="1" applyFont="1" applyFill="1" applyBorder="1" applyAlignment="1">
      <alignment horizontal="center" vertical="top"/>
    </xf>
    <xf numFmtId="3" fontId="41" fillId="6" borderId="9" xfId="0" applyNumberFormat="1" applyFont="1" applyFill="1" applyBorder="1" applyAlignment="1">
      <alignment vertical="top" wrapText="1"/>
    </xf>
    <xf numFmtId="166" fontId="41" fillId="6" borderId="9" xfId="0" applyNumberFormat="1" applyFont="1" applyFill="1" applyBorder="1" applyAlignment="1">
      <alignment horizontal="center" vertical="top"/>
    </xf>
    <xf numFmtId="3" fontId="41" fillId="0" borderId="9" xfId="0" applyNumberFormat="1" applyFont="1" applyBorder="1" applyAlignment="1">
      <alignment horizontal="center" vertical="top" wrapText="1"/>
    </xf>
    <xf numFmtId="3" fontId="41" fillId="0" borderId="9" xfId="0" applyNumberFormat="1" applyFont="1" applyBorder="1" applyAlignment="1">
      <alignment horizontal="center" vertical="top"/>
    </xf>
    <xf numFmtId="0" fontId="41" fillId="0" borderId="9" xfId="0" applyFont="1" applyBorder="1" applyAlignment="1">
      <alignment horizontal="center" vertical="top" wrapText="1"/>
    </xf>
    <xf numFmtId="3" fontId="41" fillId="0" borderId="9" xfId="0" applyNumberFormat="1" applyFont="1" applyBorder="1" applyAlignment="1">
      <alignment vertical="top" wrapText="1"/>
    </xf>
    <xf numFmtId="3" fontId="24" fillId="0" borderId="9" xfId="0" applyNumberFormat="1" applyFont="1" applyBorder="1" applyAlignment="1">
      <alignment horizontal="center" vertical="top"/>
    </xf>
    <xf numFmtId="166" fontId="24" fillId="0" borderId="9" xfId="0" applyNumberFormat="1" applyFont="1" applyBorder="1" applyAlignment="1">
      <alignment horizontal="center" vertical="top"/>
    </xf>
    <xf numFmtId="0" fontId="41" fillId="0" borderId="9" xfId="0" applyFont="1" applyBorder="1" applyAlignment="1">
      <alignment vertical="top" wrapText="1"/>
    </xf>
    <xf numFmtId="166" fontId="24" fillId="0" borderId="9" xfId="0" applyNumberFormat="1" applyFont="1" applyBorder="1" applyAlignment="1">
      <alignment horizontal="center" vertical="top" wrapText="1"/>
    </xf>
    <xf numFmtId="0" fontId="21" fillId="0" borderId="0" xfId="5" applyAlignment="1" applyProtection="1"/>
    <xf numFmtId="0" fontId="0" fillId="5" borderId="0" xfId="0" applyFill="1" applyAlignment="1">
      <alignment wrapText="1"/>
    </xf>
    <xf numFmtId="3" fontId="0" fillId="5" borderId="0" xfId="0" applyNumberFormat="1" applyFill="1" applyAlignment="1">
      <alignment horizontal="center" wrapText="1"/>
    </xf>
    <xf numFmtId="3" fontId="0" fillId="5" borderId="0" xfId="0" applyNumberFormat="1" applyFill="1"/>
    <xf numFmtId="1" fontId="0" fillId="5" borderId="0" xfId="0" applyNumberFormat="1" applyFill="1" applyAlignment="1">
      <alignment horizontal="center" wrapText="1"/>
    </xf>
    <xf numFmtId="8" fontId="0" fillId="0" borderId="0" xfId="0" applyNumberFormat="1" applyAlignment="1">
      <alignment horizontal="center" vertical="top"/>
    </xf>
    <xf numFmtId="6" fontId="0" fillId="0" borderId="0" xfId="0" applyNumberFormat="1" applyAlignment="1">
      <alignment horizontal="center" vertical="top"/>
    </xf>
    <xf numFmtId="0" fontId="22" fillId="5" borderId="9" xfId="0" applyFont="1" applyFill="1" applyBorder="1" applyAlignment="1">
      <alignment wrapText="1"/>
    </xf>
    <xf numFmtId="3" fontId="0" fillId="0" borderId="9" xfId="0" applyNumberFormat="1" applyBorder="1"/>
    <xf numFmtId="0" fontId="0" fillId="0" borderId="9" xfId="0" applyBorder="1"/>
    <xf numFmtId="165" fontId="0" fillId="0" borderId="9" xfId="0" applyNumberFormat="1" applyBorder="1" applyAlignment="1">
      <alignment wrapText="1"/>
    </xf>
    <xf numFmtId="3" fontId="42" fillId="0" borderId="9" xfId="0" applyNumberFormat="1" applyFont="1" applyBorder="1"/>
    <xf numFmtId="3" fontId="0" fillId="7" borderId="9" xfId="0" applyNumberFormat="1" applyFill="1" applyBorder="1"/>
    <xf numFmtId="3" fontId="22" fillId="0" borderId="9" xfId="0" applyNumberFormat="1" applyFont="1" applyBorder="1"/>
    <xf numFmtId="0" fontId="0" fillId="0" borderId="0" xfId="0" applyAlignment="1">
      <alignment horizontal="center" vertical="top" wrapText="1"/>
    </xf>
    <xf numFmtId="0" fontId="0" fillId="0" borderId="9" xfId="0" applyBorder="1" applyAlignment="1">
      <alignment wrapText="1"/>
    </xf>
    <xf numFmtId="0" fontId="0" fillId="0" borderId="10" xfId="0" applyBorder="1" applyAlignment="1">
      <alignment wrapText="1"/>
    </xf>
    <xf numFmtId="0" fontId="43" fillId="0" borderId="0" xfId="0" applyFont="1"/>
    <xf numFmtId="0" fontId="0" fillId="0" borderId="6" xfId="0" applyBorder="1" applyAlignment="1">
      <alignment wrapText="1"/>
    </xf>
    <xf numFmtId="0" fontId="0" fillId="0" borderId="3" xfId="0" applyBorder="1" applyAlignment="1">
      <alignment wrapText="1"/>
    </xf>
    <xf numFmtId="0" fontId="0" fillId="0" borderId="11" xfId="0" applyBorder="1" applyAlignment="1">
      <alignment wrapText="1"/>
    </xf>
    <xf numFmtId="0" fontId="22" fillId="0" borderId="12" xfId="0" applyFont="1" applyBorder="1" applyAlignment="1">
      <alignment wrapText="1"/>
    </xf>
    <xf numFmtId="0" fontId="22" fillId="0" borderId="13" xfId="0" applyFont="1" applyBorder="1" applyAlignment="1">
      <alignment wrapText="1"/>
    </xf>
    <xf numFmtId="0" fontId="22" fillId="0" borderId="14" xfId="0" applyFont="1" applyBorder="1" applyAlignment="1">
      <alignment wrapText="1"/>
    </xf>
    <xf numFmtId="0" fontId="0" fillId="8" borderId="0" xfId="0" applyFill="1"/>
    <xf numFmtId="8" fontId="24" fillId="8" borderId="0" xfId="0" applyNumberFormat="1" applyFont="1" applyFill="1" applyAlignment="1">
      <alignment horizontal="left" indent="15"/>
    </xf>
    <xf numFmtId="0" fontId="24" fillId="8" borderId="0" xfId="0" applyFont="1" applyFill="1" applyAlignment="1">
      <alignment horizontal="left" indent="15"/>
    </xf>
    <xf numFmtId="165" fontId="0" fillId="8" borderId="0" xfId="0" applyNumberFormat="1" applyFill="1"/>
    <xf numFmtId="3" fontId="0" fillId="8" borderId="0" xfId="0" applyNumberFormat="1" applyFill="1"/>
    <xf numFmtId="3" fontId="44" fillId="0" borderId="0" xfId="0" applyNumberFormat="1" applyFont="1"/>
    <xf numFmtId="6" fontId="44" fillId="0" borderId="0" xfId="0" applyNumberFormat="1" applyFont="1"/>
    <xf numFmtId="164" fontId="44" fillId="0" borderId="0" xfId="0" applyNumberFormat="1" applyFont="1"/>
    <xf numFmtId="8" fontId="44" fillId="0" borderId="0" xfId="0" applyNumberFormat="1" applyFont="1"/>
    <xf numFmtId="6" fontId="44" fillId="0" borderId="0" xfId="0" applyNumberFormat="1" applyFont="1" applyAlignment="1">
      <alignment vertical="top"/>
    </xf>
    <xf numFmtId="166" fontId="24" fillId="0" borderId="9" xfId="0" applyNumberFormat="1" applyFont="1" applyBorder="1" applyAlignment="1">
      <alignment vertical="top" wrapText="1"/>
    </xf>
    <xf numFmtId="166" fontId="41" fillId="6" borderId="9" xfId="0" applyNumberFormat="1" applyFont="1" applyFill="1" applyBorder="1" applyAlignment="1">
      <alignment vertical="top" wrapText="1"/>
    </xf>
    <xf numFmtId="0" fontId="0" fillId="9" borderId="0" xfId="0" applyFill="1"/>
    <xf numFmtId="0" fontId="22" fillId="10" borderId="0" xfId="0" applyFont="1" applyFill="1"/>
    <xf numFmtId="0" fontId="42" fillId="0" borderId="0" xfId="0" applyFont="1" applyAlignment="1">
      <alignment wrapText="1"/>
    </xf>
    <xf numFmtId="3" fontId="0" fillId="11" borderId="0" xfId="0" applyNumberFormat="1" applyFill="1"/>
    <xf numFmtId="0" fontId="0" fillId="11" borderId="0" xfId="0" applyFill="1"/>
    <xf numFmtId="166" fontId="0" fillId="11" borderId="0" xfId="0" applyNumberFormat="1" applyFill="1"/>
    <xf numFmtId="6" fontId="0" fillId="11" borderId="0" xfId="0" applyNumberFormat="1" applyFill="1"/>
    <xf numFmtId="0" fontId="45" fillId="0" borderId="0" xfId="0" applyFont="1"/>
    <xf numFmtId="17" fontId="0" fillId="0" borderId="0" xfId="0" applyNumberFormat="1"/>
    <xf numFmtId="0" fontId="20" fillId="2" borderId="9" xfId="1" applyBorder="1"/>
    <xf numFmtId="0" fontId="20" fillId="3" borderId="9" xfId="2" applyBorder="1"/>
    <xf numFmtId="0" fontId="20" fillId="4" borderId="9" xfId="3" applyBorder="1"/>
    <xf numFmtId="0" fontId="0" fillId="0" borderId="15" xfId="0" applyBorder="1"/>
    <xf numFmtId="0" fontId="0" fillId="0" borderId="16" xfId="0" applyBorder="1"/>
    <xf numFmtId="0" fontId="0" fillId="0" borderId="5" xfId="0" applyBorder="1"/>
    <xf numFmtId="3" fontId="0" fillId="0" borderId="6" xfId="0" applyNumberFormat="1" applyBorder="1"/>
    <xf numFmtId="0" fontId="0" fillId="0" borderId="10" xfId="0" applyBorder="1"/>
    <xf numFmtId="3" fontId="0" fillId="0" borderId="11" xfId="0" applyNumberFormat="1" applyBorder="1"/>
    <xf numFmtId="0" fontId="0" fillId="0" borderId="0" xfId="0" quotePrefix="1" applyAlignment="1">
      <alignment horizontal="center" vertical="top"/>
    </xf>
    <xf numFmtId="3" fontId="41" fillId="0" borderId="0" xfId="0" applyNumberFormat="1" applyFont="1" applyAlignment="1">
      <alignment vertical="top"/>
    </xf>
    <xf numFmtId="3" fontId="0" fillId="7" borderId="0" xfId="0" applyNumberFormat="1" applyFill="1"/>
    <xf numFmtId="0" fontId="46" fillId="0" borderId="0" xfId="0" applyFont="1" applyAlignment="1">
      <alignment horizontal="center" vertical="top"/>
    </xf>
    <xf numFmtId="0" fontId="42" fillId="0" borderId="0" xfId="0" applyFont="1" applyAlignment="1">
      <alignment horizontal="center" vertical="top"/>
    </xf>
    <xf numFmtId="8" fontId="46" fillId="0" borderId="0" xfId="0" applyNumberFormat="1" applyFont="1" applyAlignment="1">
      <alignment horizontal="center" vertical="top"/>
    </xf>
    <xf numFmtId="3" fontId="41" fillId="0" borderId="9" xfId="0" applyNumberFormat="1" applyFont="1" applyBorder="1" applyAlignment="1">
      <alignment horizontal="center" wrapText="1"/>
    </xf>
    <xf numFmtId="3" fontId="41" fillId="0" borderId="9" xfId="0" applyNumberFormat="1" applyFont="1" applyBorder="1" applyAlignment="1">
      <alignment horizontal="center"/>
    </xf>
    <xf numFmtId="0" fontId="47" fillId="0" borderId="0" xfId="0" applyFont="1" applyAlignment="1">
      <alignment horizontal="center"/>
    </xf>
    <xf numFmtId="0" fontId="48" fillId="0" borderId="0" xfId="0" applyFont="1" applyAlignment="1">
      <alignment horizontal="center" wrapText="1"/>
    </xf>
    <xf numFmtId="0" fontId="49" fillId="0" borderId="0" xfId="0" applyFont="1" applyAlignment="1">
      <alignment horizontal="center" wrapText="1"/>
    </xf>
    <xf numFmtId="0" fontId="49" fillId="0" borderId="0" xfId="0" applyFont="1" applyAlignment="1">
      <alignment horizontal="center"/>
    </xf>
    <xf numFmtId="0" fontId="50" fillId="0" borderId="0" xfId="0" applyFont="1" applyAlignment="1">
      <alignment vertical="center"/>
    </xf>
    <xf numFmtId="0" fontId="50" fillId="0" borderId="0" xfId="0" applyFont="1" applyAlignment="1">
      <alignment horizontal="center" vertical="top"/>
    </xf>
    <xf numFmtId="0" fontId="49" fillId="0" borderId="0" xfId="0" applyFont="1" applyAlignment="1">
      <alignment horizontal="center" vertical="top"/>
    </xf>
    <xf numFmtId="0" fontId="50" fillId="0" borderId="0" xfId="0" applyFont="1"/>
    <xf numFmtId="3" fontId="50" fillId="0" borderId="0" xfId="0" applyNumberFormat="1" applyFont="1" applyAlignment="1">
      <alignment horizontal="center"/>
    </xf>
    <xf numFmtId="0" fontId="50" fillId="0" borderId="0" xfId="0" applyFont="1" applyAlignment="1">
      <alignment horizontal="left" wrapText="1"/>
    </xf>
    <xf numFmtId="0" fontId="49" fillId="0" borderId="0" xfId="0" applyFont="1"/>
    <xf numFmtId="3" fontId="0" fillId="12" borderId="0" xfId="0" applyNumberFormat="1" applyFill="1"/>
    <xf numFmtId="3" fontId="0" fillId="13" borderId="0" xfId="0" applyNumberFormat="1" applyFill="1"/>
    <xf numFmtId="3" fontId="0" fillId="0" borderId="9" xfId="0" applyNumberFormat="1" applyBorder="1" applyAlignment="1">
      <alignment horizontal="center"/>
    </xf>
    <xf numFmtId="0" fontId="0" fillId="0" borderId="9" xfId="0" applyBorder="1" applyAlignment="1">
      <alignment horizontal="center"/>
    </xf>
    <xf numFmtId="166" fontId="0" fillId="0" borderId="9" xfId="0" applyNumberFormat="1" applyBorder="1"/>
    <xf numFmtId="9" fontId="0" fillId="0" borderId="9" xfId="0" applyNumberFormat="1" applyBorder="1"/>
    <xf numFmtId="0" fontId="0" fillId="14" borderId="9" xfId="0" applyFill="1" applyBorder="1"/>
    <xf numFmtId="0" fontId="22" fillId="15" borderId="9" xfId="0" applyFont="1" applyFill="1" applyBorder="1"/>
    <xf numFmtId="0" fontId="22" fillId="12" borderId="9" xfId="0" applyFont="1" applyFill="1" applyBorder="1" applyAlignment="1">
      <alignment horizontal="center" vertical="center" wrapText="1"/>
    </xf>
    <xf numFmtId="0" fontId="22" fillId="12" borderId="9" xfId="0" applyFont="1" applyFill="1" applyBorder="1" applyAlignment="1">
      <alignment horizontal="center" wrapText="1"/>
    </xf>
    <xf numFmtId="166" fontId="22" fillId="13" borderId="9" xfId="0" applyNumberFormat="1" applyFont="1" applyFill="1" applyBorder="1" applyAlignment="1">
      <alignment horizontal="center" wrapText="1"/>
    </xf>
    <xf numFmtId="0" fontId="22" fillId="13" borderId="9" xfId="0" applyFont="1" applyFill="1" applyBorder="1" applyAlignment="1">
      <alignment horizontal="center" wrapText="1"/>
    </xf>
    <xf numFmtId="0" fontId="20" fillId="2" borderId="7" xfId="1" applyBorder="1"/>
    <xf numFmtId="3" fontId="0" fillId="0" borderId="7" xfId="0" applyNumberFormat="1" applyBorder="1" applyAlignment="1">
      <alignment horizontal="center"/>
    </xf>
    <xf numFmtId="0" fontId="0" fillId="0" borderId="7" xfId="0" applyBorder="1" applyAlignment="1">
      <alignment horizontal="center"/>
    </xf>
    <xf numFmtId="166" fontId="0" fillId="0" borderId="7" xfId="0" applyNumberFormat="1" applyBorder="1"/>
    <xf numFmtId="9" fontId="0" fillId="0" borderId="7" xfId="0" applyNumberFormat="1" applyBorder="1"/>
    <xf numFmtId="3" fontId="0" fillId="0" borderId="7" xfId="0" applyNumberFormat="1" applyBorder="1"/>
    <xf numFmtId="0" fontId="20" fillId="4" borderId="8" xfId="3" applyBorder="1"/>
    <xf numFmtId="3" fontId="0" fillId="0" borderId="8" xfId="0" applyNumberFormat="1" applyBorder="1" applyAlignment="1">
      <alignment horizontal="center"/>
    </xf>
    <xf numFmtId="0" fontId="0" fillId="0" borderId="8" xfId="0" applyBorder="1" applyAlignment="1">
      <alignment horizontal="center"/>
    </xf>
    <xf numFmtId="166" fontId="0" fillId="0" borderId="8" xfId="0" applyNumberFormat="1" applyBorder="1"/>
    <xf numFmtId="9" fontId="0" fillId="0" borderId="8" xfId="0" applyNumberFormat="1" applyBorder="1"/>
    <xf numFmtId="3" fontId="0" fillId="0" borderId="8" xfId="0" applyNumberFormat="1" applyBorder="1"/>
    <xf numFmtId="0" fontId="20" fillId="3" borderId="17" xfId="2" applyBorder="1"/>
    <xf numFmtId="3" fontId="0" fillId="0" borderId="17" xfId="0" applyNumberFormat="1" applyBorder="1" applyAlignment="1">
      <alignment horizontal="center"/>
    </xf>
    <xf numFmtId="0" fontId="0" fillId="0" borderId="17" xfId="0" applyBorder="1" applyAlignment="1">
      <alignment horizontal="center"/>
    </xf>
    <xf numFmtId="166" fontId="0" fillId="0" borderId="17" xfId="0" applyNumberFormat="1" applyBorder="1"/>
    <xf numFmtId="9" fontId="0" fillId="0" borderId="17" xfId="0" applyNumberFormat="1" applyBorder="1"/>
    <xf numFmtId="3" fontId="0" fillId="0" borderId="17" xfId="0" applyNumberFormat="1" applyBorder="1"/>
    <xf numFmtId="0" fontId="20" fillId="3" borderId="18" xfId="2" applyBorder="1"/>
    <xf numFmtId="3" fontId="0" fillId="0" borderId="18" xfId="0" applyNumberFormat="1" applyBorder="1" applyAlignment="1">
      <alignment horizontal="center"/>
    </xf>
    <xf numFmtId="0" fontId="0" fillId="0" borderId="18" xfId="0" applyBorder="1" applyAlignment="1">
      <alignment horizontal="center"/>
    </xf>
    <xf numFmtId="166" fontId="0" fillId="0" borderId="18" xfId="0" applyNumberFormat="1" applyBorder="1"/>
    <xf numFmtId="9" fontId="0" fillId="0" borderId="18" xfId="0" applyNumberFormat="1" applyBorder="1"/>
    <xf numFmtId="3" fontId="0" fillId="0" borderId="18" xfId="0" applyNumberFormat="1" applyBorder="1"/>
    <xf numFmtId="0" fontId="0" fillId="0" borderId="8" xfId="0" applyBorder="1"/>
    <xf numFmtId="0" fontId="22" fillId="4" borderId="8" xfId="3" applyFont="1" applyBorder="1"/>
    <xf numFmtId="0" fontId="20" fillId="4" borderId="18" xfId="3" applyBorder="1"/>
    <xf numFmtId="3" fontId="22" fillId="0" borderId="8" xfId="0" applyNumberFormat="1" applyFont="1" applyBorder="1"/>
    <xf numFmtId="0" fontId="22" fillId="0" borderId="8" xfId="0" applyFont="1" applyBorder="1"/>
    <xf numFmtId="166" fontId="22" fillId="0" borderId="8" xfId="0" applyNumberFormat="1" applyFont="1" applyBorder="1"/>
    <xf numFmtId="9" fontId="22" fillId="0" borderId="8" xfId="0" applyNumberFormat="1" applyFont="1" applyBorder="1"/>
    <xf numFmtId="0" fontId="22" fillId="13" borderId="9" xfId="0" applyFont="1" applyFill="1" applyBorder="1" applyAlignment="1">
      <alignment wrapText="1"/>
    </xf>
    <xf numFmtId="0" fontId="22" fillId="16" borderId="9" xfId="0" applyFont="1" applyFill="1" applyBorder="1" applyAlignment="1">
      <alignment wrapText="1"/>
    </xf>
    <xf numFmtId="0" fontId="22" fillId="16" borderId="12" xfId="0" applyFont="1" applyFill="1" applyBorder="1" applyAlignment="1">
      <alignment wrapText="1"/>
    </xf>
    <xf numFmtId="0" fontId="22" fillId="16" borderId="19" xfId="0" applyFont="1" applyFill="1" applyBorder="1" applyAlignment="1">
      <alignment wrapText="1"/>
    </xf>
    <xf numFmtId="0" fontId="22" fillId="16" borderId="20" xfId="0" applyFont="1" applyFill="1" applyBorder="1" applyAlignment="1">
      <alignment wrapText="1"/>
    </xf>
    <xf numFmtId="3" fontId="0" fillId="0" borderId="19" xfId="0" applyNumberFormat="1" applyBorder="1"/>
    <xf numFmtId="3" fontId="0" fillId="7" borderId="20" xfId="0" applyNumberFormat="1" applyFill="1" applyBorder="1"/>
    <xf numFmtId="3" fontId="0" fillId="7" borderId="19" xfId="0" applyNumberFormat="1" applyFill="1" applyBorder="1"/>
    <xf numFmtId="3" fontId="0" fillId="0" borderId="20" xfId="0" applyNumberFormat="1" applyBorder="1"/>
    <xf numFmtId="3" fontId="22" fillId="0" borderId="19" xfId="0" applyNumberFormat="1" applyFont="1" applyBorder="1"/>
    <xf numFmtId="3" fontId="22" fillId="0" borderId="20" xfId="0" applyNumberFormat="1" applyFont="1" applyBorder="1"/>
    <xf numFmtId="3" fontId="22" fillId="0" borderId="21" xfId="0" applyNumberFormat="1" applyFont="1" applyBorder="1"/>
    <xf numFmtId="3" fontId="22" fillId="0" borderId="18" xfId="0" applyNumberFormat="1" applyFont="1" applyBorder="1"/>
    <xf numFmtId="3" fontId="22" fillId="0" borderId="22" xfId="0" applyNumberFormat="1" applyFont="1" applyBorder="1"/>
    <xf numFmtId="3" fontId="0" fillId="0" borderId="23" xfId="0" applyNumberFormat="1" applyBorder="1"/>
    <xf numFmtId="3" fontId="0" fillId="0" borderId="24" xfId="0" applyNumberFormat="1" applyBorder="1"/>
    <xf numFmtId="165" fontId="0" fillId="0" borderId="12" xfId="0" applyNumberFormat="1" applyBorder="1" applyAlignment="1">
      <alignment wrapText="1"/>
    </xf>
    <xf numFmtId="0" fontId="0" fillId="0" borderId="12" xfId="0" applyBorder="1" applyAlignment="1">
      <alignment wrapText="1"/>
    </xf>
    <xf numFmtId="165" fontId="22" fillId="0" borderId="12" xfId="0" applyNumberFormat="1" applyFont="1" applyBorder="1" applyAlignment="1">
      <alignment wrapText="1"/>
    </xf>
    <xf numFmtId="0" fontId="22" fillId="6" borderId="25" xfId="0" applyFont="1" applyFill="1" applyBorder="1" applyAlignment="1">
      <alignment horizontal="center" wrapText="1"/>
    </xf>
    <xf numFmtId="0" fontId="0" fillId="0" borderId="18" xfId="0" applyBorder="1"/>
    <xf numFmtId="0" fontId="0" fillId="0" borderId="22" xfId="0" applyBorder="1"/>
    <xf numFmtId="10" fontId="0" fillId="0" borderId="20" xfId="0" applyNumberFormat="1" applyBorder="1"/>
    <xf numFmtId="0" fontId="0" fillId="0" borderId="20" xfId="0" applyBorder="1"/>
    <xf numFmtId="10" fontId="22" fillId="0" borderId="20" xfId="0" applyNumberFormat="1" applyFont="1" applyBorder="1"/>
    <xf numFmtId="0" fontId="22" fillId="13" borderId="19" xfId="0" applyFont="1" applyFill="1" applyBorder="1" applyAlignment="1">
      <alignment horizontal="center" wrapText="1"/>
    </xf>
    <xf numFmtId="0" fontId="22" fillId="13" borderId="20" xfId="0" applyFont="1" applyFill="1" applyBorder="1" applyAlignment="1">
      <alignment horizontal="center" wrapText="1"/>
    </xf>
    <xf numFmtId="0" fontId="22" fillId="13" borderId="11" xfId="0" applyFont="1" applyFill="1" applyBorder="1" applyAlignment="1">
      <alignment horizontal="center" wrapText="1"/>
    </xf>
    <xf numFmtId="0" fontId="22" fillId="16" borderId="11" xfId="0" applyFont="1" applyFill="1" applyBorder="1" applyAlignment="1">
      <alignment horizontal="center" wrapText="1"/>
    </xf>
    <xf numFmtId="0" fontId="51" fillId="0" borderId="0" xfId="0" applyFont="1" applyAlignment="1">
      <alignment horizontal="left" wrapText="1" indent="4"/>
    </xf>
    <xf numFmtId="0" fontId="52" fillId="0" borderId="0" xfId="0" applyFont="1" applyAlignment="1">
      <alignment horizontal="left" wrapText="1" indent="1"/>
    </xf>
    <xf numFmtId="0" fontId="35" fillId="0" borderId="0" xfId="0" applyFont="1" applyAlignment="1">
      <alignment horizontal="left" indent="7"/>
    </xf>
    <xf numFmtId="0" fontId="36" fillId="0" borderId="0" xfId="0" applyFont="1" applyAlignment="1">
      <alignment horizontal="left" wrapText="1" indent="1"/>
    </xf>
    <xf numFmtId="0" fontId="52" fillId="0" borderId="0" xfId="0" applyFont="1" applyAlignment="1">
      <alignment horizontal="left" wrapText="1" indent="8"/>
    </xf>
    <xf numFmtId="0" fontId="52" fillId="0" borderId="0" xfId="0" applyFont="1" applyAlignment="1">
      <alignment horizontal="left" wrapText="1" indent="4"/>
    </xf>
    <xf numFmtId="0" fontId="36" fillId="0" borderId="0" xfId="0" applyFont="1"/>
    <xf numFmtId="0" fontId="36" fillId="0" borderId="0" xfId="0" applyFont="1" applyAlignment="1">
      <alignment horizontal="left" indent="7"/>
    </xf>
    <xf numFmtId="0" fontId="52" fillId="0" borderId="0" xfId="0" applyFont="1" applyAlignment="1">
      <alignment horizontal="left" indent="3"/>
    </xf>
    <xf numFmtId="0" fontId="35" fillId="0" borderId="0" xfId="0" applyFont="1" applyAlignment="1">
      <alignment horizontal="left" indent="14"/>
    </xf>
    <xf numFmtId="0" fontId="0" fillId="0" borderId="9" xfId="0" applyBorder="1" applyAlignment="1">
      <alignment horizontal="center" vertical="top"/>
    </xf>
    <xf numFmtId="3" fontId="0" fillId="0" borderId="9" xfId="0" applyNumberFormat="1" applyBorder="1" applyAlignment="1">
      <alignment wrapText="1"/>
    </xf>
    <xf numFmtId="168" fontId="20" fillId="0" borderId="9" xfId="4" applyNumberFormat="1" applyBorder="1"/>
    <xf numFmtId="0" fontId="53" fillId="17" borderId="9" xfId="0" applyFont="1" applyFill="1" applyBorder="1" applyAlignment="1">
      <alignment horizontal="center" wrapText="1"/>
    </xf>
    <xf numFmtId="0" fontId="0" fillId="13" borderId="9" xfId="0" applyFill="1" applyBorder="1"/>
    <xf numFmtId="0" fontId="0" fillId="13" borderId="9" xfId="0" applyFill="1" applyBorder="1" applyAlignment="1">
      <alignment horizontal="center"/>
    </xf>
    <xf numFmtId="168" fontId="20" fillId="13" borderId="9" xfId="4" applyNumberFormat="1" applyFill="1" applyBorder="1"/>
    <xf numFmtId="3" fontId="0" fillId="13" borderId="9" xfId="0" applyNumberFormat="1" applyFill="1" applyBorder="1"/>
    <xf numFmtId="0" fontId="22" fillId="18" borderId="0" xfId="0" applyFont="1" applyFill="1" applyAlignment="1">
      <alignment horizontal="center"/>
    </xf>
    <xf numFmtId="8" fontId="23" fillId="0" borderId="0" xfId="0" applyNumberFormat="1" applyFont="1"/>
    <xf numFmtId="0" fontId="56" fillId="0" borderId="32" xfId="0" applyFont="1" applyBorder="1" applyAlignment="1">
      <alignment horizontal="center" vertical="center" wrapText="1"/>
    </xf>
    <xf numFmtId="0" fontId="56" fillId="0" borderId="32" xfId="0" applyFont="1" applyBorder="1" applyAlignment="1">
      <alignment vertical="center" wrapText="1"/>
    </xf>
    <xf numFmtId="0" fontId="37" fillId="0" borderId="33" xfId="0" applyFont="1" applyBorder="1" applyAlignment="1">
      <alignment vertical="center" wrapText="1"/>
    </xf>
    <xf numFmtId="0" fontId="37" fillId="0" borderId="32" xfId="0" applyFont="1" applyBorder="1" applyAlignment="1">
      <alignment vertical="center" wrapText="1"/>
    </xf>
    <xf numFmtId="0" fontId="22" fillId="20" borderId="0" xfId="0" applyFont="1" applyFill="1"/>
    <xf numFmtId="0" fontId="0" fillId="20" borderId="0" xfId="0" applyFill="1"/>
    <xf numFmtId="0" fontId="54" fillId="20" borderId="0" xfId="0" applyFont="1" applyFill="1"/>
    <xf numFmtId="0" fontId="55" fillId="20" borderId="0" xfId="0" applyFont="1" applyFill="1"/>
    <xf numFmtId="0" fontId="22" fillId="17" borderId="0" xfId="0" applyFont="1" applyFill="1"/>
    <xf numFmtId="0" fontId="22" fillId="17" borderId="0" xfId="0" applyFont="1" applyFill="1" applyAlignment="1">
      <alignment horizontal="center" wrapText="1"/>
    </xf>
    <xf numFmtId="0" fontId="0" fillId="17" borderId="0" xfId="0" applyFill="1"/>
    <xf numFmtId="165" fontId="16" fillId="17" borderId="0" xfId="5" applyNumberFormat="1" applyFont="1" applyFill="1" applyAlignment="1" applyProtection="1">
      <alignment horizontal="left" wrapText="1"/>
    </xf>
    <xf numFmtId="165" fontId="16" fillId="17" borderId="0" xfId="5" applyNumberFormat="1" applyFont="1" applyFill="1" applyAlignment="1" applyProtection="1">
      <alignment horizontal="center" wrapText="1"/>
    </xf>
    <xf numFmtId="0" fontId="22" fillId="12" borderId="0" xfId="0" applyFont="1" applyFill="1"/>
    <xf numFmtId="0" fontId="54" fillId="19" borderId="0" xfId="0" applyFont="1" applyFill="1"/>
    <xf numFmtId="0" fontId="54" fillId="0" borderId="0" xfId="0" applyFont="1"/>
    <xf numFmtId="0" fontId="0" fillId="0" borderId="0" xfId="0" applyAlignment="1">
      <alignment horizontal="left" vertical="top"/>
    </xf>
    <xf numFmtId="0" fontId="22" fillId="17" borderId="0" xfId="0" applyFont="1" applyFill="1" applyAlignment="1">
      <alignment horizontal="center"/>
    </xf>
    <xf numFmtId="0" fontId="22" fillId="17" borderId="0" xfId="0" applyFont="1" applyFill="1" applyAlignment="1">
      <alignment horizontal="center" vertical="top"/>
    </xf>
    <xf numFmtId="0" fontId="38" fillId="0" borderId="0" xfId="0" applyFont="1" applyAlignment="1">
      <alignment vertical="center"/>
    </xf>
    <xf numFmtId="3" fontId="39" fillId="0" borderId="0" xfId="0" applyNumberFormat="1" applyFont="1"/>
    <xf numFmtId="0" fontId="39" fillId="0" borderId="0" xfId="0" applyFont="1"/>
    <xf numFmtId="166" fontId="39" fillId="0" borderId="0" xfId="0" applyNumberFormat="1" applyFont="1"/>
    <xf numFmtId="0" fontId="56" fillId="0" borderId="33" xfId="0" applyFont="1" applyBorder="1" applyAlignment="1">
      <alignment vertical="center" wrapText="1"/>
    </xf>
    <xf numFmtId="0" fontId="0" fillId="0" borderId="32" xfId="0" applyBorder="1" applyAlignment="1">
      <alignment vertical="center" wrapText="1"/>
    </xf>
    <xf numFmtId="3" fontId="37" fillId="0" borderId="32" xfId="0" applyNumberFormat="1" applyFont="1" applyBorder="1" applyAlignment="1">
      <alignment vertical="center" wrapText="1"/>
    </xf>
    <xf numFmtId="8" fontId="0" fillId="0" borderId="32" xfId="0" applyNumberFormat="1" applyBorder="1" applyAlignment="1">
      <alignment vertical="center" wrapText="1"/>
    </xf>
    <xf numFmtId="6" fontId="37" fillId="0" borderId="32" xfId="0" applyNumberFormat="1" applyFont="1" applyBorder="1" applyAlignment="1">
      <alignment vertical="center" wrapText="1"/>
    </xf>
    <xf numFmtId="0" fontId="57" fillId="0" borderId="33" xfId="0" applyFont="1" applyBorder="1" applyAlignment="1">
      <alignment vertical="center" wrapText="1"/>
    </xf>
    <xf numFmtId="0" fontId="58" fillId="0" borderId="33" xfId="0" applyFont="1" applyBorder="1" applyAlignment="1">
      <alignment horizontal="right" vertical="center" wrapText="1"/>
    </xf>
    <xf numFmtId="0" fontId="58" fillId="0" borderId="32" xfId="0" applyFont="1" applyBorder="1" applyAlignment="1">
      <alignment vertical="center" wrapText="1"/>
    </xf>
    <xf numFmtId="0" fontId="58" fillId="0" borderId="33" xfId="0" applyFont="1" applyBorder="1" applyAlignment="1">
      <alignment vertical="center" wrapText="1"/>
    </xf>
    <xf numFmtId="0" fontId="37" fillId="0" borderId="32" xfId="0" applyFont="1" applyBorder="1" applyAlignment="1">
      <alignment horizontal="center" vertical="center" wrapText="1"/>
    </xf>
    <xf numFmtId="0" fontId="57" fillId="0" borderId="33" xfId="0" applyFont="1" applyBorder="1" applyAlignment="1">
      <alignment horizontal="right" vertical="center" wrapText="1"/>
    </xf>
    <xf numFmtId="0" fontId="57" fillId="0" borderId="32" xfId="0" applyFont="1" applyBorder="1" applyAlignment="1">
      <alignment vertical="center" wrapText="1"/>
    </xf>
    <xf numFmtId="0" fontId="57" fillId="0" borderId="0" xfId="0" applyFont="1" applyAlignment="1">
      <alignment vertical="center" wrapText="1"/>
    </xf>
    <xf numFmtId="3" fontId="56" fillId="0" borderId="32" xfId="0" applyNumberFormat="1" applyFont="1" applyBorder="1" applyAlignment="1">
      <alignment vertical="center" wrapText="1"/>
    </xf>
    <xf numFmtId="0" fontId="56" fillId="0" borderId="1" xfId="0" applyFont="1" applyBorder="1" applyAlignment="1">
      <alignment horizontal="center" vertical="center" wrapText="1"/>
    </xf>
    <xf numFmtId="0" fontId="58" fillId="0" borderId="32" xfId="0" applyFont="1" applyBorder="1" applyAlignment="1">
      <alignment horizontal="center" vertical="center" wrapText="1"/>
    </xf>
    <xf numFmtId="8" fontId="37" fillId="0" borderId="32" xfId="0" applyNumberFormat="1" applyFont="1" applyBorder="1" applyAlignment="1">
      <alignment horizontal="center" vertical="center" wrapText="1"/>
    </xf>
    <xf numFmtId="0" fontId="56" fillId="0" borderId="33" xfId="0" applyFont="1" applyBorder="1" applyAlignment="1">
      <alignment horizontal="right" vertical="center" wrapText="1"/>
    </xf>
    <xf numFmtId="17" fontId="37" fillId="0" borderId="32" xfId="0" quotePrefix="1" applyNumberFormat="1" applyFont="1" applyBorder="1" applyAlignment="1">
      <alignment horizontal="center" vertical="center" wrapText="1"/>
    </xf>
    <xf numFmtId="0" fontId="37" fillId="0" borderId="32" xfId="0" quotePrefix="1" applyFont="1" applyBorder="1" applyAlignment="1">
      <alignment horizontal="center" vertical="center" wrapText="1"/>
    </xf>
    <xf numFmtId="0" fontId="58" fillId="16" borderId="33" xfId="0" applyFont="1" applyFill="1" applyBorder="1" applyAlignment="1">
      <alignment horizontal="right" vertical="center" wrapText="1"/>
    </xf>
    <xf numFmtId="0" fontId="56" fillId="16" borderId="32" xfId="0" applyFont="1" applyFill="1" applyBorder="1" applyAlignment="1">
      <alignment vertical="center" wrapText="1"/>
    </xf>
    <xf numFmtId="0" fontId="58" fillId="16" borderId="32" xfId="0" applyFont="1" applyFill="1" applyBorder="1" applyAlignment="1">
      <alignment vertical="center" wrapText="1"/>
    </xf>
    <xf numFmtId="3" fontId="58" fillId="16" borderId="32" xfId="0" applyNumberFormat="1" applyFont="1" applyFill="1" applyBorder="1" applyAlignment="1">
      <alignment vertical="center" wrapText="1"/>
    </xf>
    <xf numFmtId="0" fontId="58" fillId="16" borderId="32" xfId="0" applyFont="1" applyFill="1" applyBorder="1" applyAlignment="1">
      <alignment horizontal="center" vertical="center" wrapText="1"/>
    </xf>
    <xf numFmtId="6" fontId="58" fillId="16" borderId="32" xfId="0" applyNumberFormat="1" applyFont="1" applyFill="1" applyBorder="1" applyAlignment="1">
      <alignment vertical="center" wrapText="1"/>
    </xf>
    <xf numFmtId="0" fontId="56" fillId="0" borderId="1" xfId="0" applyFont="1" applyBorder="1" applyAlignment="1">
      <alignment vertical="center" wrapText="1"/>
    </xf>
    <xf numFmtId="0" fontId="56" fillId="5" borderId="1" xfId="0" applyFont="1" applyFill="1" applyBorder="1" applyAlignment="1">
      <alignment horizontal="center" vertical="center" wrapText="1"/>
    </xf>
    <xf numFmtId="6" fontId="56" fillId="21" borderId="32" xfId="0" applyNumberFormat="1" applyFont="1" applyFill="1" applyBorder="1" applyAlignment="1">
      <alignment vertical="center" wrapText="1"/>
    </xf>
    <xf numFmtId="0" fontId="37" fillId="0" borderId="32" xfId="0" applyFont="1" applyBorder="1" applyAlignment="1">
      <alignment horizontal="right" vertical="center" wrapText="1"/>
    </xf>
    <xf numFmtId="0" fontId="0" fillId="21" borderId="0" xfId="0" applyFill="1"/>
    <xf numFmtId="3" fontId="51" fillId="0" borderId="0" xfId="0" applyNumberFormat="1" applyFont="1" applyAlignment="1">
      <alignment horizontal="left" indent="4"/>
    </xf>
    <xf numFmtId="3" fontId="52" fillId="0" borderId="0" xfId="0" applyNumberFormat="1" applyFont="1" applyAlignment="1">
      <alignment horizontal="left" indent="4"/>
    </xf>
    <xf numFmtId="0" fontId="51" fillId="0" borderId="0" xfId="0" applyFont="1" applyAlignment="1">
      <alignment horizontal="left" indent="4"/>
    </xf>
    <xf numFmtId="0" fontId="34" fillId="0" borderId="0" xfId="0" applyFont="1" applyAlignment="1">
      <alignment horizontal="left" wrapText="1" indent="4"/>
    </xf>
    <xf numFmtId="0" fontId="37" fillId="0" borderId="33" xfId="0" applyFont="1" applyBorder="1" applyAlignment="1">
      <alignment vertical="center"/>
    </xf>
    <xf numFmtId="0" fontId="37" fillId="0" borderId="2" xfId="0" applyFont="1" applyBorder="1" applyAlignment="1">
      <alignment vertical="center" wrapText="1"/>
    </xf>
    <xf numFmtId="0" fontId="37" fillId="0" borderId="36" xfId="0" applyFont="1" applyBorder="1" applyAlignment="1">
      <alignment vertical="center" wrapText="1"/>
    </xf>
    <xf numFmtId="166" fontId="23" fillId="0" borderId="0" xfId="0" applyNumberFormat="1" applyFont="1"/>
    <xf numFmtId="0" fontId="22" fillId="12" borderId="41" xfId="0" applyFont="1" applyFill="1" applyBorder="1" applyAlignment="1">
      <alignment vertical="center" wrapText="1"/>
    </xf>
    <xf numFmtId="0" fontId="22" fillId="12" borderId="1" xfId="0" applyFont="1" applyFill="1" applyBorder="1" applyAlignment="1">
      <alignment horizontal="center" vertical="center" wrapText="1"/>
    </xf>
    <xf numFmtId="0" fontId="0" fillId="0" borderId="1" xfId="0" applyBorder="1" applyAlignment="1">
      <alignment vertical="center" wrapText="1"/>
    </xf>
    <xf numFmtId="0" fontId="0" fillId="0" borderId="37" xfId="0" applyBorder="1" applyAlignment="1">
      <alignment vertical="center" wrapText="1"/>
    </xf>
    <xf numFmtId="10" fontId="0" fillId="0" borderId="32" xfId="0" applyNumberFormat="1" applyBorder="1" applyAlignment="1">
      <alignment vertical="center" wrapText="1"/>
    </xf>
    <xf numFmtId="0" fontId="0" fillId="0" borderId="1" xfId="0" applyBorder="1" applyAlignment="1">
      <alignment vertical="center"/>
    </xf>
    <xf numFmtId="0" fontId="22" fillId="0" borderId="0" xfId="0" applyFont="1" applyAlignment="1">
      <alignment vertical="center" wrapText="1"/>
    </xf>
    <xf numFmtId="0" fontId="0" fillId="0" borderId="0" xfId="0" applyAlignment="1">
      <alignment vertical="center"/>
    </xf>
    <xf numFmtId="0" fontId="36" fillId="0" borderId="0" xfId="0" applyFont="1" applyAlignment="1">
      <alignment horizontal="left" wrapText="1" indent="2"/>
    </xf>
    <xf numFmtId="3" fontId="41" fillId="7" borderId="9" xfId="0" applyNumberFormat="1" applyFont="1" applyFill="1" applyBorder="1" applyAlignment="1">
      <alignment horizontal="center" vertical="top"/>
    </xf>
    <xf numFmtId="3" fontId="0" fillId="22" borderId="0" xfId="0" applyNumberFormat="1" applyFill="1"/>
    <xf numFmtId="0" fontId="51" fillId="0" borderId="0" xfId="0" applyFont="1" applyAlignment="1">
      <alignment horizontal="left" wrapText="1" indent="3"/>
    </xf>
    <xf numFmtId="3" fontId="0" fillId="24" borderId="0" xfId="0" applyNumberFormat="1" applyFill="1"/>
    <xf numFmtId="0" fontId="60" fillId="0" borderId="0" xfId="0" applyFont="1" applyAlignment="1">
      <alignment horizontal="left" wrapText="1" indent="2"/>
    </xf>
    <xf numFmtId="3" fontId="61" fillId="0" borderId="0" xfId="0" applyNumberFormat="1" applyFont="1"/>
    <xf numFmtId="0" fontId="62" fillId="0" borderId="0" xfId="0" applyFont="1"/>
    <xf numFmtId="3" fontId="61" fillId="18" borderId="0" xfId="0" applyNumberFormat="1" applyFont="1" applyFill="1"/>
    <xf numFmtId="0" fontId="62" fillId="11" borderId="0" xfId="0" applyFont="1" applyFill="1"/>
    <xf numFmtId="0" fontId="62" fillId="8" borderId="0" xfId="0" applyFont="1" applyFill="1"/>
    <xf numFmtId="0" fontId="35" fillId="22" borderId="0" xfId="0" applyFont="1" applyFill="1" applyAlignment="1">
      <alignment wrapText="1"/>
    </xf>
    <xf numFmtId="0" fontId="0" fillId="22" borderId="0" xfId="0" applyFill="1"/>
    <xf numFmtId="1" fontId="0" fillId="22" borderId="0" xfId="0" applyNumberFormat="1" applyFill="1"/>
    <xf numFmtId="3" fontId="24" fillId="26" borderId="9" xfId="0" applyNumberFormat="1" applyFont="1" applyFill="1" applyBorder="1" applyAlignment="1">
      <alignment horizontal="center" vertical="top"/>
    </xf>
    <xf numFmtId="166" fontId="24" fillId="26" borderId="9" xfId="0" applyNumberFormat="1" applyFont="1" applyFill="1" applyBorder="1" applyAlignment="1">
      <alignment horizontal="center" vertical="top"/>
    </xf>
    <xf numFmtId="3" fontId="37" fillId="23" borderId="32" xfId="0" applyNumberFormat="1" applyFont="1" applyFill="1" applyBorder="1" applyAlignment="1">
      <alignment vertical="center" wrapText="1"/>
    </xf>
    <xf numFmtId="170" fontId="34" fillId="27" borderId="0" xfId="0" applyNumberFormat="1" applyFont="1" applyFill="1"/>
    <xf numFmtId="171" fontId="34" fillId="27" borderId="0" xfId="0" applyNumberFormat="1" applyFont="1" applyFill="1"/>
    <xf numFmtId="6" fontId="37" fillId="22" borderId="32" xfId="0" applyNumberFormat="1" applyFont="1" applyFill="1" applyBorder="1" applyAlignment="1">
      <alignment vertical="center" wrapText="1"/>
    </xf>
    <xf numFmtId="0" fontId="37" fillId="0" borderId="1" xfId="0" applyFont="1" applyBorder="1" applyAlignment="1">
      <alignment vertical="center" wrapText="1"/>
    </xf>
    <xf numFmtId="0" fontId="56" fillId="28" borderId="36" xfId="0" applyFont="1" applyFill="1" applyBorder="1" applyAlignment="1">
      <alignment vertical="center" wrapText="1"/>
    </xf>
    <xf numFmtId="0" fontId="56" fillId="28" borderId="37" xfId="0" applyFont="1" applyFill="1" applyBorder="1" applyAlignment="1">
      <alignment vertical="center" wrapText="1"/>
    </xf>
    <xf numFmtId="0" fontId="56" fillId="6" borderId="2" xfId="0" applyFont="1" applyFill="1" applyBorder="1" applyAlignment="1">
      <alignment vertical="center" wrapText="1"/>
    </xf>
    <xf numFmtId="0" fontId="56" fillId="6" borderId="36" xfId="0" applyFont="1" applyFill="1" applyBorder="1" applyAlignment="1">
      <alignment vertical="center" wrapText="1"/>
    </xf>
    <xf numFmtId="0" fontId="56" fillId="6" borderId="37" xfId="0" applyFont="1" applyFill="1" applyBorder="1" applyAlignment="1">
      <alignment vertical="center" wrapText="1"/>
    </xf>
    <xf numFmtId="3" fontId="37" fillId="0" borderId="1" xfId="0" applyNumberFormat="1" applyFont="1" applyBorder="1" applyAlignment="1">
      <alignment vertical="center" wrapText="1"/>
    </xf>
    <xf numFmtId="3" fontId="37" fillId="22" borderId="32" xfId="0" applyNumberFormat="1" applyFont="1" applyFill="1" applyBorder="1" applyAlignment="1">
      <alignment vertical="center" wrapText="1"/>
    </xf>
    <xf numFmtId="0" fontId="63" fillId="5" borderId="1" xfId="0" applyFont="1" applyFill="1" applyBorder="1" applyAlignment="1">
      <alignment horizontal="center" vertical="center" wrapText="1"/>
    </xf>
    <xf numFmtId="0" fontId="63" fillId="6" borderId="36" xfId="0" applyFont="1" applyFill="1" applyBorder="1" applyAlignment="1">
      <alignment vertical="center" wrapText="1"/>
    </xf>
    <xf numFmtId="3" fontId="64" fillId="0" borderId="32" xfId="0" applyNumberFormat="1" applyFont="1" applyBorder="1" applyAlignment="1">
      <alignment vertical="center" wrapText="1"/>
    </xf>
    <xf numFmtId="3" fontId="65" fillId="16" borderId="32" xfId="0" applyNumberFormat="1" applyFont="1" applyFill="1" applyBorder="1" applyAlignment="1">
      <alignment vertical="center" wrapText="1"/>
    </xf>
    <xf numFmtId="0" fontId="65" fillId="0" borderId="32" xfId="0" applyFont="1" applyBorder="1" applyAlignment="1">
      <alignment vertical="center" wrapText="1"/>
    </xf>
    <xf numFmtId="4" fontId="64" fillId="0" borderId="32" xfId="0" applyNumberFormat="1" applyFont="1" applyBorder="1" applyAlignment="1">
      <alignment vertical="center" wrapText="1"/>
    </xf>
    <xf numFmtId="0" fontId="64" fillId="0" borderId="1" xfId="0" applyFont="1" applyBorder="1" applyAlignment="1">
      <alignment vertical="center" wrapText="1"/>
    </xf>
    <xf numFmtId="0" fontId="64" fillId="0" borderId="32" xfId="0" applyFont="1" applyBorder="1" applyAlignment="1">
      <alignment vertical="center" wrapText="1"/>
    </xf>
    <xf numFmtId="169" fontId="64" fillId="0" borderId="32" xfId="0" applyNumberFormat="1" applyFont="1" applyBorder="1" applyAlignment="1">
      <alignment vertical="center" wrapText="1"/>
    </xf>
    <xf numFmtId="0" fontId="63" fillId="0" borderId="1" xfId="0" applyFont="1" applyBorder="1" applyAlignment="1">
      <alignment vertical="center" wrapText="1"/>
    </xf>
    <xf numFmtId="0" fontId="64" fillId="0" borderId="32" xfId="0" applyFont="1" applyBorder="1" applyAlignment="1">
      <alignment horizontal="right" vertical="center" wrapText="1"/>
    </xf>
    <xf numFmtId="3" fontId="63" fillId="0" borderId="32" xfId="0" applyNumberFormat="1" applyFont="1" applyBorder="1" applyAlignment="1">
      <alignment vertical="center" wrapText="1"/>
    </xf>
    <xf numFmtId="0" fontId="35" fillId="22" borderId="0" xfId="0" applyFont="1" applyFill="1" applyAlignment="1">
      <alignment horizontal="left" indent="2"/>
    </xf>
    <xf numFmtId="6" fontId="56" fillId="22" borderId="32" xfId="0" applyNumberFormat="1" applyFont="1" applyFill="1" applyBorder="1" applyAlignment="1">
      <alignment vertical="center" wrapText="1"/>
    </xf>
    <xf numFmtId="0" fontId="54" fillId="19" borderId="34" xfId="0" applyFont="1" applyFill="1" applyBorder="1" applyAlignment="1">
      <alignment horizontal="center" vertical="center" wrapText="1"/>
    </xf>
    <xf numFmtId="0" fontId="54" fillId="19" borderId="0" xfId="0" applyFont="1" applyFill="1" applyAlignment="1">
      <alignment horizontal="center" vertical="center" wrapText="1"/>
    </xf>
    <xf numFmtId="0" fontId="54" fillId="19" borderId="0" xfId="0" applyFont="1" applyFill="1" applyAlignment="1">
      <alignment horizontal="left"/>
    </xf>
    <xf numFmtId="0" fontId="22" fillId="0" borderId="0" xfId="0" applyFont="1" applyAlignment="1">
      <alignment horizontal="center"/>
    </xf>
    <xf numFmtId="0" fontId="22" fillId="18" borderId="0" xfId="0" applyFont="1" applyFill="1" applyAlignment="1">
      <alignment horizontal="center"/>
    </xf>
    <xf numFmtId="0" fontId="22" fillId="12" borderId="26" xfId="0" applyFont="1" applyFill="1" applyBorder="1" applyAlignment="1">
      <alignment horizontal="center" wrapText="1"/>
    </xf>
    <xf numFmtId="0" fontId="22" fillId="12" borderId="17" xfId="0" applyFont="1" applyFill="1" applyBorder="1" applyAlignment="1">
      <alignment horizontal="center" wrapText="1"/>
    </xf>
    <xf numFmtId="0" fontId="22" fillId="12" borderId="27" xfId="0" applyFont="1" applyFill="1" applyBorder="1" applyAlignment="1">
      <alignment horizontal="center" wrapText="1"/>
    </xf>
    <xf numFmtId="0" fontId="22" fillId="6" borderId="26" xfId="0" applyFont="1" applyFill="1" applyBorder="1" applyAlignment="1">
      <alignment horizontal="center" wrapText="1"/>
    </xf>
    <xf numFmtId="0" fontId="22" fillId="6" borderId="17" xfId="0" applyFont="1" applyFill="1" applyBorder="1" applyAlignment="1">
      <alignment horizontal="center" wrapText="1"/>
    </xf>
    <xf numFmtId="0" fontId="22" fillId="6" borderId="28" xfId="0" applyFont="1" applyFill="1" applyBorder="1" applyAlignment="1">
      <alignment horizontal="center" wrapText="1"/>
    </xf>
    <xf numFmtId="0" fontId="36" fillId="0" borderId="0" xfId="0" applyFont="1" applyAlignment="1">
      <alignment horizontal="center" vertical="top" wrapText="1"/>
    </xf>
    <xf numFmtId="0" fontId="22" fillId="6" borderId="27" xfId="0" applyFont="1" applyFill="1" applyBorder="1" applyAlignment="1">
      <alignment horizontal="center" wrapText="1"/>
    </xf>
    <xf numFmtId="0" fontId="22" fillId="12" borderId="9" xfId="0" applyFont="1" applyFill="1" applyBorder="1" applyAlignment="1">
      <alignment horizontal="center" wrapText="1"/>
    </xf>
    <xf numFmtId="0" fontId="22" fillId="5" borderId="9" xfId="0" applyFont="1" applyFill="1" applyBorder="1" applyAlignment="1">
      <alignment horizontal="center" wrapText="1"/>
    </xf>
    <xf numFmtId="0" fontId="22" fillId="12" borderId="12" xfId="0" applyFont="1" applyFill="1" applyBorder="1" applyAlignment="1">
      <alignment horizontal="center" wrapText="1"/>
    </xf>
    <xf numFmtId="0" fontId="22" fillId="12" borderId="14" xfId="0" applyFont="1" applyFill="1" applyBorder="1" applyAlignment="1">
      <alignment horizontal="center" wrapText="1"/>
    </xf>
    <xf numFmtId="165" fontId="22" fillId="5" borderId="12" xfId="0" applyNumberFormat="1" applyFont="1" applyFill="1" applyBorder="1" applyAlignment="1">
      <alignment horizontal="center" wrapText="1"/>
    </xf>
    <xf numFmtId="0" fontId="0" fillId="0" borderId="12" xfId="0" applyBorder="1" applyAlignment="1">
      <alignment wrapText="1"/>
    </xf>
    <xf numFmtId="0" fontId="22" fillId="6" borderId="29" xfId="0" applyFont="1" applyFill="1" applyBorder="1" applyAlignment="1">
      <alignment horizontal="center" wrapText="1"/>
    </xf>
    <xf numFmtId="0" fontId="22" fillId="6" borderId="30" xfId="0" applyFont="1" applyFill="1" applyBorder="1" applyAlignment="1">
      <alignment horizontal="center" wrapText="1"/>
    </xf>
    <xf numFmtId="0" fontId="22" fillId="6" borderId="31" xfId="0" applyFont="1" applyFill="1" applyBorder="1" applyAlignment="1">
      <alignment horizontal="center" wrapText="1"/>
    </xf>
    <xf numFmtId="0" fontId="22" fillId="6" borderId="12" xfId="0" applyFont="1" applyFill="1" applyBorder="1" applyAlignment="1">
      <alignment horizontal="center" wrapText="1"/>
    </xf>
    <xf numFmtId="0" fontId="22" fillId="6" borderId="14" xfId="0" applyFont="1" applyFill="1" applyBorder="1" applyAlignment="1">
      <alignment horizontal="center" wrapText="1"/>
    </xf>
    <xf numFmtId="166" fontId="54" fillId="19" borderId="9" xfId="0" applyNumberFormat="1" applyFont="1" applyFill="1" applyBorder="1" applyAlignment="1">
      <alignment horizontal="center" vertical="center"/>
    </xf>
    <xf numFmtId="0" fontId="56" fillId="27" borderId="41" xfId="0" applyFont="1" applyFill="1" applyBorder="1" applyAlignment="1">
      <alignment horizontal="center" vertical="center" wrapText="1"/>
    </xf>
    <xf numFmtId="0" fontId="56" fillId="27" borderId="33" xfId="0" applyFont="1" applyFill="1" applyBorder="1" applyAlignment="1">
      <alignment horizontal="center" vertical="center" wrapText="1"/>
    </xf>
    <xf numFmtId="0" fontId="56" fillId="25" borderId="1"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6" fillId="16" borderId="41" xfId="0" applyFont="1" applyFill="1" applyBorder="1" applyAlignment="1">
      <alignment horizontal="center" vertical="center" wrapText="1"/>
    </xf>
    <xf numFmtId="0" fontId="56" fillId="16" borderId="33" xfId="0" applyFont="1" applyFill="1" applyBorder="1" applyAlignment="1">
      <alignment horizontal="center" vertical="center" wrapText="1"/>
    </xf>
    <xf numFmtId="0" fontId="56" fillId="5" borderId="41" xfId="0" applyFont="1" applyFill="1" applyBorder="1" applyAlignment="1">
      <alignment horizontal="center" vertical="center" wrapText="1"/>
    </xf>
    <xf numFmtId="0" fontId="56" fillId="5" borderId="33" xfId="0" applyFont="1" applyFill="1" applyBorder="1" applyAlignment="1">
      <alignment horizontal="center" vertical="center" wrapText="1"/>
    </xf>
    <xf numFmtId="0" fontId="56" fillId="0" borderId="38" xfId="0" applyFont="1" applyBorder="1" applyAlignment="1">
      <alignment horizontal="left" vertical="center" wrapText="1"/>
    </xf>
    <xf numFmtId="0" fontId="56" fillId="0" borderId="39" xfId="0" applyFont="1" applyBorder="1" applyAlignment="1">
      <alignment horizontal="left" vertical="center" wrapText="1"/>
    </xf>
    <xf numFmtId="0" fontId="56" fillId="0" borderId="40" xfId="0" applyFont="1" applyBorder="1" applyAlignment="1">
      <alignment horizontal="left" vertical="center" wrapText="1"/>
    </xf>
    <xf numFmtId="0" fontId="56" fillId="0" borderId="34" xfId="0" applyFont="1" applyBorder="1" applyAlignment="1">
      <alignment vertical="center" wrapText="1"/>
    </xf>
    <xf numFmtId="0" fontId="56" fillId="0" borderId="0" xfId="0" applyFont="1" applyAlignment="1">
      <alignment vertical="center" wrapText="1"/>
    </xf>
    <xf numFmtId="0" fontId="56" fillId="0" borderId="35" xfId="0" applyFont="1" applyBorder="1" applyAlignment="1">
      <alignment vertical="center" wrapText="1"/>
    </xf>
    <xf numFmtId="0" fontId="56" fillId="25" borderId="41" xfId="0" applyFont="1" applyFill="1" applyBorder="1" applyAlignment="1">
      <alignment horizontal="center" vertical="center" wrapText="1"/>
    </xf>
    <xf numFmtId="0" fontId="56" fillId="25" borderId="33" xfId="0" applyFont="1" applyFill="1" applyBorder="1" applyAlignment="1">
      <alignment horizontal="center" vertical="center" wrapText="1"/>
    </xf>
    <xf numFmtId="3" fontId="41" fillId="0" borderId="12" xfId="0" applyNumberFormat="1" applyFont="1" applyBorder="1" applyAlignment="1">
      <alignment horizontal="center"/>
    </xf>
    <xf numFmtId="3" fontId="41" fillId="0" borderId="14" xfId="0" applyNumberFormat="1" applyFont="1" applyBorder="1" applyAlignment="1">
      <alignment horizontal="center"/>
    </xf>
    <xf numFmtId="0" fontId="50" fillId="0" borderId="0" xfId="0" applyFont="1" applyAlignment="1">
      <alignment horizontal="left" wrapText="1"/>
    </xf>
    <xf numFmtId="0" fontId="22" fillId="0" borderId="0" xfId="0" applyFont="1" applyAlignment="1">
      <alignment horizontal="center" vertical="center"/>
    </xf>
    <xf numFmtId="0" fontId="22" fillId="0" borderId="0" xfId="0" applyFont="1"/>
    <xf numFmtId="0" fontId="0" fillId="0" borderId="0" xfId="0" applyAlignment="1">
      <alignment horizontal="center" wrapText="1"/>
    </xf>
    <xf numFmtId="0" fontId="30" fillId="0" borderId="0" xfId="0" applyFont="1" applyAlignment="1">
      <alignment wrapText="1"/>
    </xf>
    <xf numFmtId="0" fontId="0" fillId="0" borderId="0" xfId="0"/>
    <xf numFmtId="0" fontId="0" fillId="0" borderId="0" xfId="0" applyAlignment="1">
      <alignment wrapText="1"/>
    </xf>
    <xf numFmtId="0" fontId="49" fillId="0" borderId="0" xfId="0" applyFont="1" applyAlignment="1">
      <alignment horizontal="center"/>
    </xf>
  </cellXfs>
  <cellStyles count="6">
    <cellStyle name="20% - Accent1" xfId="1" builtinId="30"/>
    <cellStyle name="20% - Accent2" xfId="2" builtinId="34"/>
    <cellStyle name="20% - Accent3" xfId="3" builtinId="38"/>
    <cellStyle name="Comma" xfId="4" builtinId="3"/>
    <cellStyle name="Hyperlink" xfId="5"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hyperlink" Target="file:///\\Erg-lex\data3\SHARED\ECON\OSHA_je\ICR-2010\Respiratory%20Protection\rate%20of%20entry%20for%20new%20employers,%202005.xls"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ile:///\\Erg-lex\data3\SHARED\ECON\OSHA_je\ICR-2010\Respiratory%20Protection\rate%20of%20entry%20for%20new%20employers,%202005.xl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10"/>
  <sheetViews>
    <sheetView workbookViewId="0">
      <selection activeCell="E6" sqref="E6"/>
    </sheetView>
  </sheetViews>
  <sheetFormatPr defaultRowHeight="14.4" x14ac:dyDescent="0.3"/>
  <cols>
    <col min="1" max="1" width="53" customWidth="1"/>
    <col min="2" max="2" width="24.88671875" customWidth="1"/>
    <col min="3" max="3" width="15" customWidth="1"/>
    <col min="4" max="4" width="11.109375" customWidth="1"/>
    <col min="5" max="5" width="20.6640625" customWidth="1"/>
    <col min="6" max="6" width="22" bestFit="1" customWidth="1"/>
  </cols>
  <sheetData>
    <row r="1" spans="1:6" ht="15" thickBot="1" x14ac:dyDescent="0.35">
      <c r="A1" s="373" t="s">
        <v>560</v>
      </c>
      <c r="B1" s="374"/>
      <c r="C1" s="374"/>
      <c r="D1" s="374"/>
      <c r="E1" s="374"/>
      <c r="F1" s="374"/>
    </row>
    <row r="2" spans="1:6" ht="44.25" customHeight="1" thickBot="1" x14ac:dyDescent="0.35">
      <c r="A2" s="323" t="s">
        <v>488</v>
      </c>
      <c r="B2" s="323" t="s">
        <v>489</v>
      </c>
      <c r="C2" s="324" t="s">
        <v>544</v>
      </c>
      <c r="D2" s="324" t="s">
        <v>545</v>
      </c>
      <c r="E2" s="324" t="s">
        <v>546</v>
      </c>
      <c r="F2" s="324" t="s">
        <v>555</v>
      </c>
    </row>
    <row r="3" spans="1:6" ht="15" thickBot="1" x14ac:dyDescent="0.35">
      <c r="A3" s="325" t="s">
        <v>24</v>
      </c>
      <c r="B3" s="326" t="s">
        <v>490</v>
      </c>
      <c r="C3" s="287">
        <v>58.7</v>
      </c>
      <c r="D3" s="327">
        <v>0.30399999999999999</v>
      </c>
      <c r="E3" s="287">
        <f>C3/(1-D3)</f>
        <v>84.33908045977013</v>
      </c>
      <c r="F3" s="328" t="s">
        <v>556</v>
      </c>
    </row>
    <row r="4" spans="1:6" ht="15" thickBot="1" x14ac:dyDescent="0.35">
      <c r="A4" s="325" t="s">
        <v>491</v>
      </c>
      <c r="B4" s="326" t="s">
        <v>492</v>
      </c>
      <c r="C4" s="287">
        <v>23.86</v>
      </c>
      <c r="D4" s="327">
        <v>0.30399999999999999</v>
      </c>
      <c r="E4" s="287">
        <f>C4/(1-D4)</f>
        <v>34.281609195402304</v>
      </c>
      <c r="F4" s="328" t="s">
        <v>556</v>
      </c>
    </row>
    <row r="5" spans="1:6" ht="15" thickBot="1" x14ac:dyDescent="0.35">
      <c r="A5" s="325" t="s">
        <v>25</v>
      </c>
      <c r="B5" s="285" t="s">
        <v>493</v>
      </c>
      <c r="C5" s="287">
        <v>19.39</v>
      </c>
      <c r="D5" s="327">
        <v>0.30399999999999999</v>
      </c>
      <c r="E5" s="287">
        <f>C5/(1-D5)</f>
        <v>27.859195402298852</v>
      </c>
      <c r="F5" s="328" t="s">
        <v>556</v>
      </c>
    </row>
    <row r="6" spans="1:6" ht="15" thickBot="1" x14ac:dyDescent="0.35">
      <c r="A6" s="328" t="s">
        <v>494</v>
      </c>
      <c r="B6" s="285" t="s">
        <v>495</v>
      </c>
      <c r="C6" s="287">
        <v>33.14</v>
      </c>
      <c r="D6" s="327">
        <v>0.30399999999999999</v>
      </c>
      <c r="E6" s="287">
        <f>C6/(1-D6)</f>
        <v>47.614942528735639</v>
      </c>
      <c r="F6" s="328" t="s">
        <v>556</v>
      </c>
    </row>
    <row r="8" spans="1:6" x14ac:dyDescent="0.3">
      <c r="A8" s="329" t="s">
        <v>557</v>
      </c>
    </row>
    <row r="9" spans="1:6" x14ac:dyDescent="0.3">
      <c r="A9" s="330" t="s">
        <v>558</v>
      </c>
    </row>
    <row r="10" spans="1:6" x14ac:dyDescent="0.3">
      <c r="A10" s="330" t="s">
        <v>559</v>
      </c>
    </row>
  </sheetData>
  <mergeCells count="1">
    <mergeCell ref="A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U24"/>
  <sheetViews>
    <sheetView topLeftCell="C16" zoomScale="115" zoomScaleNormal="115" workbookViewId="0">
      <selection activeCell="H24" sqref="H24"/>
    </sheetView>
  </sheetViews>
  <sheetFormatPr defaultRowHeight="14.4" x14ac:dyDescent="0.3"/>
  <cols>
    <col min="2" max="12" width="15.109375" customWidth="1"/>
  </cols>
  <sheetData>
    <row r="1" spans="1:21" ht="44.25" customHeight="1" x14ac:dyDescent="0.3">
      <c r="B1" s="418" t="s">
        <v>39</v>
      </c>
      <c r="C1" s="418"/>
      <c r="D1" s="418"/>
      <c r="E1" s="418"/>
      <c r="F1" s="418"/>
      <c r="G1" s="418"/>
      <c r="H1" s="418"/>
      <c r="I1" s="418"/>
      <c r="J1" s="418"/>
      <c r="K1" s="418"/>
      <c r="L1" s="418"/>
    </row>
    <row r="2" spans="1:21" ht="10.199999999999999" customHeight="1" x14ac:dyDescent="0.3">
      <c r="C2" s="419" t="s">
        <v>29</v>
      </c>
      <c r="D2" s="421" t="s">
        <v>37</v>
      </c>
      <c r="E2" s="421"/>
      <c r="F2" s="421"/>
      <c r="G2" s="421"/>
      <c r="H2" s="421" t="s">
        <v>38</v>
      </c>
      <c r="I2" s="421"/>
      <c r="J2" s="421"/>
      <c r="K2" s="421"/>
      <c r="L2" s="421"/>
    </row>
    <row r="3" spans="1:21" ht="44.25" customHeight="1" x14ac:dyDescent="0.3">
      <c r="B3" s="3" t="s">
        <v>43</v>
      </c>
      <c r="C3" s="419"/>
      <c r="D3" s="1" t="s">
        <v>30</v>
      </c>
      <c r="E3" s="1" t="s">
        <v>31</v>
      </c>
      <c r="F3" s="1" t="s">
        <v>32</v>
      </c>
      <c r="G3" s="1" t="s">
        <v>27</v>
      </c>
      <c r="H3" s="1" t="s">
        <v>33</v>
      </c>
      <c r="I3" s="1" t="s">
        <v>34</v>
      </c>
      <c r="J3" s="1" t="s">
        <v>35</v>
      </c>
      <c r="K3" s="1" t="s">
        <v>36</v>
      </c>
      <c r="L3" s="1" t="s">
        <v>28</v>
      </c>
    </row>
    <row r="4" spans="1:21" ht="44.25" customHeight="1" x14ac:dyDescent="0.3">
      <c r="A4" s="417">
        <v>2001</v>
      </c>
      <c r="B4" s="1" t="s">
        <v>41</v>
      </c>
      <c r="C4" s="9">
        <f>C5/C6*1</f>
        <v>6262222.222222222</v>
      </c>
      <c r="D4" s="9">
        <f>D5/D6*1</f>
        <v>140425.53191489363</v>
      </c>
      <c r="E4" s="9">
        <f t="shared" ref="E4:L4" si="0">E5/E6*1</f>
        <v>29914.529914529914</v>
      </c>
      <c r="F4" s="9">
        <f t="shared" si="0"/>
        <v>668750</v>
      </c>
      <c r="G4" s="9">
        <f t="shared" si="0"/>
        <v>379687.5</v>
      </c>
      <c r="H4" s="9">
        <f t="shared" si="0"/>
        <v>281081.08108108112</v>
      </c>
      <c r="I4" s="9">
        <f t="shared" si="0"/>
        <v>600000</v>
      </c>
      <c r="J4" s="9">
        <f t="shared" si="0"/>
        <v>1300000</v>
      </c>
      <c r="K4" s="9">
        <f t="shared" si="0"/>
        <v>600000</v>
      </c>
      <c r="L4" s="9">
        <f t="shared" si="0"/>
        <v>2240000</v>
      </c>
    </row>
    <row r="5" spans="1:21" ht="57.75" customHeight="1" x14ac:dyDescent="0.3">
      <c r="A5" s="417"/>
      <c r="B5" s="1" t="s">
        <v>45</v>
      </c>
      <c r="C5" s="9">
        <f>SUM(D5:L5)</f>
        <v>281800</v>
      </c>
      <c r="D5" s="10">
        <v>13200</v>
      </c>
      <c r="E5" s="10">
        <v>3500</v>
      </c>
      <c r="F5" s="10">
        <v>64200</v>
      </c>
      <c r="G5" s="10">
        <v>48600</v>
      </c>
      <c r="H5" s="10">
        <v>10400</v>
      </c>
      <c r="I5" s="10">
        <v>31200</v>
      </c>
      <c r="J5" s="10">
        <v>16900</v>
      </c>
      <c r="K5" s="10">
        <v>4200</v>
      </c>
      <c r="L5" s="10">
        <v>89600</v>
      </c>
    </row>
    <row r="6" spans="1:21" ht="44.25" customHeight="1" x14ac:dyDescent="0.3">
      <c r="A6" s="417"/>
      <c r="B6" s="1" t="s">
        <v>46</v>
      </c>
      <c r="C6" s="11">
        <v>4.4999999999999998E-2</v>
      </c>
      <c r="D6" s="12">
        <v>9.4E-2</v>
      </c>
      <c r="E6" s="12">
        <v>0.11700000000000001</v>
      </c>
      <c r="F6" s="12">
        <v>9.6000000000000002E-2</v>
      </c>
      <c r="G6" s="12">
        <v>0.128</v>
      </c>
      <c r="H6" s="12">
        <v>3.6999999999999998E-2</v>
      </c>
      <c r="I6" s="12">
        <v>5.1999999999999998E-2</v>
      </c>
      <c r="J6" s="12">
        <v>1.2999999999999999E-2</v>
      </c>
      <c r="K6" s="12">
        <v>7.0000000000000001E-3</v>
      </c>
      <c r="L6" s="12">
        <v>0.04</v>
      </c>
    </row>
    <row r="7" spans="1:21" ht="59.25" customHeight="1" x14ac:dyDescent="0.3">
      <c r="A7" s="417"/>
      <c r="B7" s="1" t="s">
        <v>49</v>
      </c>
      <c r="C7" s="9">
        <f>SUM(D7:L7)</f>
        <v>619500</v>
      </c>
      <c r="D7" s="2">
        <v>27300</v>
      </c>
      <c r="E7" s="2">
        <v>8400</v>
      </c>
      <c r="F7" s="2">
        <v>153900</v>
      </c>
      <c r="G7" s="2">
        <v>100900</v>
      </c>
      <c r="H7" s="2">
        <v>29000</v>
      </c>
      <c r="I7" s="2">
        <v>66300</v>
      </c>
      <c r="J7" s="2">
        <v>43700</v>
      </c>
      <c r="K7" s="2">
        <v>12900</v>
      </c>
      <c r="L7" s="2">
        <v>177100</v>
      </c>
    </row>
    <row r="8" spans="1:21" ht="44.25" customHeight="1" x14ac:dyDescent="0.3">
      <c r="A8" s="417"/>
      <c r="B8" s="1" t="s">
        <v>53</v>
      </c>
      <c r="C8" s="15">
        <f>C7/C4</f>
        <v>9.8926543647977289E-2</v>
      </c>
      <c r="D8" s="15">
        <f>D7/D4</f>
        <v>0.19440909090909089</v>
      </c>
      <c r="E8" s="15">
        <f t="shared" ref="E8:L8" si="1">E7/E4</f>
        <v>0.28079999999999999</v>
      </c>
      <c r="F8" s="15">
        <f t="shared" si="1"/>
        <v>0.23013084112149532</v>
      </c>
      <c r="G8" s="15">
        <f t="shared" si="1"/>
        <v>0.2657448559670782</v>
      </c>
      <c r="H8" s="15">
        <f t="shared" si="1"/>
        <v>0.10317307692307691</v>
      </c>
      <c r="I8" s="15">
        <f t="shared" si="1"/>
        <v>0.1105</v>
      </c>
      <c r="J8" s="15">
        <f t="shared" si="1"/>
        <v>3.3615384615384616E-2</v>
      </c>
      <c r="K8" s="15">
        <f t="shared" si="1"/>
        <v>2.1499999999999998E-2</v>
      </c>
      <c r="L8" s="15">
        <f t="shared" si="1"/>
        <v>7.9062499999999994E-2</v>
      </c>
    </row>
    <row r="9" spans="1:21" ht="44.25" customHeight="1" x14ac:dyDescent="0.3">
      <c r="A9" s="417">
        <v>2007</v>
      </c>
      <c r="B9" s="1" t="s">
        <v>50</v>
      </c>
      <c r="C9" s="9">
        <f>SUM(D9:L9)</f>
        <v>6220813</v>
      </c>
      <c r="D9" s="13">
        <v>258854</v>
      </c>
      <c r="E9" s="13">
        <v>22667</v>
      </c>
      <c r="F9" s="13">
        <v>729345</v>
      </c>
      <c r="G9" s="10">
        <v>330875</v>
      </c>
      <c r="H9" s="13">
        <v>219706</v>
      </c>
      <c r="I9" s="13">
        <v>434983</v>
      </c>
      <c r="J9" s="13">
        <v>1128112</v>
      </c>
      <c r="K9" s="14">
        <f>501713+316730</f>
        <v>818443</v>
      </c>
      <c r="L9" s="13">
        <f>221817+62746+60907+29876+847492+189486+51609+141566+547709+124620</f>
        <v>2277828</v>
      </c>
      <c r="N9" s="13"/>
      <c r="O9" s="13"/>
      <c r="P9" s="13"/>
      <c r="Q9" s="13"/>
      <c r="R9" s="13"/>
      <c r="S9" s="13"/>
      <c r="T9" s="13"/>
      <c r="U9" s="13"/>
    </row>
    <row r="10" spans="1:21" ht="75" customHeight="1" x14ac:dyDescent="0.3">
      <c r="A10" s="417"/>
      <c r="B10" s="1" t="s">
        <v>247</v>
      </c>
      <c r="C10" s="9">
        <f>SUM(D10:L10)</f>
        <v>618804.15701173805</v>
      </c>
      <c r="D10" s="9">
        <f>D9*D8</f>
        <v>50323.570818181812</v>
      </c>
      <c r="E10" s="9">
        <f t="shared" ref="E10:L10" si="2">E9*E8</f>
        <v>6364.8935999999994</v>
      </c>
      <c r="F10" s="9">
        <f t="shared" si="2"/>
        <v>167844.77831775701</v>
      </c>
      <c r="G10" s="9">
        <f t="shared" si="2"/>
        <v>87928.329218106999</v>
      </c>
      <c r="H10" s="9">
        <f t="shared" si="2"/>
        <v>22667.744038461537</v>
      </c>
      <c r="I10" s="9">
        <f t="shared" si="2"/>
        <v>48065.621500000001</v>
      </c>
      <c r="J10" s="9">
        <f t="shared" si="2"/>
        <v>37921.918769230768</v>
      </c>
      <c r="K10" s="9">
        <f t="shared" si="2"/>
        <v>17596.5245</v>
      </c>
      <c r="L10" s="9">
        <f t="shared" si="2"/>
        <v>180090.77625</v>
      </c>
    </row>
    <row r="11" spans="1:21" ht="12" customHeight="1" x14ac:dyDescent="0.3">
      <c r="A11" s="96"/>
      <c r="B11" s="3" t="s">
        <v>44</v>
      </c>
    </row>
    <row r="12" spans="1:21" ht="30.6" customHeight="1" x14ac:dyDescent="0.3">
      <c r="B12" s="1" t="s">
        <v>42</v>
      </c>
      <c r="C12" s="9">
        <f>C13/C14*1</f>
        <v>106561290.32258065</v>
      </c>
      <c r="D12" s="9">
        <f t="shared" ref="D12:L12" si="3">D13/D14*1</f>
        <v>1755172.4137931033</v>
      </c>
      <c r="E12" s="9">
        <f t="shared" si="3"/>
        <v>545454.54545454541</v>
      </c>
      <c r="F12" s="9">
        <f t="shared" si="3"/>
        <v>6640449.438202248</v>
      </c>
      <c r="G12" s="9">
        <f t="shared" si="3"/>
        <v>18385416.666666668</v>
      </c>
      <c r="H12" s="9">
        <f t="shared" si="3"/>
        <v>6782142.8571428573</v>
      </c>
      <c r="I12" s="9">
        <f t="shared" si="3"/>
        <v>7034615.384615385</v>
      </c>
      <c r="J12" s="9">
        <f t="shared" si="3"/>
        <v>23640000</v>
      </c>
      <c r="K12" s="9">
        <f t="shared" si="3"/>
        <v>7600000</v>
      </c>
      <c r="L12" s="9">
        <f t="shared" si="3"/>
        <v>36259375</v>
      </c>
    </row>
    <row r="13" spans="1:21" ht="44.25" customHeight="1" x14ac:dyDescent="0.3">
      <c r="B13" s="1" t="s">
        <v>47</v>
      </c>
      <c r="C13" s="9">
        <f>SUM(D13:L13)</f>
        <v>3303400</v>
      </c>
      <c r="D13" s="10">
        <v>101800</v>
      </c>
      <c r="E13" s="10">
        <v>54000</v>
      </c>
      <c r="F13" s="10">
        <v>591000</v>
      </c>
      <c r="G13" s="10">
        <v>882500</v>
      </c>
      <c r="H13" s="10">
        <v>189900</v>
      </c>
      <c r="I13" s="10">
        <v>182900</v>
      </c>
      <c r="J13" s="10">
        <v>118200</v>
      </c>
      <c r="K13" s="10">
        <v>22800</v>
      </c>
      <c r="L13" s="10">
        <v>1160300</v>
      </c>
    </row>
    <row r="14" spans="1:21" ht="44.25" customHeight="1" x14ac:dyDescent="0.3">
      <c r="B14" s="1" t="s">
        <v>48</v>
      </c>
      <c r="C14" s="11">
        <v>3.1E-2</v>
      </c>
      <c r="D14" s="12">
        <v>5.8000000000000003E-2</v>
      </c>
      <c r="E14" s="12">
        <v>9.9000000000000005E-2</v>
      </c>
      <c r="F14" s="12">
        <v>8.8999999999999996E-2</v>
      </c>
      <c r="G14" s="12">
        <v>4.8000000000000001E-2</v>
      </c>
      <c r="H14" s="12">
        <v>2.8000000000000001E-2</v>
      </c>
      <c r="I14" s="12">
        <v>2.5999999999999999E-2</v>
      </c>
      <c r="J14" s="12">
        <v>5.0000000000000001E-3</v>
      </c>
      <c r="K14" s="12">
        <v>3.0000000000000001E-3</v>
      </c>
      <c r="L14" s="12">
        <v>3.2000000000000001E-2</v>
      </c>
    </row>
    <row r="15" spans="1:21" ht="44.25" customHeight="1" x14ac:dyDescent="0.3">
      <c r="B15" s="1"/>
      <c r="C15" s="11"/>
      <c r="D15" s="12"/>
      <c r="E15" s="12"/>
      <c r="F15" s="12"/>
      <c r="G15" s="12"/>
      <c r="H15" s="12"/>
      <c r="I15" s="12"/>
      <c r="J15" s="12"/>
      <c r="K15" s="12"/>
      <c r="L15" s="12"/>
    </row>
    <row r="16" spans="1:21" ht="44.25" customHeight="1" x14ac:dyDescent="0.3">
      <c r="A16" s="1"/>
      <c r="B16" s="97" t="s">
        <v>52</v>
      </c>
      <c r="C16" s="100">
        <f>C12/C4</f>
        <v>17.016529682456103</v>
      </c>
      <c r="D16" s="100">
        <f t="shared" ref="D16:L16" si="4">D12/D4</f>
        <v>12.498955067920583</v>
      </c>
      <c r="E16" s="100">
        <f t="shared" si="4"/>
        <v>18.233766233766232</v>
      </c>
      <c r="F16" s="100">
        <f t="shared" si="4"/>
        <v>9.92964401974168</v>
      </c>
      <c r="G16" s="100">
        <f t="shared" si="4"/>
        <v>48.422496570644725</v>
      </c>
      <c r="H16" s="100">
        <f t="shared" si="4"/>
        <v>24.128777472527471</v>
      </c>
      <c r="I16" s="100">
        <f t="shared" si="4"/>
        <v>11.724358974358974</v>
      </c>
      <c r="J16" s="100">
        <f t="shared" si="4"/>
        <v>18.184615384615384</v>
      </c>
      <c r="K16" s="100">
        <f t="shared" si="4"/>
        <v>12.666666666666666</v>
      </c>
      <c r="L16" s="100">
        <f t="shared" si="4"/>
        <v>16.187220982142858</v>
      </c>
    </row>
    <row r="17" spans="2:12" ht="44.25" customHeight="1" x14ac:dyDescent="0.3">
      <c r="B17" s="1" t="s">
        <v>51</v>
      </c>
      <c r="C17" s="2">
        <f t="shared" ref="C17:L17" si="5">C16*C9</f>
        <v>105856649.06350879</v>
      </c>
      <c r="D17" s="2">
        <f>D16*D9</f>
        <v>3235404.5151515147</v>
      </c>
      <c r="E17" s="2">
        <f t="shared" si="5"/>
        <v>413304.77922077919</v>
      </c>
      <c r="F17" s="2">
        <f t="shared" si="5"/>
        <v>7242136.2175784959</v>
      </c>
      <c r="G17" s="2">
        <f t="shared" si="5"/>
        <v>16021793.552812073</v>
      </c>
      <c r="H17" s="2">
        <f t="shared" si="5"/>
        <v>5301237.1833791202</v>
      </c>
      <c r="I17" s="2">
        <f t="shared" si="5"/>
        <v>5099896.83974359</v>
      </c>
      <c r="J17" s="2">
        <f t="shared" si="5"/>
        <v>20514282.83076923</v>
      </c>
      <c r="K17" s="2">
        <f t="shared" si="5"/>
        <v>10366944.666666666</v>
      </c>
      <c r="L17" s="2">
        <f t="shared" si="5"/>
        <v>36871705.1953125</v>
      </c>
    </row>
    <row r="18" spans="2:12" ht="44.25" customHeight="1" x14ac:dyDescent="0.3">
      <c r="B18" s="97" t="s">
        <v>59</v>
      </c>
      <c r="C18" s="98">
        <f>SUM(D18:L18)</f>
        <v>3236765.6222929056</v>
      </c>
      <c r="D18" s="99">
        <f>D17*D14</f>
        <v>187653.46187878787</v>
      </c>
      <c r="E18" s="99">
        <f t="shared" ref="E18:L18" si="6">E17*E14</f>
        <v>40917.173142857144</v>
      </c>
      <c r="F18" s="99">
        <f t="shared" si="6"/>
        <v>644550.12336448615</v>
      </c>
      <c r="G18" s="99">
        <f t="shared" si="6"/>
        <v>769046.09053497959</v>
      </c>
      <c r="H18" s="99">
        <f t="shared" si="6"/>
        <v>148434.64113461538</v>
      </c>
      <c r="I18" s="99">
        <f t="shared" si="6"/>
        <v>132597.31783333333</v>
      </c>
      <c r="J18" s="99">
        <f t="shared" si="6"/>
        <v>102571.41415384616</v>
      </c>
      <c r="K18" s="99">
        <f t="shared" si="6"/>
        <v>31100.833999999999</v>
      </c>
      <c r="L18" s="99">
        <f t="shared" si="6"/>
        <v>1179894.5662499999</v>
      </c>
    </row>
    <row r="19" spans="2:12" ht="31.95" customHeight="1" thickBot="1" x14ac:dyDescent="0.35">
      <c r="B19" s="422" t="s">
        <v>248</v>
      </c>
      <c r="C19" s="422"/>
      <c r="D19" s="422"/>
      <c r="E19" s="422"/>
      <c r="F19" s="422"/>
      <c r="G19" s="2"/>
      <c r="H19" s="2"/>
      <c r="I19" s="2"/>
      <c r="J19" s="2"/>
      <c r="K19" s="2"/>
      <c r="L19" s="2"/>
    </row>
    <row r="20" spans="2:12" ht="44.25" customHeight="1" thickBot="1" x14ac:dyDescent="0.35">
      <c r="B20" s="19" t="s">
        <v>60</v>
      </c>
      <c r="C20" s="18">
        <f>(C17-C12)/C12</f>
        <v>-6.6125443577004167E-3</v>
      </c>
      <c r="D20" s="2"/>
      <c r="E20" s="2"/>
      <c r="F20" s="2"/>
      <c r="G20" s="2"/>
      <c r="H20" s="2"/>
      <c r="I20" s="2"/>
      <c r="J20" s="2"/>
      <c r="K20" s="2"/>
      <c r="L20" s="2"/>
    </row>
    <row r="21" spans="2:12" x14ac:dyDescent="0.3">
      <c r="B21" s="1"/>
      <c r="C21" s="9"/>
      <c r="D21" s="2"/>
      <c r="E21" s="2"/>
      <c r="F21" s="2"/>
      <c r="G21" s="2"/>
      <c r="H21" s="2"/>
      <c r="I21" s="2"/>
      <c r="J21" s="2"/>
      <c r="K21" s="2"/>
      <c r="L21" s="2"/>
    </row>
    <row r="22" spans="2:12" x14ac:dyDescent="0.3">
      <c r="B22" s="420" t="s">
        <v>40</v>
      </c>
      <c r="C22" s="421"/>
      <c r="D22" s="421"/>
      <c r="E22" s="421"/>
      <c r="F22" s="421"/>
      <c r="G22" s="421"/>
      <c r="H22" s="421"/>
      <c r="I22" s="421"/>
      <c r="J22" s="421"/>
      <c r="K22" s="421"/>
      <c r="L22" s="421"/>
    </row>
    <row r="23" spans="2:12" x14ac:dyDescent="0.3">
      <c r="B23" s="421"/>
      <c r="C23" s="421"/>
      <c r="D23" s="421"/>
      <c r="E23" s="421"/>
      <c r="F23" s="421"/>
      <c r="G23" s="421"/>
      <c r="H23" s="421"/>
      <c r="I23" s="421"/>
      <c r="J23" s="421"/>
      <c r="K23" s="421"/>
      <c r="L23" s="421"/>
    </row>
    <row r="24" spans="2:12" x14ac:dyDescent="0.3">
      <c r="B24" s="1"/>
    </row>
  </sheetData>
  <mergeCells count="8">
    <mergeCell ref="A4:A8"/>
    <mergeCell ref="A9:A10"/>
    <mergeCell ref="B1:L1"/>
    <mergeCell ref="C2:C3"/>
    <mergeCell ref="B22:L23"/>
    <mergeCell ref="D2:G2"/>
    <mergeCell ref="H2:L2"/>
    <mergeCell ref="B19:F19"/>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2:P209"/>
  <sheetViews>
    <sheetView zoomScaleNormal="100" workbookViewId="0">
      <selection activeCell="A22" sqref="A22"/>
    </sheetView>
  </sheetViews>
  <sheetFormatPr defaultColWidth="8.88671875" defaultRowHeight="14.4" x14ac:dyDescent="0.3"/>
  <cols>
    <col min="1" max="1" width="46" customWidth="1"/>
    <col min="2" max="2" width="20.88671875" customWidth="1"/>
    <col min="3" max="3" width="21.5546875" customWidth="1"/>
    <col min="4" max="4" width="68.33203125" customWidth="1"/>
    <col min="5" max="5" width="4.88671875" style="120" customWidth="1"/>
    <col min="6" max="6" width="46" customWidth="1"/>
    <col min="7" max="7" width="20.88671875" customWidth="1"/>
    <col min="8" max="8" width="21.6640625" customWidth="1"/>
    <col min="9" max="9" width="22" customWidth="1"/>
    <col min="10" max="10" width="4.88671875" style="120" customWidth="1"/>
    <col min="11" max="11" width="46" customWidth="1"/>
    <col min="12" max="12" width="20.88671875" customWidth="1"/>
    <col min="13" max="13" width="19.6640625" customWidth="1"/>
    <col min="14" max="14" width="22" customWidth="1"/>
    <col min="15" max="15" width="14" customWidth="1"/>
    <col min="16" max="16" width="9.88671875" customWidth="1"/>
  </cols>
  <sheetData>
    <row r="2" spans="1:14" x14ac:dyDescent="0.3">
      <c r="A2" s="376" t="s">
        <v>307</v>
      </c>
      <c r="B2" s="376"/>
      <c r="C2" s="376"/>
      <c r="D2" s="376"/>
      <c r="F2" s="376" t="s">
        <v>288</v>
      </c>
      <c r="G2" s="376"/>
      <c r="H2" s="376"/>
      <c r="I2" s="376"/>
      <c r="K2" s="376" t="s">
        <v>287</v>
      </c>
      <c r="L2" s="376"/>
      <c r="M2" s="376"/>
      <c r="N2" s="376"/>
    </row>
    <row r="3" spans="1:14" x14ac:dyDescent="0.3">
      <c r="A3" s="3" t="s">
        <v>23</v>
      </c>
      <c r="F3" s="3" t="s">
        <v>23</v>
      </c>
      <c r="K3" s="3" t="s">
        <v>23</v>
      </c>
    </row>
    <row r="4" spans="1:14" x14ac:dyDescent="0.3">
      <c r="A4" s="4" t="s">
        <v>24</v>
      </c>
      <c r="B4" s="63">
        <v>55.82</v>
      </c>
      <c r="C4" t="s">
        <v>333</v>
      </c>
      <c r="F4" s="4" t="s">
        <v>24</v>
      </c>
      <c r="G4" s="7">
        <v>51.41</v>
      </c>
      <c r="K4" s="4" t="s">
        <v>24</v>
      </c>
      <c r="L4" s="7">
        <v>49.31</v>
      </c>
    </row>
    <row r="5" spans="1:14" x14ac:dyDescent="0.3">
      <c r="A5" s="4" t="s">
        <v>26</v>
      </c>
      <c r="B5" s="63">
        <v>31.65</v>
      </c>
      <c r="C5" t="s">
        <v>333</v>
      </c>
      <c r="F5" s="4" t="s">
        <v>26</v>
      </c>
      <c r="G5" s="7">
        <v>29.63</v>
      </c>
      <c r="I5" s="6"/>
      <c r="K5" s="4" t="s">
        <v>26</v>
      </c>
      <c r="L5" s="7">
        <v>27.88</v>
      </c>
    </row>
    <row r="6" spans="1:14" x14ac:dyDescent="0.3">
      <c r="A6" t="s">
        <v>25</v>
      </c>
      <c r="B6" s="63">
        <v>24.01</v>
      </c>
      <c r="C6" t="s">
        <v>333</v>
      </c>
      <c r="F6" t="s">
        <v>25</v>
      </c>
      <c r="G6" s="7">
        <v>22.96</v>
      </c>
      <c r="K6" t="s">
        <v>25</v>
      </c>
      <c r="L6" s="7">
        <v>22</v>
      </c>
    </row>
    <row r="7" spans="1:14" x14ac:dyDescent="0.3">
      <c r="G7" s="7"/>
      <c r="H7" s="5"/>
    </row>
    <row r="8" spans="1:14" x14ac:dyDescent="0.3">
      <c r="A8" s="3" t="s">
        <v>317</v>
      </c>
      <c r="B8" s="17">
        <v>0.10299999999999999</v>
      </c>
      <c r="C8" t="s">
        <v>334</v>
      </c>
      <c r="E8" s="121"/>
      <c r="F8" s="3" t="s">
        <v>173</v>
      </c>
      <c r="G8" s="17">
        <v>0.104</v>
      </c>
      <c r="H8" s="5"/>
      <c r="I8" s="7"/>
      <c r="J8" s="121"/>
      <c r="K8" s="3" t="s">
        <v>61</v>
      </c>
      <c r="L8" s="20">
        <v>0.126</v>
      </c>
      <c r="M8" s="5"/>
      <c r="N8" s="7"/>
    </row>
    <row r="9" spans="1:14" x14ac:dyDescent="0.3">
      <c r="A9" s="3" t="s">
        <v>171</v>
      </c>
      <c r="B9" s="8">
        <v>0.2</v>
      </c>
      <c r="E9" s="121"/>
      <c r="F9" s="3" t="s">
        <v>171</v>
      </c>
      <c r="G9" s="8">
        <v>0.2</v>
      </c>
      <c r="H9" s="22"/>
      <c r="J9" s="121"/>
      <c r="K9" s="3" t="s">
        <v>171</v>
      </c>
      <c r="L9" s="8">
        <v>0.2</v>
      </c>
      <c r="M9" s="22"/>
    </row>
    <row r="10" spans="1:14" x14ac:dyDescent="0.3">
      <c r="E10" s="122"/>
      <c r="G10" s="20"/>
      <c r="H10" s="5"/>
      <c r="J10" s="122"/>
      <c r="L10" s="20"/>
      <c r="M10" s="5"/>
    </row>
    <row r="11" spans="1:14" ht="18" x14ac:dyDescent="0.35">
      <c r="A11" s="31" t="s">
        <v>63</v>
      </c>
      <c r="B11" s="24" t="s">
        <v>65</v>
      </c>
      <c r="C11" s="23" t="s">
        <v>76</v>
      </c>
      <c r="D11" s="23" t="s">
        <v>77</v>
      </c>
      <c r="E11" s="122"/>
      <c r="F11" s="31" t="s">
        <v>63</v>
      </c>
      <c r="G11" s="24" t="s">
        <v>65</v>
      </c>
      <c r="H11" s="23" t="s">
        <v>76</v>
      </c>
      <c r="I11" s="23" t="s">
        <v>77</v>
      </c>
      <c r="J11" s="122"/>
      <c r="K11" s="31" t="s">
        <v>63</v>
      </c>
      <c r="L11" s="24" t="s">
        <v>65</v>
      </c>
      <c r="M11" s="23" t="s">
        <v>76</v>
      </c>
      <c r="N11" s="23" t="s">
        <v>77</v>
      </c>
    </row>
    <row r="12" spans="1:14" x14ac:dyDescent="0.3">
      <c r="A12" t="s">
        <v>318</v>
      </c>
      <c r="B12" s="2">
        <f>'Profile 2015'!$E$7</f>
        <v>616035</v>
      </c>
      <c r="C12" s="8">
        <v>1</v>
      </c>
      <c r="E12" s="122"/>
      <c r="F12" t="s">
        <v>174</v>
      </c>
      <c r="G12" s="2">
        <f>'Profile 2015'!$E$6</f>
        <v>610213</v>
      </c>
      <c r="H12" s="8">
        <v>1</v>
      </c>
      <c r="J12" s="122"/>
      <c r="K12" t="s">
        <v>64</v>
      </c>
      <c r="L12" s="2">
        <f>'Profile 2011'!C10</f>
        <v>618804.15701173805</v>
      </c>
      <c r="M12" s="8">
        <v>1</v>
      </c>
    </row>
    <row r="13" spans="1:14" x14ac:dyDescent="0.3">
      <c r="E13" s="121"/>
      <c r="G13" s="21"/>
      <c r="H13" s="8"/>
      <c r="J13" s="121"/>
      <c r="L13" s="21"/>
      <c r="M13" s="8"/>
    </row>
    <row r="14" spans="1:14" x14ac:dyDescent="0.3">
      <c r="A14" t="s">
        <v>62</v>
      </c>
      <c r="B14" s="2">
        <f>ROUND(B12*B8,0)</f>
        <v>63452</v>
      </c>
      <c r="C14" s="17">
        <f>B8</f>
        <v>0.10299999999999999</v>
      </c>
      <c r="D14" s="8">
        <v>1</v>
      </c>
      <c r="E14" s="121"/>
      <c r="F14" t="s">
        <v>62</v>
      </c>
      <c r="G14" s="2">
        <f>ROUND(G12*G8,0)</f>
        <v>63462</v>
      </c>
      <c r="H14" s="17">
        <f>G8</f>
        <v>0.104</v>
      </c>
      <c r="I14" s="8">
        <v>1</v>
      </c>
      <c r="J14" s="121"/>
      <c r="K14" t="s">
        <v>62</v>
      </c>
      <c r="L14" s="2">
        <f>ROUND(L12*L8,0)</f>
        <v>77969</v>
      </c>
      <c r="M14" s="17">
        <f>L8</f>
        <v>0.126</v>
      </c>
      <c r="N14" s="8">
        <v>1</v>
      </c>
    </row>
    <row r="15" spans="1:14" x14ac:dyDescent="0.3">
      <c r="A15" s="16" t="s">
        <v>55</v>
      </c>
      <c r="B15" s="2">
        <f>ROUND(B$14*D15,0)</f>
        <v>1269</v>
      </c>
      <c r="C15" s="17">
        <f>B15/B12</f>
        <v>2.0599478925710391E-3</v>
      </c>
      <c r="D15" s="17">
        <v>0.02</v>
      </c>
      <c r="F15" s="16" t="s">
        <v>55</v>
      </c>
      <c r="G15" s="2">
        <f>ROUND(G$14*I15,0)</f>
        <v>1269</v>
      </c>
      <c r="H15" s="17">
        <f>G15/G12</f>
        <v>2.0796017128445312E-3</v>
      </c>
      <c r="I15" s="17">
        <v>0.02</v>
      </c>
      <c r="K15" s="16" t="s">
        <v>54</v>
      </c>
      <c r="L15" s="2">
        <f>ROUND(L$14*N15,0)</f>
        <v>1559</v>
      </c>
      <c r="M15" s="17">
        <f>L15/L12</f>
        <v>2.5193754475221269E-3</v>
      </c>
      <c r="N15" s="17">
        <v>0.02</v>
      </c>
    </row>
    <row r="16" spans="1:14" x14ac:dyDescent="0.3">
      <c r="A16" s="16" t="s">
        <v>54</v>
      </c>
      <c r="B16" s="2">
        <f>ROUND(B$14*D16,0)</f>
        <v>62183</v>
      </c>
      <c r="C16" s="17">
        <f>B16/B12</f>
        <v>0.10094069330476353</v>
      </c>
      <c r="D16" s="17">
        <v>0.98</v>
      </c>
      <c r="F16" s="16" t="s">
        <v>54</v>
      </c>
      <c r="G16" s="2">
        <f>ROUND(G$14*I16,0)</f>
        <v>62193</v>
      </c>
      <c r="H16" s="17">
        <f>G16/G12</f>
        <v>0.1019201491938061</v>
      </c>
      <c r="I16" s="17">
        <v>0.98</v>
      </c>
      <c r="K16" s="16" t="s">
        <v>55</v>
      </c>
      <c r="L16" s="2">
        <f>ROUND(L$14*N16,0)</f>
        <v>76410</v>
      </c>
      <c r="M16" s="17">
        <f>L16/L12</f>
        <v>0.12348010131184459</v>
      </c>
      <c r="N16" s="17">
        <v>0.98</v>
      </c>
    </row>
    <row r="18" spans="1:14" x14ac:dyDescent="0.3">
      <c r="A18" t="s">
        <v>56</v>
      </c>
      <c r="B18" s="2">
        <f>ROUND((B12-B14)*B9,0)</f>
        <v>110517</v>
      </c>
      <c r="C18" s="17">
        <f>B18/B12</f>
        <v>0.17940052107428961</v>
      </c>
      <c r="D18" s="8">
        <v>1</v>
      </c>
      <c r="E18" s="123"/>
      <c r="F18" t="s">
        <v>56</v>
      </c>
      <c r="G18" s="2">
        <f>ROUND((G12-G14)*G9,0)</f>
        <v>109350</v>
      </c>
      <c r="H18" s="17">
        <f>G18/G12</f>
        <v>0.1791997220642628</v>
      </c>
      <c r="I18" s="8">
        <v>1</v>
      </c>
      <c r="J18" s="123"/>
      <c r="K18" t="s">
        <v>56</v>
      </c>
      <c r="L18" s="2">
        <f>ROUND((L12-L14)*L9,0)</f>
        <v>108167</v>
      </c>
      <c r="M18" s="17">
        <f>L18/L12</f>
        <v>0.17480005390129949</v>
      </c>
      <c r="N18" s="8">
        <v>1</v>
      </c>
    </row>
    <row r="19" spans="1:14" x14ac:dyDescent="0.3">
      <c r="A19" s="16" t="s">
        <v>58</v>
      </c>
      <c r="B19" s="135">
        <f>ROUND(B$18*$I19,0)</f>
        <v>2210</v>
      </c>
      <c r="C19" s="17">
        <f>B19/B12</f>
        <v>3.5874585047927471E-3</v>
      </c>
      <c r="D19" s="17">
        <v>0.02</v>
      </c>
      <c r="E19" s="123"/>
      <c r="F19" s="16" t="s">
        <v>58</v>
      </c>
      <c r="G19" s="2">
        <f>ROUND(G$18*$I19,0)</f>
        <v>2187</v>
      </c>
      <c r="H19" s="17">
        <f>G19/G12</f>
        <v>3.5839944412852562E-3</v>
      </c>
      <c r="I19" s="17">
        <v>0.02</v>
      </c>
      <c r="J19" s="123"/>
      <c r="K19" s="16" t="s">
        <v>57</v>
      </c>
      <c r="L19" s="2">
        <f>ROUND(L$18*$N19,0)</f>
        <v>2163</v>
      </c>
      <c r="M19" s="17">
        <f>L19/L12</f>
        <v>3.495451631167646E-3</v>
      </c>
      <c r="N19" s="17">
        <v>0.02</v>
      </c>
    </row>
    <row r="20" spans="1:14" x14ac:dyDescent="0.3">
      <c r="A20" s="16" t="s">
        <v>57</v>
      </c>
      <c r="B20" s="2">
        <f>ROUND(B$18*$I20,0)</f>
        <v>108307</v>
      </c>
      <c r="C20" s="17">
        <f>B20/B12</f>
        <v>0.17581306256949686</v>
      </c>
      <c r="D20" s="17">
        <v>0.98</v>
      </c>
      <c r="E20" s="123"/>
      <c r="F20" s="16" t="s">
        <v>57</v>
      </c>
      <c r="G20" s="2">
        <f>ROUND(G$18*$I20,0)</f>
        <v>107163</v>
      </c>
      <c r="H20" s="17">
        <f>G20/G12</f>
        <v>0.17561572762297756</v>
      </c>
      <c r="I20" s="17">
        <v>0.98</v>
      </c>
      <c r="J20" s="123"/>
      <c r="K20" s="16" t="s">
        <v>58</v>
      </c>
      <c r="L20" s="2">
        <f>ROUND(L$18*$N20,0)</f>
        <v>106004</v>
      </c>
      <c r="M20" s="17">
        <f>L20/L12</f>
        <v>0.17130460227013183</v>
      </c>
      <c r="N20" s="17">
        <v>0.98</v>
      </c>
    </row>
    <row r="21" spans="1:14" x14ac:dyDescent="0.3">
      <c r="E21" s="123"/>
      <c r="G21" s="2"/>
      <c r="H21" s="17"/>
      <c r="I21" s="17"/>
      <c r="J21" s="123"/>
      <c r="K21" s="16"/>
      <c r="L21" s="2"/>
      <c r="M21" s="17"/>
      <c r="N21" s="17"/>
    </row>
    <row r="22" spans="1:14" ht="18" x14ac:dyDescent="0.35">
      <c r="A22" s="31" t="s">
        <v>96</v>
      </c>
      <c r="B22" s="24" t="s">
        <v>65</v>
      </c>
      <c r="C22" s="23" t="s">
        <v>76</v>
      </c>
      <c r="D22" s="23" t="s">
        <v>77</v>
      </c>
      <c r="E22" s="123"/>
      <c r="F22" s="31" t="s">
        <v>96</v>
      </c>
      <c r="G22" s="24" t="s">
        <v>65</v>
      </c>
      <c r="H22" s="23" t="s">
        <v>76</v>
      </c>
      <c r="I22" s="23" t="s">
        <v>77</v>
      </c>
      <c r="J22" s="123"/>
      <c r="K22" s="31" t="s">
        <v>96</v>
      </c>
      <c r="L22" s="24" t="s">
        <v>65</v>
      </c>
      <c r="M22" s="23" t="s">
        <v>76</v>
      </c>
      <c r="N22" s="23" t="s">
        <v>77</v>
      </c>
    </row>
    <row r="23" spans="1:14" x14ac:dyDescent="0.3">
      <c r="A23" t="s">
        <v>319</v>
      </c>
      <c r="B23" s="2">
        <f>'Potential Savings from Fit Test'!$C$24</f>
        <v>5849541.8016247358</v>
      </c>
      <c r="C23" s="8">
        <v>1</v>
      </c>
      <c r="D23" t="s">
        <v>329</v>
      </c>
      <c r="E23" s="123"/>
      <c r="F23" t="s">
        <v>97</v>
      </c>
      <c r="G23" s="2">
        <f>'Profile 2015'!$F$6</f>
        <v>4976500</v>
      </c>
      <c r="H23" s="8">
        <v>1</v>
      </c>
      <c r="I23" s="2"/>
      <c r="J23" s="123"/>
      <c r="K23" t="s">
        <v>97</v>
      </c>
      <c r="L23" s="2">
        <v>4965000</v>
      </c>
      <c r="M23" s="8">
        <v>1</v>
      </c>
      <c r="N23" s="2"/>
    </row>
    <row r="24" spans="1:14" x14ac:dyDescent="0.3">
      <c r="B24" t="s">
        <v>398</v>
      </c>
      <c r="E24" s="123"/>
      <c r="G24" s="2"/>
      <c r="H24" s="8"/>
      <c r="I24" s="2"/>
      <c r="J24" s="123"/>
      <c r="L24" s="2"/>
      <c r="M24" s="8"/>
      <c r="N24" s="2"/>
    </row>
    <row r="25" spans="1:14" x14ac:dyDescent="0.3">
      <c r="A25" s="16"/>
      <c r="E25" s="123"/>
      <c r="F25" s="16"/>
      <c r="G25" s="2"/>
      <c r="H25" s="2"/>
      <c r="I25" s="2"/>
      <c r="J25" s="123"/>
      <c r="K25" s="16"/>
      <c r="L25" s="2"/>
      <c r="M25" s="2"/>
      <c r="N25" s="2"/>
    </row>
    <row r="26" spans="1:14" x14ac:dyDescent="0.3">
      <c r="A26" t="s">
        <v>66</v>
      </c>
      <c r="E26" s="123"/>
      <c r="F26" t="s">
        <v>66</v>
      </c>
      <c r="G26" s="2"/>
      <c r="H26" s="2"/>
      <c r="I26" s="2"/>
      <c r="J26" s="123"/>
      <c r="K26" t="s">
        <v>66</v>
      </c>
      <c r="L26" s="2"/>
      <c r="M26" s="2"/>
      <c r="N26" s="2"/>
    </row>
    <row r="27" spans="1:14" x14ac:dyDescent="0.3">
      <c r="E27" s="123"/>
      <c r="G27" s="2"/>
      <c r="H27" s="2"/>
      <c r="I27" s="2"/>
      <c r="J27" s="123"/>
      <c r="L27" s="2"/>
      <c r="M27" s="2"/>
      <c r="N27" s="2"/>
    </row>
    <row r="28" spans="1:14" x14ac:dyDescent="0.3">
      <c r="A28" s="25" t="s">
        <v>73</v>
      </c>
      <c r="C28" s="3"/>
      <c r="E28" s="123"/>
      <c r="F28" s="25" t="s">
        <v>73</v>
      </c>
      <c r="G28" s="2"/>
      <c r="H28" s="2"/>
      <c r="I28" s="2"/>
      <c r="J28" s="123"/>
      <c r="K28" s="25" t="s">
        <v>73</v>
      </c>
      <c r="L28" s="2"/>
      <c r="M28" s="2"/>
      <c r="N28" s="2"/>
    </row>
    <row r="29" spans="1:14" x14ac:dyDescent="0.3">
      <c r="A29" s="16" t="s">
        <v>69</v>
      </c>
      <c r="B29" s="136">
        <v>4</v>
      </c>
      <c r="F29" s="16" t="s">
        <v>69</v>
      </c>
      <c r="G29">
        <v>8</v>
      </c>
      <c r="K29" s="16" t="s">
        <v>69</v>
      </c>
      <c r="L29">
        <v>8</v>
      </c>
    </row>
    <row r="30" spans="1:14" x14ac:dyDescent="0.3">
      <c r="A30" s="16" t="s">
        <v>70</v>
      </c>
      <c r="B30" s="136">
        <v>8</v>
      </c>
      <c r="F30" s="16" t="s">
        <v>70</v>
      </c>
      <c r="G30">
        <v>4</v>
      </c>
      <c r="K30" s="16" t="s">
        <v>70</v>
      </c>
      <c r="L30">
        <v>4</v>
      </c>
    </row>
    <row r="32" spans="1:14" x14ac:dyDescent="0.3">
      <c r="A32" s="16" t="s">
        <v>67</v>
      </c>
      <c r="B32" s="135">
        <f>ROUND(B29*B16,0)</f>
        <v>248732</v>
      </c>
      <c r="C32" t="s">
        <v>331</v>
      </c>
      <c r="E32" s="123"/>
      <c r="F32" s="16" t="s">
        <v>335</v>
      </c>
      <c r="G32" s="2">
        <f>G29*G15</f>
        <v>10152</v>
      </c>
      <c r="H32" s="2"/>
      <c r="I32" s="2"/>
      <c r="J32" s="123"/>
      <c r="K32" s="16" t="s">
        <v>67</v>
      </c>
      <c r="L32" s="2">
        <f>L29*L15</f>
        <v>12472</v>
      </c>
      <c r="M32" s="2"/>
      <c r="N32" s="2"/>
    </row>
    <row r="33" spans="1:14" x14ac:dyDescent="0.3">
      <c r="A33" s="16" t="s">
        <v>68</v>
      </c>
      <c r="B33" s="135">
        <f>ROUND(B30*B15,0)</f>
        <v>10152</v>
      </c>
      <c r="C33" t="s">
        <v>332</v>
      </c>
      <c r="E33" s="123"/>
      <c r="F33" s="16" t="s">
        <v>336</v>
      </c>
      <c r="G33" s="2">
        <f>G30*G16</f>
        <v>248772</v>
      </c>
      <c r="H33" s="2"/>
      <c r="I33" s="2"/>
      <c r="J33" s="123"/>
      <c r="K33" s="16" t="s">
        <v>68</v>
      </c>
      <c r="L33" s="2">
        <f>L30*L16</f>
        <v>305640</v>
      </c>
      <c r="M33" s="2"/>
      <c r="N33" s="2"/>
    </row>
    <row r="34" spans="1:14" x14ac:dyDescent="0.3">
      <c r="A34" s="27" t="s">
        <v>74</v>
      </c>
      <c r="B34" s="135">
        <f>B32+B33</f>
        <v>258884</v>
      </c>
      <c r="E34" s="123"/>
      <c r="F34" s="27" t="s">
        <v>74</v>
      </c>
      <c r="G34" s="2">
        <f>G32+G33</f>
        <v>258924</v>
      </c>
      <c r="H34" s="2"/>
      <c r="I34" s="2"/>
      <c r="J34" s="123"/>
      <c r="K34" s="27" t="s">
        <v>74</v>
      </c>
      <c r="L34" s="2">
        <f>L32+L33</f>
        <v>318112</v>
      </c>
      <c r="M34" s="2"/>
      <c r="N34" s="2"/>
    </row>
    <row r="35" spans="1:14" x14ac:dyDescent="0.3">
      <c r="A35" s="27" t="s">
        <v>71</v>
      </c>
      <c r="B35" s="137">
        <f>ROUND(B34*B4,0)</f>
        <v>14450905</v>
      </c>
      <c r="F35" s="27" t="s">
        <v>71</v>
      </c>
      <c r="G35" s="21">
        <f>ROUND(G34*G4,0)</f>
        <v>13311283</v>
      </c>
      <c r="K35" s="27" t="s">
        <v>71</v>
      </c>
      <c r="L35" s="21">
        <f>ROUND(L34*'Inputs and Parameters (Old)'!L4,0)</f>
        <v>15686103</v>
      </c>
    </row>
    <row r="36" spans="1:14" x14ac:dyDescent="0.3">
      <c r="A36" s="16"/>
      <c r="E36" s="123"/>
      <c r="F36" s="16"/>
      <c r="G36" s="2"/>
      <c r="H36" s="2"/>
      <c r="I36" s="2"/>
      <c r="J36" s="123"/>
      <c r="K36" s="16"/>
      <c r="L36" s="2"/>
      <c r="M36" s="2"/>
      <c r="N36" s="2"/>
    </row>
    <row r="37" spans="1:14" x14ac:dyDescent="0.3">
      <c r="A37" s="25" t="s">
        <v>72</v>
      </c>
      <c r="C37" s="3"/>
      <c r="E37" s="123"/>
      <c r="F37" s="25" t="s">
        <v>72</v>
      </c>
      <c r="H37" s="2"/>
      <c r="I37" s="2"/>
      <c r="J37" s="123"/>
      <c r="K37" s="25" t="s">
        <v>72</v>
      </c>
      <c r="M37" s="2"/>
      <c r="N37" s="2"/>
    </row>
    <row r="38" spans="1:14" x14ac:dyDescent="0.3">
      <c r="A38" s="16" t="s">
        <v>69</v>
      </c>
      <c r="B38" s="136">
        <v>2</v>
      </c>
      <c r="E38" s="123"/>
      <c r="F38" s="16" t="s">
        <v>69</v>
      </c>
      <c r="G38">
        <v>4</v>
      </c>
      <c r="H38" s="2"/>
      <c r="I38" s="2"/>
      <c r="J38" s="123"/>
      <c r="K38" s="16" t="s">
        <v>69</v>
      </c>
      <c r="L38">
        <v>4</v>
      </c>
      <c r="M38" s="2"/>
      <c r="N38" s="2"/>
    </row>
    <row r="39" spans="1:14" x14ac:dyDescent="0.3">
      <c r="A39" s="16" t="s">
        <v>70</v>
      </c>
      <c r="B39" s="136">
        <v>4</v>
      </c>
      <c r="E39" s="123"/>
      <c r="F39" s="16" t="s">
        <v>70</v>
      </c>
      <c r="G39">
        <v>2</v>
      </c>
      <c r="H39" s="2"/>
      <c r="I39" s="2"/>
      <c r="J39" s="123"/>
      <c r="K39" s="16" t="s">
        <v>70</v>
      </c>
      <c r="L39">
        <v>2</v>
      </c>
      <c r="M39" s="2"/>
      <c r="N39" s="2"/>
    </row>
    <row r="40" spans="1:14" x14ac:dyDescent="0.3">
      <c r="A40" s="25"/>
      <c r="E40" s="123"/>
      <c r="F40" s="25"/>
      <c r="H40" s="2"/>
      <c r="I40" s="2"/>
      <c r="J40" s="123"/>
      <c r="K40" s="25"/>
      <c r="M40" s="2"/>
      <c r="N40" s="2"/>
    </row>
    <row r="41" spans="1:14" x14ac:dyDescent="0.3">
      <c r="A41" s="16" t="s">
        <v>67</v>
      </c>
      <c r="B41" s="135">
        <f>ROUND(B20*B38,0)</f>
        <v>216614</v>
      </c>
      <c r="C41" t="s">
        <v>331</v>
      </c>
      <c r="E41" s="123"/>
      <c r="F41" s="16" t="s">
        <v>67</v>
      </c>
      <c r="G41" s="2">
        <f>G19*G38</f>
        <v>8748</v>
      </c>
      <c r="H41" s="2"/>
      <c r="I41" s="2"/>
      <c r="J41" s="123"/>
      <c r="K41" s="16" t="s">
        <v>67</v>
      </c>
      <c r="L41" s="2">
        <f>L19*L38</f>
        <v>8652</v>
      </c>
      <c r="M41" s="2"/>
      <c r="N41" s="2"/>
    </row>
    <row r="42" spans="1:14" x14ac:dyDescent="0.3">
      <c r="A42" s="16" t="s">
        <v>68</v>
      </c>
      <c r="B42" s="135">
        <f>ROUND(B19*B39,0)</f>
        <v>8840</v>
      </c>
      <c r="C42" t="s">
        <v>332</v>
      </c>
      <c r="E42" s="123"/>
      <c r="F42" s="16" t="s">
        <v>68</v>
      </c>
      <c r="G42" s="2">
        <f>G20*G39</f>
        <v>214326</v>
      </c>
      <c r="H42" s="2"/>
      <c r="I42" s="2"/>
      <c r="J42" s="123"/>
      <c r="K42" s="16" t="s">
        <v>68</v>
      </c>
      <c r="L42" s="2">
        <f>L20*L39</f>
        <v>212008</v>
      </c>
      <c r="M42" s="2"/>
      <c r="N42" s="2"/>
    </row>
    <row r="43" spans="1:14" x14ac:dyDescent="0.3">
      <c r="A43" s="27" t="s">
        <v>75</v>
      </c>
      <c r="B43" s="135">
        <f>B41+B42</f>
        <v>225454</v>
      </c>
      <c r="E43" s="123"/>
      <c r="F43" s="27" t="s">
        <v>75</v>
      </c>
      <c r="G43" s="2">
        <f>G41+G42</f>
        <v>223074</v>
      </c>
      <c r="H43" s="2"/>
      <c r="I43" s="2"/>
      <c r="J43" s="123"/>
      <c r="K43" s="27" t="s">
        <v>75</v>
      </c>
      <c r="L43" s="2">
        <f>L41+L42</f>
        <v>220660</v>
      </c>
      <c r="M43" s="2"/>
      <c r="N43" s="2"/>
    </row>
    <row r="44" spans="1:14" x14ac:dyDescent="0.3">
      <c r="A44" s="27" t="s">
        <v>71</v>
      </c>
      <c r="B44" s="137">
        <f>ROUND(B43*B4,0)</f>
        <v>12584842</v>
      </c>
      <c r="C44" s="2"/>
      <c r="E44" s="123"/>
      <c r="F44" s="27" t="s">
        <v>71</v>
      </c>
      <c r="G44" s="21">
        <f>ROUND(G43*G4,0)</f>
        <v>11468234</v>
      </c>
      <c r="H44" s="2"/>
      <c r="I44" s="2"/>
      <c r="J44" s="123"/>
      <c r="K44" s="27" t="s">
        <v>71</v>
      </c>
      <c r="L44" s="21">
        <f>ROUND(L43*'Inputs and Parameters (Old)'!L4,0)</f>
        <v>10880745</v>
      </c>
      <c r="M44" s="2"/>
      <c r="N44" s="2"/>
    </row>
    <row r="45" spans="1:14" x14ac:dyDescent="0.3">
      <c r="A45" s="16"/>
      <c r="B45" s="2"/>
      <c r="E45" s="123"/>
      <c r="F45" s="16"/>
      <c r="G45" s="2"/>
      <c r="H45" s="2"/>
      <c r="I45" s="2"/>
      <c r="J45" s="123"/>
      <c r="K45" s="16"/>
      <c r="L45" s="2"/>
      <c r="M45" s="2"/>
      <c r="N45" s="2"/>
    </row>
    <row r="46" spans="1:14" x14ac:dyDescent="0.3">
      <c r="A46" s="28" t="s">
        <v>79</v>
      </c>
      <c r="B46" s="135">
        <f>B43+B34</f>
        <v>484338</v>
      </c>
      <c r="E46" s="123"/>
      <c r="F46" s="28" t="s">
        <v>79</v>
      </c>
      <c r="G46" s="2">
        <f>G43+G34</f>
        <v>481998</v>
      </c>
      <c r="H46" s="2"/>
      <c r="I46" s="2"/>
      <c r="J46" s="123"/>
      <c r="K46" s="28" t="s">
        <v>79</v>
      </c>
      <c r="L46" s="2">
        <f>L43+L34</f>
        <v>538772</v>
      </c>
      <c r="M46" s="2"/>
      <c r="N46" s="2"/>
    </row>
    <row r="47" spans="1:14" x14ac:dyDescent="0.3">
      <c r="A47" s="28" t="s">
        <v>78</v>
      </c>
      <c r="B47" s="137">
        <f>B35+B44</f>
        <v>27035747</v>
      </c>
      <c r="E47" s="123"/>
      <c r="F47" s="28" t="s">
        <v>78</v>
      </c>
      <c r="G47" s="21">
        <f>G35+G44</f>
        <v>24779517</v>
      </c>
      <c r="H47" s="2"/>
      <c r="I47" s="2"/>
      <c r="J47" s="123"/>
      <c r="K47" s="28" t="s">
        <v>78</v>
      </c>
      <c r="L47" s="21">
        <f>L35+L44</f>
        <v>26566848</v>
      </c>
      <c r="M47" s="2"/>
      <c r="N47" s="2"/>
    </row>
    <row r="48" spans="1:14" x14ac:dyDescent="0.3">
      <c r="A48" s="28"/>
      <c r="B48" s="21"/>
      <c r="E48" s="123"/>
      <c r="F48" s="28"/>
      <c r="G48" s="21"/>
      <c r="H48" s="2"/>
      <c r="I48" s="2"/>
      <c r="J48" s="123"/>
      <c r="K48" s="28"/>
      <c r="L48" s="21"/>
      <c r="M48" s="2"/>
      <c r="N48" s="2"/>
    </row>
    <row r="49" spans="1:16" x14ac:dyDescent="0.3">
      <c r="A49" s="28" t="s">
        <v>159</v>
      </c>
      <c r="B49" s="135">
        <f>B14+B18</f>
        <v>173969</v>
      </c>
      <c r="E49" s="123"/>
      <c r="F49" s="28" t="s">
        <v>159</v>
      </c>
      <c r="G49" s="2">
        <f>G14+G18</f>
        <v>172812</v>
      </c>
      <c r="H49" s="2"/>
      <c r="I49" s="2"/>
      <c r="J49" s="123"/>
      <c r="K49" s="28" t="s">
        <v>159</v>
      </c>
      <c r="L49" s="21">
        <f>L14+L18</f>
        <v>186136</v>
      </c>
      <c r="M49" s="2"/>
      <c r="N49" s="2"/>
    </row>
    <row r="50" spans="1:16" x14ac:dyDescent="0.3">
      <c r="A50" s="16"/>
      <c r="E50" s="123"/>
      <c r="F50" s="16"/>
      <c r="G50" s="2"/>
      <c r="H50" s="2"/>
      <c r="I50" s="2"/>
      <c r="J50" s="123"/>
      <c r="K50" s="16"/>
      <c r="L50" s="2"/>
      <c r="M50" s="2"/>
      <c r="N50" s="2"/>
    </row>
    <row r="51" spans="1:16" x14ac:dyDescent="0.3">
      <c r="A51" t="s">
        <v>80</v>
      </c>
      <c r="E51" s="123"/>
      <c r="F51" t="s">
        <v>80</v>
      </c>
      <c r="G51" s="2"/>
      <c r="H51" s="2"/>
      <c r="I51" s="2"/>
      <c r="J51" s="123"/>
      <c r="K51" t="s">
        <v>80</v>
      </c>
      <c r="L51" s="2"/>
      <c r="M51" s="2"/>
      <c r="N51" s="2"/>
    </row>
    <row r="52" spans="1:16" x14ac:dyDescent="0.3">
      <c r="E52" s="123"/>
      <c r="G52" s="2"/>
      <c r="H52" s="2"/>
      <c r="I52" s="2"/>
      <c r="J52" s="123"/>
      <c r="L52" s="2"/>
      <c r="M52" s="2"/>
      <c r="N52" s="2"/>
    </row>
    <row r="53" spans="1:16" x14ac:dyDescent="0.3">
      <c r="A53" s="16" t="s">
        <v>230</v>
      </c>
      <c r="B53" s="17">
        <v>0.42199999999999999</v>
      </c>
      <c r="F53" s="16" t="s">
        <v>230</v>
      </c>
      <c r="G53" s="17">
        <v>0.42199999999999999</v>
      </c>
      <c r="K53" s="16" t="s">
        <v>81</v>
      </c>
      <c r="L53" s="17">
        <v>0.46200000000000002</v>
      </c>
    </row>
    <row r="54" spans="1:16" x14ac:dyDescent="0.3">
      <c r="A54" s="16" t="s">
        <v>86</v>
      </c>
      <c r="B54" s="2">
        <f>ROUND(B23*B53,0)</f>
        <v>2468507</v>
      </c>
      <c r="E54" s="123"/>
      <c r="F54" s="16" t="s">
        <v>86</v>
      </c>
      <c r="G54" s="2">
        <f>ROUND(G23*G53,0)</f>
        <v>2100083</v>
      </c>
      <c r="H54" s="2"/>
      <c r="I54" s="2"/>
      <c r="J54" s="123"/>
      <c r="K54" s="16" t="s">
        <v>86</v>
      </c>
      <c r="L54" s="2">
        <f>ROUND(L23*L53,0)</f>
        <v>2293830</v>
      </c>
      <c r="M54" s="2"/>
      <c r="N54" s="2"/>
    </row>
    <row r="55" spans="1:16" x14ac:dyDescent="0.3">
      <c r="A55" s="26" t="s">
        <v>82</v>
      </c>
      <c r="B55" s="2">
        <f>ROUND(B54*0.25,0)</f>
        <v>617127</v>
      </c>
      <c r="E55" s="123"/>
      <c r="F55" s="26" t="s">
        <v>82</v>
      </c>
      <c r="G55" s="2">
        <f>ROUND(G54*0.25,0)</f>
        <v>525021</v>
      </c>
      <c r="H55" s="2"/>
      <c r="I55" s="2"/>
      <c r="J55" s="123"/>
      <c r="K55" s="26" t="s">
        <v>82</v>
      </c>
      <c r="L55" s="2">
        <f>ROUND(L54*0.25,0)</f>
        <v>573458</v>
      </c>
      <c r="M55" s="2"/>
      <c r="N55" s="2"/>
    </row>
    <row r="56" spans="1:16" x14ac:dyDescent="0.3">
      <c r="A56" s="26" t="s">
        <v>83</v>
      </c>
      <c r="B56" s="21">
        <f>ROUND(B55*B5,0)</f>
        <v>19532070</v>
      </c>
      <c r="E56" s="123"/>
      <c r="F56" s="26" t="s">
        <v>83</v>
      </c>
      <c r="G56" s="21">
        <f>ROUND(G55*G5,0)</f>
        <v>15556372</v>
      </c>
      <c r="H56" s="2"/>
      <c r="I56" s="2"/>
      <c r="J56" s="123"/>
      <c r="K56" s="26" t="s">
        <v>83</v>
      </c>
      <c r="L56" s="21">
        <f>ROUND(L55*'Inputs and Parameters (Old)'!L5,0)</f>
        <v>15988009</v>
      </c>
      <c r="M56" s="2"/>
      <c r="N56" s="2"/>
    </row>
    <row r="57" spans="1:16" x14ac:dyDescent="0.3">
      <c r="B57" s="2"/>
      <c r="E57" s="123"/>
      <c r="G57" s="2"/>
      <c r="H57" s="2"/>
      <c r="I57" s="2"/>
      <c r="J57" s="123"/>
      <c r="L57" s="2"/>
      <c r="M57" s="2"/>
      <c r="N57" s="2"/>
    </row>
    <row r="58" spans="1:16" x14ac:dyDescent="0.3">
      <c r="A58" s="16" t="s">
        <v>84</v>
      </c>
      <c r="B58" s="8">
        <v>0.23</v>
      </c>
      <c r="E58" s="123"/>
      <c r="F58" s="16" t="s">
        <v>84</v>
      </c>
      <c r="G58" s="8">
        <v>0.23</v>
      </c>
      <c r="H58" s="2"/>
      <c r="I58" s="2"/>
      <c r="J58" s="123"/>
      <c r="K58" s="16" t="s">
        <v>84</v>
      </c>
      <c r="L58" s="8">
        <v>0.23</v>
      </c>
      <c r="M58" s="2"/>
      <c r="N58" s="2"/>
    </row>
    <row r="59" spans="1:16" ht="15.6" x14ac:dyDescent="0.3">
      <c r="A59" s="16" t="s">
        <v>85</v>
      </c>
      <c r="B59" s="2">
        <f>ROUND(B54*B58,0)</f>
        <v>567757</v>
      </c>
      <c r="E59" s="123"/>
      <c r="F59" s="16" t="s">
        <v>85</v>
      </c>
      <c r="G59" s="2">
        <f>ROUND(G54*G58,0)</f>
        <v>483019</v>
      </c>
      <c r="H59" s="74"/>
      <c r="I59" s="2"/>
      <c r="J59" s="123"/>
      <c r="K59" s="16" t="s">
        <v>85</v>
      </c>
      <c r="L59" s="2">
        <f>ROUND(L54*L58,0)</f>
        <v>527581</v>
      </c>
      <c r="M59" s="74"/>
      <c r="N59" s="2"/>
    </row>
    <row r="60" spans="1:16" x14ac:dyDescent="0.3">
      <c r="A60" s="26" t="s">
        <v>87</v>
      </c>
      <c r="B60" s="2">
        <f>B59*1</f>
        <v>567757</v>
      </c>
      <c r="E60" s="123"/>
      <c r="F60" s="26" t="s">
        <v>87</v>
      </c>
      <c r="G60" s="2">
        <f>G59*1</f>
        <v>483019</v>
      </c>
      <c r="H60" s="75"/>
      <c r="I60" s="2"/>
      <c r="J60" s="123"/>
      <c r="K60" s="26" t="s">
        <v>87</v>
      </c>
      <c r="L60" s="2">
        <f>L59*1</f>
        <v>527581</v>
      </c>
      <c r="M60" s="75"/>
      <c r="N60" s="2"/>
    </row>
    <row r="61" spans="1:16" x14ac:dyDescent="0.3">
      <c r="A61" s="26" t="s">
        <v>88</v>
      </c>
      <c r="B61" s="21">
        <f>ROUND(B59*B5,0)</f>
        <v>17969509</v>
      </c>
      <c r="E61" s="123"/>
      <c r="F61" s="26" t="s">
        <v>88</v>
      </c>
      <c r="G61" s="21">
        <f>ROUND(G59*G5,0)</f>
        <v>14311853</v>
      </c>
      <c r="H61" s="2"/>
      <c r="I61" s="2"/>
      <c r="J61" s="123"/>
      <c r="K61" s="26" t="s">
        <v>88</v>
      </c>
      <c r="L61" s="21">
        <f>ROUND(L59*'Inputs and Parameters (Old)'!L5,0)</f>
        <v>14708958</v>
      </c>
      <c r="M61" s="2"/>
      <c r="N61" s="2"/>
    </row>
    <row r="62" spans="1:16" x14ac:dyDescent="0.3">
      <c r="A62" s="1"/>
      <c r="B62" s="9"/>
      <c r="E62" s="124"/>
      <c r="F62" s="1"/>
      <c r="G62" s="9"/>
      <c r="H62" s="73"/>
      <c r="I62" s="2"/>
      <c r="J62" s="124"/>
      <c r="K62" s="1"/>
      <c r="L62" s="9"/>
      <c r="M62" s="73"/>
      <c r="N62" s="2"/>
      <c r="O62" s="2"/>
      <c r="P62" s="2"/>
    </row>
    <row r="63" spans="1:16" x14ac:dyDescent="0.3">
      <c r="A63" s="16" t="s">
        <v>172</v>
      </c>
      <c r="B63" s="29">
        <f>B54+B68</f>
        <v>2760984</v>
      </c>
      <c r="E63" s="124"/>
      <c r="F63" s="16" t="s">
        <v>172</v>
      </c>
      <c r="G63" s="29">
        <f>G54+G68</f>
        <v>2348908</v>
      </c>
      <c r="H63" s="29"/>
      <c r="I63" s="2"/>
      <c r="J63" s="124"/>
      <c r="K63" s="16" t="s">
        <v>172</v>
      </c>
      <c r="L63" s="29">
        <f>L54+L68</f>
        <v>2542080</v>
      </c>
      <c r="M63" s="29"/>
      <c r="N63" s="2"/>
      <c r="O63" s="2"/>
      <c r="P63" s="2"/>
    </row>
    <row r="64" spans="1:16" x14ac:dyDescent="0.3">
      <c r="A64" s="30" t="s">
        <v>90</v>
      </c>
      <c r="B64" s="29">
        <f>ROUND(B63*0.25,0)</f>
        <v>690246</v>
      </c>
      <c r="E64" s="124"/>
      <c r="F64" s="30" t="s">
        <v>90</v>
      </c>
      <c r="G64" s="29">
        <f>ROUND(G63*0.25,0)</f>
        <v>587227</v>
      </c>
      <c r="H64" s="29"/>
      <c r="J64" s="124"/>
      <c r="K64" s="30" t="s">
        <v>90</v>
      </c>
      <c r="L64" s="29">
        <f>ROUND(L63*0.25,0)</f>
        <v>635520</v>
      </c>
      <c r="M64" s="29"/>
      <c r="N64" s="2"/>
      <c r="O64" s="2"/>
      <c r="P64" s="2"/>
    </row>
    <row r="65" spans="1:14" x14ac:dyDescent="0.3">
      <c r="A65" s="26" t="s">
        <v>89</v>
      </c>
      <c r="B65" s="21">
        <f>ROUND(B64*B6,0)</f>
        <v>16572806</v>
      </c>
      <c r="F65" s="26" t="s">
        <v>89</v>
      </c>
      <c r="G65" s="21">
        <f>ROUND(G64*G6,0)</f>
        <v>13482732</v>
      </c>
      <c r="H65" s="21"/>
      <c r="K65" s="26" t="s">
        <v>89</v>
      </c>
      <c r="L65" s="21">
        <f>ROUND(L64*'Inputs and Parameters (Old)'!L6,0)</f>
        <v>13981440</v>
      </c>
      <c r="M65" s="21"/>
    </row>
    <row r="66" spans="1:14" x14ac:dyDescent="0.3">
      <c r="A66" s="16"/>
      <c r="B66" s="2"/>
      <c r="E66" s="123"/>
      <c r="F66" s="16"/>
      <c r="G66" s="2"/>
      <c r="H66" s="2"/>
      <c r="I66" s="2"/>
      <c r="J66" s="123"/>
      <c r="K66" s="16"/>
      <c r="L66" s="2"/>
      <c r="M66" s="2"/>
      <c r="N66" s="2"/>
    </row>
    <row r="67" spans="1:14" x14ac:dyDescent="0.3">
      <c r="A67" s="16" t="s">
        <v>91</v>
      </c>
      <c r="B67" s="8">
        <v>0.05</v>
      </c>
      <c r="E67" s="123"/>
      <c r="F67" s="16" t="s">
        <v>91</v>
      </c>
      <c r="G67" s="8">
        <v>0.05</v>
      </c>
      <c r="H67" s="2"/>
      <c r="I67" s="2"/>
      <c r="J67" s="123"/>
      <c r="K67" s="16" t="s">
        <v>91</v>
      </c>
      <c r="L67" s="8">
        <v>0.05</v>
      </c>
      <c r="M67" s="2"/>
      <c r="N67" s="2"/>
    </row>
    <row r="68" spans="1:14" x14ac:dyDescent="0.3">
      <c r="A68" s="16" t="s">
        <v>92</v>
      </c>
      <c r="B68" s="2">
        <f>ROUND(B23*B67,0)</f>
        <v>292477</v>
      </c>
      <c r="E68" s="123"/>
      <c r="F68" s="16" t="s">
        <v>92</v>
      </c>
      <c r="G68" s="2">
        <f>ROUND(G23*G67,0)</f>
        <v>248825</v>
      </c>
      <c r="H68" s="2"/>
      <c r="I68" s="2"/>
      <c r="J68" s="123"/>
      <c r="K68" s="16" t="s">
        <v>92</v>
      </c>
      <c r="L68" s="2">
        <f>ROUND(L23*L67,0)</f>
        <v>248250</v>
      </c>
      <c r="M68" s="2"/>
      <c r="N68" s="2"/>
    </row>
    <row r="69" spans="1:14" x14ac:dyDescent="0.3">
      <c r="A69" s="26" t="s">
        <v>93</v>
      </c>
      <c r="B69" s="2">
        <f>ROUND(B68*0.5,0)</f>
        <v>146239</v>
      </c>
      <c r="E69" s="123"/>
      <c r="F69" s="26" t="s">
        <v>93</v>
      </c>
      <c r="G69" s="2">
        <f>ROUND(G68*0.5,0)</f>
        <v>124413</v>
      </c>
      <c r="H69" s="2"/>
      <c r="I69" s="2"/>
      <c r="J69" s="123"/>
      <c r="K69" s="26" t="s">
        <v>93</v>
      </c>
      <c r="L69" s="2">
        <f>ROUND(L68*0.5,0)</f>
        <v>124125</v>
      </c>
      <c r="M69" s="2"/>
      <c r="N69" s="2"/>
    </row>
    <row r="70" spans="1:14" x14ac:dyDescent="0.3">
      <c r="A70" s="26" t="s">
        <v>94</v>
      </c>
      <c r="B70" s="21">
        <f>ROUND(B69*B5,0)</f>
        <v>4628464</v>
      </c>
      <c r="F70" s="26" t="s">
        <v>94</v>
      </c>
      <c r="G70" s="21">
        <f>ROUND(G69*G5,0)</f>
        <v>3686357</v>
      </c>
      <c r="K70" s="26" t="s">
        <v>94</v>
      </c>
      <c r="L70" s="21">
        <f>ROUND(L69*'Inputs and Parameters (Old)'!L5,0)</f>
        <v>3460605</v>
      </c>
    </row>
    <row r="71" spans="1:14" x14ac:dyDescent="0.3">
      <c r="A71" s="16"/>
      <c r="B71" s="2"/>
      <c r="E71" s="123"/>
      <c r="F71" s="16"/>
      <c r="G71" s="2"/>
      <c r="H71" s="2"/>
      <c r="I71" s="2"/>
      <c r="J71" s="123"/>
      <c r="K71" s="16"/>
      <c r="L71" s="2"/>
      <c r="M71" s="2"/>
      <c r="N71" s="2"/>
    </row>
    <row r="72" spans="1:14" x14ac:dyDescent="0.3">
      <c r="A72" s="28" t="s">
        <v>79</v>
      </c>
      <c r="B72" s="2">
        <f>B55+B60+B64+B69</f>
        <v>2021369</v>
      </c>
      <c r="E72" s="123"/>
      <c r="F72" s="28" t="s">
        <v>79</v>
      </c>
      <c r="G72" s="2">
        <f>G55+G60+G64+G69</f>
        <v>1719680</v>
      </c>
      <c r="H72" s="2"/>
      <c r="I72" s="2"/>
      <c r="J72" s="123"/>
      <c r="K72" s="28" t="s">
        <v>79</v>
      </c>
      <c r="L72" s="2">
        <f>L55+L60+L64+L69</f>
        <v>1860684</v>
      </c>
      <c r="M72" s="2"/>
      <c r="N72" s="2"/>
    </row>
    <row r="73" spans="1:14" x14ac:dyDescent="0.3">
      <c r="A73" s="28" t="s">
        <v>78</v>
      </c>
      <c r="B73" s="21">
        <f>B56+B61+B65+B70</f>
        <v>58702849</v>
      </c>
      <c r="E73" s="123"/>
      <c r="F73" s="28" t="s">
        <v>78</v>
      </c>
      <c r="G73" s="21">
        <f>G56+G61+G65+G70</f>
        <v>47037314</v>
      </c>
      <c r="H73" s="2"/>
      <c r="I73" s="2"/>
      <c r="J73" s="123"/>
      <c r="K73" s="28" t="s">
        <v>78</v>
      </c>
      <c r="L73" s="21">
        <f>L56+L61+L65+L70</f>
        <v>48139012</v>
      </c>
      <c r="M73" s="2"/>
      <c r="N73" s="2"/>
    </row>
    <row r="74" spans="1:14" x14ac:dyDescent="0.3">
      <c r="A74" s="28"/>
      <c r="B74" s="21"/>
      <c r="E74" s="123"/>
      <c r="F74" s="28"/>
      <c r="G74" s="21"/>
      <c r="H74" s="2"/>
      <c r="I74" s="2"/>
      <c r="J74" s="123"/>
      <c r="K74" s="28"/>
      <c r="L74" s="21"/>
      <c r="M74" s="2"/>
      <c r="N74" s="2"/>
    </row>
    <row r="75" spans="1:14" x14ac:dyDescent="0.3">
      <c r="A75" s="28" t="s">
        <v>1</v>
      </c>
      <c r="B75" s="2">
        <f>B63+B68+B59+B54</f>
        <v>6089725</v>
      </c>
      <c r="E75" s="123"/>
      <c r="F75" s="28" t="s">
        <v>1</v>
      </c>
      <c r="G75" s="2">
        <f>G63+G68+G59+G54</f>
        <v>5180835</v>
      </c>
      <c r="H75" s="2"/>
      <c r="I75" s="2"/>
      <c r="J75" s="123"/>
      <c r="K75" s="28" t="s">
        <v>1</v>
      </c>
      <c r="L75" s="2">
        <f>L63+L68+L59+L54</f>
        <v>5611741</v>
      </c>
      <c r="M75" s="2"/>
      <c r="N75" s="2"/>
    </row>
    <row r="76" spans="1:14" x14ac:dyDescent="0.3">
      <c r="E76" s="123"/>
      <c r="G76" s="2"/>
      <c r="H76" s="2"/>
      <c r="I76" s="2"/>
      <c r="J76" s="123"/>
      <c r="L76" s="2"/>
      <c r="M76" s="2"/>
      <c r="N76" s="2"/>
    </row>
    <row r="77" spans="1:14" x14ac:dyDescent="0.3">
      <c r="A77" t="s">
        <v>95</v>
      </c>
      <c r="E77" s="123"/>
      <c r="F77" t="s">
        <v>95</v>
      </c>
      <c r="G77" s="2"/>
      <c r="H77" s="2"/>
      <c r="I77" s="2"/>
      <c r="J77" s="123"/>
      <c r="K77" t="s">
        <v>95</v>
      </c>
      <c r="L77" s="2"/>
      <c r="M77" s="2"/>
      <c r="N77" s="2"/>
    </row>
    <row r="78" spans="1:14" x14ac:dyDescent="0.3">
      <c r="A78" s="16"/>
      <c r="E78" s="123"/>
      <c r="F78" s="16"/>
      <c r="G78" s="2"/>
      <c r="H78" s="2"/>
      <c r="I78" s="2"/>
      <c r="J78" s="123"/>
      <c r="K78" s="16"/>
      <c r="L78" s="2"/>
      <c r="M78" s="2"/>
      <c r="N78" s="2"/>
    </row>
    <row r="79" spans="1:14" x14ac:dyDescent="0.3">
      <c r="A79" s="34" t="s">
        <v>99</v>
      </c>
      <c r="B79" s="8">
        <v>0.13</v>
      </c>
      <c r="E79" s="123"/>
      <c r="F79" s="34" t="s">
        <v>99</v>
      </c>
      <c r="G79" s="8">
        <v>0.13</v>
      </c>
      <c r="H79" s="2"/>
      <c r="I79" s="2"/>
      <c r="J79" s="123"/>
      <c r="K79" s="34" t="s">
        <v>99</v>
      </c>
      <c r="L79" s="8">
        <v>0.13</v>
      </c>
      <c r="M79" s="2"/>
      <c r="N79" s="2"/>
    </row>
    <row r="80" spans="1:14" x14ac:dyDescent="0.3">
      <c r="A80" s="33" t="s">
        <v>98</v>
      </c>
      <c r="B80" s="2">
        <f>ROUND(B23*B79,0)</f>
        <v>760440</v>
      </c>
      <c r="E80" s="123"/>
      <c r="F80" s="33" t="s">
        <v>98</v>
      </c>
      <c r="G80" s="2">
        <f>ROUND(G23*G79,0)</f>
        <v>646945</v>
      </c>
      <c r="H80" s="2"/>
      <c r="I80" s="2"/>
      <c r="J80" s="123"/>
      <c r="K80" s="33" t="s">
        <v>98</v>
      </c>
      <c r="L80" s="2">
        <f>ROUND(L23*L79,0)</f>
        <v>645450</v>
      </c>
      <c r="M80" s="2"/>
      <c r="N80" s="2"/>
    </row>
    <row r="81" spans="1:14" x14ac:dyDescent="0.3">
      <c r="A81" s="33" t="s">
        <v>310</v>
      </c>
      <c r="B81" s="152">
        <f>'Potential Savings from Fit Test'!$I$24</f>
        <v>1273616.2807539748</v>
      </c>
      <c r="E81" s="123"/>
      <c r="F81" s="33"/>
      <c r="G81" s="2"/>
      <c r="H81" s="2"/>
      <c r="I81" s="2"/>
      <c r="J81" s="123"/>
      <c r="K81" s="33"/>
      <c r="L81" s="2"/>
      <c r="M81" s="2"/>
      <c r="N81" s="2"/>
    </row>
    <row r="82" spans="1:14" x14ac:dyDescent="0.3">
      <c r="A82" s="33" t="s">
        <v>311</v>
      </c>
      <c r="B82" s="8">
        <f>B81/B23</f>
        <v>0.21772923827986362</v>
      </c>
      <c r="E82" s="123"/>
      <c r="F82" s="33"/>
      <c r="G82" s="2"/>
      <c r="H82" s="2"/>
      <c r="I82" s="2"/>
      <c r="J82" s="123"/>
      <c r="K82" s="33"/>
      <c r="L82" s="2"/>
      <c r="M82" s="2"/>
      <c r="N82" s="2"/>
    </row>
    <row r="84" spans="1:14" x14ac:dyDescent="0.3">
      <c r="A84" s="34" t="s">
        <v>106</v>
      </c>
      <c r="B84" s="2">
        <f>ROUND((1-B79)*B23,0)</f>
        <v>5089101</v>
      </c>
      <c r="D84">
        <f>25/60</f>
        <v>0.41666666666666669</v>
      </c>
      <c r="F84" s="34" t="s">
        <v>106</v>
      </c>
      <c r="G84" s="2">
        <f>ROUND((1-G79)*G23,0)</f>
        <v>4329555</v>
      </c>
      <c r="K84" s="34" t="s">
        <v>106</v>
      </c>
      <c r="L84" s="2">
        <f>ROUND((1-L79)*L23,0)</f>
        <v>4319550</v>
      </c>
      <c r="N84" t="s">
        <v>100</v>
      </c>
    </row>
    <row r="85" spans="1:14" x14ac:dyDescent="0.3">
      <c r="A85" s="38" t="s">
        <v>102</v>
      </c>
      <c r="B85" s="44">
        <v>0.08</v>
      </c>
      <c r="F85" s="38" t="s">
        <v>102</v>
      </c>
      <c r="G85" s="44">
        <v>0.08</v>
      </c>
      <c r="I85" s="2"/>
      <c r="K85" s="38" t="s">
        <v>102</v>
      </c>
      <c r="L85" s="44">
        <v>0.08</v>
      </c>
      <c r="N85" s="2">
        <f>L84*(L85+L90)</f>
        <v>1209474</v>
      </c>
    </row>
    <row r="86" spans="1:14" x14ac:dyDescent="0.3">
      <c r="A86" s="40" t="s">
        <v>103</v>
      </c>
      <c r="B86" s="2">
        <f>ROUND(B84*B85,0)</f>
        <v>407128</v>
      </c>
      <c r="F86" s="40" t="s">
        <v>103</v>
      </c>
      <c r="G86" s="2">
        <f>ROUND(G84*G85,0)</f>
        <v>346364</v>
      </c>
      <c r="I86" s="2"/>
      <c r="K86" s="40" t="s">
        <v>103</v>
      </c>
      <c r="L86" s="2">
        <f>ROUND(L84*L85,0)</f>
        <v>345564</v>
      </c>
      <c r="N86" s="2"/>
    </row>
    <row r="87" spans="1:14" ht="21.6" x14ac:dyDescent="0.3">
      <c r="A87" s="40" t="s">
        <v>313</v>
      </c>
      <c r="B87" s="152">
        <f>B86*0.5</f>
        <v>203564</v>
      </c>
      <c r="C87" t="s">
        <v>315</v>
      </c>
      <c r="D87" s="3"/>
      <c r="F87" s="40"/>
      <c r="G87" s="2"/>
      <c r="I87" s="2"/>
      <c r="K87" s="40"/>
      <c r="L87" s="2"/>
      <c r="N87" s="2"/>
    </row>
    <row r="88" spans="1:14" x14ac:dyDescent="0.3">
      <c r="A88" s="40" t="s">
        <v>107</v>
      </c>
      <c r="B88" s="2">
        <f>ROUND(B87*ROUND(25/60,2),0)+ROUND((B86-B87)*0.5,0)</f>
        <v>187279</v>
      </c>
      <c r="C88" t="s">
        <v>316</v>
      </c>
      <c r="F88" s="40" t="s">
        <v>107</v>
      </c>
      <c r="G88" s="2">
        <f>ROUND(G86*0.5,0)</f>
        <v>173182</v>
      </c>
      <c r="I88" s="2"/>
      <c r="K88" s="40" t="s">
        <v>107</v>
      </c>
      <c r="L88" s="2">
        <f>ROUND(L86*0.5,0)</f>
        <v>172782</v>
      </c>
      <c r="N88" s="2"/>
    </row>
    <row r="89" spans="1:14" x14ac:dyDescent="0.3">
      <c r="A89" s="35" t="s">
        <v>108</v>
      </c>
      <c r="B89" s="41">
        <f>ROUND(B88*B5,0)</f>
        <v>5927380</v>
      </c>
      <c r="F89" s="35" t="s">
        <v>108</v>
      </c>
      <c r="G89" s="41">
        <f>ROUND(G88*G5,0)</f>
        <v>5131383</v>
      </c>
      <c r="I89" s="2"/>
      <c r="K89" s="35" t="s">
        <v>108</v>
      </c>
      <c r="L89" s="41">
        <f>ROUND(L88*'Inputs and Parameters (Old)'!L5,0)</f>
        <v>4817162</v>
      </c>
      <c r="N89" s="2">
        <f>L86+L91</f>
        <v>1209474</v>
      </c>
    </row>
    <row r="90" spans="1:14" x14ac:dyDescent="0.3">
      <c r="A90" s="38" t="s">
        <v>394</v>
      </c>
      <c r="B90" s="44">
        <v>0.2</v>
      </c>
      <c r="F90" s="38" t="s">
        <v>101</v>
      </c>
      <c r="G90" s="44">
        <v>0.2</v>
      </c>
      <c r="K90" s="38" t="s">
        <v>101</v>
      </c>
      <c r="L90" s="44">
        <v>0.2</v>
      </c>
    </row>
    <row r="91" spans="1:14" x14ac:dyDescent="0.3">
      <c r="A91" s="40" t="s">
        <v>104</v>
      </c>
      <c r="B91" s="2">
        <f>ROUND(B90*B84,0)</f>
        <v>1017820</v>
      </c>
      <c r="C91" s="2">
        <f>B84-(SUM(B86,B91))</f>
        <v>3664153</v>
      </c>
      <c r="F91" s="40" t="s">
        <v>104</v>
      </c>
      <c r="G91" s="2">
        <f>ROUND(G90*G84,0)</f>
        <v>865911</v>
      </c>
      <c r="K91" s="40" t="s">
        <v>104</v>
      </c>
      <c r="L91" s="2">
        <f>ROUND(L90*L84,0)</f>
        <v>863910</v>
      </c>
    </row>
    <row r="92" spans="1:14" x14ac:dyDescent="0.3">
      <c r="A92" s="40" t="s">
        <v>107</v>
      </c>
      <c r="B92" s="2">
        <f>ROUND(B91*0.5,0)</f>
        <v>508910</v>
      </c>
      <c r="F92" s="40" t="s">
        <v>107</v>
      </c>
      <c r="G92" s="2">
        <f>ROUND(G91*0.5,0)</f>
        <v>432956</v>
      </c>
      <c r="K92" s="40" t="s">
        <v>107</v>
      </c>
      <c r="L92" s="2">
        <f>ROUND(L91*0.5,0)</f>
        <v>431955</v>
      </c>
    </row>
    <row r="93" spans="1:14" x14ac:dyDescent="0.3">
      <c r="A93" s="35" t="s">
        <v>108</v>
      </c>
      <c r="B93" s="41">
        <f>ROUND(B92*B5,0)</f>
        <v>16107002</v>
      </c>
      <c r="F93" s="35" t="s">
        <v>108</v>
      </c>
      <c r="G93" s="41">
        <f>ROUND(G92*G5,0)</f>
        <v>12828486</v>
      </c>
      <c r="K93" s="35" t="s">
        <v>108</v>
      </c>
      <c r="L93" s="41">
        <f>ROUND(L92*'Inputs and Parameters (Old)'!L5,0)</f>
        <v>12042905</v>
      </c>
    </row>
    <row r="94" spans="1:14" x14ac:dyDescent="0.3">
      <c r="A94" s="38" t="s">
        <v>105</v>
      </c>
      <c r="B94" s="39">
        <f>ROUND(B84*(1-(B90+B85)),0)</f>
        <v>3664153</v>
      </c>
      <c r="F94" s="38" t="s">
        <v>105</v>
      </c>
      <c r="G94" s="39">
        <f>ROUND(G84*(1-(G90+G85)),0)</f>
        <v>3117280</v>
      </c>
      <c r="K94" s="38" t="s">
        <v>105</v>
      </c>
      <c r="L94" s="39">
        <f>ROUND(L84*(1-(L90+L85)),0)</f>
        <v>3110076</v>
      </c>
    </row>
    <row r="95" spans="1:14" x14ac:dyDescent="0.3">
      <c r="A95" s="40" t="s">
        <v>312</v>
      </c>
      <c r="B95" s="152">
        <f>B81-B87-(B23*B79*B82)</f>
        <v>904482.16425595805</v>
      </c>
      <c r="F95" s="40"/>
      <c r="G95" s="2"/>
      <c r="K95" s="40"/>
      <c r="L95" s="2"/>
    </row>
    <row r="96" spans="1:14" x14ac:dyDescent="0.3">
      <c r="A96" s="40" t="s">
        <v>109</v>
      </c>
      <c r="B96" s="2">
        <f>ROUND(B95*(25/60),0)+ROUND((B94-B95)*0.5,0)</f>
        <v>1756703</v>
      </c>
      <c r="C96" t="s">
        <v>314</v>
      </c>
      <c r="F96" s="40" t="s">
        <v>109</v>
      </c>
      <c r="G96" s="2">
        <f>ROUND(G94*0.5,0)</f>
        <v>1558640</v>
      </c>
      <c r="K96" s="40" t="s">
        <v>109</v>
      </c>
      <c r="L96" s="2">
        <f>ROUND(L94*0.5,0)</f>
        <v>1555038</v>
      </c>
    </row>
    <row r="97" spans="1:14" x14ac:dyDescent="0.3">
      <c r="A97" s="40" t="s">
        <v>110</v>
      </c>
      <c r="B97" s="2">
        <f>B96</f>
        <v>1756703</v>
      </c>
      <c r="C97" t="s">
        <v>314</v>
      </c>
      <c r="F97" s="40" t="s">
        <v>110</v>
      </c>
      <c r="G97" s="2">
        <f>G96</f>
        <v>1558640</v>
      </c>
      <c r="K97" s="40" t="s">
        <v>110</v>
      </c>
      <c r="L97" s="2">
        <f>L96</f>
        <v>1555038</v>
      </c>
    </row>
    <row r="98" spans="1:14" x14ac:dyDescent="0.3">
      <c r="A98" s="35" t="s">
        <v>111</v>
      </c>
      <c r="B98" s="42">
        <f>B96+B97</f>
        <v>3513406</v>
      </c>
      <c r="F98" s="35" t="s">
        <v>111</v>
      </c>
      <c r="G98" s="42">
        <f>G96+G97</f>
        <v>3117280</v>
      </c>
      <c r="K98" s="35" t="s">
        <v>111</v>
      </c>
      <c r="L98" s="42">
        <f>L96+L97</f>
        <v>3110076</v>
      </c>
    </row>
    <row r="99" spans="1:14" x14ac:dyDescent="0.3">
      <c r="A99" s="40" t="s">
        <v>112</v>
      </c>
      <c r="B99" s="21">
        <f>ROUND(B96*B4,0)</f>
        <v>98059161</v>
      </c>
      <c r="F99" s="40" t="s">
        <v>112</v>
      </c>
      <c r="G99" s="21">
        <f>ROUND(G96*G4,0)</f>
        <v>80129682</v>
      </c>
      <c r="I99" s="2"/>
      <c r="K99" s="40" t="s">
        <v>112</v>
      </c>
      <c r="L99" s="21">
        <f>ROUND(L96*'Inputs and Parameters (Old)'!L4,0)</f>
        <v>76678924</v>
      </c>
      <c r="N99" s="2">
        <f>L94+L91+L86</f>
        <v>4319550</v>
      </c>
    </row>
    <row r="100" spans="1:14" x14ac:dyDescent="0.3">
      <c r="A100" s="40" t="s">
        <v>113</v>
      </c>
      <c r="B100" s="21">
        <f>ROUND(B97*B5,0)</f>
        <v>55599650</v>
      </c>
      <c r="F100" s="40" t="s">
        <v>113</v>
      </c>
      <c r="G100" s="21">
        <f>ROUND(G97*G5,0)</f>
        <v>46182503</v>
      </c>
      <c r="H100" s="2"/>
      <c r="K100" s="40" t="s">
        <v>113</v>
      </c>
      <c r="L100" s="21">
        <f>ROUND(L97*'Inputs and Parameters (Old)'!L5,0)</f>
        <v>43354459</v>
      </c>
      <c r="M100" s="2"/>
    </row>
    <row r="101" spans="1:14" x14ac:dyDescent="0.3">
      <c r="A101" s="37" t="s">
        <v>114</v>
      </c>
      <c r="B101" s="43">
        <f>B99+B100</f>
        <v>153658811</v>
      </c>
      <c r="F101" s="37" t="s">
        <v>114</v>
      </c>
      <c r="G101" s="43">
        <f>G99+G100</f>
        <v>126312185</v>
      </c>
      <c r="H101" s="21"/>
      <c r="K101" s="37" t="s">
        <v>114</v>
      </c>
      <c r="L101" s="43">
        <f>L99+L100</f>
        <v>120033383</v>
      </c>
      <c r="M101" s="21"/>
    </row>
    <row r="102" spans="1:14" x14ac:dyDescent="0.3">
      <c r="A102" s="46" t="s">
        <v>115</v>
      </c>
      <c r="B102" s="47">
        <f>B88+B92+B98</f>
        <v>4209595</v>
      </c>
      <c r="F102" s="46" t="s">
        <v>115</v>
      </c>
      <c r="G102" s="47">
        <f>G88+G92+G98</f>
        <v>3723418</v>
      </c>
      <c r="K102" s="46" t="s">
        <v>115</v>
      </c>
      <c r="L102" s="47">
        <f>L88+L92+L98</f>
        <v>3714813</v>
      </c>
    </row>
    <row r="103" spans="1:14" x14ac:dyDescent="0.3">
      <c r="A103" s="48" t="s">
        <v>71</v>
      </c>
      <c r="B103" s="49">
        <f>B89+B93+B101</f>
        <v>175693193</v>
      </c>
      <c r="F103" s="48" t="s">
        <v>71</v>
      </c>
      <c r="G103" s="49">
        <f>G89+G93+G101</f>
        <v>144272054</v>
      </c>
      <c r="K103" s="48" t="s">
        <v>71</v>
      </c>
      <c r="L103" s="49">
        <f>L89+L93+L101</f>
        <v>136893450</v>
      </c>
    </row>
    <row r="104" spans="1:14" x14ac:dyDescent="0.3">
      <c r="A104" s="45"/>
      <c r="F104" s="45"/>
      <c r="G104" s="36"/>
      <c r="K104" s="45"/>
      <c r="L104" s="36"/>
    </row>
    <row r="105" spans="1:14" x14ac:dyDescent="0.3">
      <c r="A105" s="45" t="s">
        <v>158</v>
      </c>
      <c r="B105" s="76">
        <f>B91+B86+B94+B94</f>
        <v>8753254</v>
      </c>
      <c r="F105" s="45" t="s">
        <v>158</v>
      </c>
      <c r="G105" s="76">
        <f>G91+G86+G94+G94</f>
        <v>7446835</v>
      </c>
      <c r="K105" s="45" t="s">
        <v>158</v>
      </c>
      <c r="L105" s="76">
        <f>L91+L86+L94+L94</f>
        <v>7429626</v>
      </c>
    </row>
    <row r="107" spans="1:14" x14ac:dyDescent="0.3">
      <c r="A107" t="s">
        <v>116</v>
      </c>
      <c r="F107" t="s">
        <v>116</v>
      </c>
      <c r="K107" t="s">
        <v>116</v>
      </c>
    </row>
    <row r="109" spans="1:14" x14ac:dyDescent="0.3">
      <c r="A109" s="55" t="s">
        <v>122</v>
      </c>
      <c r="F109" s="55" t="s">
        <v>122</v>
      </c>
      <c r="K109" s="55" t="s">
        <v>122</v>
      </c>
    </row>
    <row r="110" spans="1:14" x14ac:dyDescent="0.3">
      <c r="A110" s="55"/>
      <c r="F110" s="55"/>
      <c r="K110" s="55"/>
    </row>
    <row r="111" spans="1:14" x14ac:dyDescent="0.3">
      <c r="A111" s="50" t="s">
        <v>117</v>
      </c>
      <c r="B111" s="8">
        <v>0.02</v>
      </c>
      <c r="F111" s="50" t="s">
        <v>117</v>
      </c>
      <c r="G111" s="8">
        <v>0.02</v>
      </c>
      <c r="K111" s="50" t="s">
        <v>117</v>
      </c>
      <c r="L111" s="8">
        <v>0.02</v>
      </c>
    </row>
    <row r="112" spans="1:14" x14ac:dyDescent="0.3">
      <c r="A112" s="50" t="s">
        <v>118</v>
      </c>
      <c r="B112" s="2">
        <f>ROUND(B12*B111,0)</f>
        <v>12321</v>
      </c>
      <c r="F112" s="50" t="s">
        <v>118</v>
      </c>
      <c r="G112" s="2">
        <f>ROUND(G12*G111,0)</f>
        <v>12204</v>
      </c>
      <c r="K112" s="50" t="s">
        <v>118</v>
      </c>
      <c r="L112" s="2">
        <f>ROUND(L12*L111,0)</f>
        <v>12376</v>
      </c>
    </row>
    <row r="113" spans="1:12" x14ac:dyDescent="0.3">
      <c r="A113" s="51" t="s">
        <v>119</v>
      </c>
      <c r="B113" s="8">
        <v>0.1</v>
      </c>
      <c r="F113" s="51" t="s">
        <v>119</v>
      </c>
      <c r="G113" s="8">
        <v>0.1</v>
      </c>
      <c r="K113" s="51" t="s">
        <v>119</v>
      </c>
      <c r="L113" s="8">
        <v>0.1</v>
      </c>
    </row>
    <row r="114" spans="1:12" x14ac:dyDescent="0.3">
      <c r="A114" s="51" t="s">
        <v>120</v>
      </c>
      <c r="B114" s="2">
        <f>ROUND(B112*B113,0)</f>
        <v>1232</v>
      </c>
      <c r="F114" s="51" t="s">
        <v>120</v>
      </c>
      <c r="G114" s="2">
        <f>ROUND(G112*G113,0)</f>
        <v>1220</v>
      </c>
      <c r="K114" s="51" t="s">
        <v>120</v>
      </c>
      <c r="L114" s="2">
        <f>L112*L113</f>
        <v>1237.6000000000001</v>
      </c>
    </row>
    <row r="115" spans="1:12" x14ac:dyDescent="0.3">
      <c r="A115" s="52" t="s">
        <v>121</v>
      </c>
      <c r="B115" s="2">
        <f>B114*2</f>
        <v>2464</v>
      </c>
      <c r="F115" s="52" t="s">
        <v>121</v>
      </c>
      <c r="G115" s="2">
        <f>G114*2</f>
        <v>2440</v>
      </c>
      <c r="K115" s="52" t="s">
        <v>121</v>
      </c>
      <c r="L115" s="2">
        <f>L114*2</f>
        <v>2475.2000000000003</v>
      </c>
    </row>
    <row r="116" spans="1:12" x14ac:dyDescent="0.3">
      <c r="A116" s="56" t="s">
        <v>107</v>
      </c>
      <c r="B116" s="54">
        <f>ROUND(B115*0.08,0)</f>
        <v>197</v>
      </c>
      <c r="F116" s="56" t="s">
        <v>107</v>
      </c>
      <c r="G116" s="54">
        <f>ROUND(G115*0.08,0)</f>
        <v>195</v>
      </c>
      <c r="K116" s="56" t="s">
        <v>107</v>
      </c>
      <c r="L116" s="54">
        <f>ROUND(L115*0.08,0)</f>
        <v>198</v>
      </c>
    </row>
    <row r="117" spans="1:12" x14ac:dyDescent="0.3">
      <c r="A117" s="56" t="s">
        <v>108</v>
      </c>
      <c r="B117" s="21">
        <f>ROUND(B116*B5,0)</f>
        <v>6235</v>
      </c>
      <c r="F117" s="56" t="s">
        <v>108</v>
      </c>
      <c r="G117" s="21">
        <f>ROUND(G116*G5,0)</f>
        <v>5778</v>
      </c>
      <c r="K117" s="56" t="s">
        <v>108</v>
      </c>
      <c r="L117" s="21">
        <f>ROUND(L116*'Inputs and Parameters (Old)'!L5,0)</f>
        <v>5520</v>
      </c>
    </row>
    <row r="119" spans="1:12" x14ac:dyDescent="0.3">
      <c r="A119" s="55" t="s">
        <v>123</v>
      </c>
      <c r="F119" s="55" t="s">
        <v>123</v>
      </c>
      <c r="K119" s="55" t="s">
        <v>123</v>
      </c>
    </row>
    <row r="121" spans="1:12" x14ac:dyDescent="0.3">
      <c r="A121" s="50" t="s">
        <v>124</v>
      </c>
      <c r="B121" s="2">
        <f>B112*2</f>
        <v>24642</v>
      </c>
      <c r="F121" s="50" t="s">
        <v>124</v>
      </c>
      <c r="G121" s="2">
        <f>G112*2</f>
        <v>24408</v>
      </c>
      <c r="K121" s="50" t="s">
        <v>124</v>
      </c>
      <c r="L121" s="2">
        <f>L112*2</f>
        <v>24752</v>
      </c>
    </row>
    <row r="122" spans="1:12" x14ac:dyDescent="0.3">
      <c r="A122" s="56" t="s">
        <v>107</v>
      </c>
      <c r="B122" s="2">
        <f>ROUND(B121*12*0.17,0)</f>
        <v>50270</v>
      </c>
      <c r="F122" s="56" t="s">
        <v>107</v>
      </c>
      <c r="G122" s="2">
        <f>ROUND(G121*12*0.17,0)</f>
        <v>49792</v>
      </c>
      <c r="K122" s="56" t="s">
        <v>107</v>
      </c>
      <c r="L122" s="2">
        <f>ROUND(L121*12*0.17,0)</f>
        <v>50494</v>
      </c>
    </row>
    <row r="123" spans="1:12" x14ac:dyDescent="0.3">
      <c r="A123" s="56" t="s">
        <v>108</v>
      </c>
      <c r="B123" s="21">
        <f>ROUND(B122*B5,0)</f>
        <v>1591046</v>
      </c>
      <c r="F123" s="56" t="s">
        <v>108</v>
      </c>
      <c r="G123" s="21">
        <f>ROUND(G122*G5,0)</f>
        <v>1475337</v>
      </c>
      <c r="K123" s="56" t="s">
        <v>108</v>
      </c>
      <c r="L123" s="21">
        <f>ROUND(L122*'Inputs and Parameters (Old)'!L5,0)</f>
        <v>1407773</v>
      </c>
    </row>
    <row r="124" spans="1:12" x14ac:dyDescent="0.3">
      <c r="A124" s="56"/>
      <c r="B124" s="21"/>
      <c r="F124" s="56"/>
      <c r="G124" s="21"/>
      <c r="K124" s="56"/>
      <c r="L124" s="21"/>
    </row>
    <row r="125" spans="1:12" x14ac:dyDescent="0.3">
      <c r="A125" s="53" t="s">
        <v>1</v>
      </c>
      <c r="B125" s="2">
        <f>12*B121</f>
        <v>295704</v>
      </c>
      <c r="F125" s="53" t="s">
        <v>1</v>
      </c>
      <c r="G125" s="2">
        <f>12*G121</f>
        <v>292896</v>
      </c>
      <c r="K125" s="53" t="s">
        <v>1</v>
      </c>
      <c r="L125" s="2">
        <f>12*L121</f>
        <v>297024</v>
      </c>
    </row>
    <row r="127" spans="1:12" x14ac:dyDescent="0.3">
      <c r="A127" t="s">
        <v>125</v>
      </c>
      <c r="F127" t="s">
        <v>125</v>
      </c>
      <c r="K127" t="s">
        <v>125</v>
      </c>
    </row>
    <row r="129" spans="1:13" x14ac:dyDescent="0.3">
      <c r="A129" s="60" t="s">
        <v>129</v>
      </c>
      <c r="F129" s="60" t="s">
        <v>129</v>
      </c>
      <c r="K129" s="60" t="s">
        <v>129</v>
      </c>
    </row>
    <row r="130" spans="1:13" x14ac:dyDescent="0.3">
      <c r="A130" s="58" t="s">
        <v>126</v>
      </c>
      <c r="B130" s="2">
        <v>24727</v>
      </c>
      <c r="F130" s="58" t="s">
        <v>126</v>
      </c>
      <c r="G130" s="2">
        <v>24727</v>
      </c>
      <c r="H130" s="2"/>
      <c r="K130" s="58" t="s">
        <v>126</v>
      </c>
      <c r="L130" s="2">
        <v>24727</v>
      </c>
      <c r="M130" s="2"/>
    </row>
    <row r="131" spans="1:13" x14ac:dyDescent="0.3">
      <c r="A131" s="58" t="s">
        <v>304</v>
      </c>
      <c r="B131" s="57">
        <f>'Profile 2015'!$S$47</f>
        <v>1.7399999999999999E-2</v>
      </c>
      <c r="F131" s="58" t="s">
        <v>304</v>
      </c>
      <c r="G131" s="57">
        <v>-4.7000000000000002E-3</v>
      </c>
      <c r="H131" s="57"/>
      <c r="K131" s="58" t="s">
        <v>127</v>
      </c>
      <c r="L131" s="57">
        <v>7.0000000000000001E-3</v>
      </c>
      <c r="M131" s="57"/>
    </row>
    <row r="132" spans="1:13" x14ac:dyDescent="0.3">
      <c r="A132" s="58" t="s">
        <v>303</v>
      </c>
      <c r="B132" s="2">
        <f>ROUND(B130*(1+B131),0)</f>
        <v>25157</v>
      </c>
      <c r="F132" s="58" t="s">
        <v>303</v>
      </c>
      <c r="G132" s="2">
        <f>ROUND(G130*(1+G131),0)</f>
        <v>24611</v>
      </c>
      <c r="H132" s="2"/>
      <c r="K132" s="58" t="s">
        <v>128</v>
      </c>
      <c r="L132" s="2">
        <f>ROUND(L130*(1-L131),0)</f>
        <v>24554</v>
      </c>
      <c r="M132" s="2"/>
    </row>
    <row r="133" spans="1:13" x14ac:dyDescent="0.3">
      <c r="A133" s="56" t="s">
        <v>107</v>
      </c>
      <c r="B133" s="2">
        <f>ROUND(B132*3*0.08,0)</f>
        <v>6038</v>
      </c>
      <c r="F133" s="56" t="s">
        <v>107</v>
      </c>
      <c r="G133" s="2">
        <f>ROUND(G132*3*0.08,0)</f>
        <v>5907</v>
      </c>
      <c r="H133" s="2"/>
      <c r="K133" s="56" t="s">
        <v>107</v>
      </c>
      <c r="L133" s="2">
        <f>ROUND(L132*3*0.08,0)</f>
        <v>5893</v>
      </c>
      <c r="M133" s="2"/>
    </row>
    <row r="134" spans="1:13" x14ac:dyDescent="0.3">
      <c r="A134" s="56" t="s">
        <v>108</v>
      </c>
      <c r="B134" s="21">
        <f>ROUND(B133*B5,0)</f>
        <v>191103</v>
      </c>
      <c r="F134" s="56" t="s">
        <v>108</v>
      </c>
      <c r="G134" s="21">
        <f>ROUND(G133*G5,0)</f>
        <v>175024</v>
      </c>
      <c r="H134" s="21"/>
      <c r="K134" s="56" t="s">
        <v>108</v>
      </c>
      <c r="L134" s="21">
        <f>ROUND(L133*'Inputs and Parameters (Old)'!L5,0)</f>
        <v>164297</v>
      </c>
      <c r="M134" s="21"/>
    </row>
    <row r="135" spans="1:13" x14ac:dyDescent="0.3">
      <c r="A135" s="56"/>
      <c r="B135" s="21"/>
      <c r="F135" s="56"/>
      <c r="G135" s="21"/>
      <c r="H135" s="21"/>
      <c r="K135" s="56"/>
      <c r="L135" s="21"/>
      <c r="M135" s="21"/>
    </row>
    <row r="136" spans="1:13" x14ac:dyDescent="0.3">
      <c r="A136" s="56" t="s">
        <v>1</v>
      </c>
      <c r="B136" s="2">
        <f>B132*3</f>
        <v>75471</v>
      </c>
      <c r="F136" s="56" t="s">
        <v>1</v>
      </c>
      <c r="G136" s="2">
        <f>G132*3</f>
        <v>73833</v>
      </c>
      <c r="H136" s="21"/>
      <c r="K136" s="56" t="s">
        <v>1</v>
      </c>
      <c r="L136" s="2">
        <f>L132*3</f>
        <v>73662</v>
      </c>
      <c r="M136" s="21"/>
    </row>
    <row r="138" spans="1:13" x14ac:dyDescent="0.3">
      <c r="A138" t="s">
        <v>131</v>
      </c>
      <c r="F138" t="s">
        <v>131</v>
      </c>
      <c r="K138" t="s">
        <v>131</v>
      </c>
    </row>
    <row r="139" spans="1:13" x14ac:dyDescent="0.3">
      <c r="A139" s="59" t="s">
        <v>132</v>
      </c>
      <c r="F139" s="59" t="s">
        <v>132</v>
      </c>
      <c r="K139" s="59" t="s">
        <v>132</v>
      </c>
    </row>
    <row r="141" spans="1:13" x14ac:dyDescent="0.3">
      <c r="A141" t="s">
        <v>130</v>
      </c>
      <c r="F141" t="s">
        <v>130</v>
      </c>
      <c r="K141" t="s">
        <v>130</v>
      </c>
    </row>
    <row r="143" spans="1:13" x14ac:dyDescent="0.3">
      <c r="A143" s="55" t="s">
        <v>20</v>
      </c>
      <c r="F143" s="55" t="s">
        <v>20</v>
      </c>
      <c r="K143" s="55" t="s">
        <v>20</v>
      </c>
    </row>
    <row r="144" spans="1:13" x14ac:dyDescent="0.3">
      <c r="A144" s="61" t="s">
        <v>134</v>
      </c>
      <c r="B144" s="2">
        <f>B54+B59+B68</f>
        <v>3328741</v>
      </c>
      <c r="F144" s="61" t="s">
        <v>134</v>
      </c>
      <c r="G144" s="2">
        <f>G54+G59+G68</f>
        <v>2831927</v>
      </c>
      <c r="K144" s="61" t="s">
        <v>134</v>
      </c>
      <c r="L144" s="2">
        <f>L54+L59+L68</f>
        <v>3069661</v>
      </c>
    </row>
    <row r="145" spans="1:12" x14ac:dyDescent="0.3">
      <c r="A145" s="56" t="s">
        <v>107</v>
      </c>
      <c r="B145" s="2">
        <f>ROUND(B144*0.08,0)</f>
        <v>266299</v>
      </c>
      <c r="F145" s="56" t="s">
        <v>107</v>
      </c>
      <c r="G145" s="2">
        <f>ROUND(G144*0.08,0)</f>
        <v>226554</v>
      </c>
      <c r="K145" s="56" t="s">
        <v>107</v>
      </c>
      <c r="L145" s="2">
        <f>ROUND(L144*0.08,0)</f>
        <v>245573</v>
      </c>
    </row>
    <row r="146" spans="1:12" x14ac:dyDescent="0.3">
      <c r="A146" s="56" t="s">
        <v>108</v>
      </c>
      <c r="B146" s="2">
        <f>ROUND(B145*B6,0)</f>
        <v>6393839</v>
      </c>
      <c r="F146" s="56" t="s">
        <v>108</v>
      </c>
      <c r="G146" s="2">
        <f>ROUND(G145*G6,0)</f>
        <v>5201680</v>
      </c>
      <c r="K146" s="56" t="s">
        <v>108</v>
      </c>
      <c r="L146" s="2">
        <f>ROUND(L145*'Inputs and Parameters (Old)'!L6,0)</f>
        <v>5402606</v>
      </c>
    </row>
    <row r="147" spans="1:12" x14ac:dyDescent="0.3">
      <c r="A147" s="56"/>
      <c r="B147" s="2"/>
      <c r="F147" s="56"/>
      <c r="G147" s="2"/>
      <c r="K147" s="56"/>
      <c r="L147" s="2"/>
    </row>
    <row r="148" spans="1:12" x14ac:dyDescent="0.3">
      <c r="A148" s="55" t="s">
        <v>133</v>
      </c>
      <c r="F148" s="55" t="s">
        <v>133</v>
      </c>
      <c r="K148" s="55" t="s">
        <v>133</v>
      </c>
    </row>
    <row r="150" spans="1:12" x14ac:dyDescent="0.3">
      <c r="A150" s="56" t="s">
        <v>107</v>
      </c>
      <c r="B150" s="2">
        <f>ROUND(B84*0.08,0)</f>
        <v>407128</v>
      </c>
      <c r="F150" s="56" t="s">
        <v>107</v>
      </c>
      <c r="G150" s="2">
        <f>ROUND(G84*0.08,0)</f>
        <v>346364</v>
      </c>
      <c r="K150" s="56" t="s">
        <v>107</v>
      </c>
      <c r="L150" s="2">
        <f>ROUND(L84*0.08,0)</f>
        <v>345564</v>
      </c>
    </row>
    <row r="151" spans="1:12" x14ac:dyDescent="0.3">
      <c r="A151" s="56" t="s">
        <v>108</v>
      </c>
      <c r="B151" s="21">
        <f>ROUND(B150*B6,0)</f>
        <v>9775143</v>
      </c>
      <c r="F151" s="56" t="s">
        <v>108</v>
      </c>
      <c r="G151" s="21">
        <f>ROUND(G150*G6,0)</f>
        <v>7952517</v>
      </c>
      <c r="K151" s="56" t="s">
        <v>108</v>
      </c>
      <c r="L151" s="21">
        <f>ROUND(L150*'Inputs and Parameters (Old)'!L6,0)</f>
        <v>7602408</v>
      </c>
    </row>
    <row r="152" spans="1:12" ht="28.8" x14ac:dyDescent="0.3">
      <c r="A152" s="134" t="s">
        <v>337</v>
      </c>
      <c r="B152" s="1" t="s">
        <v>338</v>
      </c>
    </row>
    <row r="153" spans="1:12" x14ac:dyDescent="0.3">
      <c r="A153" s="55" t="s">
        <v>22</v>
      </c>
      <c r="F153" s="55" t="s">
        <v>22</v>
      </c>
      <c r="K153" s="55" t="s">
        <v>22</v>
      </c>
    </row>
    <row r="155" spans="1:12" x14ac:dyDescent="0.3">
      <c r="A155" s="61" t="s">
        <v>135</v>
      </c>
      <c r="B155" s="8">
        <v>0.1</v>
      </c>
      <c r="F155" s="61" t="s">
        <v>135</v>
      </c>
      <c r="G155" s="8">
        <v>0.1</v>
      </c>
      <c r="K155" s="61" t="s">
        <v>135</v>
      </c>
      <c r="L155" s="8">
        <v>0.1</v>
      </c>
    </row>
    <row r="156" spans="1:12" x14ac:dyDescent="0.3">
      <c r="A156" s="61" t="s">
        <v>136</v>
      </c>
      <c r="B156" s="2">
        <f>ROUND(B155*B23,0)</f>
        <v>584954</v>
      </c>
      <c r="F156" s="61" t="s">
        <v>136</v>
      </c>
      <c r="G156" s="2">
        <f>ROUND(G155*G23,0)</f>
        <v>497650</v>
      </c>
      <c r="K156" s="61" t="s">
        <v>136</v>
      </c>
      <c r="L156" s="2">
        <f>ROUND(L155*L23,0)</f>
        <v>496500</v>
      </c>
    </row>
    <row r="157" spans="1:12" x14ac:dyDescent="0.3">
      <c r="A157" s="56" t="s">
        <v>107</v>
      </c>
      <c r="B157" s="2">
        <f>ROUND(B156*0.08,0)</f>
        <v>46796</v>
      </c>
      <c r="F157" s="56" t="s">
        <v>107</v>
      </c>
      <c r="G157" s="2">
        <f>ROUND(G156*0.08,0)</f>
        <v>39812</v>
      </c>
      <c r="K157" s="56" t="s">
        <v>107</v>
      </c>
      <c r="L157" s="2">
        <f>ROUND(L156*0.08,0)</f>
        <v>39720</v>
      </c>
    </row>
    <row r="158" spans="1:12" x14ac:dyDescent="0.3">
      <c r="A158" s="56" t="s">
        <v>108</v>
      </c>
      <c r="B158" s="21">
        <f>ROUND(B157*B6,0)</f>
        <v>1123572</v>
      </c>
      <c r="F158" s="56" t="s">
        <v>108</v>
      </c>
      <c r="G158" s="21">
        <f>ROUND(G157*G6,0)</f>
        <v>914084</v>
      </c>
      <c r="K158" s="56" t="s">
        <v>108</v>
      </c>
      <c r="L158" s="21">
        <f>ROUND(L157*'Inputs and Parameters (Old)'!L6,0)</f>
        <v>873840</v>
      </c>
    </row>
    <row r="160" spans="1:12" x14ac:dyDescent="0.3">
      <c r="A160" t="s">
        <v>137</v>
      </c>
      <c r="F160" t="s">
        <v>137</v>
      </c>
      <c r="K160" t="s">
        <v>137</v>
      </c>
    </row>
    <row r="162" spans="1:12" x14ac:dyDescent="0.3">
      <c r="A162" t="s">
        <v>152</v>
      </c>
      <c r="B162" s="2">
        <f>B169+B175+B183</f>
        <v>316906664</v>
      </c>
      <c r="F162" t="s">
        <v>152</v>
      </c>
      <c r="G162" s="2">
        <f>G169+G175+G183</f>
        <v>188844691</v>
      </c>
      <c r="K162" t="s">
        <v>152</v>
      </c>
      <c r="L162" s="2">
        <f>L170+L176+L185</f>
        <v>185578934.67000002</v>
      </c>
    </row>
    <row r="163" spans="1:12" x14ac:dyDescent="0.3">
      <c r="A163" t="s">
        <v>153</v>
      </c>
      <c r="B163" s="2">
        <v>164751553</v>
      </c>
      <c r="F163" t="s">
        <v>153</v>
      </c>
      <c r="G163" s="2">
        <v>164751553</v>
      </c>
      <c r="K163" t="s">
        <v>153</v>
      </c>
      <c r="L163" s="2">
        <v>164751553</v>
      </c>
    </row>
    <row r="164" spans="1:12" x14ac:dyDescent="0.3">
      <c r="A164" s="53" t="s">
        <v>154</v>
      </c>
      <c r="B164" s="2">
        <f>B162-B163</f>
        <v>152155111</v>
      </c>
      <c r="F164" s="53" t="s">
        <v>154</v>
      </c>
      <c r="G164" s="2">
        <f>G162-G163</f>
        <v>24093138</v>
      </c>
      <c r="K164" s="53" t="s">
        <v>154</v>
      </c>
      <c r="L164" s="2">
        <f>L162-L163</f>
        <v>20827381.670000017</v>
      </c>
    </row>
    <row r="166" spans="1:12" x14ac:dyDescent="0.3">
      <c r="A166" s="55" t="s">
        <v>138</v>
      </c>
      <c r="F166" s="55" t="s">
        <v>138</v>
      </c>
      <c r="K166" s="55" t="s">
        <v>138</v>
      </c>
    </row>
    <row r="167" spans="1:12" x14ac:dyDescent="0.3">
      <c r="A167" s="32" t="s">
        <v>234</v>
      </c>
      <c r="B167" s="57">
        <v>0.1012</v>
      </c>
      <c r="C167" s="132" t="s">
        <v>330</v>
      </c>
      <c r="F167" s="32" t="s">
        <v>234</v>
      </c>
      <c r="G167" s="57">
        <v>0.1012</v>
      </c>
      <c r="K167" s="32" t="s">
        <v>143</v>
      </c>
      <c r="L167" s="62">
        <v>250</v>
      </c>
    </row>
    <row r="168" spans="1:12" x14ac:dyDescent="0.3">
      <c r="A168" s="32" t="s">
        <v>233</v>
      </c>
      <c r="B168" s="63">
        <f>ROUND(L169*(1+G167),2)</f>
        <v>324.58</v>
      </c>
      <c r="C168" s="3" t="s">
        <v>339</v>
      </c>
      <c r="F168" s="32" t="s">
        <v>233</v>
      </c>
      <c r="G168" s="63">
        <f>ROUND(L169*(1+G167),2)</f>
        <v>324.58</v>
      </c>
      <c r="K168" s="32" t="s">
        <v>141</v>
      </c>
      <c r="L168" s="57">
        <v>0.17899999999999999</v>
      </c>
    </row>
    <row r="169" spans="1:12" x14ac:dyDescent="0.3">
      <c r="A169" s="32" t="s">
        <v>144</v>
      </c>
      <c r="B169" s="138">
        <f>ROUND(SUM(B59,B68)*B168,0)</f>
        <v>279214752</v>
      </c>
      <c r="C169" t="s">
        <v>341</v>
      </c>
      <c r="F169" s="32" t="s">
        <v>144</v>
      </c>
      <c r="G169" s="62">
        <f>ROUND(G59*G168,0)</f>
        <v>156778307</v>
      </c>
      <c r="K169" s="32" t="s">
        <v>142</v>
      </c>
      <c r="L169" s="63">
        <f>L167+(L167*L168)</f>
        <v>294.75</v>
      </c>
    </row>
    <row r="170" spans="1:12" x14ac:dyDescent="0.3">
      <c r="A170" s="32" t="s">
        <v>239</v>
      </c>
      <c r="B170" s="62">
        <f>B169-L170</f>
        <v>123710252.25</v>
      </c>
      <c r="F170" s="32" t="s">
        <v>239</v>
      </c>
      <c r="G170" s="62">
        <f>G169-'Inputs and Parameters (Old)'!L170</f>
        <v>1273807.25</v>
      </c>
      <c r="K170" s="32" t="s">
        <v>144</v>
      </c>
      <c r="L170" s="62">
        <f>L59*L169</f>
        <v>155504499.75</v>
      </c>
    </row>
    <row r="172" spans="1:12" x14ac:dyDescent="0.3">
      <c r="A172" s="55" t="s">
        <v>139</v>
      </c>
      <c r="F172" s="55" t="s">
        <v>139</v>
      </c>
      <c r="H172" s="62"/>
      <c r="K172" s="55" t="s">
        <v>139</v>
      </c>
    </row>
    <row r="173" spans="1:12" x14ac:dyDescent="0.3">
      <c r="A173" s="32" t="s">
        <v>234</v>
      </c>
      <c r="B173" s="57">
        <v>6.4199999999999993E-2</v>
      </c>
      <c r="C173" s="132" t="s">
        <v>330</v>
      </c>
      <c r="F173" s="32" t="s">
        <v>234</v>
      </c>
      <c r="G173" s="57">
        <v>6.4199999999999993E-2</v>
      </c>
      <c r="K173" s="32" t="s">
        <v>143</v>
      </c>
      <c r="L173" s="7">
        <v>1</v>
      </c>
    </row>
    <row r="174" spans="1:12" x14ac:dyDescent="0.3">
      <c r="A174" s="32" t="s">
        <v>233</v>
      </c>
      <c r="B174" s="63">
        <f>ROUND((1+G173)*L175,2)</f>
        <v>1.22</v>
      </c>
      <c r="C174" s="3" t="s">
        <v>339</v>
      </c>
      <c r="F174" s="32" t="s">
        <v>233</v>
      </c>
      <c r="G174" s="63">
        <f>ROUND((1+G173)*L175,2)</f>
        <v>1.22</v>
      </c>
      <c r="K174" s="32" t="s">
        <v>141</v>
      </c>
      <c r="L174" s="8">
        <v>0.15</v>
      </c>
    </row>
    <row r="175" spans="1:12" x14ac:dyDescent="0.3">
      <c r="A175" s="32" t="s">
        <v>235</v>
      </c>
      <c r="B175" s="138">
        <f>ROUND(B94*B174,0)</f>
        <v>4470267</v>
      </c>
      <c r="C175" t="s">
        <v>340</v>
      </c>
      <c r="F175" s="32" t="s">
        <v>235</v>
      </c>
      <c r="G175" s="62">
        <f>ROUND(G98*G174,0)</f>
        <v>3803082</v>
      </c>
      <c r="K175" s="32" t="s">
        <v>142</v>
      </c>
      <c r="L175" s="63">
        <v>1.1499999999999999</v>
      </c>
    </row>
    <row r="176" spans="1:12" x14ac:dyDescent="0.3">
      <c r="A176" s="32" t="s">
        <v>236</v>
      </c>
      <c r="B176" s="62">
        <f>B175-L176</f>
        <v>893679.60000000009</v>
      </c>
      <c r="F176" s="32" t="s">
        <v>236</v>
      </c>
      <c r="G176" s="62">
        <f>G175-L176</f>
        <v>226494.60000000009</v>
      </c>
      <c r="K176" s="32" t="s">
        <v>155</v>
      </c>
      <c r="L176" s="62">
        <f>L98*L175</f>
        <v>3576587.4</v>
      </c>
    </row>
    <row r="177" spans="1:12" x14ac:dyDescent="0.3">
      <c r="K177" s="32" t="s">
        <v>156</v>
      </c>
      <c r="L177" s="62">
        <v>3627382</v>
      </c>
    </row>
    <row r="178" spans="1:12" x14ac:dyDescent="0.3">
      <c r="K178" s="32" t="s">
        <v>154</v>
      </c>
      <c r="L178" s="62">
        <f>L176-L177</f>
        <v>-50794.600000000093</v>
      </c>
    </row>
    <row r="180" spans="1:12" x14ac:dyDescent="0.3">
      <c r="A180" s="55" t="s">
        <v>140</v>
      </c>
      <c r="F180" s="55" t="s">
        <v>140</v>
      </c>
      <c r="K180" s="55" t="s">
        <v>140</v>
      </c>
    </row>
    <row r="181" spans="1:12" x14ac:dyDescent="0.3">
      <c r="A181" s="32" t="s">
        <v>234</v>
      </c>
      <c r="B181" s="57">
        <f>B173</f>
        <v>6.4199999999999993E-2</v>
      </c>
      <c r="C181" s="132" t="s">
        <v>330</v>
      </c>
      <c r="F181" s="32" t="s">
        <v>234</v>
      </c>
      <c r="G181" s="57">
        <f>G173</f>
        <v>6.4199999999999993E-2</v>
      </c>
      <c r="K181" s="32" t="s">
        <v>126</v>
      </c>
      <c r="L181" s="63">
        <v>66.680000000000007</v>
      </c>
    </row>
    <row r="182" spans="1:12" x14ac:dyDescent="0.3">
      <c r="A182" s="32" t="s">
        <v>233</v>
      </c>
      <c r="B182" s="63">
        <f>ROUND((1+G181)*L184,2)</f>
        <v>81.599999999999994</v>
      </c>
      <c r="F182" s="32" t="s">
        <v>233</v>
      </c>
      <c r="G182" s="63">
        <f>ROUND((1+G181)*L184,2)</f>
        <v>81.599999999999994</v>
      </c>
      <c r="K182" s="32" t="s">
        <v>249</v>
      </c>
      <c r="L182" s="63">
        <v>71.08</v>
      </c>
    </row>
    <row r="183" spans="1:12" x14ac:dyDescent="0.3">
      <c r="A183" s="32" t="s">
        <v>238</v>
      </c>
      <c r="B183" s="62">
        <f>ROUND(B150*B182,0)</f>
        <v>33221645</v>
      </c>
      <c r="C183" s="62">
        <f>SUM(B183,B175,B169)</f>
        <v>316906664</v>
      </c>
      <c r="F183" s="32" t="s">
        <v>238</v>
      </c>
      <c r="G183" s="62">
        <f>ROUND(G150*G182,0)</f>
        <v>28263302</v>
      </c>
      <c r="H183" s="62">
        <f>SUM(G183,G175,G169)</f>
        <v>188844691</v>
      </c>
      <c r="K183" s="32" t="s">
        <v>141</v>
      </c>
      <c r="L183" s="8">
        <v>0.15</v>
      </c>
    </row>
    <row r="184" spans="1:12" x14ac:dyDescent="0.3">
      <c r="A184" s="32" t="s">
        <v>237</v>
      </c>
      <c r="B184" s="62">
        <f>B183-L185</f>
        <v>6723797.4799999967</v>
      </c>
      <c r="F184" s="32" t="s">
        <v>237</v>
      </c>
      <c r="G184" s="62">
        <f>G183-L185</f>
        <v>1765454.4799999967</v>
      </c>
      <c r="K184" s="32" t="s">
        <v>142</v>
      </c>
      <c r="L184" s="63">
        <f>ROUND(L181+(L181*L183),2)</f>
        <v>76.680000000000007</v>
      </c>
    </row>
    <row r="185" spans="1:12" x14ac:dyDescent="0.3">
      <c r="B185" s="62"/>
      <c r="K185" s="32" t="s">
        <v>144</v>
      </c>
      <c r="L185" s="62">
        <f>L150*L184</f>
        <v>26497847.520000003</v>
      </c>
    </row>
    <row r="186" spans="1:12" x14ac:dyDescent="0.3">
      <c r="A186" s="82"/>
      <c r="F186" s="82"/>
      <c r="G186" s="81"/>
      <c r="K186" s="32" t="s">
        <v>157</v>
      </c>
      <c r="L186" s="62">
        <f>L185-26774059</f>
        <v>-276211.47999999672</v>
      </c>
    </row>
    <row r="188" spans="1:12" x14ac:dyDescent="0.3">
      <c r="A188" t="s">
        <v>145</v>
      </c>
      <c r="F188" t="s">
        <v>145</v>
      </c>
      <c r="K188" t="s">
        <v>145</v>
      </c>
    </row>
    <row r="189" spans="1:12" x14ac:dyDescent="0.3">
      <c r="A189" s="32" t="s">
        <v>146</v>
      </c>
      <c r="B189" s="57">
        <v>1.4E-2</v>
      </c>
      <c r="F189" s="32" t="s">
        <v>146</v>
      </c>
      <c r="G189" s="57">
        <v>1.4E-2</v>
      </c>
      <c r="K189" s="32" t="s">
        <v>146</v>
      </c>
      <c r="L189" s="57">
        <v>1.4E-2</v>
      </c>
    </row>
    <row r="190" spans="1:12" x14ac:dyDescent="0.3">
      <c r="A190" s="32" t="s">
        <v>147</v>
      </c>
      <c r="B190" s="2">
        <f>ROUND(B189*B12,0)</f>
        <v>8624</v>
      </c>
      <c r="F190" s="32" t="s">
        <v>147</v>
      </c>
      <c r="G190" s="2">
        <f>ROUND(G189*G12,0)</f>
        <v>8543</v>
      </c>
      <c r="K190" s="32" t="s">
        <v>147</v>
      </c>
      <c r="L190" s="21">
        <f>L189*L12</f>
        <v>8663.2581981643325</v>
      </c>
    </row>
    <row r="191" spans="1:12" x14ac:dyDescent="0.3">
      <c r="A191" s="32" t="s">
        <v>148</v>
      </c>
      <c r="B191" s="63">
        <v>37.369999999999997</v>
      </c>
      <c r="F191" s="32" t="s">
        <v>148</v>
      </c>
      <c r="G191" s="63">
        <v>37.369999999999997</v>
      </c>
      <c r="K191" s="32" t="s">
        <v>148</v>
      </c>
      <c r="L191" s="63">
        <v>37.369999999999997</v>
      </c>
    </row>
    <row r="192" spans="1:12" x14ac:dyDescent="0.3">
      <c r="A192" s="56" t="s">
        <v>108</v>
      </c>
      <c r="B192" s="21">
        <f>ROUND(B190*0.17*B191,0)</f>
        <v>54787</v>
      </c>
      <c r="F192" s="56" t="s">
        <v>108</v>
      </c>
      <c r="G192" s="21">
        <f>ROUND(G190*0.17*G191,0)</f>
        <v>54273</v>
      </c>
      <c r="K192" s="56" t="s">
        <v>108</v>
      </c>
      <c r="L192" s="21">
        <f>L190*0.17*L191</f>
        <v>55036.813007118188</v>
      </c>
    </row>
    <row r="194" spans="1:13" x14ac:dyDescent="0.3">
      <c r="A194" t="s">
        <v>149</v>
      </c>
      <c r="F194" t="s">
        <v>149</v>
      </c>
      <c r="K194" t="s">
        <v>149</v>
      </c>
    </row>
    <row r="195" spans="1:13" x14ac:dyDescent="0.3">
      <c r="A195" t="s">
        <v>289</v>
      </c>
      <c r="B195" s="2">
        <f>L196</f>
        <v>6801711</v>
      </c>
      <c r="F195" t="s">
        <v>289</v>
      </c>
      <c r="G195" s="2">
        <f>L196</f>
        <v>6801711</v>
      </c>
      <c r="K195" t="s">
        <v>150</v>
      </c>
      <c r="L195" s="2">
        <f>'Table 1 May 2011 ICR'!C23</f>
        <v>7159601</v>
      </c>
    </row>
    <row r="196" spans="1:13" x14ac:dyDescent="0.3">
      <c r="A196" t="s">
        <v>290</v>
      </c>
      <c r="F196" t="s">
        <v>290</v>
      </c>
      <c r="G196" s="2">
        <f>'Table 1 April 2014 ICR'!D23</f>
        <v>6593720</v>
      </c>
      <c r="K196" t="s">
        <v>151</v>
      </c>
      <c r="L196" s="2">
        <f>'Table 1 May 2011 ICR'!D23</f>
        <v>6801711</v>
      </c>
    </row>
    <row r="198" spans="1:13" x14ac:dyDescent="0.3">
      <c r="A198" t="s">
        <v>154</v>
      </c>
      <c r="F198" t="s">
        <v>154</v>
      </c>
      <c r="G198" s="2">
        <f>G196-G195</f>
        <v>-207991</v>
      </c>
      <c r="K198" t="s">
        <v>154</v>
      </c>
      <c r="L198" s="2">
        <f>L196-L195</f>
        <v>-357890</v>
      </c>
    </row>
    <row r="200" spans="1:13" x14ac:dyDescent="0.3">
      <c r="A200" s="72" t="s">
        <v>250</v>
      </c>
      <c r="B200" s="70" t="s">
        <v>308</v>
      </c>
      <c r="C200" s="72" t="s">
        <v>309</v>
      </c>
      <c r="F200" s="72" t="s">
        <v>250</v>
      </c>
      <c r="G200" s="70" t="s">
        <v>252</v>
      </c>
      <c r="H200" s="72" t="s">
        <v>291</v>
      </c>
      <c r="K200" s="70" t="s">
        <v>251</v>
      </c>
      <c r="L200" s="72" t="s">
        <v>292</v>
      </c>
      <c r="M200" s="3" t="s">
        <v>293</v>
      </c>
    </row>
    <row r="201" spans="1:13" x14ac:dyDescent="0.3">
      <c r="A201" s="66" t="s">
        <v>253</v>
      </c>
      <c r="B201" s="2">
        <f>ROUND('Table 1 November 2015 ICR'!D23,0)</f>
        <v>7492030</v>
      </c>
      <c r="C201" s="2">
        <f>ROUND(B201-K201,0)</f>
        <v>690319</v>
      </c>
      <c r="F201" s="66" t="s">
        <v>253</v>
      </c>
      <c r="G201" s="2">
        <f>ROUND('Table 1 April 2014 ICR'!D23,0)</f>
        <v>6593720</v>
      </c>
      <c r="H201" s="2">
        <f t="shared" ref="H201:H209" si="0">ROUND(G201-K201,0)</f>
        <v>-207991</v>
      </c>
      <c r="K201" s="68">
        <f>ROUND('Table 1 April 2014 ICR'!C23,0)</f>
        <v>6801711</v>
      </c>
      <c r="L201" s="2">
        <f>K201-M201</f>
        <v>-357890</v>
      </c>
      <c r="M201" s="125">
        <f>'Table 1 May 2011 ICR'!C23</f>
        <v>7159601</v>
      </c>
    </row>
    <row r="202" spans="1:13" x14ac:dyDescent="0.3">
      <c r="A202" s="66" t="s">
        <v>254</v>
      </c>
      <c r="B202" s="62">
        <f>'Inputs and Parameters (Old)'!B168</f>
        <v>324.58</v>
      </c>
      <c r="C202" s="62">
        <f>ROUND(B202-K202,0)</f>
        <v>30</v>
      </c>
      <c r="F202" s="66" t="s">
        <v>254</v>
      </c>
      <c r="G202" s="62">
        <f>'Inputs and Parameters (Old)'!G168</f>
        <v>324.58</v>
      </c>
      <c r="H202" s="62">
        <f t="shared" si="0"/>
        <v>30</v>
      </c>
      <c r="K202" s="101">
        <f>'Inputs and Parameters (Old)'!L169</f>
        <v>294.75</v>
      </c>
      <c r="L202" s="62">
        <f>K202-M202</f>
        <v>44.75</v>
      </c>
      <c r="M202" s="126">
        <f>L167</f>
        <v>250</v>
      </c>
    </row>
    <row r="203" spans="1:13" x14ac:dyDescent="0.3">
      <c r="A203" s="66" t="s">
        <v>255</v>
      </c>
      <c r="B203" s="62">
        <f>'Inputs and Parameters (Old)'!B169</f>
        <v>279214752</v>
      </c>
      <c r="C203" s="62">
        <f>ROUND(B203-K203,0)</f>
        <v>123710252</v>
      </c>
      <c r="F203" s="66" t="s">
        <v>255</v>
      </c>
      <c r="G203" s="62">
        <f>'Inputs and Parameters (Old)'!G169</f>
        <v>156778307</v>
      </c>
      <c r="H203" s="62">
        <f t="shared" si="0"/>
        <v>1273807</v>
      </c>
      <c r="K203" s="102">
        <f>'Inputs and Parameters (Old)'!L170</f>
        <v>155504499.75</v>
      </c>
      <c r="L203" s="62">
        <v>21154388</v>
      </c>
      <c r="M203" s="126">
        <f>K203-L203</f>
        <v>134350111.75</v>
      </c>
    </row>
    <row r="204" spans="1:13" x14ac:dyDescent="0.3">
      <c r="A204" s="66" t="s">
        <v>257</v>
      </c>
      <c r="B204" s="63">
        <f>'Inputs and Parameters (Old)'!B174</f>
        <v>1.22</v>
      </c>
      <c r="C204" s="63">
        <f>B204-K204</f>
        <v>7.0000000000000062E-2</v>
      </c>
      <c r="F204" s="66" t="s">
        <v>257</v>
      </c>
      <c r="G204" s="63">
        <f>'Inputs and Parameters (Old)'!G174</f>
        <v>1.22</v>
      </c>
      <c r="H204" s="63">
        <f>G204-K204</f>
        <v>7.0000000000000062E-2</v>
      </c>
      <c r="K204" s="101">
        <f>'Inputs and Parameters (Old)'!L175</f>
        <v>1.1499999999999999</v>
      </c>
      <c r="L204" s="63">
        <f>K204-M204</f>
        <v>0.14999999999999991</v>
      </c>
      <c r="M204" s="127">
        <f>L173</f>
        <v>1</v>
      </c>
    </row>
    <row r="205" spans="1:13" x14ac:dyDescent="0.3">
      <c r="A205" s="66" t="s">
        <v>256</v>
      </c>
      <c r="B205" s="21">
        <f>'Inputs and Parameters (Old)'!B175</f>
        <v>4470267</v>
      </c>
      <c r="C205" s="21">
        <f>ROUND(B205-K205,0)</f>
        <v>893680</v>
      </c>
      <c r="F205" s="66" t="s">
        <v>256</v>
      </c>
      <c r="G205" s="21">
        <f>'Inputs and Parameters (Old)'!G175</f>
        <v>3803082</v>
      </c>
      <c r="H205" s="21">
        <f t="shared" si="0"/>
        <v>226495</v>
      </c>
      <c r="K205" s="102">
        <f>'Inputs and Parameters (Old)'!L176</f>
        <v>3576587.4</v>
      </c>
      <c r="L205" s="21">
        <f>K205-M205</f>
        <v>-50794.600000000093</v>
      </c>
      <c r="M205" s="126">
        <f>L177</f>
        <v>3627382</v>
      </c>
    </row>
    <row r="206" spans="1:13" x14ac:dyDescent="0.3">
      <c r="A206" s="66" t="s">
        <v>258</v>
      </c>
      <c r="B206" s="63">
        <f>'Inputs and Parameters (Old)'!B182</f>
        <v>81.599999999999994</v>
      </c>
      <c r="C206" s="63">
        <f>ROUND(B206-K206,0)</f>
        <v>5</v>
      </c>
      <c r="F206" s="66" t="s">
        <v>258</v>
      </c>
      <c r="G206" s="63">
        <f>'Inputs and Parameters (Old)'!G182</f>
        <v>81.599999999999994</v>
      </c>
      <c r="H206" s="63">
        <f t="shared" si="0"/>
        <v>5</v>
      </c>
      <c r="K206" s="101">
        <f>'Inputs and Parameters (Old)'!L184</f>
        <v>76.680000000000007</v>
      </c>
      <c r="L206" s="63">
        <f>K206-M206</f>
        <v>5.6000000000000085</v>
      </c>
      <c r="M206" s="128">
        <f>L182</f>
        <v>71.08</v>
      </c>
    </row>
    <row r="207" spans="1:13" x14ac:dyDescent="0.3">
      <c r="A207" s="66" t="s">
        <v>259</v>
      </c>
      <c r="B207" s="21">
        <f>'Inputs and Parameters (Old)'!B183</f>
        <v>33221645</v>
      </c>
      <c r="C207" s="21">
        <f>ROUND(B207-K207,0)</f>
        <v>6723797</v>
      </c>
      <c r="F207" s="66" t="s">
        <v>259</v>
      </c>
      <c r="G207" s="21">
        <f>'Inputs and Parameters (Old)'!G183</f>
        <v>28263302</v>
      </c>
      <c r="H207" s="21">
        <f t="shared" si="0"/>
        <v>1765454</v>
      </c>
      <c r="K207" s="102">
        <f>'Inputs and Parameters (Old)'!L185</f>
        <v>26497847.520000003</v>
      </c>
      <c r="L207" s="21">
        <f>K207-M207</f>
        <v>-276211.47999999672</v>
      </c>
      <c r="M207" s="126">
        <v>26774059</v>
      </c>
    </row>
    <row r="208" spans="1:13" x14ac:dyDescent="0.3">
      <c r="A208" s="66" t="s">
        <v>260</v>
      </c>
      <c r="B208" s="21">
        <f>SUM(B207,B205,B203)</f>
        <v>316906664</v>
      </c>
      <c r="C208" s="21">
        <f>ROUND(B208-K208,0)</f>
        <v>131327729</v>
      </c>
      <c r="F208" s="66" t="s">
        <v>260</v>
      </c>
      <c r="G208" s="21">
        <f>SUM(G207,G205,G203)</f>
        <v>188844691</v>
      </c>
      <c r="H208" s="21">
        <f t="shared" si="0"/>
        <v>3265756</v>
      </c>
      <c r="K208" s="102">
        <f>SUM(K207,K205,K203)</f>
        <v>185578934.67000002</v>
      </c>
      <c r="L208" s="21">
        <f>K208-M208</f>
        <v>20827381.920000017</v>
      </c>
      <c r="M208" s="129">
        <f>SUM(M207,M205,M203)</f>
        <v>164751552.75</v>
      </c>
    </row>
    <row r="209" spans="1:13" x14ac:dyDescent="0.3">
      <c r="A209" s="66" t="s">
        <v>294</v>
      </c>
      <c r="B209" s="21">
        <f>'Profile 2015'!E7</f>
        <v>616035</v>
      </c>
      <c r="C209" s="21">
        <f>ROUND(B209-K209,0)</f>
        <v>-2769</v>
      </c>
      <c r="F209" s="66" t="s">
        <v>294</v>
      </c>
      <c r="G209" s="21">
        <f>'Profile 2015'!E6</f>
        <v>610213</v>
      </c>
      <c r="H209" s="21">
        <f t="shared" si="0"/>
        <v>-8591</v>
      </c>
      <c r="K209" s="68">
        <f>'Profile 2015'!E5</f>
        <v>618804</v>
      </c>
      <c r="L209" s="21">
        <f>ROUND(K209-M209,0)</f>
        <v>-20819</v>
      </c>
      <c r="M209" s="2">
        <v>639623</v>
      </c>
    </row>
  </sheetData>
  <mergeCells count="3">
    <mergeCell ref="F2:I2"/>
    <mergeCell ref="K2:N2"/>
    <mergeCell ref="A2:D2"/>
  </mergeCells>
  <hyperlinks>
    <hyperlink ref="L8" r:id="rId1" display="\\Erg-lex\data3\SHARED\ECON\OSHA_je\ICR-2010\Respiratory Protection\rate of entry for new employers, 2005.xls"/>
  </hyperlinks>
  <pageMargins left="0.7" right="0.7" top="0.75" bottom="0.75" header="0.3" footer="0.3"/>
  <pageSetup scale="82" fitToHeight="6" orientation="portrait"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6:G26"/>
  <sheetViews>
    <sheetView topLeftCell="A11" zoomScale="73" zoomScaleNormal="73" workbookViewId="0">
      <selection activeCell="D11" sqref="D11"/>
    </sheetView>
  </sheetViews>
  <sheetFormatPr defaultRowHeight="14.4" x14ac:dyDescent="0.3"/>
  <cols>
    <col min="1" max="1" width="36.6640625" customWidth="1"/>
    <col min="2" max="6" width="23.6640625" style="66" customWidth="1"/>
    <col min="7" max="7" width="41" customWidth="1"/>
    <col min="8" max="8" width="23.6640625" customWidth="1"/>
  </cols>
  <sheetData>
    <row r="6" spans="1:7" x14ac:dyDescent="0.3">
      <c r="B6" s="64"/>
      <c r="C6" s="65"/>
      <c r="E6" s="67"/>
    </row>
    <row r="7" spans="1:7" x14ac:dyDescent="0.3">
      <c r="A7" s="88" t="s">
        <v>0</v>
      </c>
      <c r="B7" s="89" t="s">
        <v>1</v>
      </c>
      <c r="C7" s="89" t="s">
        <v>12</v>
      </c>
      <c r="D7" s="89" t="s">
        <v>11</v>
      </c>
      <c r="E7" s="89" t="s">
        <v>10</v>
      </c>
      <c r="F7" s="90" t="s">
        <v>2</v>
      </c>
      <c r="G7" s="83" t="s">
        <v>3</v>
      </c>
    </row>
    <row r="8" spans="1:7" ht="90" customHeight="1" x14ac:dyDescent="0.3">
      <c r="A8" s="91" t="s">
        <v>4</v>
      </c>
      <c r="B8" s="92">
        <f>'Inputs and Parameters (Old)'!L49</f>
        <v>186136</v>
      </c>
      <c r="C8" s="92">
        <v>533414</v>
      </c>
      <c r="D8" s="92">
        <f>'Inputs and Parameters (Old)'!L46</f>
        <v>538772</v>
      </c>
      <c r="E8" s="92">
        <f>D8-C8</f>
        <v>5358</v>
      </c>
      <c r="F8" s="93">
        <f>'Inputs and Parameters (Old)'!L47</f>
        <v>26566848</v>
      </c>
      <c r="G8" s="84" t="s">
        <v>240</v>
      </c>
    </row>
    <row r="9" spans="1:7" ht="22.5" customHeight="1" x14ac:dyDescent="0.3">
      <c r="A9" s="91" t="s">
        <v>5</v>
      </c>
      <c r="B9" s="92"/>
      <c r="C9" s="92"/>
      <c r="D9" s="92"/>
      <c r="E9" s="92"/>
      <c r="F9" s="94"/>
      <c r="G9" s="84"/>
    </row>
    <row r="10" spans="1:7" ht="160.19999999999999" customHeight="1" x14ac:dyDescent="0.3">
      <c r="A10" s="84" t="s">
        <v>6</v>
      </c>
      <c r="B10" s="92">
        <f>'Inputs and Parameters (Old)'!L75</f>
        <v>5611741</v>
      </c>
      <c r="C10" s="92">
        <v>1861390</v>
      </c>
      <c r="D10" s="92">
        <f>'Inputs and Parameters (Old)'!L72</f>
        <v>1860684</v>
      </c>
      <c r="E10" s="92">
        <f>D10-C10</f>
        <v>-706</v>
      </c>
      <c r="F10" s="93">
        <f>'Inputs and Parameters (Old)'!L73</f>
        <v>48139012</v>
      </c>
      <c r="G10" s="84" t="s">
        <v>241</v>
      </c>
    </row>
    <row r="11" spans="1:7" ht="55.5" customHeight="1" x14ac:dyDescent="0.3">
      <c r="A11" s="91" t="s">
        <v>7</v>
      </c>
      <c r="B11" s="92">
        <f>'Inputs and Parameters (Old)'!L105</f>
        <v>7429626</v>
      </c>
      <c r="C11" s="92">
        <v>4049260</v>
      </c>
      <c r="D11" s="92">
        <f>'Inputs and Parameters (Old)'!L102</f>
        <v>3714813</v>
      </c>
      <c r="E11" s="92">
        <f>D11-C11</f>
        <v>-334447</v>
      </c>
      <c r="F11" s="93">
        <f>'Inputs and Parameters (Old)'!L103</f>
        <v>136893450</v>
      </c>
      <c r="G11" s="84" t="s">
        <v>242</v>
      </c>
    </row>
    <row r="12" spans="1:7" ht="18" customHeight="1" x14ac:dyDescent="0.3">
      <c r="A12" s="91" t="s">
        <v>8</v>
      </c>
      <c r="B12" s="92"/>
      <c r="C12" s="92"/>
      <c r="D12" s="92"/>
      <c r="E12" s="92"/>
      <c r="F12" s="94"/>
      <c r="G12" s="84"/>
    </row>
    <row r="13" spans="1:7" ht="88.5" customHeight="1" x14ac:dyDescent="0.3">
      <c r="A13" s="84" t="s">
        <v>9</v>
      </c>
      <c r="B13" s="92">
        <f>'Inputs and Parameters (Old)'!$L$115</f>
        <v>2475.2000000000003</v>
      </c>
      <c r="C13" s="92">
        <v>205</v>
      </c>
      <c r="D13" s="92">
        <f>'Inputs and Parameters (Old)'!L116</f>
        <v>198</v>
      </c>
      <c r="E13" s="92">
        <f>D13-C13</f>
        <v>-7</v>
      </c>
      <c r="F13" s="93">
        <f>'Inputs and Parameters (Old)'!L117</f>
        <v>5520</v>
      </c>
      <c r="G13" s="84" t="s">
        <v>243</v>
      </c>
    </row>
    <row r="14" spans="1:7" ht="54" customHeight="1" x14ac:dyDescent="0.3">
      <c r="A14" s="84" t="s">
        <v>13</v>
      </c>
      <c r="B14" s="92">
        <f>'Inputs and Parameters (Old)'!$L$125</f>
        <v>297024</v>
      </c>
      <c r="C14" s="92">
        <v>52195</v>
      </c>
      <c r="D14" s="92">
        <f>'Inputs and Parameters (Old)'!L122</f>
        <v>50494</v>
      </c>
      <c r="E14" s="92">
        <f>D14-C14</f>
        <v>-1701</v>
      </c>
      <c r="F14" s="93">
        <f>'Inputs and Parameters (Old)'!L123</f>
        <v>1407773</v>
      </c>
      <c r="G14" s="84" t="s">
        <v>242</v>
      </c>
    </row>
    <row r="15" spans="1:7" ht="20.25" customHeight="1" x14ac:dyDescent="0.3">
      <c r="A15" s="91" t="s">
        <v>14</v>
      </c>
      <c r="B15" s="92"/>
      <c r="C15" s="92"/>
      <c r="D15" s="92"/>
      <c r="E15" s="92"/>
      <c r="F15" s="94"/>
      <c r="G15" s="84"/>
    </row>
    <row r="16" spans="1:7" ht="36" customHeight="1" x14ac:dyDescent="0.3">
      <c r="A16" s="84" t="s">
        <v>15</v>
      </c>
      <c r="B16" s="92"/>
      <c r="C16" s="92"/>
      <c r="D16" s="92"/>
      <c r="E16" s="92"/>
      <c r="F16" s="95"/>
      <c r="G16" s="84"/>
    </row>
    <row r="17" spans="1:7" ht="60" customHeight="1" x14ac:dyDescent="0.3">
      <c r="A17" s="84" t="s">
        <v>16</v>
      </c>
      <c r="B17" s="92">
        <f>'Inputs and Parameters (Old)'!L136</f>
        <v>73662</v>
      </c>
      <c r="C17" s="92">
        <v>5839</v>
      </c>
      <c r="D17" s="92">
        <f>'Inputs and Parameters (Old)'!L133</f>
        <v>5893</v>
      </c>
      <c r="E17" s="92">
        <f>D17-C17</f>
        <v>54</v>
      </c>
      <c r="F17" s="93">
        <f>'Inputs and Parameters (Old)'!L134</f>
        <v>164297</v>
      </c>
      <c r="G17" s="84" t="s">
        <v>244</v>
      </c>
    </row>
    <row r="18" spans="1:7" ht="40.5" customHeight="1" x14ac:dyDescent="0.3">
      <c r="A18" s="91" t="s">
        <v>17</v>
      </c>
      <c r="B18" s="92"/>
      <c r="C18" s="92"/>
      <c r="D18" s="92"/>
      <c r="E18" s="92"/>
      <c r="F18" s="95"/>
      <c r="G18" s="84" t="s">
        <v>18</v>
      </c>
    </row>
    <row r="19" spans="1:7" ht="21.75" customHeight="1" x14ac:dyDescent="0.3">
      <c r="A19" s="91" t="s">
        <v>19</v>
      </c>
      <c r="B19" s="92"/>
      <c r="C19" s="92"/>
      <c r="D19" s="92"/>
      <c r="E19" s="92"/>
      <c r="F19" s="94"/>
      <c r="G19" s="84"/>
    </row>
    <row r="20" spans="1:7" ht="85.95" customHeight="1" x14ac:dyDescent="0.3">
      <c r="A20" s="84" t="s">
        <v>20</v>
      </c>
      <c r="B20" s="92">
        <f>'Inputs and Parameters (Old)'!L144</f>
        <v>3069661</v>
      </c>
      <c r="C20" s="92">
        <v>237327</v>
      </c>
      <c r="D20" s="92">
        <f>'Inputs and Parameters (Old)'!L145</f>
        <v>245573</v>
      </c>
      <c r="E20" s="92">
        <f>D20-C20</f>
        <v>8246</v>
      </c>
      <c r="F20" s="93">
        <f>'Inputs and Parameters (Old)'!L146</f>
        <v>5402606</v>
      </c>
      <c r="G20" s="84" t="s">
        <v>245</v>
      </c>
    </row>
    <row r="21" spans="1:7" x14ac:dyDescent="0.3">
      <c r="A21" s="84" t="s">
        <v>21</v>
      </c>
      <c r="B21" s="92">
        <f>'Inputs and Parameters (Old)'!L84</f>
        <v>4319550</v>
      </c>
      <c r="C21" s="92">
        <v>376675</v>
      </c>
      <c r="D21" s="92">
        <f>'Inputs and Parameters (Old)'!L150</f>
        <v>345564</v>
      </c>
      <c r="E21" s="92">
        <f>D21-C21</f>
        <v>-31111</v>
      </c>
      <c r="F21" s="93">
        <f>'Inputs and Parameters (Old)'!L151</f>
        <v>7602408</v>
      </c>
      <c r="G21" s="84" t="s">
        <v>242</v>
      </c>
    </row>
    <row r="22" spans="1:7" x14ac:dyDescent="0.3">
      <c r="A22" s="84" t="s">
        <v>22</v>
      </c>
      <c r="B22" s="92">
        <f>'Inputs and Parameters (Old)'!L156</f>
        <v>496500</v>
      </c>
      <c r="C22" s="92">
        <v>43296</v>
      </c>
      <c r="D22" s="92">
        <f>'Inputs and Parameters (Old)'!L157</f>
        <v>39720</v>
      </c>
      <c r="E22" s="92">
        <f>D22-C22</f>
        <v>-3576</v>
      </c>
      <c r="F22" s="93">
        <f>'Inputs and Parameters (Old)'!L158</f>
        <v>873840</v>
      </c>
      <c r="G22" s="84" t="s">
        <v>242</v>
      </c>
    </row>
    <row r="23" spans="1:7" x14ac:dyDescent="0.3">
      <c r="A23" s="86" t="s">
        <v>246</v>
      </c>
      <c r="B23" s="85">
        <f>SUM(B8:B22)</f>
        <v>21486375.199999999</v>
      </c>
      <c r="C23" s="85">
        <f>SUM(C8:C22)</f>
        <v>7159601</v>
      </c>
      <c r="D23" s="85">
        <f>SUM(D8:D22)</f>
        <v>6801711</v>
      </c>
      <c r="E23" s="85">
        <f>SUM(E8:E22)</f>
        <v>-357890</v>
      </c>
      <c r="F23" s="87">
        <f>SUM(F8:F22)</f>
        <v>227055754</v>
      </c>
      <c r="G23" s="85"/>
    </row>
    <row r="26" spans="1:7" x14ac:dyDescent="0.3">
      <c r="F26" s="68"/>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0"/>
  <sheetViews>
    <sheetView zoomScale="85" zoomScaleNormal="85" workbookViewId="0">
      <pane xSplit="1" ySplit="6" topLeftCell="F7" activePane="bottomRight" state="frozen"/>
      <selection pane="topRight" activeCell="B1" sqref="B1"/>
      <selection pane="bottomLeft" activeCell="A7" sqref="A7"/>
      <selection pane="bottomRight" activeCell="C7" sqref="C7"/>
    </sheetView>
  </sheetViews>
  <sheetFormatPr defaultRowHeight="14.4" x14ac:dyDescent="0.3"/>
  <cols>
    <col min="1" max="1" width="30.109375" customWidth="1"/>
    <col min="2" max="2" width="11.6640625" customWidth="1"/>
    <col min="3" max="3" width="23.109375" customWidth="1"/>
    <col min="4" max="4" width="19.5546875" customWidth="1"/>
    <col min="5" max="5" width="29" customWidth="1"/>
    <col min="6" max="6" width="23.109375" customWidth="1"/>
    <col min="7" max="7" width="20.33203125" customWidth="1"/>
    <col min="8" max="8" width="37.33203125" customWidth="1"/>
    <col min="10" max="10" width="30" customWidth="1"/>
  </cols>
  <sheetData>
    <row r="1" spans="1:15" x14ac:dyDescent="0.3">
      <c r="E1" s="423" t="s">
        <v>419</v>
      </c>
      <c r="F1" s="423"/>
    </row>
    <row r="2" spans="1:15" ht="104.4" customHeight="1" x14ac:dyDescent="0.3">
      <c r="C2" s="160" t="s">
        <v>417</v>
      </c>
      <c r="D2" s="160" t="s">
        <v>418</v>
      </c>
      <c r="E2" s="160" t="s">
        <v>414</v>
      </c>
      <c r="F2" s="160" t="s">
        <v>413</v>
      </c>
      <c r="G2" s="161" t="s">
        <v>411</v>
      </c>
    </row>
    <row r="3" spans="1:15" x14ac:dyDescent="0.3">
      <c r="D3" s="158"/>
      <c r="E3" s="158"/>
      <c r="F3" s="159"/>
      <c r="J3" s="158"/>
    </row>
    <row r="4" spans="1:15" x14ac:dyDescent="0.3">
      <c r="B4" s="64"/>
      <c r="C4" s="153" t="s">
        <v>252</v>
      </c>
      <c r="D4" s="154" t="s">
        <v>405</v>
      </c>
      <c r="E4" s="154" t="s">
        <v>407</v>
      </c>
      <c r="F4" s="155" t="s">
        <v>408</v>
      </c>
      <c r="G4" s="66"/>
      <c r="H4" s="1"/>
      <c r="J4" s="154"/>
    </row>
    <row r="5" spans="1:15" ht="28.2" x14ac:dyDescent="0.3">
      <c r="A5" s="156" t="s">
        <v>0</v>
      </c>
      <c r="B5" s="157" t="s">
        <v>1</v>
      </c>
      <c r="C5" s="157" t="s">
        <v>12</v>
      </c>
      <c r="D5" s="156" t="s">
        <v>11</v>
      </c>
      <c r="E5" s="414" t="s">
        <v>10</v>
      </c>
      <c r="F5" s="415"/>
      <c r="G5" s="83" t="s">
        <v>2</v>
      </c>
      <c r="H5" s="83" t="s">
        <v>295</v>
      </c>
      <c r="J5" s="157" t="s">
        <v>412</v>
      </c>
    </row>
    <row r="6" spans="1:15" x14ac:dyDescent="0.3">
      <c r="A6" s="88"/>
      <c r="B6" s="89"/>
      <c r="C6" s="89"/>
      <c r="D6" s="89"/>
      <c r="E6" s="89" t="s">
        <v>406</v>
      </c>
      <c r="F6" s="89" t="s">
        <v>404</v>
      </c>
      <c r="G6" s="90"/>
      <c r="H6" s="94"/>
      <c r="J6" s="89"/>
    </row>
    <row r="7" spans="1:15" ht="92.4" customHeight="1" x14ac:dyDescent="0.3">
      <c r="A7" s="91" t="s">
        <v>4</v>
      </c>
      <c r="B7" s="92">
        <f>'Inputs and Parameters'!H52</f>
        <v>178366</v>
      </c>
      <c r="C7" s="92">
        <f>+'Table 1 April 2014 ICR'!D8</f>
        <v>481998</v>
      </c>
      <c r="D7" s="92">
        <f>IF(A7&lt;&gt;"",'Table 1 November 2015 ICR'!D8,"")</f>
        <v>484338</v>
      </c>
      <c r="E7" s="92">
        <f>'Inputs and Parameters'!H47-C7</f>
        <v>14582</v>
      </c>
      <c r="F7" s="92">
        <f>D7-E7-C7</f>
        <v>-12242</v>
      </c>
      <c r="G7" s="93">
        <f>'Inputs and Parameters (Old)'!B47</f>
        <v>27035747</v>
      </c>
      <c r="H7" s="130" t="s">
        <v>321</v>
      </c>
      <c r="J7" s="92">
        <f>'Inputs and Parameters'!H47</f>
        <v>496580</v>
      </c>
      <c r="K7" s="2" t="b">
        <f t="shared" ref="K7:K22" si="0">J7-C7=E7</f>
        <v>1</v>
      </c>
      <c r="L7" t="b">
        <f>D7-J7=F7</f>
        <v>1</v>
      </c>
      <c r="O7" s="2">
        <f t="shared" ref="O7:O22" si="1">D7-C7</f>
        <v>2340</v>
      </c>
    </row>
    <row r="8" spans="1:15" x14ac:dyDescent="0.3">
      <c r="A8" s="91" t="s">
        <v>5</v>
      </c>
      <c r="B8" s="92"/>
      <c r="C8" s="92"/>
      <c r="D8" s="92">
        <f>IF(A8&lt;&gt;"",'Table 1 November 2015 ICR'!D9,"")</f>
        <v>0</v>
      </c>
      <c r="E8" s="92"/>
      <c r="F8" s="92"/>
      <c r="G8" s="94"/>
      <c r="H8" s="94"/>
      <c r="J8" s="92"/>
      <c r="K8" s="2" t="b">
        <f t="shared" si="0"/>
        <v>1</v>
      </c>
      <c r="O8" s="2">
        <f t="shared" si="1"/>
        <v>0</v>
      </c>
    </row>
    <row r="9" spans="1:15" ht="179.4" x14ac:dyDescent="0.3">
      <c r="A9" s="84" t="s">
        <v>6</v>
      </c>
      <c r="B9" s="92">
        <f>'Inputs and Parameters'!H78</f>
        <v>6089725</v>
      </c>
      <c r="C9" s="92">
        <f>+'Table 1 April 2014 ICR'!D10</f>
        <v>1719680</v>
      </c>
      <c r="D9" s="92">
        <f>IF(A9&lt;&gt;"",'Table 1 November 2015 ICR'!D10,"")</f>
        <v>2021369</v>
      </c>
      <c r="E9" s="92">
        <f>'Inputs and Parameters'!H75-C9</f>
        <v>301689</v>
      </c>
      <c r="F9" s="92">
        <f>D9-E9-C9</f>
        <v>0</v>
      </c>
      <c r="G9" s="93">
        <f>'Inputs and Parameters (Old)'!B73</f>
        <v>58702849</v>
      </c>
      <c r="H9" s="130" t="s">
        <v>320</v>
      </c>
      <c r="J9" s="92">
        <f>'Inputs and Parameters'!H75</f>
        <v>2021369</v>
      </c>
      <c r="K9" s="2" t="b">
        <f t="shared" si="0"/>
        <v>1</v>
      </c>
      <c r="O9" s="2">
        <f t="shared" si="1"/>
        <v>301689</v>
      </c>
    </row>
    <row r="10" spans="1:15" ht="41.4" x14ac:dyDescent="0.3">
      <c r="A10" s="91" t="s">
        <v>7</v>
      </c>
      <c r="B10" s="92">
        <f>'Inputs and Parameters'!H117</f>
        <v>8753254.3828757852</v>
      </c>
      <c r="C10" s="92">
        <f>+'Table 1 April 2014 ICR'!D11</f>
        <v>3723418</v>
      </c>
      <c r="D10" s="92">
        <f>IF(A10&lt;&gt;"",'Table 1 November 2015 ICR'!D11,"")</f>
        <v>4209595</v>
      </c>
      <c r="E10" s="92">
        <f>'Inputs and Parameters'!H114-C10</f>
        <v>-2465603.5051734354</v>
      </c>
      <c r="F10" s="92">
        <f>D10-E10-C10</f>
        <v>2951780.5051734354</v>
      </c>
      <c r="G10" s="93">
        <f>'Inputs and Parameters (Old)'!B103</f>
        <v>175693193</v>
      </c>
      <c r="H10" s="130" t="s">
        <v>322</v>
      </c>
      <c r="J10" s="92">
        <f>'Inputs and Parameters'!H114</f>
        <v>1257814.4948265646</v>
      </c>
      <c r="K10" s="2" t="b">
        <f t="shared" si="0"/>
        <v>1</v>
      </c>
      <c r="O10" s="2">
        <f t="shared" si="1"/>
        <v>486177</v>
      </c>
    </row>
    <row r="11" spans="1:15" ht="27.6" x14ac:dyDescent="0.3">
      <c r="A11" s="91" t="s">
        <v>8</v>
      </c>
      <c r="B11" s="92"/>
      <c r="C11" s="92">
        <f>+'Table 1 April 2014 ICR'!D12</f>
        <v>0</v>
      </c>
      <c r="D11" s="92">
        <f>IF(A11&lt;&gt;"",'Table 1 November 2015 ICR'!D12,"")</f>
        <v>0</v>
      </c>
      <c r="E11" s="92"/>
      <c r="F11" s="92"/>
      <c r="G11" s="94"/>
      <c r="H11" s="94"/>
      <c r="J11" s="92"/>
      <c r="K11" s="2" t="b">
        <f t="shared" si="0"/>
        <v>1</v>
      </c>
      <c r="O11" s="2">
        <f t="shared" si="1"/>
        <v>0</v>
      </c>
    </row>
    <row r="12" spans="1:15" ht="82.8" x14ac:dyDescent="0.3">
      <c r="A12" s="84" t="s">
        <v>9</v>
      </c>
      <c r="B12" s="92">
        <f>'Inputs and Parameters'!H128</f>
        <v>2526</v>
      </c>
      <c r="C12" s="92">
        <f>+'Table 1 April 2014 ICR'!D13</f>
        <v>195</v>
      </c>
      <c r="D12" s="92">
        <f>IF(A12&lt;&gt;"",'Table 1 November 2015 ICR'!D13,"")</f>
        <v>197</v>
      </c>
      <c r="E12" s="92">
        <f>'Inputs and Parameters'!H129-C12</f>
        <v>7</v>
      </c>
      <c r="F12" s="92">
        <f>D12-E12-C12</f>
        <v>-5</v>
      </c>
      <c r="G12" s="93">
        <f>'Inputs and Parameters (Old)'!B117</f>
        <v>6235</v>
      </c>
      <c r="H12" s="130" t="s">
        <v>323</v>
      </c>
      <c r="J12" s="92">
        <f>'Inputs and Parameters'!H129</f>
        <v>202</v>
      </c>
      <c r="K12" s="2" t="b">
        <f t="shared" si="0"/>
        <v>1</v>
      </c>
      <c r="O12" s="2">
        <f t="shared" si="1"/>
        <v>2</v>
      </c>
    </row>
    <row r="13" spans="1:15" ht="27.6" x14ac:dyDescent="0.3">
      <c r="A13" s="84" t="s">
        <v>13</v>
      </c>
      <c r="B13" s="92">
        <f>'Inputs and Parameters'!H138</f>
        <v>303168</v>
      </c>
      <c r="C13" s="92">
        <f>+'Table 1 April 2014 ICR'!D14</f>
        <v>49792</v>
      </c>
      <c r="D13" s="92">
        <f>IF(A13&lt;&gt;"",'Table 1 November 2015 ICR'!D14,"")</f>
        <v>50270</v>
      </c>
      <c r="E13" s="92">
        <f>'Inputs and Parameters'!H135-C13</f>
        <v>1747</v>
      </c>
      <c r="F13" s="92">
        <f>D13-E13-C13</f>
        <v>-1269</v>
      </c>
      <c r="G13" s="93">
        <f>'Inputs and Parameters (Old)'!B123</f>
        <v>1591046</v>
      </c>
      <c r="H13" s="130" t="s">
        <v>242</v>
      </c>
      <c r="J13" s="92">
        <f>'Inputs and Parameters'!H135</f>
        <v>51539</v>
      </c>
      <c r="K13" s="2" t="b">
        <f t="shared" si="0"/>
        <v>1</v>
      </c>
      <c r="O13" s="2">
        <f t="shared" si="1"/>
        <v>478</v>
      </c>
    </row>
    <row r="14" spans="1:15" x14ac:dyDescent="0.3">
      <c r="A14" s="91" t="s">
        <v>14</v>
      </c>
      <c r="B14" s="92"/>
      <c r="C14" s="92">
        <f>+'Table 1 April 2014 ICR'!D15</f>
        <v>0</v>
      </c>
      <c r="D14" s="92">
        <f>IF(A14&lt;&gt;"",'Table 1 November 2015 ICR'!D15,"")</f>
        <v>0</v>
      </c>
      <c r="E14" s="92"/>
      <c r="F14" s="92"/>
      <c r="G14" s="94"/>
      <c r="H14" s="94"/>
      <c r="J14" s="92"/>
      <c r="K14" s="2" t="b">
        <f t="shared" si="0"/>
        <v>1</v>
      </c>
      <c r="O14" s="2">
        <f t="shared" si="1"/>
        <v>0</v>
      </c>
    </row>
    <row r="15" spans="1:15" x14ac:dyDescent="0.3">
      <c r="A15" s="84" t="s">
        <v>15</v>
      </c>
      <c r="B15" s="92"/>
      <c r="C15" s="92">
        <f>+'Table 1 April 2014 ICR'!D16</f>
        <v>0</v>
      </c>
      <c r="D15" s="92">
        <f>IF(A15&lt;&gt;"",'Table 1 November 2015 ICR'!D16,"")</f>
        <v>0</v>
      </c>
      <c r="E15" s="92"/>
      <c r="F15" s="92"/>
      <c r="G15" s="95"/>
      <c r="H15" s="130"/>
      <c r="J15" s="92"/>
      <c r="K15" s="2" t="b">
        <f t="shared" si="0"/>
        <v>1</v>
      </c>
      <c r="O15" s="2">
        <f t="shared" si="1"/>
        <v>0</v>
      </c>
    </row>
    <row r="16" spans="1:15" ht="41.4" x14ac:dyDescent="0.3">
      <c r="A16" s="84" t="s">
        <v>16</v>
      </c>
      <c r="B16" s="92">
        <f>'Inputs and Parameters'!H149</f>
        <v>80793</v>
      </c>
      <c r="C16" s="92">
        <f>+'Table 1 April 2014 ICR'!D17</f>
        <v>5907</v>
      </c>
      <c r="D16" s="92">
        <f>IF(A16&lt;&gt;"",'Table 1 November 2015 ICR'!D17,"")</f>
        <v>6038</v>
      </c>
      <c r="E16" s="92">
        <f>'Inputs and Parameters'!H146-C16</f>
        <v>556</v>
      </c>
      <c r="F16" s="92">
        <f>D16-E16-C16</f>
        <v>-425</v>
      </c>
      <c r="G16" s="93">
        <f>'Inputs and Parameters (Old)'!B134</f>
        <v>191103</v>
      </c>
      <c r="H16" s="130" t="s">
        <v>324</v>
      </c>
      <c r="J16" s="92">
        <f>'Inputs and Parameters'!H146</f>
        <v>6463</v>
      </c>
      <c r="K16" s="2" t="b">
        <f t="shared" si="0"/>
        <v>1</v>
      </c>
      <c r="O16" s="2">
        <f t="shared" si="1"/>
        <v>131</v>
      </c>
    </row>
    <row r="17" spans="1:15" ht="55.2" x14ac:dyDescent="0.3">
      <c r="A17" s="91" t="s">
        <v>17</v>
      </c>
      <c r="B17" s="92"/>
      <c r="C17" s="92">
        <f>+'Table 1 April 2014 ICR'!D18</f>
        <v>0</v>
      </c>
      <c r="D17" s="92">
        <f>IF(A17&lt;&gt;"",'Table 1 November 2015 ICR'!D18,"")</f>
        <v>0</v>
      </c>
      <c r="E17" s="92"/>
      <c r="F17" s="92"/>
      <c r="G17" s="95"/>
      <c r="H17" s="130" t="s">
        <v>18</v>
      </c>
      <c r="J17" s="92"/>
      <c r="K17" s="2" t="b">
        <f t="shared" si="0"/>
        <v>1</v>
      </c>
      <c r="O17" s="2">
        <f t="shared" si="1"/>
        <v>0</v>
      </c>
    </row>
    <row r="18" spans="1:15" x14ac:dyDescent="0.3">
      <c r="A18" s="91" t="s">
        <v>19</v>
      </c>
      <c r="B18" s="92"/>
      <c r="C18" s="92">
        <f>+'Table 1 April 2014 ICR'!D19</f>
        <v>0</v>
      </c>
      <c r="D18" s="92">
        <f>IF(A18&lt;&gt;"",'Table 1 November 2015 ICR'!D19,"")</f>
        <v>0</v>
      </c>
      <c r="E18" s="92"/>
      <c r="F18" s="92"/>
      <c r="G18" s="94"/>
      <c r="H18" s="94"/>
      <c r="J18" s="92"/>
      <c r="K18" s="2" t="b">
        <f t="shared" si="0"/>
        <v>1</v>
      </c>
      <c r="O18" s="2">
        <f t="shared" si="1"/>
        <v>0</v>
      </c>
    </row>
    <row r="19" spans="1:15" ht="96.6" x14ac:dyDescent="0.3">
      <c r="A19" s="84" t="s">
        <v>20</v>
      </c>
      <c r="B19" s="92">
        <f>'Inputs and Parameters'!H157</f>
        <v>3328741</v>
      </c>
      <c r="C19" s="92">
        <f>+'Table 1 April 2014 ICR'!D20</f>
        <v>226554</v>
      </c>
      <c r="D19" s="92">
        <f>IF(A19&lt;&gt;"",'Table 1 November 2015 ICR'!D20,"")</f>
        <v>266299</v>
      </c>
      <c r="E19" s="92">
        <f>'Inputs and Parameters'!H158-C19</f>
        <v>39745</v>
      </c>
      <c r="F19" s="92">
        <f>D19-E19-C19</f>
        <v>0</v>
      </c>
      <c r="G19" s="93">
        <f>'Inputs and Parameters (Old)'!B146</f>
        <v>6393839</v>
      </c>
      <c r="H19" s="130" t="s">
        <v>325</v>
      </c>
      <c r="J19" s="92">
        <f>'Inputs and Parameters'!H158</f>
        <v>266299</v>
      </c>
      <c r="K19" s="2" t="b">
        <f t="shared" si="0"/>
        <v>1</v>
      </c>
      <c r="O19" s="2">
        <f t="shared" si="1"/>
        <v>39745</v>
      </c>
    </row>
    <row r="20" spans="1:15" ht="69" x14ac:dyDescent="0.3">
      <c r="A20" s="84" t="s">
        <v>21</v>
      </c>
      <c r="B20" s="92">
        <f>'Inputs and Parameters'!H87</f>
        <v>5089101.3674135199</v>
      </c>
      <c r="C20" s="92">
        <f>+'Table 1 April 2014 ICR'!D21</f>
        <v>346364</v>
      </c>
      <c r="D20" s="92">
        <f>IF(A20&lt;&gt;"",'Table 1 November 2015 ICR'!D21,"")</f>
        <v>407128</v>
      </c>
      <c r="E20" s="92">
        <f>'Inputs and Parameters'!H163-C20</f>
        <v>60764</v>
      </c>
      <c r="F20" s="92">
        <f>D20-E20-C20</f>
        <v>0</v>
      </c>
      <c r="G20" s="93">
        <f>'Inputs and Parameters (Old)'!B151</f>
        <v>9775143</v>
      </c>
      <c r="H20" s="130" t="s">
        <v>328</v>
      </c>
      <c r="J20" s="92">
        <f>'Inputs and Parameters'!H163</f>
        <v>407128</v>
      </c>
      <c r="K20" s="2" t="b">
        <f t="shared" si="0"/>
        <v>1</v>
      </c>
      <c r="O20" s="2">
        <f t="shared" si="1"/>
        <v>60764</v>
      </c>
    </row>
    <row r="21" spans="1:15" x14ac:dyDescent="0.3">
      <c r="A21" s="84" t="s">
        <v>22</v>
      </c>
      <c r="B21" s="92">
        <f>'Inputs and Parameters'!H173</f>
        <v>584954</v>
      </c>
      <c r="C21" s="92">
        <f>+'Table 1 April 2014 ICR'!D22</f>
        <v>39812</v>
      </c>
      <c r="D21" s="92">
        <f>IF(A21&lt;&gt;"",'Table 1 November 2015 ICR'!D22,"")</f>
        <v>46796</v>
      </c>
      <c r="E21" s="92">
        <f>'Inputs and Parameters'!H174-C21</f>
        <v>6984</v>
      </c>
      <c r="F21" s="92">
        <f>D21-E21-C21</f>
        <v>0</v>
      </c>
      <c r="G21" s="93">
        <f>'Inputs and Parameters (Old)'!B158</f>
        <v>1123572</v>
      </c>
      <c r="H21" s="130" t="s">
        <v>242</v>
      </c>
      <c r="J21" s="92">
        <f>'Inputs and Parameters'!H174</f>
        <v>46796</v>
      </c>
      <c r="K21" s="2" t="b">
        <f t="shared" si="0"/>
        <v>1</v>
      </c>
      <c r="O21" s="2">
        <f t="shared" si="1"/>
        <v>6984</v>
      </c>
    </row>
    <row r="22" spans="1:15" x14ac:dyDescent="0.3">
      <c r="A22" s="86" t="s">
        <v>246</v>
      </c>
      <c r="B22" s="85">
        <f t="shared" ref="B22:G22" si="2">SUM(B7:B21)</f>
        <v>24410628.750289306</v>
      </c>
      <c r="C22" s="85">
        <f t="shared" si="2"/>
        <v>6593720</v>
      </c>
      <c r="D22" s="85">
        <f>SUM(D7:D21)</f>
        <v>7492030</v>
      </c>
      <c r="E22" s="85">
        <f>SUM(E7:E21)</f>
        <v>-2039529.5051734354</v>
      </c>
      <c r="F22" s="85">
        <f>SUM(F7:F21)</f>
        <v>2937839.5051734354</v>
      </c>
      <c r="G22" s="87">
        <f t="shared" si="2"/>
        <v>280512727</v>
      </c>
      <c r="H22" s="131"/>
      <c r="J22" s="85">
        <f>SUM(J7:J21)</f>
        <v>4554190.4948265646</v>
      </c>
      <c r="K22" s="2" t="b">
        <f t="shared" si="0"/>
        <v>1</v>
      </c>
      <c r="O22" s="2">
        <f t="shared" si="1"/>
        <v>898310</v>
      </c>
    </row>
    <row r="23" spans="1:15" x14ac:dyDescent="0.3">
      <c r="B23" s="66"/>
      <c r="C23" s="66"/>
      <c r="D23" s="66"/>
      <c r="E23" s="66"/>
      <c r="F23" s="66"/>
      <c r="G23" s="66"/>
      <c r="H23" s="1"/>
      <c r="J23" s="66"/>
    </row>
    <row r="24" spans="1:15" x14ac:dyDescent="0.3">
      <c r="A24" s="162" t="s">
        <v>421</v>
      </c>
      <c r="B24" s="163"/>
      <c r="C24" s="163"/>
      <c r="D24" s="163"/>
      <c r="E24" s="163"/>
      <c r="F24" s="163"/>
      <c r="G24" s="163"/>
      <c r="H24" s="1"/>
      <c r="J24" s="66"/>
    </row>
    <row r="25" spans="1:15" x14ac:dyDescent="0.3">
      <c r="A25" s="162"/>
      <c r="B25" s="163"/>
      <c r="C25" s="164" t="s">
        <v>415</v>
      </c>
      <c r="D25" s="164" t="s">
        <v>416</v>
      </c>
      <c r="E25" s="163"/>
      <c r="F25" s="163"/>
      <c r="G25" s="163"/>
      <c r="H25" s="1"/>
      <c r="J25" s="66"/>
    </row>
    <row r="26" spans="1:15" ht="14.4" customHeight="1" x14ac:dyDescent="0.3">
      <c r="A26" s="165"/>
      <c r="B26" s="165"/>
      <c r="C26" s="166">
        <f>D22-C22</f>
        <v>898310</v>
      </c>
      <c r="D26" s="166">
        <f>E22+F22</f>
        <v>898310</v>
      </c>
      <c r="E26" s="416" t="s">
        <v>420</v>
      </c>
      <c r="F26" s="416"/>
      <c r="G26" s="416"/>
    </row>
    <row r="27" spans="1:15" x14ac:dyDescent="0.3">
      <c r="A27" s="165"/>
      <c r="B27" s="165"/>
      <c r="C27" s="165"/>
      <c r="D27" s="165"/>
      <c r="E27" s="416"/>
      <c r="F27" s="416"/>
      <c r="G27" s="416"/>
    </row>
    <row r="28" spans="1:15" x14ac:dyDescent="0.3">
      <c r="A28" s="165"/>
      <c r="B28" s="165"/>
      <c r="C28" s="165"/>
      <c r="D28" s="165"/>
      <c r="E28" s="416"/>
      <c r="F28" s="416"/>
      <c r="G28" s="416"/>
    </row>
    <row r="30" spans="1:15" x14ac:dyDescent="0.3">
      <c r="E30" s="2"/>
      <c r="F30" s="2"/>
    </row>
  </sheetData>
  <mergeCells count="3">
    <mergeCell ref="E5:F5"/>
    <mergeCell ref="E26:G28"/>
    <mergeCell ref="E1:F1"/>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5:G26"/>
  <sheetViews>
    <sheetView zoomScale="73" zoomScaleNormal="73" workbookViewId="0">
      <selection activeCell="D8" sqref="D8"/>
    </sheetView>
  </sheetViews>
  <sheetFormatPr defaultColWidth="8.88671875" defaultRowHeight="14.4" x14ac:dyDescent="0.3"/>
  <cols>
    <col min="1" max="1" width="36.6640625" customWidth="1"/>
    <col min="2" max="6" width="23.6640625" style="66" customWidth="1"/>
    <col min="7" max="7" width="41" customWidth="1"/>
    <col min="8" max="8" width="23.6640625" customWidth="1"/>
  </cols>
  <sheetData>
    <row r="5" spans="1:7" x14ac:dyDescent="0.3">
      <c r="A5" s="133" t="s">
        <v>327</v>
      </c>
    </row>
    <row r="6" spans="1:7" x14ac:dyDescent="0.3">
      <c r="B6" s="64"/>
      <c r="C6" s="65"/>
      <c r="E6" s="67"/>
      <c r="G6" s="1"/>
    </row>
    <row r="7" spans="1:7" x14ac:dyDescent="0.3">
      <c r="A7" s="88" t="s">
        <v>0</v>
      </c>
      <c r="B7" s="89" t="s">
        <v>1</v>
      </c>
      <c r="C7" s="89" t="s">
        <v>12</v>
      </c>
      <c r="D7" s="89" t="s">
        <v>11</v>
      </c>
      <c r="E7" s="89" t="s">
        <v>10</v>
      </c>
      <c r="F7" s="90" t="s">
        <v>2</v>
      </c>
      <c r="G7" s="94" t="s">
        <v>295</v>
      </c>
    </row>
    <row r="8" spans="1:7" ht="88.2" customHeight="1" x14ac:dyDescent="0.3">
      <c r="A8" s="91" t="s">
        <v>4</v>
      </c>
      <c r="B8" s="92">
        <f>'Inputs and Parameters (Old)'!G49</f>
        <v>172812</v>
      </c>
      <c r="C8" s="92">
        <f>'Table 1 May 2011 ICR'!D8</f>
        <v>538772</v>
      </c>
      <c r="D8" s="92">
        <f>'Inputs and Parameters (Old)'!G46</f>
        <v>481998</v>
      </c>
      <c r="E8" s="92">
        <f>D8-C8</f>
        <v>-56774</v>
      </c>
      <c r="F8" s="93">
        <f>'Inputs and Parameters (Old)'!G47</f>
        <v>24779517</v>
      </c>
      <c r="G8" s="130" t="s">
        <v>298</v>
      </c>
    </row>
    <row r="9" spans="1:7" ht="22.5" customHeight="1" x14ac:dyDescent="0.3">
      <c r="A9" s="91" t="s">
        <v>5</v>
      </c>
      <c r="B9" s="92"/>
      <c r="C9" s="92"/>
      <c r="D9" s="92"/>
      <c r="E9" s="92"/>
      <c r="F9" s="94"/>
      <c r="G9" s="94"/>
    </row>
    <row r="10" spans="1:7" ht="154.94999999999999" customHeight="1" x14ac:dyDescent="0.3">
      <c r="A10" s="84" t="s">
        <v>6</v>
      </c>
      <c r="B10" s="92">
        <f>'Inputs and Parameters (Old)'!G75</f>
        <v>5180835</v>
      </c>
      <c r="C10" s="92">
        <f>'Table 1 May 2011 ICR'!D10</f>
        <v>1860684</v>
      </c>
      <c r="D10" s="92">
        <f>'Inputs and Parameters (Old)'!G72</f>
        <v>1719680</v>
      </c>
      <c r="E10" s="92">
        <f>D10-C10</f>
        <v>-141004</v>
      </c>
      <c r="F10" s="93">
        <f>'Inputs and Parameters (Old)'!G73</f>
        <v>47037314</v>
      </c>
      <c r="G10" s="130" t="s">
        <v>296</v>
      </c>
    </row>
    <row r="11" spans="1:7" ht="89.4" customHeight="1" x14ac:dyDescent="0.3">
      <c r="A11" s="91" t="s">
        <v>7</v>
      </c>
      <c r="B11" s="92">
        <f>'Inputs and Parameters (Old)'!G105</f>
        <v>7446835</v>
      </c>
      <c r="C11" s="92">
        <f>'Table 1 May 2011 ICR'!D11</f>
        <v>3714813</v>
      </c>
      <c r="D11" s="92">
        <f>'Inputs and Parameters (Old)'!G102</f>
        <v>3723418</v>
      </c>
      <c r="E11" s="92">
        <f>D11-C11</f>
        <v>8605</v>
      </c>
      <c r="F11" s="93">
        <f>'Inputs and Parameters (Old)'!G103</f>
        <v>144272054</v>
      </c>
      <c r="G11" s="130" t="s">
        <v>299</v>
      </c>
    </row>
    <row r="12" spans="1:7" ht="18" customHeight="1" x14ac:dyDescent="0.3">
      <c r="A12" s="91" t="s">
        <v>8</v>
      </c>
      <c r="B12" s="92"/>
      <c r="C12" s="92"/>
      <c r="D12" s="92"/>
      <c r="E12" s="92"/>
      <c r="F12" s="94"/>
      <c r="G12" s="94"/>
    </row>
    <row r="13" spans="1:7" ht="88.5" customHeight="1" x14ac:dyDescent="0.3">
      <c r="A13" s="84" t="s">
        <v>9</v>
      </c>
      <c r="B13" s="92">
        <f>'Inputs and Parameters (Old)'!$G$115</f>
        <v>2440</v>
      </c>
      <c r="C13" s="92">
        <f>'Table 1 May 2011 ICR'!D13</f>
        <v>198</v>
      </c>
      <c r="D13" s="92">
        <f>'Inputs and Parameters (Old)'!G116</f>
        <v>195</v>
      </c>
      <c r="E13" s="92">
        <f>D13-C13</f>
        <v>-3</v>
      </c>
      <c r="F13" s="93">
        <f>'Inputs and Parameters (Old)'!G117</f>
        <v>5778</v>
      </c>
      <c r="G13" s="130" t="s">
        <v>300</v>
      </c>
    </row>
    <row r="14" spans="1:7" ht="54" customHeight="1" x14ac:dyDescent="0.3">
      <c r="A14" s="84" t="s">
        <v>13</v>
      </c>
      <c r="B14" s="92">
        <f>'Inputs and Parameters (Old)'!$G$125</f>
        <v>292896</v>
      </c>
      <c r="C14" s="92">
        <f>'Table 1 May 2011 ICR'!D14</f>
        <v>50494</v>
      </c>
      <c r="D14" s="92">
        <f>'Inputs and Parameters (Old)'!G122</f>
        <v>49792</v>
      </c>
      <c r="E14" s="92">
        <f>D14-C14</f>
        <v>-702</v>
      </c>
      <c r="F14" s="93">
        <f>'Inputs and Parameters (Old)'!G123</f>
        <v>1475337</v>
      </c>
      <c r="G14" s="130" t="s">
        <v>242</v>
      </c>
    </row>
    <row r="15" spans="1:7" ht="20.25" customHeight="1" x14ac:dyDescent="0.3">
      <c r="A15" s="91" t="s">
        <v>14</v>
      </c>
      <c r="B15" s="92"/>
      <c r="C15" s="92"/>
      <c r="D15" s="92"/>
      <c r="E15" s="92"/>
      <c r="F15" s="94"/>
      <c r="G15" s="94"/>
    </row>
    <row r="16" spans="1:7" ht="36" customHeight="1" x14ac:dyDescent="0.3">
      <c r="A16" s="84" t="s">
        <v>15</v>
      </c>
      <c r="B16" s="92"/>
      <c r="C16" s="92"/>
      <c r="D16" s="92"/>
      <c r="E16" s="92"/>
      <c r="F16" s="95"/>
      <c r="G16" s="130"/>
    </row>
    <row r="17" spans="1:7" ht="55.2" customHeight="1" x14ac:dyDescent="0.3">
      <c r="A17" s="84" t="s">
        <v>16</v>
      </c>
      <c r="B17" s="92">
        <f>'Inputs and Parameters (Old)'!G136</f>
        <v>73833</v>
      </c>
      <c r="C17" s="92">
        <f>'Table 1 May 2011 ICR'!D17</f>
        <v>5893</v>
      </c>
      <c r="D17" s="92">
        <f>'Inputs and Parameters (Old)'!G133</f>
        <v>5907</v>
      </c>
      <c r="E17" s="92">
        <f>D17-C17</f>
        <v>14</v>
      </c>
      <c r="F17" s="93">
        <f>'Inputs and Parameters (Old)'!G134</f>
        <v>175024</v>
      </c>
      <c r="G17" s="130" t="s">
        <v>301</v>
      </c>
    </row>
    <row r="18" spans="1:7" ht="44.4" customHeight="1" x14ac:dyDescent="0.3">
      <c r="A18" s="91" t="s">
        <v>17</v>
      </c>
      <c r="B18" s="92"/>
      <c r="C18" s="92"/>
      <c r="D18" s="92"/>
      <c r="E18" s="92"/>
      <c r="F18" s="95"/>
      <c r="G18" s="130" t="s">
        <v>18</v>
      </c>
    </row>
    <row r="19" spans="1:7" ht="21.75" customHeight="1" x14ac:dyDescent="0.3">
      <c r="A19" s="91" t="s">
        <v>19</v>
      </c>
      <c r="B19" s="92"/>
      <c r="C19" s="92"/>
      <c r="D19" s="92"/>
      <c r="E19" s="92"/>
      <c r="F19" s="94"/>
      <c r="G19" s="94"/>
    </row>
    <row r="20" spans="1:7" ht="87" customHeight="1" x14ac:dyDescent="0.3">
      <c r="A20" s="84" t="s">
        <v>20</v>
      </c>
      <c r="B20" s="92">
        <f>'Inputs and Parameters (Old)'!G144</f>
        <v>2831927</v>
      </c>
      <c r="C20" s="92">
        <f>'Table 1 May 2011 ICR'!D20</f>
        <v>245573</v>
      </c>
      <c r="D20" s="92">
        <f>'Inputs and Parameters (Old)'!G145</f>
        <v>226554</v>
      </c>
      <c r="E20" s="92">
        <f>D20-C20</f>
        <v>-19019</v>
      </c>
      <c r="F20" s="93">
        <f>'Inputs and Parameters (Old)'!G146</f>
        <v>5201680</v>
      </c>
      <c r="G20" s="130" t="s">
        <v>297</v>
      </c>
    </row>
    <row r="21" spans="1:7" ht="55.2" x14ac:dyDescent="0.3">
      <c r="A21" s="84" t="s">
        <v>21</v>
      </c>
      <c r="B21" s="92">
        <f>'Inputs and Parameters (Old)'!G84</f>
        <v>4329555</v>
      </c>
      <c r="C21" s="92">
        <f>'Table 1 May 2011 ICR'!D21</f>
        <v>345564</v>
      </c>
      <c r="D21" s="92">
        <f>'Inputs and Parameters (Old)'!G150</f>
        <v>346364</v>
      </c>
      <c r="E21" s="92">
        <f>D21-C21</f>
        <v>800</v>
      </c>
      <c r="F21" s="93">
        <f>'Inputs and Parameters (Old)'!G151</f>
        <v>7952517</v>
      </c>
      <c r="G21" s="130" t="s">
        <v>302</v>
      </c>
    </row>
    <row r="22" spans="1:7" x14ac:dyDescent="0.3">
      <c r="A22" s="84" t="s">
        <v>22</v>
      </c>
      <c r="B22" s="92">
        <f>'Inputs and Parameters (Old)'!G156</f>
        <v>497650</v>
      </c>
      <c r="C22" s="92">
        <f>'Table 1 May 2011 ICR'!D22</f>
        <v>39720</v>
      </c>
      <c r="D22" s="92">
        <f>'Inputs and Parameters (Old)'!G157</f>
        <v>39812</v>
      </c>
      <c r="E22" s="92">
        <f>D22-C22</f>
        <v>92</v>
      </c>
      <c r="F22" s="93">
        <f>'Inputs and Parameters (Old)'!G158</f>
        <v>914084</v>
      </c>
      <c r="G22" s="130" t="s">
        <v>242</v>
      </c>
    </row>
    <row r="23" spans="1:7" x14ac:dyDescent="0.3">
      <c r="A23" s="86" t="s">
        <v>246</v>
      </c>
      <c r="B23" s="85">
        <f>SUM(B8:B22)</f>
        <v>20828783</v>
      </c>
      <c r="C23" s="85">
        <f>SUM(C8:C22)</f>
        <v>6801711</v>
      </c>
      <c r="D23" s="85">
        <f>SUM(D8:D22)</f>
        <v>6593720</v>
      </c>
      <c r="E23" s="85">
        <f>SUM(E8:E22)</f>
        <v>-207991</v>
      </c>
      <c r="F23" s="87">
        <f>SUM(F8:F22)</f>
        <v>231813305</v>
      </c>
      <c r="G23" s="131"/>
    </row>
    <row r="24" spans="1:7" x14ac:dyDescent="0.3">
      <c r="G24" s="1"/>
    </row>
    <row r="26" spans="1:7" x14ac:dyDescent="0.3">
      <c r="F26" s="68"/>
    </row>
  </sheetData>
  <pageMargins left="0.7" right="0.7" top="0.75" bottom="0.75" header="0.3" footer="0.3"/>
  <pageSetup scale="62" fitToHeight="6"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G26"/>
  <sheetViews>
    <sheetView zoomScale="73" zoomScaleNormal="73" workbookViewId="0">
      <selection activeCell="C7" sqref="C7"/>
    </sheetView>
  </sheetViews>
  <sheetFormatPr defaultColWidth="8.88671875" defaultRowHeight="14.4" x14ac:dyDescent="0.3"/>
  <cols>
    <col min="1" max="1" width="36.6640625" customWidth="1"/>
    <col min="2" max="6" width="23.6640625" style="66" customWidth="1"/>
    <col min="7" max="7" width="61.109375" customWidth="1"/>
    <col min="8" max="8" width="23.6640625" customWidth="1"/>
  </cols>
  <sheetData>
    <row r="5" spans="1:7" x14ac:dyDescent="0.3">
      <c r="A5" s="133" t="s">
        <v>326</v>
      </c>
    </row>
    <row r="6" spans="1:7" x14ac:dyDescent="0.3">
      <c r="B6" s="64"/>
      <c r="C6" s="65"/>
      <c r="E6" s="67"/>
      <c r="G6" s="1"/>
    </row>
    <row r="7" spans="1:7" x14ac:dyDescent="0.3">
      <c r="A7" s="88" t="s">
        <v>0</v>
      </c>
      <c r="B7" s="89" t="s">
        <v>1</v>
      </c>
      <c r="C7" s="89" t="s">
        <v>12</v>
      </c>
      <c r="D7" s="89" t="s">
        <v>11</v>
      </c>
      <c r="E7" s="89" t="s">
        <v>10</v>
      </c>
      <c r="F7" s="90" t="s">
        <v>2</v>
      </c>
      <c r="G7" s="94" t="s">
        <v>295</v>
      </c>
    </row>
    <row r="8" spans="1:7" ht="55.2" x14ac:dyDescent="0.3">
      <c r="A8" s="91" t="s">
        <v>4</v>
      </c>
      <c r="B8" s="92">
        <f>'Inputs and Parameters (Old)'!B49</f>
        <v>173969</v>
      </c>
      <c r="C8" s="92">
        <f>'Table 1 May 2011 ICR'!D8</f>
        <v>538772</v>
      </c>
      <c r="D8" s="92">
        <f>'Inputs and Parameters (Old)'!B46</f>
        <v>484338</v>
      </c>
      <c r="E8" s="92">
        <f>D8-C8</f>
        <v>-54434</v>
      </c>
      <c r="F8" s="93">
        <f>'Inputs and Parameters (Old)'!B47</f>
        <v>27035747</v>
      </c>
      <c r="G8" s="130" t="s">
        <v>321</v>
      </c>
    </row>
    <row r="9" spans="1:7" x14ac:dyDescent="0.3">
      <c r="A9" s="91" t="s">
        <v>5</v>
      </c>
      <c r="B9" s="92"/>
      <c r="C9" s="92"/>
      <c r="D9" s="92"/>
      <c r="E9" s="92"/>
      <c r="F9" s="94"/>
      <c r="G9" s="94"/>
    </row>
    <row r="10" spans="1:7" ht="96.6" x14ac:dyDescent="0.3">
      <c r="A10" s="84" t="s">
        <v>6</v>
      </c>
      <c r="B10" s="92">
        <f>'Inputs and Parameters (Old)'!B75</f>
        <v>6089725</v>
      </c>
      <c r="C10" s="92">
        <f>'Table 1 May 2011 ICR'!D10</f>
        <v>1860684</v>
      </c>
      <c r="D10" s="92">
        <f>'Inputs and Parameters (Old)'!B72</f>
        <v>2021369</v>
      </c>
      <c r="E10" s="92">
        <f>D10-C10</f>
        <v>160685</v>
      </c>
      <c r="F10" s="93">
        <f>'Inputs and Parameters (Old)'!B73</f>
        <v>58702849</v>
      </c>
      <c r="G10" s="130" t="s">
        <v>320</v>
      </c>
    </row>
    <row r="11" spans="1:7" ht="27.6" x14ac:dyDescent="0.3">
      <c r="A11" s="91" t="s">
        <v>7</v>
      </c>
      <c r="B11" s="92">
        <f>'Inputs and Parameters (Old)'!B105</f>
        <v>8753254</v>
      </c>
      <c r="C11" s="92">
        <f>'Table 1 May 2011 ICR'!D11</f>
        <v>3714813</v>
      </c>
      <c r="D11" s="92">
        <f>'Inputs and Parameters (Old)'!B102</f>
        <v>4209595</v>
      </c>
      <c r="E11" s="92">
        <f>D11-C11</f>
        <v>494782</v>
      </c>
      <c r="F11" s="93">
        <f>'Inputs and Parameters (Old)'!B103</f>
        <v>175693193</v>
      </c>
      <c r="G11" s="130" t="s">
        <v>322</v>
      </c>
    </row>
    <row r="12" spans="1:7" x14ac:dyDescent="0.3">
      <c r="A12" s="91" t="s">
        <v>8</v>
      </c>
      <c r="B12" s="92"/>
      <c r="C12" s="92"/>
      <c r="D12" s="92"/>
      <c r="E12" s="92"/>
      <c r="F12" s="94"/>
      <c r="G12" s="94"/>
    </row>
    <row r="13" spans="1:7" ht="55.2" x14ac:dyDescent="0.3">
      <c r="A13" s="84" t="s">
        <v>9</v>
      </c>
      <c r="B13" s="92">
        <f>'Inputs and Parameters (Old)'!B115</f>
        <v>2464</v>
      </c>
      <c r="C13" s="92">
        <f>'Table 1 May 2011 ICR'!D13</f>
        <v>198</v>
      </c>
      <c r="D13" s="92">
        <f>'Inputs and Parameters (Old)'!B116</f>
        <v>197</v>
      </c>
      <c r="E13" s="92">
        <f>D13-C13</f>
        <v>-1</v>
      </c>
      <c r="F13" s="93">
        <f>'Inputs and Parameters (Old)'!B117</f>
        <v>6235</v>
      </c>
      <c r="G13" s="130" t="s">
        <v>323</v>
      </c>
    </row>
    <row r="14" spans="1:7" x14ac:dyDescent="0.3">
      <c r="A14" s="84" t="s">
        <v>13</v>
      </c>
      <c r="B14" s="92">
        <f>'Inputs and Parameters (Old)'!B125</f>
        <v>295704</v>
      </c>
      <c r="C14" s="92">
        <f>'Table 1 May 2011 ICR'!D14</f>
        <v>50494</v>
      </c>
      <c r="D14" s="92">
        <f>'Inputs and Parameters (Old)'!B122</f>
        <v>50270</v>
      </c>
      <c r="E14" s="92">
        <f>D14-C14</f>
        <v>-224</v>
      </c>
      <c r="F14" s="93">
        <f>'Inputs and Parameters (Old)'!B123</f>
        <v>1591046</v>
      </c>
      <c r="G14" s="130" t="s">
        <v>242</v>
      </c>
    </row>
    <row r="15" spans="1:7" x14ac:dyDescent="0.3">
      <c r="A15" s="91" t="s">
        <v>14</v>
      </c>
      <c r="B15" s="92"/>
      <c r="C15" s="92"/>
      <c r="D15" s="92"/>
      <c r="E15" s="92"/>
      <c r="F15" s="94"/>
      <c r="G15" s="94"/>
    </row>
    <row r="16" spans="1:7" x14ac:dyDescent="0.3">
      <c r="A16" s="84" t="s">
        <v>15</v>
      </c>
      <c r="B16" s="92"/>
      <c r="C16" s="92"/>
      <c r="D16" s="92"/>
      <c r="E16" s="92"/>
      <c r="F16" s="95"/>
      <c r="G16" s="130"/>
    </row>
    <row r="17" spans="1:7" ht="27.6" x14ac:dyDescent="0.3">
      <c r="A17" s="84" t="s">
        <v>16</v>
      </c>
      <c r="B17" s="92">
        <f>'Inputs and Parameters (Old)'!B136</f>
        <v>75471</v>
      </c>
      <c r="C17" s="92">
        <f>'Table 1 May 2011 ICR'!D17</f>
        <v>5893</v>
      </c>
      <c r="D17" s="92">
        <f>'Inputs and Parameters (Old)'!B133</f>
        <v>6038</v>
      </c>
      <c r="E17" s="92">
        <f>D17-C17</f>
        <v>145</v>
      </c>
      <c r="F17" s="93">
        <f>'Inputs and Parameters (Old)'!B134</f>
        <v>191103</v>
      </c>
      <c r="G17" s="130" t="s">
        <v>324</v>
      </c>
    </row>
    <row r="18" spans="1:7" ht="27.6" x14ac:dyDescent="0.3">
      <c r="A18" s="91" t="s">
        <v>17</v>
      </c>
      <c r="B18" s="92"/>
      <c r="C18" s="92"/>
      <c r="D18" s="92"/>
      <c r="E18" s="92"/>
      <c r="F18" s="95"/>
      <c r="G18" s="130" t="s">
        <v>18</v>
      </c>
    </row>
    <row r="19" spans="1:7" x14ac:dyDescent="0.3">
      <c r="A19" s="91" t="s">
        <v>19</v>
      </c>
      <c r="B19" s="92"/>
      <c r="C19" s="92"/>
      <c r="D19" s="92"/>
      <c r="E19" s="92"/>
      <c r="F19" s="94"/>
      <c r="G19" s="94"/>
    </row>
    <row r="20" spans="1:7" ht="55.2" x14ac:dyDescent="0.3">
      <c r="A20" s="84" t="s">
        <v>20</v>
      </c>
      <c r="B20" s="92">
        <f>'Inputs and Parameters (Old)'!B144</f>
        <v>3328741</v>
      </c>
      <c r="C20" s="92">
        <f>'Table 1 May 2011 ICR'!D20</f>
        <v>245573</v>
      </c>
      <c r="D20" s="92">
        <f>'Inputs and Parameters (Old)'!B145</f>
        <v>266299</v>
      </c>
      <c r="E20" s="92">
        <f>D20-C20</f>
        <v>20726</v>
      </c>
      <c r="F20" s="93">
        <f>'Inputs and Parameters (Old)'!B146</f>
        <v>6393839</v>
      </c>
      <c r="G20" s="130" t="s">
        <v>325</v>
      </c>
    </row>
    <row r="21" spans="1:7" ht="41.4" x14ac:dyDescent="0.3">
      <c r="A21" s="84" t="s">
        <v>21</v>
      </c>
      <c r="B21" s="92">
        <f>'Inputs and Parameters (Old)'!B84</f>
        <v>5089101</v>
      </c>
      <c r="C21" s="92">
        <f>'Table 1 May 2011 ICR'!D21</f>
        <v>345564</v>
      </c>
      <c r="D21" s="92">
        <f>'Inputs and Parameters (Old)'!B150</f>
        <v>407128</v>
      </c>
      <c r="E21" s="92">
        <f>D21-C21</f>
        <v>61564</v>
      </c>
      <c r="F21" s="93">
        <f>'Inputs and Parameters (Old)'!B151</f>
        <v>9775143</v>
      </c>
      <c r="G21" s="130" t="s">
        <v>328</v>
      </c>
    </row>
    <row r="22" spans="1:7" x14ac:dyDescent="0.3">
      <c r="A22" s="84" t="s">
        <v>22</v>
      </c>
      <c r="B22" s="92">
        <f>'Inputs and Parameters (Old)'!B156</f>
        <v>584954</v>
      </c>
      <c r="C22" s="92">
        <f>'Table 1 May 2011 ICR'!D22</f>
        <v>39720</v>
      </c>
      <c r="D22" s="92">
        <f>'Inputs and Parameters (Old)'!B157</f>
        <v>46796</v>
      </c>
      <c r="E22" s="92">
        <f>D22-C22</f>
        <v>7076</v>
      </c>
      <c r="F22" s="93">
        <f>'Inputs and Parameters (Old)'!B158</f>
        <v>1123572</v>
      </c>
      <c r="G22" s="130" t="s">
        <v>242</v>
      </c>
    </row>
    <row r="23" spans="1:7" x14ac:dyDescent="0.3">
      <c r="A23" s="86" t="s">
        <v>246</v>
      </c>
      <c r="B23" s="85">
        <f>SUM(B8:B22)</f>
        <v>24393383</v>
      </c>
      <c r="C23" s="85">
        <f>SUM(C8:C22)</f>
        <v>6801711</v>
      </c>
      <c r="D23" s="85">
        <f>SUM(D8:D22)</f>
        <v>7492030</v>
      </c>
      <c r="E23" s="85">
        <f>SUM(E8:E22)</f>
        <v>690319</v>
      </c>
      <c r="F23" s="87">
        <f>SUM(F8:F22)</f>
        <v>280512727</v>
      </c>
      <c r="G23" s="131"/>
    </row>
    <row r="24" spans="1:7" x14ac:dyDescent="0.3">
      <c r="G24" s="1"/>
    </row>
    <row r="26" spans="1:7" x14ac:dyDescent="0.3">
      <c r="F26" s="68"/>
    </row>
  </sheetData>
  <pageMargins left="0.7" right="0.7" top="0.75" bottom="0.75" header="0.3" footer="0.3"/>
  <pageSetup scale="62" fitToHeight="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W264"/>
  <sheetViews>
    <sheetView tabSelected="1" zoomScale="80" zoomScaleNormal="80" workbookViewId="0">
      <pane ySplit="2" topLeftCell="A153" activePane="bottomLeft" state="frozen"/>
      <selection pane="bottomLeft" activeCell="A166" sqref="A166:XFD168"/>
    </sheetView>
  </sheetViews>
  <sheetFormatPr defaultRowHeight="14.4" x14ac:dyDescent="0.3"/>
  <cols>
    <col min="1" max="1" width="55.44140625" customWidth="1"/>
    <col min="2" max="2" width="27.88671875" customWidth="1"/>
    <col min="3" max="4" width="21.88671875" customWidth="1"/>
    <col min="5" max="5" width="16.44140625" customWidth="1"/>
    <col min="6" max="6" width="6.44140625" customWidth="1"/>
    <col min="7" max="7" width="58.44140625" customWidth="1"/>
    <col min="8" max="8" width="32.109375" customWidth="1"/>
    <col min="9" max="9" width="27.33203125" customWidth="1"/>
    <col min="10" max="10" width="39.109375" customWidth="1"/>
    <col min="11" max="11" width="18.44140625" customWidth="1"/>
    <col min="12" max="12" width="18" customWidth="1"/>
    <col min="13" max="13" width="51.5546875" customWidth="1"/>
    <col min="14" max="14" width="32.6640625" customWidth="1"/>
    <col min="15" max="15" width="20.5546875" customWidth="1"/>
    <col min="16" max="16" width="12.6640625" customWidth="1"/>
    <col min="19" max="19" width="52.5546875" customWidth="1"/>
    <col min="20" max="20" width="27.33203125" customWidth="1"/>
    <col min="21" max="21" width="18.88671875" customWidth="1"/>
    <col min="22" max="23" width="39.109375" customWidth="1"/>
    <col min="24" max="24" width="22.44140625" customWidth="1"/>
    <col min="25" max="25" width="51.5546875" customWidth="1"/>
    <col min="26" max="26" width="32.6640625" customWidth="1"/>
    <col min="27" max="27" width="20.5546875" customWidth="1"/>
    <col min="28" max="28" width="12.6640625" customWidth="1"/>
    <col min="31" max="31" width="52.5546875" customWidth="1"/>
    <col min="32" max="32" width="27.33203125" customWidth="1"/>
    <col min="33" max="33" width="18.88671875" customWidth="1"/>
    <col min="34" max="35" width="39.109375" customWidth="1"/>
    <col min="36" max="37" width="22.44140625" customWidth="1"/>
    <col min="38" max="38" width="1.33203125" customWidth="1"/>
    <col min="39" max="39" width="4.5546875" customWidth="1"/>
    <col min="40" max="40" width="46" customWidth="1"/>
    <col min="41" max="41" width="17.44140625" customWidth="1"/>
    <col min="42" max="42" width="13.6640625" customWidth="1"/>
    <col min="44" max="44" width="1.33203125" customWidth="1"/>
    <col min="45" max="45" width="50.6640625" customWidth="1"/>
    <col min="46" max="46" width="18" customWidth="1"/>
  </cols>
  <sheetData>
    <row r="1" spans="1:48" x14ac:dyDescent="0.3">
      <c r="A1" s="267" t="s">
        <v>484</v>
      </c>
      <c r="B1" s="266"/>
      <c r="C1" s="266"/>
      <c r="D1" s="265"/>
      <c r="G1" s="267" t="s">
        <v>485</v>
      </c>
      <c r="H1" s="268"/>
      <c r="I1" s="268"/>
      <c r="J1" s="268"/>
      <c r="M1" t="s">
        <v>474</v>
      </c>
      <c r="AL1" s="120"/>
      <c r="AR1" s="120"/>
    </row>
    <row r="2" spans="1:48" x14ac:dyDescent="0.3">
      <c r="A2" s="375" t="s">
        <v>498</v>
      </c>
      <c r="B2" s="375"/>
      <c r="C2" s="375"/>
      <c r="D2" s="375"/>
      <c r="G2" s="375" t="s">
        <v>499</v>
      </c>
      <c r="H2" s="375"/>
      <c r="I2" s="375"/>
      <c r="J2" s="375"/>
      <c r="L2" s="72"/>
      <c r="M2" s="377" t="s">
        <v>422</v>
      </c>
      <c r="N2" s="377"/>
      <c r="O2" s="377"/>
      <c r="P2" s="377"/>
      <c r="S2" s="377" t="s">
        <v>307</v>
      </c>
      <c r="T2" s="377"/>
      <c r="U2" s="377"/>
      <c r="V2" s="377"/>
      <c r="W2" s="259"/>
      <c r="X2" s="72"/>
      <c r="Y2" s="377" t="s">
        <v>422</v>
      </c>
      <c r="Z2" s="377"/>
      <c r="AA2" s="377"/>
      <c r="AB2" s="377"/>
      <c r="AE2" s="376" t="s">
        <v>307</v>
      </c>
      <c r="AF2" s="376"/>
      <c r="AG2" s="376"/>
      <c r="AH2" s="376"/>
      <c r="AI2" s="72"/>
      <c r="AJ2" s="72"/>
      <c r="AK2" s="72"/>
      <c r="AL2" s="120"/>
      <c r="AN2" s="376" t="s">
        <v>288</v>
      </c>
      <c r="AO2" s="376"/>
      <c r="AP2" s="376"/>
      <c r="AQ2" s="376"/>
      <c r="AR2" s="120"/>
      <c r="AS2" s="376" t="s">
        <v>287</v>
      </c>
      <c r="AT2" s="376"/>
      <c r="AU2" s="376"/>
      <c r="AV2" s="376"/>
    </row>
    <row r="3" spans="1:48" x14ac:dyDescent="0.3">
      <c r="A3" s="269" t="s">
        <v>23</v>
      </c>
      <c r="B3" s="270" t="s">
        <v>497</v>
      </c>
      <c r="C3" s="271"/>
      <c r="D3" s="271"/>
      <c r="E3" s="4"/>
      <c r="G3" s="3" t="s">
        <v>23</v>
      </c>
      <c r="H3" s="71" t="s">
        <v>497</v>
      </c>
      <c r="M3" s="3" t="s">
        <v>23</v>
      </c>
      <c r="S3" s="3" t="s">
        <v>23</v>
      </c>
      <c r="Y3" s="3" t="s">
        <v>23</v>
      </c>
      <c r="AE3" s="3" t="s">
        <v>23</v>
      </c>
      <c r="AL3" s="120"/>
      <c r="AN3" s="3" t="s">
        <v>23</v>
      </c>
      <c r="AR3" s="120"/>
      <c r="AS3" s="3" t="s">
        <v>23</v>
      </c>
    </row>
    <row r="4" spans="1:48" ht="15.6" x14ac:dyDescent="0.3">
      <c r="A4" s="296" t="s">
        <v>24</v>
      </c>
      <c r="B4" s="260">
        <f>ROUND(Wages!E3,2)</f>
        <v>84.34</v>
      </c>
      <c r="E4" s="260" t="s">
        <v>459</v>
      </c>
      <c r="G4" s="4" t="str">
        <f t="shared" ref="G4:H7" si="0">A4</f>
        <v>Supervisor</v>
      </c>
      <c r="H4" s="260">
        <f t="shared" si="0"/>
        <v>84.34</v>
      </c>
      <c r="L4" t="s">
        <v>459</v>
      </c>
      <c r="M4" s="4" t="s">
        <v>24</v>
      </c>
      <c r="N4" s="63">
        <v>55.82</v>
      </c>
      <c r="O4" t="s">
        <v>333</v>
      </c>
      <c r="S4" s="4" t="s">
        <v>24</v>
      </c>
      <c r="T4" s="63">
        <v>55.82</v>
      </c>
      <c r="U4" t="s">
        <v>333</v>
      </c>
      <c r="Y4" s="4" t="s">
        <v>24</v>
      </c>
      <c r="Z4" s="63">
        <v>55.82</v>
      </c>
      <c r="AA4" t="s">
        <v>333</v>
      </c>
      <c r="AE4" s="4" t="s">
        <v>24</v>
      </c>
      <c r="AF4" s="63">
        <v>55.82</v>
      </c>
      <c r="AG4" t="s">
        <v>333</v>
      </c>
      <c r="AL4" s="120"/>
      <c r="AN4" s="4" t="s">
        <v>24</v>
      </c>
      <c r="AO4" s="7">
        <v>51.41</v>
      </c>
      <c r="AR4" s="120"/>
      <c r="AS4" s="4" t="s">
        <v>24</v>
      </c>
      <c r="AT4" s="7">
        <v>49.31</v>
      </c>
    </row>
    <row r="5" spans="1:48" ht="15.6" x14ac:dyDescent="0.3">
      <c r="A5" s="296" t="s">
        <v>491</v>
      </c>
      <c r="B5" s="260">
        <f>ROUND(Wages!E4,2)</f>
        <v>34.28</v>
      </c>
      <c r="E5" s="260" t="s">
        <v>459</v>
      </c>
      <c r="G5" s="4" t="str">
        <f t="shared" si="0"/>
        <v>Worker</v>
      </c>
      <c r="H5" s="260">
        <f t="shared" si="0"/>
        <v>34.28</v>
      </c>
      <c r="L5" t="s">
        <v>459</v>
      </c>
      <c r="M5" s="4" t="s">
        <v>26</v>
      </c>
      <c r="N5" s="63">
        <v>31.65</v>
      </c>
      <c r="O5" t="s">
        <v>333</v>
      </c>
      <c r="S5" s="4" t="s">
        <v>26</v>
      </c>
      <c r="T5" s="63">
        <v>31.65</v>
      </c>
      <c r="U5" t="s">
        <v>333</v>
      </c>
      <c r="Y5" s="4" t="s">
        <v>26</v>
      </c>
      <c r="Z5" s="63">
        <v>31.65</v>
      </c>
      <c r="AA5" t="s">
        <v>333</v>
      </c>
      <c r="AE5" s="4" t="s">
        <v>26</v>
      </c>
      <c r="AF5" s="63">
        <v>31.65</v>
      </c>
      <c r="AG5" t="s">
        <v>333</v>
      </c>
      <c r="AL5" s="120"/>
      <c r="AN5" s="4" t="s">
        <v>26</v>
      </c>
      <c r="AO5" s="7">
        <v>29.63</v>
      </c>
      <c r="AQ5" s="6"/>
      <c r="AR5" s="120"/>
      <c r="AS5" s="4" t="s">
        <v>26</v>
      </c>
      <c r="AT5" s="7">
        <v>27.88</v>
      </c>
    </row>
    <row r="6" spans="1:48" ht="15.6" x14ac:dyDescent="0.3">
      <c r="A6" s="296" t="s">
        <v>25</v>
      </c>
      <c r="B6" s="260">
        <f>ROUND(Wages!E5,2)</f>
        <v>27.86</v>
      </c>
      <c r="E6" s="260" t="s">
        <v>459</v>
      </c>
      <c r="G6" s="4" t="str">
        <f t="shared" si="0"/>
        <v>Secretary</v>
      </c>
      <c r="H6" s="260">
        <f t="shared" si="0"/>
        <v>27.86</v>
      </c>
      <c r="L6" t="s">
        <v>459</v>
      </c>
      <c r="M6" t="s">
        <v>25</v>
      </c>
      <c r="N6" s="63">
        <v>24.01</v>
      </c>
      <c r="O6" t="s">
        <v>333</v>
      </c>
      <c r="S6" t="s">
        <v>25</v>
      </c>
      <c r="T6" s="63">
        <v>24.01</v>
      </c>
      <c r="U6" t="s">
        <v>333</v>
      </c>
      <c r="Y6" t="s">
        <v>25</v>
      </c>
      <c r="Z6" s="63">
        <v>24.01</v>
      </c>
      <c r="AA6" t="s">
        <v>333</v>
      </c>
      <c r="AE6" t="s">
        <v>25</v>
      </c>
      <c r="AF6" s="63">
        <v>24.01</v>
      </c>
      <c r="AG6" t="s">
        <v>333</v>
      </c>
      <c r="AL6" s="120"/>
      <c r="AN6" t="s">
        <v>25</v>
      </c>
      <c r="AO6" s="7">
        <v>22.96</v>
      </c>
      <c r="AR6" s="120"/>
      <c r="AS6" t="s">
        <v>25</v>
      </c>
      <c r="AT6" s="7">
        <v>22</v>
      </c>
    </row>
    <row r="7" spans="1:48" ht="15.6" x14ac:dyDescent="0.3">
      <c r="A7" s="296" t="s">
        <v>487</v>
      </c>
      <c r="B7" s="260">
        <f>ROUND(Wages!E6,2)</f>
        <v>47.61</v>
      </c>
      <c r="E7" s="260"/>
      <c r="G7" s="4" t="str">
        <f t="shared" si="0"/>
        <v>OSH Technician</v>
      </c>
      <c r="H7" s="260">
        <f t="shared" si="0"/>
        <v>47.61</v>
      </c>
      <c r="N7" s="63"/>
      <c r="T7" s="63"/>
      <c r="Z7" s="63"/>
      <c r="AF7" s="63"/>
      <c r="AL7" s="120"/>
      <c r="AO7" s="7"/>
      <c r="AR7" s="120"/>
      <c r="AT7" s="7"/>
    </row>
    <row r="8" spans="1:48" x14ac:dyDescent="0.3">
      <c r="A8" s="4"/>
      <c r="AL8" s="120"/>
      <c r="AO8" s="7"/>
      <c r="AP8" s="5"/>
      <c r="AR8" s="120"/>
    </row>
    <row r="9" spans="1:48" x14ac:dyDescent="0.3">
      <c r="A9" s="3" t="s">
        <v>317</v>
      </c>
      <c r="B9" s="17">
        <v>0.10299999999999999</v>
      </c>
      <c r="C9" t="s">
        <v>334</v>
      </c>
      <c r="G9" s="3" t="s">
        <v>317</v>
      </c>
      <c r="H9" s="17">
        <v>0.10299999999999999</v>
      </c>
      <c r="I9" t="s">
        <v>334</v>
      </c>
      <c r="M9" s="3" t="s">
        <v>317</v>
      </c>
      <c r="N9" s="17">
        <v>0.10299999999999999</v>
      </c>
      <c r="O9" t="s">
        <v>334</v>
      </c>
      <c r="S9" s="3" t="s">
        <v>317</v>
      </c>
      <c r="T9" s="17">
        <v>0.10299999999999999</v>
      </c>
      <c r="U9" t="s">
        <v>334</v>
      </c>
      <c r="Y9" s="3" t="s">
        <v>317</v>
      </c>
      <c r="Z9" s="17">
        <v>0.10299999999999999</v>
      </c>
      <c r="AA9" t="s">
        <v>334</v>
      </c>
      <c r="AE9" s="3" t="s">
        <v>317</v>
      </c>
      <c r="AF9" s="17">
        <v>0.10299999999999999</v>
      </c>
      <c r="AG9" t="s">
        <v>334</v>
      </c>
      <c r="AL9" s="121"/>
      <c r="AN9" s="3" t="s">
        <v>173</v>
      </c>
      <c r="AO9" s="17">
        <v>0.104</v>
      </c>
      <c r="AP9" s="5"/>
      <c r="AQ9" s="7"/>
      <c r="AR9" s="121"/>
      <c r="AS9" s="3" t="s">
        <v>61</v>
      </c>
      <c r="AT9" s="20">
        <v>0.126</v>
      </c>
      <c r="AU9" s="5"/>
      <c r="AV9" s="7"/>
    </row>
    <row r="10" spans="1:48" x14ac:dyDescent="0.3">
      <c r="A10" s="3" t="s">
        <v>171</v>
      </c>
      <c r="B10" s="8">
        <v>0.2</v>
      </c>
      <c r="G10" s="3" t="s">
        <v>171</v>
      </c>
      <c r="H10" s="8">
        <v>0.2</v>
      </c>
      <c r="M10" s="3" t="s">
        <v>171</v>
      </c>
      <c r="N10" s="8">
        <v>0.2</v>
      </c>
      <c r="S10" s="3" t="s">
        <v>171</v>
      </c>
      <c r="T10" s="8">
        <v>0.2</v>
      </c>
      <c r="Y10" s="3" t="s">
        <v>171</v>
      </c>
      <c r="Z10" s="8">
        <v>0.2</v>
      </c>
      <c r="AE10" s="3" t="s">
        <v>171</v>
      </c>
      <c r="AF10" s="8">
        <v>0.2</v>
      </c>
      <c r="AL10" s="121"/>
      <c r="AN10" s="3" t="s">
        <v>171</v>
      </c>
      <c r="AO10" s="8">
        <v>0.2</v>
      </c>
      <c r="AP10" s="22"/>
      <c r="AR10" s="121"/>
      <c r="AS10" s="3" t="s">
        <v>171</v>
      </c>
      <c r="AT10" s="8">
        <v>0.2</v>
      </c>
      <c r="AU10" s="22"/>
    </row>
    <row r="11" spans="1:48" x14ac:dyDescent="0.3">
      <c r="AL11" s="122"/>
      <c r="AO11" s="20"/>
      <c r="AP11" s="5"/>
      <c r="AR11" s="122"/>
      <c r="AT11" s="20"/>
      <c r="AU11" s="5"/>
    </row>
    <row r="12" spans="1:48" ht="18" x14ac:dyDescent="0.35">
      <c r="A12" s="272" t="s">
        <v>63</v>
      </c>
      <c r="B12" s="273" t="s">
        <v>65</v>
      </c>
      <c r="C12" s="270" t="s">
        <v>76</v>
      </c>
      <c r="D12" s="270" t="s">
        <v>77</v>
      </c>
      <c r="G12" s="272" t="s">
        <v>63</v>
      </c>
      <c r="H12" s="273" t="s">
        <v>65</v>
      </c>
      <c r="I12" s="270" t="s">
        <v>76</v>
      </c>
      <c r="J12" s="270" t="s">
        <v>77</v>
      </c>
      <c r="L12" s="23"/>
      <c r="M12" s="31" t="s">
        <v>63</v>
      </c>
      <c r="N12" s="24" t="s">
        <v>65</v>
      </c>
      <c r="O12" s="23" t="s">
        <v>76</v>
      </c>
      <c r="P12" s="23" t="s">
        <v>77</v>
      </c>
      <c r="S12" s="31" t="s">
        <v>63</v>
      </c>
      <c r="T12" s="24" t="s">
        <v>65</v>
      </c>
      <c r="U12" s="23" t="s">
        <v>76</v>
      </c>
      <c r="V12" s="23" t="s">
        <v>77</v>
      </c>
      <c r="W12" s="23"/>
      <c r="X12" s="23"/>
      <c r="Y12" s="31" t="s">
        <v>63</v>
      </c>
      <c r="Z12" s="24" t="s">
        <v>65</v>
      </c>
      <c r="AA12" s="23" t="s">
        <v>76</v>
      </c>
      <c r="AB12" s="23" t="s">
        <v>77</v>
      </c>
      <c r="AE12" s="31" t="s">
        <v>63</v>
      </c>
      <c r="AF12" s="24" t="s">
        <v>65</v>
      </c>
      <c r="AG12" s="23" t="s">
        <v>76</v>
      </c>
      <c r="AH12" s="23" t="s">
        <v>77</v>
      </c>
      <c r="AI12" s="23"/>
      <c r="AJ12" s="23"/>
      <c r="AK12" s="23"/>
      <c r="AL12" s="122"/>
      <c r="AN12" s="31" t="s">
        <v>63</v>
      </c>
      <c r="AO12" s="24" t="s">
        <v>65</v>
      </c>
      <c r="AP12" s="23" t="s">
        <v>76</v>
      </c>
      <c r="AQ12" s="23" t="s">
        <v>77</v>
      </c>
      <c r="AR12" s="122"/>
      <c r="AS12" s="31" t="s">
        <v>63</v>
      </c>
      <c r="AT12" s="24" t="s">
        <v>65</v>
      </c>
      <c r="AU12" s="23" t="s">
        <v>76</v>
      </c>
      <c r="AV12" s="23" t="s">
        <v>77</v>
      </c>
    </row>
    <row r="13" spans="1:48" x14ac:dyDescent="0.3">
      <c r="A13" t="s">
        <v>461</v>
      </c>
      <c r="B13" s="2">
        <f>'Profile 2015'!E8</f>
        <v>631607</v>
      </c>
      <c r="C13" s="8">
        <v>1</v>
      </c>
      <c r="G13" t="s">
        <v>461</v>
      </c>
      <c r="H13" s="2">
        <f>B13</f>
        <v>631607</v>
      </c>
      <c r="I13" s="8">
        <v>1</v>
      </c>
      <c r="M13" t="s">
        <v>318</v>
      </c>
      <c r="N13" s="2">
        <v>616035</v>
      </c>
      <c r="O13" s="8">
        <v>1</v>
      </c>
      <c r="S13" t="s">
        <v>318</v>
      </c>
      <c r="T13" s="2">
        <v>616035</v>
      </c>
      <c r="U13" s="8">
        <v>1</v>
      </c>
      <c r="Y13" t="s">
        <v>318</v>
      </c>
      <c r="Z13" s="2">
        <v>616035</v>
      </c>
      <c r="AA13" s="8">
        <v>1</v>
      </c>
      <c r="AE13" t="s">
        <v>318</v>
      </c>
      <c r="AF13" s="2">
        <v>616035</v>
      </c>
      <c r="AG13" s="8">
        <v>1</v>
      </c>
      <c r="AL13" s="122"/>
      <c r="AN13" t="s">
        <v>174</v>
      </c>
      <c r="AO13" s="2">
        <f>'Profile 2015'!$E$6</f>
        <v>610213</v>
      </c>
      <c r="AP13" s="8">
        <v>1</v>
      </c>
      <c r="AR13" s="122"/>
      <c r="AS13" t="s">
        <v>64</v>
      </c>
      <c r="AT13" s="2">
        <f>'Profile 2011'!C10</f>
        <v>618804.15701173805</v>
      </c>
      <c r="AU13" s="8">
        <v>1</v>
      </c>
    </row>
    <row r="14" spans="1:48" x14ac:dyDescent="0.3">
      <c r="AL14" s="121"/>
      <c r="AO14" s="21"/>
      <c r="AP14" s="8"/>
      <c r="AR14" s="121"/>
      <c r="AT14" s="21"/>
      <c r="AU14" s="8"/>
    </row>
    <row r="15" spans="1:48" x14ac:dyDescent="0.3">
      <c r="A15" t="s">
        <v>62</v>
      </c>
      <c r="B15" s="2">
        <f>ROUND(B13*B9,0)</f>
        <v>65056</v>
      </c>
      <c r="C15" s="17">
        <f>B9</f>
        <v>0.10299999999999999</v>
      </c>
      <c r="D15" s="8">
        <v>1</v>
      </c>
      <c r="G15" t="s">
        <v>62</v>
      </c>
      <c r="H15" s="2">
        <f>ROUND(H13*H9,0)</f>
        <v>65056</v>
      </c>
      <c r="I15" s="17">
        <f>H9</f>
        <v>0.10299999999999999</v>
      </c>
      <c r="J15" s="8">
        <v>1</v>
      </c>
      <c r="L15" s="8"/>
      <c r="M15" t="s">
        <v>62</v>
      </c>
      <c r="N15" s="2">
        <v>63452</v>
      </c>
      <c r="O15" s="17">
        <v>0.10299999999999999</v>
      </c>
      <c r="P15" s="8">
        <v>1</v>
      </c>
      <c r="S15" t="s">
        <v>62</v>
      </c>
      <c r="T15" s="2">
        <v>63452</v>
      </c>
      <c r="U15" s="17">
        <v>0.10299999999999999</v>
      </c>
      <c r="V15" s="8">
        <v>1</v>
      </c>
      <c r="W15" s="8"/>
      <c r="X15" s="8"/>
      <c r="Y15" t="s">
        <v>62</v>
      </c>
      <c r="Z15" s="2">
        <v>63452</v>
      </c>
      <c r="AA15" s="17">
        <v>0.10299999999999999</v>
      </c>
      <c r="AB15" s="8">
        <v>1</v>
      </c>
      <c r="AE15" t="s">
        <v>62</v>
      </c>
      <c r="AF15" s="2">
        <v>63452</v>
      </c>
      <c r="AG15" s="17">
        <v>0.10299999999999999</v>
      </c>
      <c r="AH15" s="8">
        <v>1</v>
      </c>
      <c r="AI15" s="8"/>
      <c r="AJ15" s="8"/>
      <c r="AK15" s="8"/>
      <c r="AL15" s="121"/>
      <c r="AN15" t="s">
        <v>62</v>
      </c>
      <c r="AO15" s="2">
        <f>ROUND(AO13*AO9,0)</f>
        <v>63462</v>
      </c>
      <c r="AP15" s="17">
        <f>AO9</f>
        <v>0.104</v>
      </c>
      <c r="AQ15" s="8">
        <v>1</v>
      </c>
      <c r="AR15" s="121"/>
      <c r="AS15" t="s">
        <v>62</v>
      </c>
      <c r="AT15" s="2">
        <f>ROUND(AT13*AT9,0)</f>
        <v>77969</v>
      </c>
      <c r="AU15" s="17">
        <f>AT9</f>
        <v>0.126</v>
      </c>
      <c r="AV15" s="8">
        <v>1</v>
      </c>
    </row>
    <row r="16" spans="1:48" x14ac:dyDescent="0.3">
      <c r="A16" s="241" t="s">
        <v>55</v>
      </c>
      <c r="B16" s="2">
        <f>ROUND(B$15*D16,0)</f>
        <v>1301</v>
      </c>
      <c r="C16" s="17">
        <f>B16/B13</f>
        <v>2.0598251760984283E-3</v>
      </c>
      <c r="D16" s="17">
        <v>0.02</v>
      </c>
      <c r="G16" s="241" t="s">
        <v>55</v>
      </c>
      <c r="H16" s="2">
        <f>ROUND(H$15*J16,0)</f>
        <v>1301</v>
      </c>
      <c r="I16" s="17">
        <f>H16/H13</f>
        <v>2.0598251760984283E-3</v>
      </c>
      <c r="J16" s="17">
        <v>0.02</v>
      </c>
      <c r="L16" s="17"/>
      <c r="M16" s="16" t="s">
        <v>55</v>
      </c>
      <c r="N16" s="2">
        <v>1269</v>
      </c>
      <c r="O16" s="17">
        <v>2.0599478925710391E-3</v>
      </c>
      <c r="P16" s="17">
        <v>0.02</v>
      </c>
      <c r="S16" s="16" t="s">
        <v>55</v>
      </c>
      <c r="T16" s="2">
        <v>1269</v>
      </c>
      <c r="U16" s="17">
        <v>2.0599478925710391E-3</v>
      </c>
      <c r="V16" s="17">
        <v>0.02</v>
      </c>
      <c r="W16" s="17"/>
      <c r="X16" s="17"/>
      <c r="Y16" s="16" t="s">
        <v>55</v>
      </c>
      <c r="Z16" s="2">
        <v>1269</v>
      </c>
      <c r="AA16" s="17">
        <v>2.0599478925710391E-3</v>
      </c>
      <c r="AB16" s="17">
        <v>0.02</v>
      </c>
      <c r="AE16" s="16" t="s">
        <v>55</v>
      </c>
      <c r="AF16" s="2">
        <v>1269</v>
      </c>
      <c r="AG16" s="17">
        <v>2.0599478925710391E-3</v>
      </c>
      <c r="AH16" s="17">
        <v>0.02</v>
      </c>
      <c r="AI16" s="17"/>
      <c r="AJ16" s="17"/>
      <c r="AK16" s="17"/>
      <c r="AL16" s="120"/>
      <c r="AN16" s="16" t="s">
        <v>55</v>
      </c>
      <c r="AO16" s="2">
        <f>ROUND(AO$15*AQ16,0)</f>
        <v>1269</v>
      </c>
      <c r="AP16" s="17">
        <f>AO16/AO13</f>
        <v>2.0796017128445312E-3</v>
      </c>
      <c r="AQ16" s="17">
        <v>0.02</v>
      </c>
      <c r="AR16" s="120"/>
      <c r="AS16" s="16" t="s">
        <v>54</v>
      </c>
      <c r="AT16" s="2">
        <f>ROUND(AT$15*AV16,0)</f>
        <v>1559</v>
      </c>
      <c r="AU16" s="17">
        <f>AT16/AT13</f>
        <v>2.5193754475221269E-3</v>
      </c>
      <c r="AV16" s="17">
        <v>0.02</v>
      </c>
    </row>
    <row r="17" spans="1:48" x14ac:dyDescent="0.3">
      <c r="A17" s="241" t="s">
        <v>54</v>
      </c>
      <c r="B17" s="2">
        <f>ROUND(B$15*D17,0)</f>
        <v>63755</v>
      </c>
      <c r="C17" s="17">
        <f>B17/B13</f>
        <v>0.1009409332068834</v>
      </c>
      <c r="D17" s="17">
        <v>0.98</v>
      </c>
      <c r="G17" s="241" t="s">
        <v>54</v>
      </c>
      <c r="H17" s="2">
        <f>ROUND(H$15*J17,0)</f>
        <v>63755</v>
      </c>
      <c r="I17" s="17">
        <f>H17/H13</f>
        <v>0.1009409332068834</v>
      </c>
      <c r="J17" s="17">
        <v>0.98</v>
      </c>
      <c r="L17" s="17"/>
      <c r="M17" s="16" t="s">
        <v>54</v>
      </c>
      <c r="N17" s="2">
        <v>62183</v>
      </c>
      <c r="O17" s="17">
        <v>0.10094069330476353</v>
      </c>
      <c r="P17" s="17">
        <v>0.98</v>
      </c>
      <c r="S17" s="16" t="s">
        <v>54</v>
      </c>
      <c r="T17" s="2">
        <v>62183</v>
      </c>
      <c r="U17" s="17">
        <v>0.10094069330476353</v>
      </c>
      <c r="V17" s="17">
        <v>0.98</v>
      </c>
      <c r="W17" s="17"/>
      <c r="X17" s="17"/>
      <c r="Y17" s="16" t="s">
        <v>54</v>
      </c>
      <c r="Z17" s="2">
        <v>62183</v>
      </c>
      <c r="AA17" s="17">
        <v>0.10094069330476353</v>
      </c>
      <c r="AB17" s="17">
        <v>0.98</v>
      </c>
      <c r="AE17" s="16" t="s">
        <v>54</v>
      </c>
      <c r="AF17" s="2">
        <v>62183</v>
      </c>
      <c r="AG17" s="17">
        <v>0.10094069330476353</v>
      </c>
      <c r="AH17" s="17">
        <v>0.98</v>
      </c>
      <c r="AI17" s="17"/>
      <c r="AJ17" s="17"/>
      <c r="AK17" s="17"/>
      <c r="AL17" s="120"/>
      <c r="AN17" s="16" t="s">
        <v>54</v>
      </c>
      <c r="AO17" s="2">
        <f>ROUND(AO$15*AQ17,0)</f>
        <v>62193</v>
      </c>
      <c r="AP17" s="17">
        <f>AO17/AO13</f>
        <v>0.1019201491938061</v>
      </c>
      <c r="AQ17" s="17">
        <v>0.98</v>
      </c>
      <c r="AR17" s="120"/>
      <c r="AS17" s="16" t="s">
        <v>55</v>
      </c>
      <c r="AT17" s="2">
        <f>ROUND(AT$15*AV17,0)</f>
        <v>76410</v>
      </c>
      <c r="AU17" s="17">
        <f>AT17/AT13</f>
        <v>0.12348010131184459</v>
      </c>
      <c r="AV17" s="17">
        <v>0.98</v>
      </c>
    </row>
    <row r="18" spans="1:48" x14ac:dyDescent="0.3">
      <c r="AL18" s="120"/>
      <c r="AR18" s="120"/>
    </row>
    <row r="19" spans="1:48" x14ac:dyDescent="0.3">
      <c r="A19" t="s">
        <v>56</v>
      </c>
      <c r="B19" s="2">
        <f>ROUND((B13-B15)*B10,0)</f>
        <v>113310</v>
      </c>
      <c r="C19" s="17">
        <f>B19/B13</f>
        <v>0.17939953167080161</v>
      </c>
      <c r="D19" s="8">
        <v>1</v>
      </c>
      <c r="G19" t="s">
        <v>56</v>
      </c>
      <c r="H19" s="2">
        <f>ROUND((H13-H15)*H10,0)</f>
        <v>113310</v>
      </c>
      <c r="I19" s="17">
        <f>H19/H13</f>
        <v>0.17939953167080161</v>
      </c>
      <c r="J19" s="8">
        <v>1</v>
      </c>
      <c r="L19" s="8"/>
      <c r="M19" t="s">
        <v>56</v>
      </c>
      <c r="N19" s="2">
        <v>110517</v>
      </c>
      <c r="O19" s="17">
        <v>0.17940052107428961</v>
      </c>
      <c r="P19" s="8">
        <v>1</v>
      </c>
      <c r="S19" t="s">
        <v>56</v>
      </c>
      <c r="T19" s="2">
        <v>110517</v>
      </c>
      <c r="U19" s="17">
        <v>0.17940052107428961</v>
      </c>
      <c r="V19" s="8">
        <v>1</v>
      </c>
      <c r="W19" s="8"/>
      <c r="X19" s="8"/>
      <c r="Y19" t="s">
        <v>56</v>
      </c>
      <c r="Z19" s="2">
        <v>110517</v>
      </c>
      <c r="AA19" s="17">
        <v>0.17940052107428961</v>
      </c>
      <c r="AB19" s="8">
        <v>1</v>
      </c>
      <c r="AE19" t="s">
        <v>56</v>
      </c>
      <c r="AF19" s="2">
        <v>110517</v>
      </c>
      <c r="AG19" s="17">
        <v>0.17940052107428961</v>
      </c>
      <c r="AH19" s="8">
        <v>1</v>
      </c>
      <c r="AI19" s="8"/>
      <c r="AJ19" s="8"/>
      <c r="AK19" s="8"/>
      <c r="AL19" s="123"/>
      <c r="AN19" t="s">
        <v>56</v>
      </c>
      <c r="AO19" s="2">
        <f>ROUND((AO13-AO15)*AO10,0)</f>
        <v>109350</v>
      </c>
      <c r="AP19" s="17">
        <f>AO19/AO13</f>
        <v>0.1791997220642628</v>
      </c>
      <c r="AQ19" s="8">
        <v>1</v>
      </c>
      <c r="AR19" s="123"/>
      <c r="AS19" t="s">
        <v>56</v>
      </c>
      <c r="AT19" s="2">
        <f>ROUND((AT13-AT15)*AT10,0)</f>
        <v>108167</v>
      </c>
      <c r="AU19" s="17">
        <f>AT19/AT13</f>
        <v>0.17480005390129949</v>
      </c>
      <c r="AV19" s="8">
        <v>1</v>
      </c>
    </row>
    <row r="20" spans="1:48" x14ac:dyDescent="0.3">
      <c r="A20" s="241" t="s">
        <v>58</v>
      </c>
      <c r="B20" s="2">
        <f>ROUND(B$19*$AQ20,0)</f>
        <v>2266</v>
      </c>
      <c r="C20" s="17">
        <f>B20/B13</f>
        <v>3.587673980814019E-3</v>
      </c>
      <c r="D20" s="17">
        <v>0.02</v>
      </c>
      <c r="G20" s="241" t="s">
        <v>58</v>
      </c>
      <c r="H20" s="2">
        <f>ROUND(H$19*$AQ20,0)</f>
        <v>2266</v>
      </c>
      <c r="I20" s="17">
        <f>H20/H13</f>
        <v>3.587673980814019E-3</v>
      </c>
      <c r="J20" s="17">
        <v>0.02</v>
      </c>
      <c r="L20" s="17"/>
      <c r="M20" s="16" t="s">
        <v>58</v>
      </c>
      <c r="N20" s="2">
        <v>2210</v>
      </c>
      <c r="O20" s="17">
        <v>3.5874585047927471E-3</v>
      </c>
      <c r="P20" s="17">
        <v>0.02</v>
      </c>
      <c r="S20" s="16" t="s">
        <v>58</v>
      </c>
      <c r="T20" s="2">
        <v>2210</v>
      </c>
      <c r="U20" s="17">
        <v>3.5874585047927471E-3</v>
      </c>
      <c r="V20" s="17">
        <v>0.02</v>
      </c>
      <c r="W20" s="17"/>
      <c r="X20" s="17"/>
      <c r="Y20" s="16" t="s">
        <v>58</v>
      </c>
      <c r="Z20" s="2">
        <v>2210</v>
      </c>
      <c r="AA20" s="17">
        <v>3.5874585047927471E-3</v>
      </c>
      <c r="AB20" s="17">
        <v>0.02</v>
      </c>
      <c r="AE20" s="16" t="s">
        <v>58</v>
      </c>
      <c r="AF20" s="2">
        <v>2210</v>
      </c>
      <c r="AG20" s="17">
        <v>3.5874585047927471E-3</v>
      </c>
      <c r="AH20" s="17">
        <v>0.02</v>
      </c>
      <c r="AI20" s="17"/>
      <c r="AJ20" s="17"/>
      <c r="AK20" s="17"/>
      <c r="AL20" s="123"/>
      <c r="AN20" s="16" t="s">
        <v>58</v>
      </c>
      <c r="AO20" s="2">
        <f>ROUND(AO$19*$AQ20,0)</f>
        <v>2187</v>
      </c>
      <c r="AP20" s="17">
        <f>AO20/AO13</f>
        <v>3.5839944412852562E-3</v>
      </c>
      <c r="AQ20" s="17">
        <v>0.02</v>
      </c>
      <c r="AR20" s="123"/>
      <c r="AS20" s="16" t="s">
        <v>57</v>
      </c>
      <c r="AT20" s="2">
        <f>ROUND(AT$19*$AV20,0)</f>
        <v>2163</v>
      </c>
      <c r="AU20" s="17">
        <f>AT20/AT13</f>
        <v>3.495451631167646E-3</v>
      </c>
      <c r="AV20" s="17">
        <v>0.02</v>
      </c>
    </row>
    <row r="21" spans="1:48" x14ac:dyDescent="0.3">
      <c r="A21" s="241" t="s">
        <v>57</v>
      </c>
      <c r="B21" s="2">
        <f>ROUND(B$19*$AQ21,0)</f>
        <v>111044</v>
      </c>
      <c r="C21" s="17">
        <f>B21/B13</f>
        <v>0.17581185768998761</v>
      </c>
      <c r="D21" s="17">
        <v>0.98</v>
      </c>
      <c r="G21" s="241" t="s">
        <v>57</v>
      </c>
      <c r="H21" s="2">
        <f>ROUND(H$19*$AQ21,0)</f>
        <v>111044</v>
      </c>
      <c r="I21" s="17">
        <f>H21/H13</f>
        <v>0.17581185768998761</v>
      </c>
      <c r="J21" s="17">
        <v>0.98</v>
      </c>
      <c r="L21" s="17"/>
      <c r="M21" s="16" t="s">
        <v>57</v>
      </c>
      <c r="N21" s="2">
        <v>108307</v>
      </c>
      <c r="O21" s="17">
        <v>0.17581306256949686</v>
      </c>
      <c r="P21" s="17">
        <v>0.98</v>
      </c>
      <c r="S21" s="16" t="s">
        <v>57</v>
      </c>
      <c r="T21" s="2">
        <v>108307</v>
      </c>
      <c r="U21" s="17">
        <v>0.17581306256949686</v>
      </c>
      <c r="V21" s="17">
        <v>0.98</v>
      </c>
      <c r="W21" s="17"/>
      <c r="X21" s="17"/>
      <c r="Y21" s="16" t="s">
        <v>57</v>
      </c>
      <c r="Z21" s="2">
        <v>108307</v>
      </c>
      <c r="AA21" s="17">
        <v>0.17581306256949686</v>
      </c>
      <c r="AB21" s="17">
        <v>0.98</v>
      </c>
      <c r="AE21" s="16" t="s">
        <v>57</v>
      </c>
      <c r="AF21" s="2">
        <v>108307</v>
      </c>
      <c r="AG21" s="17">
        <v>0.17581306256949686</v>
      </c>
      <c r="AH21" s="17">
        <v>0.98</v>
      </c>
      <c r="AI21" s="17"/>
      <c r="AJ21" s="17"/>
      <c r="AK21" s="17"/>
      <c r="AL21" s="123"/>
      <c r="AN21" s="16" t="s">
        <v>57</v>
      </c>
      <c r="AO21" s="2">
        <f>ROUND(AO$19*$AQ21,0)</f>
        <v>107163</v>
      </c>
      <c r="AP21" s="17">
        <f>AO21/AO13</f>
        <v>0.17561572762297756</v>
      </c>
      <c r="AQ21" s="17">
        <v>0.98</v>
      </c>
      <c r="AR21" s="123"/>
      <c r="AS21" s="16" t="s">
        <v>58</v>
      </c>
      <c r="AT21" s="2">
        <f>ROUND(AT$19*$AV21,0)</f>
        <v>106004</v>
      </c>
      <c r="AU21" s="17">
        <f>AT21/AT13</f>
        <v>0.17130460227013183</v>
      </c>
      <c r="AV21" s="17">
        <v>0.98</v>
      </c>
    </row>
    <row r="22" spans="1:48" x14ac:dyDescent="0.3">
      <c r="AL22" s="123"/>
      <c r="AO22" s="2"/>
      <c r="AP22" s="17"/>
      <c r="AQ22" s="17"/>
      <c r="AR22" s="123"/>
      <c r="AS22" s="16"/>
      <c r="AT22" s="2"/>
      <c r="AU22" s="17"/>
      <c r="AV22" s="17"/>
    </row>
    <row r="23" spans="1:48" ht="18" x14ac:dyDescent="0.35">
      <c r="A23" s="272" t="s">
        <v>96</v>
      </c>
      <c r="B23" s="273" t="s">
        <v>65</v>
      </c>
      <c r="C23" s="270" t="s">
        <v>76</v>
      </c>
      <c r="D23" s="270"/>
      <c r="G23" s="272" t="s">
        <v>96</v>
      </c>
      <c r="H23" s="273" t="s">
        <v>65</v>
      </c>
      <c r="I23" s="270" t="s">
        <v>76</v>
      </c>
      <c r="J23" s="270"/>
      <c r="L23" s="23"/>
      <c r="M23" s="31" t="s">
        <v>96</v>
      </c>
      <c r="N23" s="24" t="s">
        <v>65</v>
      </c>
      <c r="O23" s="23" t="s">
        <v>76</v>
      </c>
      <c r="P23" s="23" t="s">
        <v>77</v>
      </c>
      <c r="S23" s="31" t="s">
        <v>96</v>
      </c>
      <c r="T23" s="24" t="s">
        <v>65</v>
      </c>
      <c r="U23" s="23" t="s">
        <v>76</v>
      </c>
      <c r="V23" s="23" t="s">
        <v>77</v>
      </c>
      <c r="W23" s="23"/>
      <c r="X23" s="23"/>
      <c r="Y23" s="31" t="s">
        <v>96</v>
      </c>
      <c r="Z23" s="24" t="s">
        <v>65</v>
      </c>
      <c r="AA23" s="23" t="s">
        <v>76</v>
      </c>
      <c r="AB23" s="23" t="s">
        <v>77</v>
      </c>
      <c r="AE23" s="31" t="s">
        <v>96</v>
      </c>
      <c r="AF23" s="24" t="s">
        <v>65</v>
      </c>
      <c r="AG23" s="23" t="s">
        <v>76</v>
      </c>
      <c r="AH23" s="23" t="s">
        <v>77</v>
      </c>
      <c r="AI23" s="23"/>
      <c r="AJ23" s="23"/>
      <c r="AK23" s="23"/>
      <c r="AL23" s="123"/>
      <c r="AN23" s="31" t="s">
        <v>96</v>
      </c>
      <c r="AO23" s="24" t="s">
        <v>65</v>
      </c>
      <c r="AP23" s="23" t="s">
        <v>76</v>
      </c>
      <c r="AQ23" s="23" t="s">
        <v>77</v>
      </c>
      <c r="AR23" s="123"/>
      <c r="AS23" s="31" t="s">
        <v>96</v>
      </c>
      <c r="AT23" s="24" t="s">
        <v>65</v>
      </c>
      <c r="AU23" s="23" t="s">
        <v>76</v>
      </c>
      <c r="AV23" s="23" t="s">
        <v>77</v>
      </c>
    </row>
    <row r="24" spans="1:48" x14ac:dyDescent="0.3">
      <c r="A24" t="s">
        <v>460</v>
      </c>
      <c r="B24" s="2">
        <f>'Potential Savings from Fit Test'!$C$24</f>
        <v>5849541.8016247358</v>
      </c>
      <c r="C24" s="8">
        <v>1</v>
      </c>
      <c r="G24" t="s">
        <v>460</v>
      </c>
      <c r="H24" s="2">
        <f>B24</f>
        <v>5849541.8016247358</v>
      </c>
      <c r="I24" s="8">
        <v>1</v>
      </c>
      <c r="M24" t="s">
        <v>319</v>
      </c>
      <c r="N24" s="2">
        <v>5465461.0886946898</v>
      </c>
      <c r="O24" s="8">
        <v>1</v>
      </c>
      <c r="P24" t="s">
        <v>329</v>
      </c>
      <c r="S24" t="s">
        <v>319</v>
      </c>
      <c r="T24" s="2">
        <v>5465461.0886946898</v>
      </c>
      <c r="U24" s="8">
        <v>1</v>
      </c>
      <c r="V24" t="s">
        <v>329</v>
      </c>
      <c r="Y24" t="s">
        <v>319</v>
      </c>
      <c r="Z24" s="2">
        <v>5465461.0886946898</v>
      </c>
      <c r="AA24" s="8">
        <v>1</v>
      </c>
      <c r="AB24" t="s">
        <v>329</v>
      </c>
      <c r="AE24" t="s">
        <v>319</v>
      </c>
      <c r="AF24" s="2">
        <v>5465461.0886946898</v>
      </c>
      <c r="AG24" s="8">
        <v>1</v>
      </c>
      <c r="AH24" t="s">
        <v>329</v>
      </c>
      <c r="AL24" s="123"/>
      <c r="AN24" t="s">
        <v>97</v>
      </c>
      <c r="AO24" s="2">
        <f>'Profile 2015'!$F$6</f>
        <v>4976500</v>
      </c>
      <c r="AP24" s="8">
        <v>1</v>
      </c>
      <c r="AQ24" s="2"/>
      <c r="AR24" s="123"/>
      <c r="AS24" t="s">
        <v>97</v>
      </c>
      <c r="AT24" s="2">
        <v>4965000</v>
      </c>
      <c r="AU24" s="8">
        <v>1</v>
      </c>
      <c r="AV24" s="2"/>
    </row>
    <row r="25" spans="1:48" x14ac:dyDescent="0.3">
      <c r="T25" t="s">
        <v>473</v>
      </c>
      <c r="Z25" t="s">
        <v>473</v>
      </c>
      <c r="AF25" t="s">
        <v>473</v>
      </c>
      <c r="AL25" s="123"/>
      <c r="AO25" s="2"/>
      <c r="AP25" s="8"/>
      <c r="AQ25" s="2"/>
      <c r="AR25" s="123"/>
      <c r="AT25" s="2"/>
      <c r="AU25" s="8"/>
      <c r="AV25" s="2"/>
    </row>
    <row r="26" spans="1:48" x14ac:dyDescent="0.3">
      <c r="A26" s="16"/>
      <c r="G26" s="16"/>
      <c r="M26" s="16"/>
      <c r="S26" s="16"/>
      <c r="Y26" s="16"/>
      <c r="AE26" s="16"/>
      <c r="AL26" s="123"/>
      <c r="AN26" s="16"/>
      <c r="AO26" s="2"/>
      <c r="AP26" s="2"/>
      <c r="AQ26" s="2"/>
      <c r="AR26" s="123"/>
      <c r="AS26" s="16"/>
      <c r="AT26" s="2"/>
      <c r="AU26" s="2"/>
      <c r="AV26" s="2"/>
    </row>
    <row r="27" spans="1:48" x14ac:dyDescent="0.3">
      <c r="A27" s="274" t="s">
        <v>66</v>
      </c>
      <c r="B27" s="274"/>
      <c r="C27" s="274"/>
      <c r="D27" s="274"/>
      <c r="G27" s="274" t="s">
        <v>66</v>
      </c>
      <c r="H27" s="274"/>
      <c r="I27" s="274"/>
      <c r="J27" s="274"/>
      <c r="M27" t="s">
        <v>66</v>
      </c>
      <c r="S27" t="s">
        <v>66</v>
      </c>
      <c r="Y27" t="s">
        <v>66</v>
      </c>
      <c r="AE27" t="s">
        <v>66</v>
      </c>
      <c r="AL27" s="123"/>
      <c r="AN27" t="s">
        <v>66</v>
      </c>
      <c r="AO27" s="2"/>
      <c r="AP27" s="2"/>
      <c r="AQ27" s="2"/>
      <c r="AR27" s="123"/>
      <c r="AS27" t="s">
        <v>66</v>
      </c>
      <c r="AT27" s="2"/>
      <c r="AU27" s="2"/>
      <c r="AV27" s="2"/>
    </row>
    <row r="28" spans="1:48" x14ac:dyDescent="0.3">
      <c r="AL28" s="123"/>
      <c r="AO28" s="2"/>
      <c r="AP28" s="2"/>
      <c r="AQ28" s="2"/>
      <c r="AR28" s="123"/>
      <c r="AT28" s="2"/>
      <c r="AU28" s="2"/>
      <c r="AV28" s="2"/>
    </row>
    <row r="29" spans="1:48" x14ac:dyDescent="0.3">
      <c r="A29" s="242" t="s">
        <v>73</v>
      </c>
      <c r="C29" s="3"/>
      <c r="G29" s="242" t="s">
        <v>73</v>
      </c>
      <c r="I29" s="3"/>
      <c r="M29" s="25" t="s">
        <v>73</v>
      </c>
      <c r="O29" s="3"/>
      <c r="S29" s="25" t="s">
        <v>73</v>
      </c>
      <c r="U29" s="3"/>
      <c r="Y29" s="25" t="s">
        <v>73</v>
      </c>
      <c r="AA29" s="3"/>
      <c r="AE29" s="25" t="s">
        <v>73</v>
      </c>
      <c r="AG29" s="3"/>
      <c r="AL29" s="123"/>
      <c r="AN29" s="25" t="s">
        <v>73</v>
      </c>
      <c r="AO29" s="2"/>
      <c r="AP29" s="2"/>
      <c r="AQ29" s="2"/>
      <c r="AR29" s="123"/>
      <c r="AS29" s="25" t="s">
        <v>73</v>
      </c>
      <c r="AT29" s="2"/>
      <c r="AU29" s="2"/>
      <c r="AV29" s="2"/>
    </row>
    <row r="30" spans="1:48" x14ac:dyDescent="0.3">
      <c r="A30" s="241" t="s">
        <v>69</v>
      </c>
      <c r="B30">
        <v>4</v>
      </c>
      <c r="G30" s="241" t="s">
        <v>69</v>
      </c>
      <c r="H30">
        <v>4</v>
      </c>
      <c r="M30" s="16" t="s">
        <v>69</v>
      </c>
      <c r="N30">
        <v>4</v>
      </c>
      <c r="S30" s="16" t="s">
        <v>69</v>
      </c>
      <c r="T30">
        <v>4</v>
      </c>
      <c r="Y30" s="16" t="s">
        <v>69</v>
      </c>
      <c r="Z30">
        <v>4</v>
      </c>
      <c r="AE30" s="16" t="s">
        <v>69</v>
      </c>
      <c r="AF30">
        <v>4</v>
      </c>
      <c r="AL30" s="120"/>
      <c r="AN30" s="16" t="s">
        <v>69</v>
      </c>
      <c r="AO30">
        <v>8</v>
      </c>
      <c r="AR30" s="120"/>
      <c r="AS30" s="16" t="s">
        <v>69</v>
      </c>
      <c r="AT30">
        <v>8</v>
      </c>
    </row>
    <row r="31" spans="1:48" x14ac:dyDescent="0.3">
      <c r="A31" s="241" t="s">
        <v>70</v>
      </c>
      <c r="B31">
        <v>8</v>
      </c>
      <c r="G31" s="241" t="s">
        <v>70</v>
      </c>
      <c r="H31">
        <v>8</v>
      </c>
      <c r="M31" s="16" t="s">
        <v>70</v>
      </c>
      <c r="N31">
        <v>8</v>
      </c>
      <c r="S31" s="16" t="s">
        <v>70</v>
      </c>
      <c r="T31">
        <v>8</v>
      </c>
      <c r="Y31" s="16" t="s">
        <v>70</v>
      </c>
      <c r="Z31">
        <v>8</v>
      </c>
      <c r="AE31" s="16" t="s">
        <v>70</v>
      </c>
      <c r="AF31">
        <v>8</v>
      </c>
      <c r="AL31" s="120"/>
      <c r="AN31" s="16" t="s">
        <v>70</v>
      </c>
      <c r="AO31">
        <v>4</v>
      </c>
      <c r="AR31" s="120"/>
      <c r="AS31" s="16" t="s">
        <v>70</v>
      </c>
      <c r="AT31">
        <v>4</v>
      </c>
    </row>
    <row r="32" spans="1:48" x14ac:dyDescent="0.3">
      <c r="AL32" s="120"/>
      <c r="AR32" s="120"/>
    </row>
    <row r="33" spans="1:48" x14ac:dyDescent="0.3">
      <c r="A33" s="241" t="s">
        <v>67</v>
      </c>
      <c r="B33" s="2">
        <f>ROUND(B30*B17,0)</f>
        <v>255020</v>
      </c>
      <c r="C33" s="247"/>
      <c r="G33" s="241" t="s">
        <v>67</v>
      </c>
      <c r="H33" s="2">
        <f>ROUND(H30*H17,0)</f>
        <v>255020</v>
      </c>
      <c r="M33" s="16" t="s">
        <v>67</v>
      </c>
      <c r="N33" s="2">
        <v>248732</v>
      </c>
      <c r="O33" t="s">
        <v>331</v>
      </c>
      <c r="S33" s="16" t="s">
        <v>67</v>
      </c>
      <c r="T33" s="2">
        <v>248732</v>
      </c>
      <c r="U33" t="s">
        <v>331</v>
      </c>
      <c r="Y33" s="16" t="s">
        <v>67</v>
      </c>
      <c r="Z33" s="2">
        <v>248732</v>
      </c>
      <c r="AA33" t="s">
        <v>331</v>
      </c>
      <c r="AE33" s="16" t="s">
        <v>67</v>
      </c>
      <c r="AF33" s="2">
        <v>248732</v>
      </c>
      <c r="AG33" t="s">
        <v>331</v>
      </c>
      <c r="AL33" s="123"/>
      <c r="AN33" s="16" t="s">
        <v>335</v>
      </c>
      <c r="AO33" s="2">
        <f>AO30*AO16</f>
        <v>10152</v>
      </c>
      <c r="AP33" s="2"/>
      <c r="AQ33" s="2"/>
      <c r="AR33" s="123"/>
      <c r="AS33" s="16" t="s">
        <v>67</v>
      </c>
      <c r="AT33" s="2">
        <f>AT30*AT16</f>
        <v>12472</v>
      </c>
      <c r="AU33" s="2"/>
      <c r="AV33" s="2"/>
    </row>
    <row r="34" spans="1:48" x14ac:dyDescent="0.3">
      <c r="A34" s="241" t="s">
        <v>68</v>
      </c>
      <c r="B34" s="2">
        <f>ROUND(B31*B16,0)</f>
        <v>10408</v>
      </c>
      <c r="C34" s="247"/>
      <c r="G34" s="241" t="s">
        <v>68</v>
      </c>
      <c r="H34" s="2">
        <f>ROUND(H31*H16,0)</f>
        <v>10408</v>
      </c>
      <c r="M34" s="16" t="s">
        <v>68</v>
      </c>
      <c r="N34" s="2">
        <v>10152</v>
      </c>
      <c r="O34" t="s">
        <v>332</v>
      </c>
      <c r="S34" s="16" t="s">
        <v>68</v>
      </c>
      <c r="T34" s="2">
        <v>10152</v>
      </c>
      <c r="U34" t="s">
        <v>332</v>
      </c>
      <c r="Y34" s="16" t="s">
        <v>68</v>
      </c>
      <c r="Z34" s="2">
        <v>10152</v>
      </c>
      <c r="AA34" t="s">
        <v>332</v>
      </c>
      <c r="AE34" s="16" t="s">
        <v>68</v>
      </c>
      <c r="AF34" s="2">
        <v>10152</v>
      </c>
      <c r="AG34" t="s">
        <v>332</v>
      </c>
      <c r="AL34" s="123"/>
      <c r="AN34" s="16" t="s">
        <v>336</v>
      </c>
      <c r="AO34" s="2">
        <f>AO31*AO17</f>
        <v>248772</v>
      </c>
      <c r="AP34" s="2"/>
      <c r="AQ34" s="2"/>
      <c r="AR34" s="123"/>
      <c r="AS34" s="16" t="s">
        <v>68</v>
      </c>
      <c r="AT34" s="2">
        <f>AT31*AT17</f>
        <v>305640</v>
      </c>
      <c r="AU34" s="2"/>
      <c r="AV34" s="2"/>
    </row>
    <row r="35" spans="1:48" x14ac:dyDescent="0.3">
      <c r="A35" s="243" t="s">
        <v>74</v>
      </c>
      <c r="B35" s="2">
        <f>B33+B34</f>
        <v>265428</v>
      </c>
      <c r="G35" s="243" t="s">
        <v>74</v>
      </c>
      <c r="H35" s="2">
        <f>H33+H34</f>
        <v>265428</v>
      </c>
      <c r="M35" s="27" t="s">
        <v>74</v>
      </c>
      <c r="N35" s="2">
        <v>258884</v>
      </c>
      <c r="S35" s="27" t="s">
        <v>74</v>
      </c>
      <c r="T35" s="2">
        <v>258884</v>
      </c>
      <c r="Y35" s="27" t="s">
        <v>74</v>
      </c>
      <c r="Z35" s="2">
        <v>258884</v>
      </c>
      <c r="AE35" s="27" t="s">
        <v>74</v>
      </c>
      <c r="AF35" s="2">
        <v>258884</v>
      </c>
      <c r="AL35" s="123"/>
      <c r="AN35" s="27" t="s">
        <v>74</v>
      </c>
      <c r="AO35" s="2">
        <f>AO33+AO34</f>
        <v>258924</v>
      </c>
      <c r="AP35" s="2"/>
      <c r="AQ35" s="2"/>
      <c r="AR35" s="123"/>
      <c r="AS35" s="27" t="s">
        <v>74</v>
      </c>
      <c r="AT35" s="2">
        <f>AT33+AT34</f>
        <v>318112</v>
      </c>
      <c r="AU35" s="2"/>
      <c r="AV35" s="2"/>
    </row>
    <row r="36" spans="1:48" x14ac:dyDescent="0.3">
      <c r="A36" s="243" t="s">
        <v>71</v>
      </c>
      <c r="B36" s="21">
        <f>ROUND(B35*B4,0)</f>
        <v>22386198</v>
      </c>
      <c r="C36" s="63"/>
      <c r="G36" s="243" t="s">
        <v>71</v>
      </c>
      <c r="H36" s="21">
        <f>ROUND(H35*H4,0)</f>
        <v>22386198</v>
      </c>
      <c r="M36" s="27" t="s">
        <v>71</v>
      </c>
      <c r="N36" s="21">
        <v>14450905</v>
      </c>
      <c r="S36" s="27" t="s">
        <v>71</v>
      </c>
      <c r="T36" s="21">
        <v>14450905</v>
      </c>
      <c r="Y36" s="27" t="s">
        <v>71</v>
      </c>
      <c r="Z36" s="21">
        <v>14450905</v>
      </c>
      <c r="AE36" s="27" t="s">
        <v>71</v>
      </c>
      <c r="AF36" s="21">
        <v>14450905</v>
      </c>
      <c r="AL36" s="120"/>
      <c r="AN36" s="27" t="s">
        <v>71</v>
      </c>
      <c r="AO36" s="21">
        <f>ROUND(AO35*AO4,0)</f>
        <v>13311283</v>
      </c>
      <c r="AR36" s="120"/>
      <c r="AS36" s="27" t="s">
        <v>71</v>
      </c>
      <c r="AT36" s="21">
        <f>ROUND(AT35*'Inputs and Parameters (Old)'!L4,0)</f>
        <v>15686103</v>
      </c>
    </row>
    <row r="37" spans="1:48" x14ac:dyDescent="0.3">
      <c r="A37" s="16"/>
      <c r="G37" s="16"/>
      <c r="M37" s="16"/>
      <c r="S37" s="16"/>
      <c r="Y37" s="16"/>
      <c r="AE37" s="16"/>
      <c r="AL37" s="123"/>
      <c r="AN37" s="16"/>
      <c r="AO37" s="2"/>
      <c r="AP37" s="2"/>
      <c r="AQ37" s="2"/>
      <c r="AR37" s="123"/>
      <c r="AS37" s="16"/>
      <c r="AT37" s="2"/>
      <c r="AU37" s="2"/>
      <c r="AV37" s="2"/>
    </row>
    <row r="38" spans="1:48" x14ac:dyDescent="0.3">
      <c r="A38" s="242" t="s">
        <v>72</v>
      </c>
      <c r="C38" s="3"/>
      <c r="G38" s="242" t="s">
        <v>72</v>
      </c>
      <c r="I38" s="3"/>
      <c r="M38" s="25" t="s">
        <v>72</v>
      </c>
      <c r="O38" s="3"/>
      <c r="S38" s="25" t="s">
        <v>72</v>
      </c>
      <c r="U38" s="3"/>
      <c r="Y38" s="25" t="s">
        <v>72</v>
      </c>
      <c r="AA38" s="3"/>
      <c r="AE38" s="25" t="s">
        <v>72</v>
      </c>
      <c r="AG38" s="3"/>
      <c r="AL38" s="123"/>
      <c r="AN38" s="25" t="s">
        <v>72</v>
      </c>
      <c r="AP38" s="2"/>
      <c r="AQ38" s="2"/>
      <c r="AR38" s="123"/>
      <c r="AS38" s="25" t="s">
        <v>72</v>
      </c>
      <c r="AU38" s="2"/>
      <c r="AV38" s="2"/>
    </row>
    <row r="39" spans="1:48" x14ac:dyDescent="0.3">
      <c r="A39" s="241" t="s">
        <v>69</v>
      </c>
      <c r="B39">
        <v>2</v>
      </c>
      <c r="G39" s="241" t="s">
        <v>69</v>
      </c>
      <c r="H39">
        <v>2</v>
      </c>
      <c r="M39" s="16" t="s">
        <v>69</v>
      </c>
      <c r="N39">
        <v>2</v>
      </c>
      <c r="S39" s="16" t="s">
        <v>69</v>
      </c>
      <c r="T39">
        <v>2</v>
      </c>
      <c r="Y39" s="16" t="s">
        <v>69</v>
      </c>
      <c r="Z39">
        <v>2</v>
      </c>
      <c r="AE39" s="16" t="s">
        <v>69</v>
      </c>
      <c r="AF39">
        <v>2</v>
      </c>
      <c r="AL39" s="123"/>
      <c r="AN39" s="16" t="s">
        <v>69</v>
      </c>
      <c r="AO39">
        <v>4</v>
      </c>
      <c r="AP39" s="2"/>
      <c r="AQ39" s="2"/>
      <c r="AR39" s="123"/>
      <c r="AS39" s="16" t="s">
        <v>69</v>
      </c>
      <c r="AT39">
        <v>4</v>
      </c>
      <c r="AU39" s="2"/>
      <c r="AV39" s="2"/>
    </row>
    <row r="40" spans="1:48" x14ac:dyDescent="0.3">
      <c r="A40" s="241" t="s">
        <v>70</v>
      </c>
      <c r="B40">
        <v>4</v>
      </c>
      <c r="G40" s="241" t="s">
        <v>70</v>
      </c>
      <c r="H40">
        <v>4</v>
      </c>
      <c r="M40" s="16" t="s">
        <v>70</v>
      </c>
      <c r="N40">
        <v>4</v>
      </c>
      <c r="S40" s="16" t="s">
        <v>70</v>
      </c>
      <c r="T40">
        <v>4</v>
      </c>
      <c r="Y40" s="16" t="s">
        <v>70</v>
      </c>
      <c r="Z40">
        <v>4</v>
      </c>
      <c r="AE40" s="16" t="s">
        <v>70</v>
      </c>
      <c r="AF40">
        <v>4</v>
      </c>
      <c r="AL40" s="123"/>
      <c r="AN40" s="16" t="s">
        <v>70</v>
      </c>
      <c r="AO40">
        <v>2</v>
      </c>
      <c r="AP40" s="2"/>
      <c r="AQ40" s="2"/>
      <c r="AR40" s="123"/>
      <c r="AS40" s="16" t="s">
        <v>70</v>
      </c>
      <c r="AT40">
        <v>2</v>
      </c>
      <c r="AU40" s="2"/>
      <c r="AV40" s="2"/>
    </row>
    <row r="41" spans="1:48" x14ac:dyDescent="0.3">
      <c r="A41" s="25"/>
      <c r="G41" s="25"/>
      <c r="M41" s="25"/>
      <c r="S41" s="25"/>
      <c r="Y41" s="25"/>
      <c r="AE41" s="25"/>
      <c r="AL41" s="123"/>
      <c r="AN41" s="25"/>
      <c r="AP41" s="2"/>
      <c r="AQ41" s="2"/>
      <c r="AR41" s="123"/>
      <c r="AS41" s="25"/>
      <c r="AU41" s="2"/>
      <c r="AV41" s="2"/>
    </row>
    <row r="42" spans="1:48" x14ac:dyDescent="0.3">
      <c r="A42" s="241" t="s">
        <v>67</v>
      </c>
      <c r="B42" s="2">
        <f>ROUND(B21*B39,0)</f>
        <v>222088</v>
      </c>
      <c r="G42" s="241" t="s">
        <v>67</v>
      </c>
      <c r="H42" s="2">
        <f>ROUND(H21*H39,0)</f>
        <v>222088</v>
      </c>
      <c r="M42" s="16" t="s">
        <v>67</v>
      </c>
      <c r="N42" s="2">
        <v>216614</v>
      </c>
      <c r="O42" t="s">
        <v>331</v>
      </c>
      <c r="S42" s="16" t="s">
        <v>67</v>
      </c>
      <c r="T42" s="2">
        <v>216614</v>
      </c>
      <c r="U42" t="s">
        <v>331</v>
      </c>
      <c r="Y42" s="16" t="s">
        <v>67</v>
      </c>
      <c r="Z42" s="2">
        <v>216614</v>
      </c>
      <c r="AA42" t="s">
        <v>331</v>
      </c>
      <c r="AE42" s="16" t="s">
        <v>67</v>
      </c>
      <c r="AF42" s="2">
        <v>216614</v>
      </c>
      <c r="AG42" t="s">
        <v>331</v>
      </c>
      <c r="AL42" s="123"/>
      <c r="AN42" s="16" t="s">
        <v>67</v>
      </c>
      <c r="AO42" s="2">
        <f>AO20*AO39</f>
        <v>8748</v>
      </c>
      <c r="AP42" s="2"/>
      <c r="AQ42" s="2"/>
      <c r="AR42" s="123"/>
      <c r="AS42" s="16" t="s">
        <v>67</v>
      </c>
      <c r="AT42" s="2">
        <f>AT20*AT39</f>
        <v>8652</v>
      </c>
      <c r="AU42" s="2"/>
      <c r="AV42" s="2"/>
    </row>
    <row r="43" spans="1:48" x14ac:dyDescent="0.3">
      <c r="A43" s="241" t="s">
        <v>68</v>
      </c>
      <c r="B43" s="2">
        <f>ROUND(B20*B40,0)</f>
        <v>9064</v>
      </c>
      <c r="G43" s="241" t="s">
        <v>68</v>
      </c>
      <c r="H43" s="2">
        <f>ROUND(H20*H40,0)</f>
        <v>9064</v>
      </c>
      <c r="M43" s="16" t="s">
        <v>68</v>
      </c>
      <c r="N43" s="2">
        <v>8840</v>
      </c>
      <c r="O43" t="s">
        <v>332</v>
      </c>
      <c r="S43" s="16" t="s">
        <v>68</v>
      </c>
      <c r="T43" s="2">
        <v>8840</v>
      </c>
      <c r="U43" t="s">
        <v>332</v>
      </c>
      <c r="Y43" s="16" t="s">
        <v>68</v>
      </c>
      <c r="Z43" s="2">
        <v>8840</v>
      </c>
      <c r="AA43" t="s">
        <v>332</v>
      </c>
      <c r="AE43" s="16" t="s">
        <v>68</v>
      </c>
      <c r="AF43" s="2">
        <v>8840</v>
      </c>
      <c r="AG43" t="s">
        <v>332</v>
      </c>
      <c r="AL43" s="123"/>
      <c r="AN43" s="16" t="s">
        <v>68</v>
      </c>
      <c r="AO43" s="2">
        <f>AO21*AO40</f>
        <v>214326</v>
      </c>
      <c r="AP43" s="2"/>
      <c r="AQ43" s="2"/>
      <c r="AR43" s="123"/>
      <c r="AS43" s="16" t="s">
        <v>68</v>
      </c>
      <c r="AT43" s="2">
        <f>AT21*AT40</f>
        <v>212008</v>
      </c>
      <c r="AU43" s="2"/>
      <c r="AV43" s="2"/>
    </row>
    <row r="44" spans="1:48" x14ac:dyDescent="0.3">
      <c r="A44" s="243" t="s">
        <v>75</v>
      </c>
      <c r="B44" s="2">
        <f>B42+B43</f>
        <v>231152</v>
      </c>
      <c r="G44" s="243" t="s">
        <v>75</v>
      </c>
      <c r="H44" s="2">
        <f>H42+H43</f>
        <v>231152</v>
      </c>
      <c r="M44" s="27" t="s">
        <v>75</v>
      </c>
      <c r="N44" s="2">
        <v>225454</v>
      </c>
      <c r="S44" s="27" t="s">
        <v>75</v>
      </c>
      <c r="T44" s="2">
        <v>225454</v>
      </c>
      <c r="Y44" s="27" t="s">
        <v>75</v>
      </c>
      <c r="Z44" s="2">
        <v>225454</v>
      </c>
      <c r="AE44" s="27" t="s">
        <v>75</v>
      </c>
      <c r="AF44" s="2">
        <v>225454</v>
      </c>
      <c r="AL44" s="123"/>
      <c r="AN44" s="27" t="s">
        <v>75</v>
      </c>
      <c r="AO44" s="2">
        <f>AO42+AO43</f>
        <v>223074</v>
      </c>
      <c r="AP44" s="2"/>
      <c r="AQ44" s="2"/>
      <c r="AR44" s="123"/>
      <c r="AS44" s="27" t="s">
        <v>75</v>
      </c>
      <c r="AT44" s="2">
        <f>AT42+AT43</f>
        <v>220660</v>
      </c>
      <c r="AU44" s="2"/>
      <c r="AV44" s="2"/>
    </row>
    <row r="45" spans="1:48" x14ac:dyDescent="0.3">
      <c r="A45" s="243" t="s">
        <v>71</v>
      </c>
      <c r="B45" s="21">
        <f>ROUND(B44*B4,0)</f>
        <v>19495360</v>
      </c>
      <c r="C45" s="2"/>
      <c r="G45" s="243" t="s">
        <v>71</v>
      </c>
      <c r="H45" s="21">
        <f>ROUND(H44*H4,0)</f>
        <v>19495360</v>
      </c>
      <c r="I45" s="2"/>
      <c r="M45" s="27" t="s">
        <v>71</v>
      </c>
      <c r="N45" s="21">
        <v>12584842</v>
      </c>
      <c r="O45" s="2"/>
      <c r="S45" s="27" t="s">
        <v>71</v>
      </c>
      <c r="T45" s="21">
        <v>12584842</v>
      </c>
      <c r="U45" s="2"/>
      <c r="Y45" s="27" t="s">
        <v>71</v>
      </c>
      <c r="Z45" s="21">
        <v>12584842</v>
      </c>
      <c r="AA45" s="2"/>
      <c r="AE45" s="27" t="s">
        <v>71</v>
      </c>
      <c r="AF45" s="21">
        <v>12584842</v>
      </c>
      <c r="AG45" s="2"/>
      <c r="AL45" s="123"/>
      <c r="AN45" s="27" t="s">
        <v>71</v>
      </c>
      <c r="AO45" s="21">
        <f>ROUND(AO44*AO4,0)</f>
        <v>11468234</v>
      </c>
      <c r="AP45" s="2"/>
      <c r="AQ45" s="2"/>
      <c r="AR45" s="123"/>
      <c r="AS45" s="27" t="s">
        <v>71</v>
      </c>
      <c r="AT45" s="21">
        <f>ROUND(AT44*'Inputs and Parameters (Old)'!L4,0)</f>
        <v>10880745</v>
      </c>
      <c r="AU45" s="2"/>
      <c r="AV45" s="2"/>
    </row>
    <row r="46" spans="1:48" x14ac:dyDescent="0.3">
      <c r="A46" s="16"/>
      <c r="B46" s="2"/>
      <c r="G46" s="16"/>
      <c r="H46" s="2"/>
      <c r="M46" s="16"/>
      <c r="N46" s="2"/>
      <c r="S46" s="16"/>
      <c r="T46" s="2"/>
      <c r="Y46" s="16"/>
      <c r="Z46" s="2"/>
      <c r="AE46" s="16"/>
      <c r="AF46" s="2"/>
      <c r="AL46" s="123"/>
      <c r="AN46" s="16"/>
      <c r="AO46" s="2"/>
      <c r="AP46" s="2"/>
      <c r="AQ46" s="2"/>
      <c r="AR46" s="123"/>
      <c r="AS46" s="16"/>
      <c r="AT46" s="2"/>
      <c r="AU46" s="2"/>
      <c r="AV46" s="2"/>
    </row>
    <row r="47" spans="1:48" x14ac:dyDescent="0.3">
      <c r="A47" s="241" t="s">
        <v>79</v>
      </c>
      <c r="B47" s="2">
        <f>B44+B35</f>
        <v>496580</v>
      </c>
      <c r="G47" s="241" t="s">
        <v>79</v>
      </c>
      <c r="H47" s="2">
        <f>H44+H35</f>
        <v>496580</v>
      </c>
      <c r="M47" s="28" t="s">
        <v>79</v>
      </c>
      <c r="N47" s="2">
        <v>484338</v>
      </c>
      <c r="S47" s="28" t="s">
        <v>79</v>
      </c>
      <c r="T47" s="2">
        <v>484338</v>
      </c>
      <c r="Y47" s="28" t="s">
        <v>79</v>
      </c>
      <c r="Z47" s="2">
        <v>484338</v>
      </c>
      <c r="AE47" s="28" t="s">
        <v>79</v>
      </c>
      <c r="AF47" s="2">
        <v>484338</v>
      </c>
      <c r="AL47" s="123"/>
      <c r="AN47" s="28" t="s">
        <v>79</v>
      </c>
      <c r="AO47" s="2">
        <f>AO44+AO35</f>
        <v>481998</v>
      </c>
      <c r="AP47" s="2"/>
      <c r="AQ47" s="2"/>
      <c r="AR47" s="123"/>
      <c r="AS47" s="28" t="s">
        <v>79</v>
      </c>
      <c r="AT47" s="2">
        <f>AT44+AT35</f>
        <v>538772</v>
      </c>
      <c r="AU47" s="2"/>
      <c r="AV47" s="2"/>
    </row>
    <row r="48" spans="1:48" x14ac:dyDescent="0.3">
      <c r="A48" s="241" t="s">
        <v>78</v>
      </c>
      <c r="B48" s="21">
        <f>B36+B45</f>
        <v>41881558</v>
      </c>
      <c r="G48" s="241" t="s">
        <v>78</v>
      </c>
      <c r="H48" s="21">
        <f>H36+H45</f>
        <v>41881558</v>
      </c>
      <c r="M48" s="28" t="s">
        <v>78</v>
      </c>
      <c r="N48" s="21">
        <v>27035747</v>
      </c>
      <c r="S48" s="28" t="s">
        <v>78</v>
      </c>
      <c r="T48" s="21">
        <v>27035747</v>
      </c>
      <c r="Y48" s="28" t="s">
        <v>78</v>
      </c>
      <c r="Z48" s="21">
        <v>27035747</v>
      </c>
      <c r="AE48" s="28" t="s">
        <v>78</v>
      </c>
      <c r="AF48" s="21">
        <v>27035747</v>
      </c>
      <c r="AL48" s="123"/>
      <c r="AN48" s="28" t="s">
        <v>78</v>
      </c>
      <c r="AO48" s="21">
        <f>AO36+AO45</f>
        <v>24779517</v>
      </c>
      <c r="AP48" s="2"/>
      <c r="AQ48" s="2"/>
      <c r="AR48" s="123"/>
      <c r="AS48" s="28" t="s">
        <v>78</v>
      </c>
      <c r="AT48" s="21">
        <f>AT36+AT45</f>
        <v>26566848</v>
      </c>
      <c r="AU48" s="2"/>
      <c r="AV48" s="2"/>
    </row>
    <row r="49" spans="1:48" x14ac:dyDescent="0.3">
      <c r="A49" s="28"/>
      <c r="B49" s="21"/>
      <c r="G49" s="28"/>
      <c r="H49" s="21"/>
      <c r="M49" s="28"/>
      <c r="N49" s="21"/>
      <c r="S49" s="28"/>
      <c r="T49" s="21"/>
      <c r="Y49" s="28"/>
      <c r="Z49" s="21"/>
      <c r="AE49" s="28"/>
      <c r="AF49" s="21"/>
      <c r="AL49" s="123"/>
      <c r="AN49" s="28"/>
      <c r="AO49" s="21"/>
      <c r="AP49" s="2"/>
      <c r="AQ49" s="2"/>
      <c r="AR49" s="123"/>
      <c r="AS49" s="28"/>
      <c r="AT49" s="21"/>
      <c r="AU49" s="2"/>
      <c r="AV49" s="2"/>
    </row>
    <row r="50" spans="1:48" x14ac:dyDescent="0.3">
      <c r="A50" s="318" t="s">
        <v>550</v>
      </c>
      <c r="B50" s="2">
        <f>B15+B19</f>
        <v>178366</v>
      </c>
      <c r="G50" s="318" t="str">
        <f t="shared" ref="G50:H52" si="1">A50</f>
        <v>No. of Respondents:</v>
      </c>
      <c r="H50" s="2">
        <f t="shared" si="1"/>
        <v>178366</v>
      </c>
      <c r="M50" s="28"/>
      <c r="N50" s="21"/>
      <c r="S50" s="28"/>
      <c r="T50" s="21"/>
      <c r="Y50" s="28"/>
      <c r="Z50" s="21"/>
      <c r="AE50" s="28"/>
      <c r="AF50" s="21"/>
      <c r="AL50" s="123"/>
      <c r="AN50" s="28"/>
      <c r="AO50" s="21"/>
      <c r="AP50" s="2"/>
      <c r="AQ50" s="2"/>
      <c r="AR50" s="123"/>
      <c r="AS50" s="28"/>
      <c r="AT50" s="21"/>
      <c r="AU50" s="2"/>
      <c r="AV50" s="2"/>
    </row>
    <row r="51" spans="1:48" x14ac:dyDescent="0.3">
      <c r="A51" s="318" t="s">
        <v>552</v>
      </c>
      <c r="B51" s="2">
        <v>1</v>
      </c>
      <c r="G51" s="318" t="str">
        <f t="shared" si="1"/>
        <v>No of Responses per Respondent:</v>
      </c>
      <c r="H51" s="2">
        <f t="shared" si="1"/>
        <v>1</v>
      </c>
      <c r="M51" s="28"/>
      <c r="N51" s="21"/>
      <c r="S51" s="28"/>
      <c r="T51" s="21"/>
      <c r="Y51" s="28"/>
      <c r="Z51" s="21"/>
      <c r="AE51" s="28"/>
      <c r="AF51" s="21"/>
      <c r="AL51" s="123"/>
      <c r="AN51" s="28"/>
      <c r="AO51" s="21"/>
      <c r="AP51" s="2"/>
      <c r="AQ51" s="2"/>
      <c r="AR51" s="123"/>
      <c r="AS51" s="28"/>
      <c r="AT51" s="21"/>
      <c r="AU51" s="2"/>
      <c r="AV51" s="2"/>
    </row>
    <row r="52" spans="1:48" x14ac:dyDescent="0.3">
      <c r="A52" s="318" t="s">
        <v>551</v>
      </c>
      <c r="B52" s="2">
        <f>B50*B51</f>
        <v>178366</v>
      </c>
      <c r="G52" s="318" t="str">
        <f t="shared" si="1"/>
        <v xml:space="preserve">No. of Responses: </v>
      </c>
      <c r="H52" s="2">
        <f t="shared" si="1"/>
        <v>178366</v>
      </c>
      <c r="M52" s="28" t="s">
        <v>159</v>
      </c>
      <c r="N52" s="2">
        <v>173969</v>
      </c>
      <c r="S52" s="28" t="s">
        <v>159</v>
      </c>
      <c r="T52" s="2">
        <v>173969</v>
      </c>
      <c r="Y52" s="28" t="s">
        <v>159</v>
      </c>
      <c r="Z52" s="2">
        <v>173969</v>
      </c>
      <c r="AE52" s="28" t="s">
        <v>159</v>
      </c>
      <c r="AF52" s="2">
        <v>173969</v>
      </c>
      <c r="AL52" s="123"/>
      <c r="AN52" s="28" t="s">
        <v>159</v>
      </c>
      <c r="AO52" s="2">
        <f>AO15+AO19</f>
        <v>172812</v>
      </c>
      <c r="AP52" s="2"/>
      <c r="AQ52" s="2"/>
      <c r="AR52" s="123"/>
      <c r="AS52" s="28" t="s">
        <v>159</v>
      </c>
      <c r="AT52" s="21">
        <f>AT15+AT19</f>
        <v>186136</v>
      </c>
      <c r="AU52" s="2"/>
      <c r="AV52" s="2"/>
    </row>
    <row r="53" spans="1:48" x14ac:dyDescent="0.3">
      <c r="A53" s="241"/>
      <c r="G53" s="241"/>
      <c r="M53" s="16"/>
      <c r="S53" s="16"/>
      <c r="Y53" s="16"/>
      <c r="AE53" s="16"/>
      <c r="AL53" s="123"/>
      <c r="AN53" s="16"/>
      <c r="AO53" s="2"/>
      <c r="AP53" s="2"/>
      <c r="AQ53" s="2"/>
      <c r="AR53" s="123"/>
      <c r="AS53" s="16"/>
      <c r="AT53" s="2"/>
      <c r="AU53" s="2"/>
      <c r="AV53" s="2"/>
    </row>
    <row r="54" spans="1:48" x14ac:dyDescent="0.3">
      <c r="A54" s="274" t="s">
        <v>80</v>
      </c>
      <c r="B54" s="274"/>
      <c r="C54" s="274"/>
      <c r="D54" s="274"/>
      <c r="G54" s="274" t="s">
        <v>80</v>
      </c>
      <c r="H54" s="274"/>
      <c r="I54" s="274"/>
      <c r="J54" s="274"/>
      <c r="M54" t="s">
        <v>80</v>
      </c>
      <c r="S54" t="s">
        <v>80</v>
      </c>
      <c r="Y54" t="s">
        <v>80</v>
      </c>
      <c r="AE54" t="s">
        <v>80</v>
      </c>
      <c r="AL54" s="123"/>
      <c r="AN54" t="s">
        <v>80</v>
      </c>
      <c r="AO54" s="2"/>
      <c r="AP54" s="2"/>
      <c r="AQ54" s="2"/>
      <c r="AR54" s="123"/>
      <c r="AS54" t="s">
        <v>80</v>
      </c>
      <c r="AT54" s="2"/>
      <c r="AU54" s="2"/>
      <c r="AV54" s="2"/>
    </row>
    <row r="55" spans="1:48" x14ac:dyDescent="0.3">
      <c r="AL55" s="123"/>
      <c r="AO55" s="2"/>
      <c r="AP55" s="2"/>
      <c r="AQ55" s="2"/>
      <c r="AR55" s="123"/>
      <c r="AT55" s="2"/>
      <c r="AU55" s="2"/>
      <c r="AV55" s="2"/>
    </row>
    <row r="56" spans="1:48" x14ac:dyDescent="0.3">
      <c r="A56" s="241" t="s">
        <v>230</v>
      </c>
      <c r="B56" s="17">
        <v>0.42199999999999999</v>
      </c>
      <c r="G56" s="241" t="s">
        <v>230</v>
      </c>
      <c r="H56" s="17">
        <v>0.42199999999999999</v>
      </c>
      <c r="M56" s="16" t="s">
        <v>230</v>
      </c>
      <c r="N56" s="17">
        <v>0.42199999999999999</v>
      </c>
      <c r="S56" s="16" t="s">
        <v>230</v>
      </c>
      <c r="T56" s="17">
        <v>0.42199999999999999</v>
      </c>
      <c r="Y56" s="16" t="s">
        <v>230</v>
      </c>
      <c r="Z56" s="17">
        <v>0.42199999999999999</v>
      </c>
      <c r="AE56" s="16" t="s">
        <v>230</v>
      </c>
      <c r="AF56" s="17">
        <v>0.42199999999999999</v>
      </c>
      <c r="AL56" s="120"/>
      <c r="AN56" s="16" t="s">
        <v>230</v>
      </c>
      <c r="AO56" s="17">
        <v>0.42199999999999999</v>
      </c>
      <c r="AR56" s="120"/>
      <c r="AS56" s="16" t="s">
        <v>81</v>
      </c>
      <c r="AT56" s="17">
        <v>0.46200000000000002</v>
      </c>
    </row>
    <row r="57" spans="1:48" x14ac:dyDescent="0.3">
      <c r="A57" s="241" t="s">
        <v>86</v>
      </c>
      <c r="B57" s="2">
        <f>ROUND(B24*B56,0)</f>
        <v>2468507</v>
      </c>
      <c r="G57" s="241" t="s">
        <v>86</v>
      </c>
      <c r="H57" s="2">
        <f>ROUND(H24*H56,0)</f>
        <v>2468507</v>
      </c>
      <c r="M57" s="16" t="s">
        <v>86</v>
      </c>
      <c r="N57" s="2">
        <v>2306425</v>
      </c>
      <c r="S57" s="16" t="s">
        <v>86</v>
      </c>
      <c r="T57" s="2">
        <v>2306425</v>
      </c>
      <c r="Y57" s="16" t="s">
        <v>86</v>
      </c>
      <c r="Z57" s="2">
        <v>2306425</v>
      </c>
      <c r="AE57" s="16" t="s">
        <v>86</v>
      </c>
      <c r="AF57" s="2">
        <v>2306425</v>
      </c>
      <c r="AL57" s="123"/>
      <c r="AN57" s="16" t="s">
        <v>86</v>
      </c>
      <c r="AO57" s="2">
        <f>ROUND(AO24*AO56,0)</f>
        <v>2100083</v>
      </c>
      <c r="AP57" s="2"/>
      <c r="AQ57" s="2"/>
      <c r="AR57" s="123"/>
      <c r="AS57" s="16" t="s">
        <v>86</v>
      </c>
      <c r="AT57" s="2">
        <f>ROUND(AT24*AT56,0)</f>
        <v>2293830</v>
      </c>
      <c r="AU57" s="2"/>
      <c r="AV57" s="2"/>
    </row>
    <row r="58" spans="1:48" x14ac:dyDescent="0.3">
      <c r="A58" s="245" t="s">
        <v>82</v>
      </c>
      <c r="B58" s="2">
        <f>ROUND(B57*0.25,0)</f>
        <v>617127</v>
      </c>
      <c r="G58" s="245" t="s">
        <v>82</v>
      </c>
      <c r="H58" s="2">
        <f>ROUND(H57*0.25,0)</f>
        <v>617127</v>
      </c>
      <c r="M58" s="26" t="s">
        <v>82</v>
      </c>
      <c r="N58" s="2">
        <v>576606</v>
      </c>
      <c r="S58" s="26" t="s">
        <v>82</v>
      </c>
      <c r="T58" s="2">
        <v>576606</v>
      </c>
      <c r="Y58" s="26" t="s">
        <v>82</v>
      </c>
      <c r="Z58" s="2">
        <v>576606</v>
      </c>
      <c r="AE58" s="26" t="s">
        <v>82</v>
      </c>
      <c r="AF58" s="2">
        <v>576606</v>
      </c>
      <c r="AL58" s="123"/>
      <c r="AN58" s="26" t="s">
        <v>82</v>
      </c>
      <c r="AO58" s="2">
        <f>ROUND(AO57*0.25,0)</f>
        <v>525021</v>
      </c>
      <c r="AP58" s="2"/>
      <c r="AQ58" s="2"/>
      <c r="AR58" s="123"/>
      <c r="AS58" s="26" t="s">
        <v>82</v>
      </c>
      <c r="AT58" s="2">
        <f>ROUND(AT57*0.25,0)</f>
        <v>573458</v>
      </c>
      <c r="AU58" s="2"/>
      <c r="AV58" s="2"/>
    </row>
    <row r="59" spans="1:48" x14ac:dyDescent="0.3">
      <c r="A59" s="245" t="s">
        <v>83</v>
      </c>
      <c r="B59" s="21">
        <f>ROUND(B58*B5,0)</f>
        <v>21155114</v>
      </c>
      <c r="G59" s="245" t="s">
        <v>83</v>
      </c>
      <c r="H59" s="21">
        <f>ROUND(H58*H5,0)</f>
        <v>21155114</v>
      </c>
      <c r="M59" s="26" t="s">
        <v>83</v>
      </c>
      <c r="N59" s="21">
        <v>18249580</v>
      </c>
      <c r="S59" s="26" t="s">
        <v>83</v>
      </c>
      <c r="T59" s="21">
        <v>18249580</v>
      </c>
      <c r="Y59" s="26" t="s">
        <v>83</v>
      </c>
      <c r="Z59" s="21">
        <v>18249580</v>
      </c>
      <c r="AE59" s="26" t="s">
        <v>83</v>
      </c>
      <c r="AF59" s="21">
        <v>18249580</v>
      </c>
      <c r="AL59" s="123"/>
      <c r="AN59" s="26" t="s">
        <v>83</v>
      </c>
      <c r="AO59" s="21">
        <f>ROUND(AO58*AO5,0)</f>
        <v>15556372</v>
      </c>
      <c r="AP59" s="2"/>
      <c r="AQ59" s="2"/>
      <c r="AR59" s="123"/>
      <c r="AS59" s="26" t="s">
        <v>83</v>
      </c>
      <c r="AT59" s="21">
        <f>ROUND(AT58*'Inputs and Parameters (Old)'!L5,0)</f>
        <v>15988009</v>
      </c>
      <c r="AU59" s="2"/>
      <c r="AV59" s="2"/>
    </row>
    <row r="60" spans="1:48" x14ac:dyDescent="0.3">
      <c r="B60" s="2"/>
      <c r="H60" s="2"/>
      <c r="N60" s="2"/>
      <c r="T60" s="2"/>
      <c r="Z60" s="2"/>
      <c r="AF60" s="2"/>
      <c r="AL60" s="123"/>
      <c r="AO60" s="2"/>
      <c r="AP60" s="2"/>
      <c r="AQ60" s="2"/>
      <c r="AR60" s="123"/>
      <c r="AT60" s="2"/>
      <c r="AU60" s="2"/>
      <c r="AV60" s="2"/>
    </row>
    <row r="61" spans="1:48" x14ac:dyDescent="0.3">
      <c r="A61" s="241" t="s">
        <v>84</v>
      </c>
      <c r="B61" s="8">
        <v>0.23</v>
      </c>
      <c r="G61" s="241" t="s">
        <v>84</v>
      </c>
      <c r="H61" s="8">
        <v>0.23</v>
      </c>
      <c r="M61" s="16" t="s">
        <v>84</v>
      </c>
      <c r="N61" s="8">
        <v>0.23</v>
      </c>
      <c r="S61" s="16" t="s">
        <v>84</v>
      </c>
      <c r="T61" s="8">
        <v>0.23</v>
      </c>
      <c r="Y61" s="16" t="s">
        <v>84</v>
      </c>
      <c r="Z61" s="8">
        <v>0.23</v>
      </c>
      <c r="AE61" s="16" t="s">
        <v>84</v>
      </c>
      <c r="AF61" s="8">
        <v>0.23</v>
      </c>
      <c r="AL61" s="123"/>
      <c r="AN61" s="16" t="s">
        <v>84</v>
      </c>
      <c r="AO61" s="8">
        <v>0.23</v>
      </c>
      <c r="AP61" s="2"/>
      <c r="AQ61" s="2"/>
      <c r="AR61" s="123"/>
      <c r="AS61" s="16" t="s">
        <v>84</v>
      </c>
      <c r="AT61" s="8">
        <v>0.23</v>
      </c>
      <c r="AU61" s="2"/>
      <c r="AV61" s="2"/>
    </row>
    <row r="62" spans="1:48" ht="15.6" x14ac:dyDescent="0.3">
      <c r="A62" s="241" t="s">
        <v>85</v>
      </c>
      <c r="B62" s="2">
        <f>ROUND(B57*B61,0)</f>
        <v>567757</v>
      </c>
      <c r="G62" s="241" t="s">
        <v>85</v>
      </c>
      <c r="H62" s="2">
        <f>ROUND(H57*H61,0)</f>
        <v>567757</v>
      </c>
      <c r="M62" s="16" t="s">
        <v>85</v>
      </c>
      <c r="N62" s="2">
        <v>530478</v>
      </c>
      <c r="S62" s="16" t="s">
        <v>85</v>
      </c>
      <c r="T62" s="2">
        <v>530478</v>
      </c>
      <c r="Y62" s="16" t="s">
        <v>85</v>
      </c>
      <c r="Z62" s="2">
        <v>530478</v>
      </c>
      <c r="AE62" s="16" t="s">
        <v>85</v>
      </c>
      <c r="AF62" s="2">
        <v>530478</v>
      </c>
      <c r="AL62" s="123"/>
      <c r="AN62" s="16" t="s">
        <v>85</v>
      </c>
      <c r="AO62" s="2">
        <f>ROUND(AO57*AO61,0)</f>
        <v>483019</v>
      </c>
      <c r="AP62" s="74"/>
      <c r="AQ62" s="2"/>
      <c r="AR62" s="123"/>
      <c r="AS62" s="16" t="s">
        <v>85</v>
      </c>
      <c r="AT62" s="2">
        <f>ROUND(AT57*AT61,0)</f>
        <v>527581</v>
      </c>
      <c r="AU62" s="74"/>
      <c r="AV62" s="2"/>
    </row>
    <row r="63" spans="1:48" x14ac:dyDescent="0.3">
      <c r="A63" s="245" t="s">
        <v>87</v>
      </c>
      <c r="B63" s="2">
        <f>B62*1</f>
        <v>567757</v>
      </c>
      <c r="G63" s="245" t="s">
        <v>87</v>
      </c>
      <c r="H63" s="2">
        <f>H62*1</f>
        <v>567757</v>
      </c>
      <c r="M63" s="26" t="s">
        <v>87</v>
      </c>
      <c r="N63" s="2">
        <v>530478</v>
      </c>
      <c r="S63" s="26" t="s">
        <v>87</v>
      </c>
      <c r="T63" s="2">
        <v>530478</v>
      </c>
      <c r="Y63" s="26" t="s">
        <v>87</v>
      </c>
      <c r="Z63" s="2">
        <v>530478</v>
      </c>
      <c r="AE63" s="26" t="s">
        <v>87</v>
      </c>
      <c r="AF63" s="2">
        <v>530478</v>
      </c>
      <c r="AL63" s="123"/>
      <c r="AN63" s="26" t="s">
        <v>87</v>
      </c>
      <c r="AO63" s="2">
        <f>AO62*1</f>
        <v>483019</v>
      </c>
      <c r="AP63" s="75"/>
      <c r="AQ63" s="2"/>
      <c r="AR63" s="123"/>
      <c r="AS63" s="26" t="s">
        <v>87</v>
      </c>
      <c r="AT63" s="2">
        <f>AT62*1</f>
        <v>527581</v>
      </c>
      <c r="AU63" s="75"/>
      <c r="AV63" s="2"/>
    </row>
    <row r="64" spans="1:48" x14ac:dyDescent="0.3">
      <c r="A64" s="245" t="s">
        <v>88</v>
      </c>
      <c r="B64" s="21">
        <f>ROUND(B62*B5,0)</f>
        <v>19462710</v>
      </c>
      <c r="G64" s="245" t="s">
        <v>88</v>
      </c>
      <c r="H64" s="21">
        <f>ROUND(H62*H5,0)</f>
        <v>19462710</v>
      </c>
      <c r="M64" s="26" t="s">
        <v>88</v>
      </c>
      <c r="N64" s="21">
        <v>16789629</v>
      </c>
      <c r="S64" s="26" t="s">
        <v>88</v>
      </c>
      <c r="T64" s="21">
        <v>16789629</v>
      </c>
      <c r="Y64" s="26" t="s">
        <v>88</v>
      </c>
      <c r="Z64" s="21">
        <v>16789629</v>
      </c>
      <c r="AE64" s="26" t="s">
        <v>88</v>
      </c>
      <c r="AF64" s="21">
        <v>16789629</v>
      </c>
      <c r="AL64" s="123"/>
      <c r="AN64" s="26" t="s">
        <v>88</v>
      </c>
      <c r="AO64" s="21">
        <f>ROUND(AO62*AO5,0)</f>
        <v>14311853</v>
      </c>
      <c r="AP64" s="2"/>
      <c r="AQ64" s="2"/>
      <c r="AR64" s="123"/>
      <c r="AS64" s="26" t="s">
        <v>88</v>
      </c>
      <c r="AT64" s="21">
        <f>ROUND(AT62*'Inputs and Parameters (Old)'!L5,0)</f>
        <v>14708958</v>
      </c>
      <c r="AU64" s="2"/>
      <c r="AV64" s="2"/>
    </row>
    <row r="65" spans="1:49" x14ac:dyDescent="0.3">
      <c r="A65" s="1"/>
      <c r="B65" s="9"/>
      <c r="G65" s="1"/>
      <c r="H65" s="9"/>
      <c r="M65" s="1"/>
      <c r="N65" s="9"/>
      <c r="S65" s="1"/>
      <c r="T65" s="9"/>
      <c r="Y65" s="1"/>
      <c r="Z65" s="9"/>
      <c r="AE65" s="1"/>
      <c r="AF65" s="9"/>
      <c r="AL65" s="124"/>
      <c r="AN65" s="1"/>
      <c r="AO65" s="9"/>
      <c r="AP65" s="73"/>
      <c r="AQ65" s="2"/>
      <c r="AR65" s="124"/>
      <c r="AS65" s="1"/>
      <c r="AT65" s="9"/>
      <c r="AU65" s="73"/>
      <c r="AV65" s="2"/>
      <c r="AW65" s="2"/>
    </row>
    <row r="66" spans="1:49" x14ac:dyDescent="0.3">
      <c r="A66" s="241" t="s">
        <v>172</v>
      </c>
      <c r="B66" s="29">
        <f>B57+B71</f>
        <v>2760984</v>
      </c>
      <c r="G66" s="241" t="s">
        <v>172</v>
      </c>
      <c r="H66" s="29">
        <f>H57+H71</f>
        <v>2760984</v>
      </c>
      <c r="M66" s="16" t="s">
        <v>172</v>
      </c>
      <c r="N66" s="29">
        <v>2579698</v>
      </c>
      <c r="S66" s="16" t="s">
        <v>172</v>
      </c>
      <c r="T66" s="29">
        <v>2579698</v>
      </c>
      <c r="Y66" s="16" t="s">
        <v>172</v>
      </c>
      <c r="Z66" s="29">
        <v>2579698</v>
      </c>
      <c r="AE66" s="16" t="s">
        <v>172</v>
      </c>
      <c r="AF66" s="29">
        <v>2579698</v>
      </c>
      <c r="AL66" s="124"/>
      <c r="AN66" s="16" t="s">
        <v>172</v>
      </c>
      <c r="AO66" s="29">
        <f>AO57+AO71</f>
        <v>2348908</v>
      </c>
      <c r="AP66" s="29"/>
      <c r="AQ66" s="2"/>
      <c r="AR66" s="124"/>
      <c r="AS66" s="16" t="s">
        <v>172</v>
      </c>
      <c r="AT66" s="29">
        <f>AT57+AT71</f>
        <v>2542080</v>
      </c>
      <c r="AU66" s="29"/>
      <c r="AV66" s="2"/>
      <c r="AW66" s="2"/>
    </row>
    <row r="67" spans="1:49" x14ac:dyDescent="0.3">
      <c r="A67" s="241" t="s">
        <v>90</v>
      </c>
      <c r="B67" s="29">
        <f>ROUND(B66*0.25,0)</f>
        <v>690246</v>
      </c>
      <c r="G67" s="241" t="s">
        <v>90</v>
      </c>
      <c r="H67" s="29">
        <f>ROUND(H66*0.25,0)</f>
        <v>690246</v>
      </c>
      <c r="M67" s="30" t="s">
        <v>90</v>
      </c>
      <c r="N67" s="29">
        <v>644925</v>
      </c>
      <c r="S67" s="30" t="s">
        <v>90</v>
      </c>
      <c r="T67" s="29">
        <v>644925</v>
      </c>
      <c r="Y67" s="30" t="s">
        <v>90</v>
      </c>
      <c r="Z67" s="29">
        <v>644925</v>
      </c>
      <c r="AE67" s="30" t="s">
        <v>90</v>
      </c>
      <c r="AF67" s="29">
        <v>644925</v>
      </c>
      <c r="AL67" s="124"/>
      <c r="AN67" s="30" t="s">
        <v>90</v>
      </c>
      <c r="AO67" s="29">
        <f>ROUND(AO66*0.25,0)</f>
        <v>587227</v>
      </c>
      <c r="AP67" s="29"/>
      <c r="AR67" s="124"/>
      <c r="AS67" s="30" t="s">
        <v>90</v>
      </c>
      <c r="AT67" s="29">
        <f>ROUND(AT66*0.25,0)</f>
        <v>635520</v>
      </c>
      <c r="AU67" s="29"/>
      <c r="AV67" s="2"/>
      <c r="AW67" s="2"/>
    </row>
    <row r="68" spans="1:49" x14ac:dyDescent="0.3">
      <c r="A68" s="245" t="s">
        <v>89</v>
      </c>
      <c r="B68" s="21">
        <f>ROUND(B67*B6,0)</f>
        <v>19230254</v>
      </c>
      <c r="G68" s="245" t="s">
        <v>89</v>
      </c>
      <c r="H68" s="21">
        <f>ROUND(H67*H6,0)</f>
        <v>19230254</v>
      </c>
      <c r="M68" s="26" t="s">
        <v>89</v>
      </c>
      <c r="N68" s="21">
        <v>15484649</v>
      </c>
      <c r="S68" s="26" t="s">
        <v>89</v>
      </c>
      <c r="T68" s="21">
        <v>15484649</v>
      </c>
      <c r="Y68" s="26" t="s">
        <v>89</v>
      </c>
      <c r="Z68" s="21">
        <v>15484649</v>
      </c>
      <c r="AE68" s="26" t="s">
        <v>89</v>
      </c>
      <c r="AF68" s="21">
        <v>15484649</v>
      </c>
      <c r="AL68" s="120"/>
      <c r="AN68" s="26" t="s">
        <v>89</v>
      </c>
      <c r="AO68" s="21">
        <f>ROUND(AO67*AO6,0)</f>
        <v>13482732</v>
      </c>
      <c r="AP68" s="21"/>
      <c r="AR68" s="120"/>
      <c r="AS68" s="26" t="s">
        <v>89</v>
      </c>
      <c r="AT68" s="21">
        <f>ROUND(AT67*'Inputs and Parameters (Old)'!L6,0)</f>
        <v>13981440</v>
      </c>
      <c r="AU68" s="21"/>
    </row>
    <row r="69" spans="1:49" x14ac:dyDescent="0.3">
      <c r="A69" s="245"/>
      <c r="B69" s="2"/>
      <c r="G69" s="245"/>
      <c r="H69" s="2"/>
      <c r="M69" s="16"/>
      <c r="N69" s="2"/>
      <c r="S69" s="16"/>
      <c r="T69" s="2"/>
      <c r="Y69" s="16"/>
      <c r="Z69" s="2"/>
      <c r="AE69" s="16"/>
      <c r="AF69" s="2"/>
      <c r="AL69" s="123"/>
      <c r="AN69" s="16"/>
      <c r="AO69" s="2"/>
      <c r="AP69" s="2"/>
      <c r="AQ69" s="2"/>
      <c r="AR69" s="123"/>
      <c r="AS69" s="16"/>
      <c r="AT69" s="2"/>
      <c r="AU69" s="2"/>
      <c r="AV69" s="2"/>
    </row>
    <row r="70" spans="1:49" x14ac:dyDescent="0.3">
      <c r="A70" s="241" t="s">
        <v>91</v>
      </c>
      <c r="B70" s="8">
        <v>0.05</v>
      </c>
      <c r="G70" s="241" t="s">
        <v>91</v>
      </c>
      <c r="H70" s="8">
        <v>0.05</v>
      </c>
      <c r="M70" s="16" t="s">
        <v>91</v>
      </c>
      <c r="N70" s="8">
        <v>0.05</v>
      </c>
      <c r="S70" s="16" t="s">
        <v>91</v>
      </c>
      <c r="T70" s="8">
        <v>0.05</v>
      </c>
      <c r="Y70" s="16" t="s">
        <v>91</v>
      </c>
      <c r="Z70" s="8">
        <v>0.05</v>
      </c>
      <c r="AE70" s="16" t="s">
        <v>91</v>
      </c>
      <c r="AF70" s="8">
        <v>0.05</v>
      </c>
      <c r="AL70" s="123"/>
      <c r="AN70" s="16" t="s">
        <v>91</v>
      </c>
      <c r="AO70" s="8">
        <v>0.05</v>
      </c>
      <c r="AP70" s="2"/>
      <c r="AQ70" s="2"/>
      <c r="AR70" s="123"/>
      <c r="AS70" s="16" t="s">
        <v>91</v>
      </c>
      <c r="AT70" s="8">
        <v>0.05</v>
      </c>
      <c r="AU70" s="2"/>
      <c r="AV70" s="2"/>
    </row>
    <row r="71" spans="1:49" x14ac:dyDescent="0.3">
      <c r="A71" s="241" t="s">
        <v>92</v>
      </c>
      <c r="B71" s="2">
        <f>ROUND(B24*B70,0)</f>
        <v>292477</v>
      </c>
      <c r="G71" s="241" t="s">
        <v>92</v>
      </c>
      <c r="H71" s="2">
        <f>ROUND(H24*H70,0)</f>
        <v>292477</v>
      </c>
      <c r="M71" s="16" t="s">
        <v>92</v>
      </c>
      <c r="N71" s="2">
        <v>273273</v>
      </c>
      <c r="S71" s="16" t="s">
        <v>92</v>
      </c>
      <c r="T71" s="2">
        <v>273273</v>
      </c>
      <c r="Y71" s="16" t="s">
        <v>92</v>
      </c>
      <c r="Z71" s="2">
        <v>273273</v>
      </c>
      <c r="AE71" s="16" t="s">
        <v>92</v>
      </c>
      <c r="AF71" s="2">
        <v>273273</v>
      </c>
      <c r="AL71" s="123"/>
      <c r="AN71" s="16" t="s">
        <v>92</v>
      </c>
      <c r="AO71" s="2">
        <f>ROUND(AO24*AO70,0)</f>
        <v>248825</v>
      </c>
      <c r="AP71" s="2"/>
      <c r="AQ71" s="2"/>
      <c r="AR71" s="123"/>
      <c r="AS71" s="16" t="s">
        <v>92</v>
      </c>
      <c r="AT71" s="2">
        <f>ROUND(AT24*AT70,0)</f>
        <v>248250</v>
      </c>
      <c r="AU71" s="2"/>
      <c r="AV71" s="2"/>
    </row>
    <row r="72" spans="1:49" x14ac:dyDescent="0.3">
      <c r="A72" s="245" t="s">
        <v>93</v>
      </c>
      <c r="B72" s="2">
        <f>ROUND(B71*0.5,0)</f>
        <v>146239</v>
      </c>
      <c r="G72" s="245" t="s">
        <v>93</v>
      </c>
      <c r="H72" s="2">
        <f>ROUND(H71*0.5,0)</f>
        <v>146239</v>
      </c>
      <c r="M72" s="26" t="s">
        <v>93</v>
      </c>
      <c r="N72" s="2">
        <v>136637</v>
      </c>
      <c r="S72" s="26" t="s">
        <v>93</v>
      </c>
      <c r="T72" s="2">
        <v>136637</v>
      </c>
      <c r="Y72" s="26" t="s">
        <v>93</v>
      </c>
      <c r="Z72" s="2">
        <v>136637</v>
      </c>
      <c r="AE72" s="26" t="s">
        <v>93</v>
      </c>
      <c r="AF72" s="2">
        <v>136637</v>
      </c>
      <c r="AL72" s="123"/>
      <c r="AN72" s="26" t="s">
        <v>93</v>
      </c>
      <c r="AO72" s="2">
        <f>ROUND(AO71*0.5,0)</f>
        <v>124413</v>
      </c>
      <c r="AP72" s="2"/>
      <c r="AQ72" s="2"/>
      <c r="AR72" s="123"/>
      <c r="AS72" s="26" t="s">
        <v>93</v>
      </c>
      <c r="AT72" s="2">
        <f>ROUND(AT71*0.5,0)</f>
        <v>124125</v>
      </c>
      <c r="AU72" s="2"/>
      <c r="AV72" s="2"/>
    </row>
    <row r="73" spans="1:49" x14ac:dyDescent="0.3">
      <c r="A73" s="245" t="s">
        <v>94</v>
      </c>
      <c r="B73" s="21">
        <f>ROUND(B72*B5,0)</f>
        <v>5013073</v>
      </c>
      <c r="G73" s="245" t="s">
        <v>94</v>
      </c>
      <c r="H73" s="21">
        <f>ROUND(H72*H5,0)</f>
        <v>5013073</v>
      </c>
      <c r="M73" s="26" t="s">
        <v>94</v>
      </c>
      <c r="N73" s="21">
        <v>4324561</v>
      </c>
      <c r="S73" s="26" t="s">
        <v>94</v>
      </c>
      <c r="T73" s="21">
        <v>4324561</v>
      </c>
      <c r="Y73" s="26" t="s">
        <v>94</v>
      </c>
      <c r="Z73" s="21">
        <v>4324561</v>
      </c>
      <c r="AE73" s="26" t="s">
        <v>94</v>
      </c>
      <c r="AF73" s="21">
        <v>4324561</v>
      </c>
      <c r="AL73" s="120"/>
      <c r="AN73" s="26" t="s">
        <v>94</v>
      </c>
      <c r="AO73" s="21">
        <f>ROUND(AO72*AO5,0)</f>
        <v>3686357</v>
      </c>
      <c r="AR73" s="120"/>
      <c r="AS73" s="26" t="s">
        <v>94</v>
      </c>
      <c r="AT73" s="21">
        <f>ROUND(AT72*'Inputs and Parameters (Old)'!L5,0)</f>
        <v>3460605</v>
      </c>
    </row>
    <row r="74" spans="1:49" x14ac:dyDescent="0.3">
      <c r="A74" s="16"/>
      <c r="B74" s="2"/>
      <c r="G74" s="16"/>
      <c r="H74" s="2"/>
      <c r="M74" s="16"/>
      <c r="N74" s="2"/>
      <c r="S74" s="16"/>
      <c r="T74" s="2"/>
      <c r="Y74" s="16"/>
      <c r="Z74" s="2"/>
      <c r="AE74" s="16"/>
      <c r="AF74" s="2"/>
      <c r="AL74" s="123"/>
      <c r="AN74" s="16"/>
      <c r="AO74" s="2"/>
      <c r="AP74" s="2"/>
      <c r="AQ74" s="2"/>
      <c r="AR74" s="123"/>
      <c r="AS74" s="16"/>
      <c r="AT74" s="2"/>
      <c r="AU74" s="2"/>
      <c r="AV74" s="2"/>
    </row>
    <row r="75" spans="1:49" x14ac:dyDescent="0.3">
      <c r="A75" s="241" t="s">
        <v>477</v>
      </c>
      <c r="B75" s="2">
        <f>B58+B63+B67+B72</f>
        <v>2021369</v>
      </c>
      <c r="G75" s="241" t="s">
        <v>477</v>
      </c>
      <c r="H75" s="2">
        <f>H58+H63+H67+H72</f>
        <v>2021369</v>
      </c>
      <c r="M75" s="28" t="s">
        <v>79</v>
      </c>
      <c r="N75" s="2">
        <v>1888646</v>
      </c>
      <c r="S75" s="28" t="s">
        <v>79</v>
      </c>
      <c r="T75" s="2">
        <v>1888646</v>
      </c>
      <c r="Y75" s="28" t="s">
        <v>79</v>
      </c>
      <c r="Z75" s="2">
        <v>1888646</v>
      </c>
      <c r="AE75" s="28" t="s">
        <v>79</v>
      </c>
      <c r="AF75" s="2">
        <v>1888646</v>
      </c>
      <c r="AL75" s="123"/>
      <c r="AN75" s="28" t="s">
        <v>79</v>
      </c>
      <c r="AO75" s="2">
        <f>AO58+AO63+AO67+AO72</f>
        <v>1719680</v>
      </c>
      <c r="AP75" s="2"/>
      <c r="AQ75" s="2"/>
      <c r="AR75" s="123"/>
      <c r="AS75" s="28" t="s">
        <v>79</v>
      </c>
      <c r="AT75" s="2">
        <f>AT58+AT63+AT67+AT72</f>
        <v>1860684</v>
      </c>
      <c r="AU75" s="2"/>
      <c r="AV75" s="2"/>
    </row>
    <row r="76" spans="1:49" x14ac:dyDescent="0.3">
      <c r="A76" s="241" t="s">
        <v>478</v>
      </c>
      <c r="B76" s="21">
        <f>B59+B64+B68+B73</f>
        <v>64861151</v>
      </c>
      <c r="G76" s="241" t="s">
        <v>478</v>
      </c>
      <c r="H76" s="21">
        <f>H59+H64+H68+H73</f>
        <v>64861151</v>
      </c>
      <c r="M76" s="28" t="s">
        <v>78</v>
      </c>
      <c r="N76" s="21">
        <v>54848419</v>
      </c>
      <c r="S76" s="28" t="s">
        <v>78</v>
      </c>
      <c r="T76" s="21">
        <v>54848419</v>
      </c>
      <c r="Y76" s="28" t="s">
        <v>78</v>
      </c>
      <c r="Z76" s="21">
        <v>54848419</v>
      </c>
      <c r="AE76" s="28" t="s">
        <v>78</v>
      </c>
      <c r="AF76" s="21">
        <v>54848419</v>
      </c>
      <c r="AL76" s="123"/>
      <c r="AN76" s="28" t="s">
        <v>78</v>
      </c>
      <c r="AO76" s="21">
        <f>AO59+AO64+AO68+AO73</f>
        <v>47037314</v>
      </c>
      <c r="AP76" s="2"/>
      <c r="AQ76" s="2"/>
      <c r="AR76" s="123"/>
      <c r="AS76" s="28" t="s">
        <v>78</v>
      </c>
      <c r="AT76" s="21">
        <f>AT59+AT64+AT68+AT73</f>
        <v>48139012</v>
      </c>
      <c r="AU76" s="2"/>
      <c r="AV76" s="2"/>
    </row>
    <row r="77" spans="1:49" x14ac:dyDescent="0.3">
      <c r="A77" s="28"/>
      <c r="B77" s="21"/>
      <c r="G77" s="28"/>
      <c r="H77" s="21"/>
      <c r="K77" s="2"/>
      <c r="M77" s="28"/>
      <c r="N77" s="21"/>
      <c r="S77" s="28"/>
      <c r="T77" s="21"/>
      <c r="Y77" s="28"/>
      <c r="Z77" s="21"/>
      <c r="AE77" s="28"/>
      <c r="AF77" s="21"/>
      <c r="AL77" s="123"/>
      <c r="AN77" s="28"/>
      <c r="AO77" s="21"/>
      <c r="AP77" s="2"/>
      <c r="AQ77" s="2"/>
      <c r="AR77" s="123"/>
      <c r="AS77" s="28"/>
      <c r="AT77" s="21"/>
      <c r="AU77" s="2"/>
      <c r="AV77" s="2"/>
    </row>
    <row r="78" spans="1:49" x14ac:dyDescent="0.3">
      <c r="A78" s="28" t="s">
        <v>1</v>
      </c>
      <c r="B78" s="2">
        <f>B66+B71+B62+B57</f>
        <v>6089725</v>
      </c>
      <c r="G78" s="28" t="s">
        <v>1</v>
      </c>
      <c r="H78" s="2">
        <f>H66+H71+H62+H57</f>
        <v>6089725</v>
      </c>
      <c r="K78" s="2"/>
      <c r="M78" s="28" t="s">
        <v>1</v>
      </c>
      <c r="N78" s="2">
        <v>5689874</v>
      </c>
      <c r="S78" s="28" t="s">
        <v>1</v>
      </c>
      <c r="T78" s="2">
        <v>5689874</v>
      </c>
      <c r="Y78" s="28" t="s">
        <v>1</v>
      </c>
      <c r="Z78" s="2">
        <v>5689874</v>
      </c>
      <c r="AE78" s="28" t="s">
        <v>1</v>
      </c>
      <c r="AF78" s="2">
        <v>5689874</v>
      </c>
      <c r="AL78" s="123"/>
      <c r="AN78" s="28" t="s">
        <v>1</v>
      </c>
      <c r="AO78" s="2">
        <f>AO66+AO71+AO62+AO57</f>
        <v>5180835</v>
      </c>
      <c r="AP78" s="2"/>
      <c r="AQ78" s="2"/>
      <c r="AR78" s="123"/>
      <c r="AS78" s="28" t="s">
        <v>1</v>
      </c>
      <c r="AT78" s="2">
        <f>AT66+AT71+AT62+AT57</f>
        <v>5611741</v>
      </c>
      <c r="AU78" s="2"/>
      <c r="AV78" s="2"/>
    </row>
    <row r="79" spans="1:49" x14ac:dyDescent="0.3">
      <c r="K79" s="2"/>
      <c r="AL79" s="123"/>
      <c r="AO79" s="2"/>
      <c r="AP79" s="2"/>
      <c r="AQ79" s="2"/>
      <c r="AR79" s="123"/>
      <c r="AT79" s="2"/>
      <c r="AU79" s="2"/>
      <c r="AV79" s="2"/>
    </row>
    <row r="80" spans="1:49" x14ac:dyDescent="0.3">
      <c r="A80" s="274" t="s">
        <v>95</v>
      </c>
      <c r="B80" s="274"/>
      <c r="C80" s="274" t="s">
        <v>479</v>
      </c>
      <c r="D80" s="274"/>
      <c r="G80" s="274" t="s">
        <v>95</v>
      </c>
      <c r="H80" s="274"/>
      <c r="I80" s="274"/>
      <c r="J80" s="274"/>
      <c r="M80" t="s">
        <v>95</v>
      </c>
      <c r="S80" t="s">
        <v>95</v>
      </c>
      <c r="Y80" t="s">
        <v>95</v>
      </c>
      <c r="AE80" t="s">
        <v>95</v>
      </c>
      <c r="AL80" s="123"/>
      <c r="AN80" t="s">
        <v>95</v>
      </c>
      <c r="AO80" s="2"/>
      <c r="AP80" s="2"/>
      <c r="AQ80" s="2"/>
      <c r="AR80" s="123"/>
      <c r="AS80" t="s">
        <v>95</v>
      </c>
      <c r="AT80" s="2"/>
      <c r="AU80" s="2"/>
      <c r="AV80" s="2"/>
    </row>
    <row r="81" spans="1:48" x14ac:dyDescent="0.3">
      <c r="A81" s="16"/>
      <c r="C81" t="s">
        <v>480</v>
      </c>
      <c r="D81" s="2"/>
      <c r="G81" s="16"/>
      <c r="K81" s="2"/>
      <c r="M81" s="16"/>
      <c r="S81" s="16"/>
      <c r="Y81" s="16"/>
      <c r="AE81" s="16"/>
      <c r="AL81" s="123"/>
      <c r="AN81" s="16"/>
      <c r="AO81" s="2"/>
      <c r="AP81" s="2"/>
      <c r="AQ81" s="2"/>
      <c r="AR81" s="123"/>
      <c r="AS81" s="16"/>
      <c r="AT81" s="2"/>
      <c r="AU81" s="2"/>
      <c r="AV81" s="2"/>
    </row>
    <row r="82" spans="1:48" x14ac:dyDescent="0.3">
      <c r="A82" s="244" t="s">
        <v>99</v>
      </c>
      <c r="B82" s="8">
        <v>0.13</v>
      </c>
      <c r="C82" t="s">
        <v>481</v>
      </c>
      <c r="D82" s="2"/>
      <c r="G82" s="244" t="s">
        <v>99</v>
      </c>
      <c r="H82" s="8">
        <v>0.13</v>
      </c>
      <c r="M82" s="34" t="s">
        <v>99</v>
      </c>
      <c r="N82" s="8">
        <v>0.13</v>
      </c>
      <c r="S82" s="34" t="s">
        <v>99</v>
      </c>
      <c r="T82" s="8">
        <v>0.13</v>
      </c>
      <c r="Y82" s="34" t="s">
        <v>99</v>
      </c>
      <c r="Z82" s="8">
        <v>0.13</v>
      </c>
      <c r="AE82" s="34" t="s">
        <v>99</v>
      </c>
      <c r="AF82" s="8">
        <v>0.13</v>
      </c>
      <c r="AL82" s="123"/>
      <c r="AN82" s="34" t="s">
        <v>99</v>
      </c>
      <c r="AO82" s="8">
        <v>0.13</v>
      </c>
      <c r="AP82" s="2"/>
      <c r="AQ82" s="2"/>
      <c r="AR82" s="123"/>
      <c r="AS82" s="34" t="s">
        <v>99</v>
      </c>
      <c r="AT82" s="8">
        <v>0.13</v>
      </c>
      <c r="AU82" s="2"/>
      <c r="AV82" s="2"/>
    </row>
    <row r="83" spans="1:48" x14ac:dyDescent="0.3">
      <c r="A83" s="241" t="s">
        <v>98</v>
      </c>
      <c r="B83" s="2">
        <f>B24*B82</f>
        <v>760440.4342112157</v>
      </c>
      <c r="C83" t="s">
        <v>482</v>
      </c>
      <c r="D83" s="8"/>
      <c r="G83" s="241" t="s">
        <v>98</v>
      </c>
      <c r="H83" s="2">
        <f>H24*H82</f>
        <v>760440.4342112157</v>
      </c>
      <c r="M83" s="33" t="s">
        <v>98</v>
      </c>
      <c r="N83" s="2">
        <v>710510</v>
      </c>
      <c r="S83" s="33" t="s">
        <v>98</v>
      </c>
      <c r="T83" s="2">
        <v>710510</v>
      </c>
      <c r="Y83" s="33" t="s">
        <v>98</v>
      </c>
      <c r="Z83" s="2">
        <v>710510</v>
      </c>
      <c r="AE83" s="33" t="s">
        <v>98</v>
      </c>
      <c r="AF83" s="2">
        <v>710510</v>
      </c>
      <c r="AL83" s="123"/>
      <c r="AN83" s="33" t="s">
        <v>98</v>
      </c>
      <c r="AO83" s="2">
        <f>ROUND(AO24*AO82,0)</f>
        <v>646945</v>
      </c>
      <c r="AP83" s="2"/>
      <c r="AQ83" s="2"/>
      <c r="AR83" s="123"/>
      <c r="AS83" s="33" t="s">
        <v>98</v>
      </c>
      <c r="AT83" s="2">
        <f>ROUND(AT24*AT82,0)</f>
        <v>645450</v>
      </c>
      <c r="AU83" s="2"/>
      <c r="AV83" s="2"/>
    </row>
    <row r="84" spans="1:48" x14ac:dyDescent="0.3">
      <c r="A84" s="241" t="s">
        <v>423</v>
      </c>
      <c r="B84" s="169">
        <f>'Potential Savings from Fit Test'!K24</f>
        <v>2306587.9977561329</v>
      </c>
      <c r="C84" t="s">
        <v>483</v>
      </c>
      <c r="D84" s="8"/>
      <c r="G84" s="241" t="s">
        <v>392</v>
      </c>
      <c r="H84" s="169">
        <f>'Potential Savings from Fit Test'!J24</f>
        <v>1032971.7170021581</v>
      </c>
      <c r="M84" s="33" t="s">
        <v>423</v>
      </c>
      <c r="N84" s="152">
        <v>2155137.509383182</v>
      </c>
      <c r="S84" s="33" t="s">
        <v>392</v>
      </c>
      <c r="T84" s="152">
        <v>965146.82969345246</v>
      </c>
      <c r="Y84" s="33" t="s">
        <v>423</v>
      </c>
      <c r="Z84" s="152">
        <v>2155137.509383182</v>
      </c>
      <c r="AE84" s="33" t="s">
        <v>392</v>
      </c>
      <c r="AF84" s="152">
        <v>965146.82969345246</v>
      </c>
      <c r="AL84" s="123"/>
      <c r="AN84" s="33"/>
      <c r="AO84" s="2"/>
      <c r="AP84" s="2"/>
      <c r="AQ84" s="2"/>
      <c r="AR84" s="123"/>
      <c r="AS84" s="33"/>
      <c r="AT84" s="2"/>
      <c r="AU84" s="2"/>
      <c r="AV84" s="2"/>
    </row>
    <row r="85" spans="1:48" x14ac:dyDescent="0.3">
      <c r="A85" s="241" t="s">
        <v>424</v>
      </c>
      <c r="B85" s="8">
        <f>B84/B24</f>
        <v>0.39431943150068061</v>
      </c>
      <c r="C85" s="2"/>
      <c r="D85" s="2"/>
      <c r="G85" s="241" t="s">
        <v>393</v>
      </c>
      <c r="H85" s="8">
        <f>H84/H24</f>
        <v>0.17659019322081698</v>
      </c>
      <c r="M85" s="33" t="s">
        <v>424</v>
      </c>
      <c r="N85" s="8">
        <v>0.39431943150068077</v>
      </c>
      <c r="S85" s="33" t="s">
        <v>393</v>
      </c>
      <c r="T85" s="8">
        <v>0.17659019322081707</v>
      </c>
      <c r="Y85" s="33" t="s">
        <v>424</v>
      </c>
      <c r="Z85" s="8">
        <v>0.39431943150068077</v>
      </c>
      <c r="AE85" s="33" t="s">
        <v>393</v>
      </c>
      <c r="AF85" s="8">
        <v>0.17659019322081707</v>
      </c>
      <c r="AL85" s="123"/>
      <c r="AN85" s="33"/>
      <c r="AO85" s="2"/>
      <c r="AP85" s="2"/>
      <c r="AQ85" s="2"/>
      <c r="AR85" s="123"/>
      <c r="AS85" s="33"/>
      <c r="AT85" s="2"/>
      <c r="AU85" s="2"/>
      <c r="AV85" s="2"/>
    </row>
    <row r="86" spans="1:48" x14ac:dyDescent="0.3">
      <c r="AL86" s="120"/>
      <c r="AR86" s="120"/>
    </row>
    <row r="87" spans="1:48" x14ac:dyDescent="0.3">
      <c r="A87" s="244" t="s">
        <v>106</v>
      </c>
      <c r="B87" s="2">
        <f>(1-B82)*B24</f>
        <v>5089101.3674135199</v>
      </c>
      <c r="D87" s="2"/>
      <c r="G87" s="244" t="s">
        <v>106</v>
      </c>
      <c r="H87" s="2">
        <f>(1-H82)*H24</f>
        <v>5089101.3674135199</v>
      </c>
      <c r="M87" s="34" t="s">
        <v>106</v>
      </c>
      <c r="N87" s="2">
        <v>4754951</v>
      </c>
      <c r="S87" s="34" t="s">
        <v>106</v>
      </c>
      <c r="T87" s="2">
        <v>4754951</v>
      </c>
      <c r="U87" t="s">
        <v>434</v>
      </c>
      <c r="Y87" s="34" t="s">
        <v>106</v>
      </c>
      <c r="Z87" s="2">
        <v>4754951</v>
      </c>
      <c r="AE87" s="34" t="s">
        <v>106</v>
      </c>
      <c r="AF87" s="2">
        <v>4754951</v>
      </c>
      <c r="AG87" t="s">
        <v>434</v>
      </c>
      <c r="AL87" s="120"/>
      <c r="AN87" s="34" t="s">
        <v>106</v>
      </c>
      <c r="AO87" s="2">
        <f>ROUND((1-AO82)*AO24,0)</f>
        <v>4329555</v>
      </c>
      <c r="AR87" s="120"/>
      <c r="AS87" s="34" t="s">
        <v>106</v>
      </c>
      <c r="AT87" s="2">
        <f>ROUND((1-AT82)*AT24,0)</f>
        <v>4319550</v>
      </c>
      <c r="AV87" t="s">
        <v>100</v>
      </c>
    </row>
    <row r="88" spans="1:48" x14ac:dyDescent="0.3">
      <c r="A88" s="241" t="s">
        <v>102</v>
      </c>
      <c r="B88" s="8">
        <v>0.08</v>
      </c>
      <c r="G88" s="241" t="s">
        <v>102</v>
      </c>
      <c r="H88" s="8">
        <v>0.08</v>
      </c>
      <c r="I88" s="2"/>
      <c r="J88" s="63"/>
      <c r="M88" s="38" t="s">
        <v>102</v>
      </c>
      <c r="N88" s="44">
        <v>0.08</v>
      </c>
      <c r="S88" s="38" t="s">
        <v>102</v>
      </c>
      <c r="T88" s="44">
        <v>0.08</v>
      </c>
      <c r="U88" s="2">
        <v>79883</v>
      </c>
      <c r="V88" s="63">
        <v>2528296.9499999997</v>
      </c>
      <c r="W88" t="s">
        <v>432</v>
      </c>
      <c r="Y88" s="38" t="s">
        <v>102</v>
      </c>
      <c r="Z88" s="44">
        <v>0.08</v>
      </c>
      <c r="AE88" s="38" t="s">
        <v>102</v>
      </c>
      <c r="AF88" s="44">
        <v>0.08</v>
      </c>
      <c r="AG88" s="2">
        <v>79883</v>
      </c>
      <c r="AH88" s="63">
        <v>2528296.9499999997</v>
      </c>
      <c r="AI88" t="s">
        <v>432</v>
      </c>
      <c r="AL88" s="120"/>
      <c r="AN88" s="38" t="s">
        <v>102</v>
      </c>
      <c r="AO88" s="44">
        <v>0.08</v>
      </c>
      <c r="AQ88" s="2"/>
      <c r="AR88" s="120"/>
      <c r="AS88" s="38" t="s">
        <v>102</v>
      </c>
      <c r="AT88" s="44">
        <v>0.08</v>
      </c>
      <c r="AV88" s="2">
        <f>AT87*(AT88+AT93)</f>
        <v>1209474</v>
      </c>
    </row>
    <row r="89" spans="1:48" x14ac:dyDescent="0.3">
      <c r="A89" s="241" t="s">
        <v>103</v>
      </c>
      <c r="B89" s="2">
        <f>B87*B88</f>
        <v>407128.10939308163</v>
      </c>
      <c r="D89" s="2"/>
      <c r="G89" s="241" t="s">
        <v>103</v>
      </c>
      <c r="H89" s="2">
        <f>H87*H88</f>
        <v>407128.10939308163</v>
      </c>
      <c r="I89" s="2"/>
      <c r="J89" s="63"/>
      <c r="M89" s="40" t="s">
        <v>103</v>
      </c>
      <c r="N89" s="2">
        <v>380396</v>
      </c>
      <c r="S89" s="40" t="s">
        <v>103</v>
      </c>
      <c r="T89" s="2">
        <v>380396</v>
      </c>
      <c r="U89" s="2">
        <v>95099</v>
      </c>
      <c r="V89" s="63">
        <v>3009883.35</v>
      </c>
      <c r="W89" t="s">
        <v>433</v>
      </c>
      <c r="Y89" s="40" t="s">
        <v>103</v>
      </c>
      <c r="Z89" s="2">
        <v>380396</v>
      </c>
      <c r="AE89" s="40" t="s">
        <v>103</v>
      </c>
      <c r="AF89" s="2">
        <v>380396</v>
      </c>
      <c r="AG89" s="2">
        <v>95099</v>
      </c>
      <c r="AH89" s="63">
        <v>3009883.35</v>
      </c>
      <c r="AI89" t="s">
        <v>433</v>
      </c>
      <c r="AL89" s="120"/>
      <c r="AN89" s="40" t="s">
        <v>103</v>
      </c>
      <c r="AO89" s="2">
        <f>ROUND(AO87*AO88,0)</f>
        <v>346364</v>
      </c>
      <c r="AQ89" s="2"/>
      <c r="AR89" s="120"/>
      <c r="AS89" s="40" t="s">
        <v>103</v>
      </c>
      <c r="AT89" s="2">
        <f>ROUND(AT87*AT88,0)</f>
        <v>345564</v>
      </c>
      <c r="AV89" s="2"/>
    </row>
    <row r="90" spans="1:48" ht="27.6" x14ac:dyDescent="0.3">
      <c r="A90" s="334" t="s">
        <v>401</v>
      </c>
      <c r="B90" s="335">
        <f>B89*0.5</f>
        <v>203564.05469654081</v>
      </c>
      <c r="D90" s="2"/>
      <c r="G90" s="317" t="s">
        <v>401</v>
      </c>
      <c r="H90" s="2">
        <f>H89*0.5</f>
        <v>203564.05469654081</v>
      </c>
      <c r="I90" t="s">
        <v>400</v>
      </c>
      <c r="J90" s="3"/>
      <c r="L90" s="3"/>
      <c r="M90" s="40" t="s">
        <v>401</v>
      </c>
      <c r="N90" s="152">
        <v>380396</v>
      </c>
      <c r="P90" s="3"/>
      <c r="S90" s="40" t="s">
        <v>401</v>
      </c>
      <c r="T90" s="152">
        <v>190198</v>
      </c>
      <c r="U90" t="s">
        <v>400</v>
      </c>
      <c r="V90" s="3"/>
      <c r="W90" s="3"/>
      <c r="X90" s="3"/>
      <c r="Y90" s="40" t="s">
        <v>401</v>
      </c>
      <c r="Z90" s="152">
        <v>380396</v>
      </c>
      <c r="AB90" s="3"/>
      <c r="AE90" s="40" t="s">
        <v>401</v>
      </c>
      <c r="AF90" s="152">
        <v>190198</v>
      </c>
      <c r="AG90" t="s">
        <v>400</v>
      </c>
      <c r="AH90" s="3"/>
      <c r="AI90" s="3"/>
      <c r="AJ90" s="3"/>
      <c r="AK90" s="3"/>
      <c r="AL90" s="120"/>
      <c r="AN90" s="40"/>
      <c r="AO90" s="2"/>
      <c r="AQ90" s="2"/>
      <c r="AR90" s="120"/>
      <c r="AS90" s="40"/>
      <c r="AT90" s="2"/>
      <c r="AV90" s="2"/>
    </row>
    <row r="91" spans="1:48" x14ac:dyDescent="0.3">
      <c r="A91" s="241" t="s">
        <v>107</v>
      </c>
      <c r="B91" s="333">
        <f>(B90*25/60)+((B89-B90)*25/60)</f>
        <v>169636.71224711736</v>
      </c>
      <c r="C91" t="s">
        <v>399</v>
      </c>
      <c r="G91" s="241" t="s">
        <v>107</v>
      </c>
      <c r="H91" s="333">
        <f>(H90*25/60)+((H89-H90)*25/60)</f>
        <v>169636.71224711736</v>
      </c>
      <c r="I91" t="s">
        <v>399</v>
      </c>
      <c r="M91" s="40" t="s">
        <v>107</v>
      </c>
      <c r="N91" s="2">
        <v>159766</v>
      </c>
      <c r="O91" t="s">
        <v>399</v>
      </c>
      <c r="S91" s="40" t="s">
        <v>107</v>
      </c>
      <c r="T91" s="2">
        <v>174982</v>
      </c>
      <c r="U91" t="s">
        <v>399</v>
      </c>
      <c r="Y91" s="40" t="s">
        <v>107</v>
      </c>
      <c r="Z91" s="2">
        <v>159766</v>
      </c>
      <c r="AA91" t="s">
        <v>399</v>
      </c>
      <c r="AE91" s="40" t="s">
        <v>107</v>
      </c>
      <c r="AF91" s="2">
        <v>174982</v>
      </c>
      <c r="AG91" t="s">
        <v>399</v>
      </c>
      <c r="AL91" s="120"/>
      <c r="AN91" s="40" t="s">
        <v>107</v>
      </c>
      <c r="AO91" s="2">
        <f>ROUND(AO89*0.5,0)</f>
        <v>173182</v>
      </c>
      <c r="AQ91" s="2"/>
      <c r="AR91" s="120"/>
      <c r="AS91" s="40" t="s">
        <v>107</v>
      </c>
      <c r="AT91" s="2">
        <f>ROUND(AT89*0.5,0)</f>
        <v>172782</v>
      </c>
      <c r="AV91" s="2"/>
    </row>
    <row r="92" spans="1:48" x14ac:dyDescent="0.3">
      <c r="A92" s="246" t="s">
        <v>108</v>
      </c>
      <c r="B92" s="349">
        <f>B91*B5</f>
        <v>5815146.4958311832</v>
      </c>
      <c r="G92" s="246" t="s">
        <v>108</v>
      </c>
      <c r="H92" s="41">
        <f>H91*H5</f>
        <v>5815146.4958311832</v>
      </c>
      <c r="M92" s="35" t="s">
        <v>108</v>
      </c>
      <c r="N92" s="41">
        <v>5056594</v>
      </c>
      <c r="S92" s="35" t="s">
        <v>108</v>
      </c>
      <c r="T92" s="41">
        <v>5538180</v>
      </c>
      <c r="Y92" s="35" t="s">
        <v>108</v>
      </c>
      <c r="Z92" s="41">
        <v>5056594</v>
      </c>
      <c r="AE92" s="35" t="s">
        <v>108</v>
      </c>
      <c r="AF92" s="41">
        <v>5538180</v>
      </c>
      <c r="AL92" s="120"/>
      <c r="AN92" s="35" t="s">
        <v>108</v>
      </c>
      <c r="AO92" s="41">
        <f>ROUND(AO91*AO5,0)</f>
        <v>5131383</v>
      </c>
      <c r="AQ92" s="2"/>
      <c r="AR92" s="120"/>
      <c r="AS92" s="35" t="s">
        <v>108</v>
      </c>
      <c r="AT92" s="41">
        <f>ROUND(AT91*'Inputs and Parameters (Old)'!L5,0)</f>
        <v>4817162</v>
      </c>
      <c r="AV92" s="2">
        <f>AT89+AT94</f>
        <v>1209474</v>
      </c>
    </row>
    <row r="93" spans="1:48" x14ac:dyDescent="0.3">
      <c r="A93" s="241" t="s">
        <v>394</v>
      </c>
      <c r="B93" s="8">
        <v>0.2</v>
      </c>
      <c r="G93" s="317" t="s">
        <v>394</v>
      </c>
      <c r="H93" s="8">
        <v>0.2</v>
      </c>
      <c r="M93" s="38" t="s">
        <v>394</v>
      </c>
      <c r="N93" s="44">
        <v>0.2</v>
      </c>
      <c r="S93" s="38" t="s">
        <v>394</v>
      </c>
      <c r="T93" s="44">
        <v>0.2</v>
      </c>
      <c r="Y93" s="38" t="s">
        <v>394</v>
      </c>
      <c r="Z93" s="44">
        <v>0.2</v>
      </c>
      <c r="AE93" s="38" t="s">
        <v>394</v>
      </c>
      <c r="AF93" s="44">
        <v>0.2</v>
      </c>
      <c r="AL93" s="120"/>
      <c r="AN93" s="38" t="s">
        <v>101</v>
      </c>
      <c r="AO93" s="44">
        <v>0.2</v>
      </c>
      <c r="AR93" s="120"/>
      <c r="AS93" s="38" t="s">
        <v>101</v>
      </c>
      <c r="AT93" s="44">
        <v>0.2</v>
      </c>
    </row>
    <row r="94" spans="1:48" x14ac:dyDescent="0.3">
      <c r="A94" s="241" t="s">
        <v>104</v>
      </c>
      <c r="B94" s="2">
        <f>B93*B87</f>
        <v>1017820.2734827041</v>
      </c>
      <c r="C94" s="2"/>
      <c r="G94" s="241" t="s">
        <v>104</v>
      </c>
      <c r="H94" s="2">
        <f>H93*H87</f>
        <v>1017820.2734827041</v>
      </c>
      <c r="M94" s="40" t="s">
        <v>104</v>
      </c>
      <c r="N94" s="2">
        <v>950990</v>
      </c>
      <c r="S94" s="40" t="s">
        <v>104</v>
      </c>
      <c r="T94" s="2">
        <v>950990</v>
      </c>
      <c r="Y94" s="40" t="s">
        <v>104</v>
      </c>
      <c r="Z94" s="2">
        <v>950990</v>
      </c>
      <c r="AE94" s="40" t="s">
        <v>104</v>
      </c>
      <c r="AF94" s="2">
        <v>950990</v>
      </c>
      <c r="AL94" s="120"/>
      <c r="AN94" s="40" t="s">
        <v>104</v>
      </c>
      <c r="AO94" s="2">
        <f>ROUND(AO93*AO87,0)</f>
        <v>865911</v>
      </c>
      <c r="AR94" s="120"/>
      <c r="AS94" s="40" t="s">
        <v>104</v>
      </c>
      <c r="AT94" s="2">
        <f>ROUND(AT93*AT87,0)</f>
        <v>863910</v>
      </c>
    </row>
    <row r="95" spans="1:48" x14ac:dyDescent="0.3">
      <c r="A95" s="241" t="s">
        <v>107</v>
      </c>
      <c r="B95" s="333">
        <f>B94*30/60</f>
        <v>508910.13674135203</v>
      </c>
      <c r="G95" s="241" t="s">
        <v>107</v>
      </c>
      <c r="H95" s="2">
        <f>ROUND(H94*0.5,0)</f>
        <v>508910</v>
      </c>
      <c r="M95" s="40" t="s">
        <v>107</v>
      </c>
      <c r="N95" s="2">
        <v>475495</v>
      </c>
      <c r="S95" s="40" t="s">
        <v>107</v>
      </c>
      <c r="T95" s="2">
        <v>475495</v>
      </c>
      <c r="Y95" s="40" t="s">
        <v>107</v>
      </c>
      <c r="Z95" s="2">
        <v>475495</v>
      </c>
      <c r="AE95" s="40" t="s">
        <v>107</v>
      </c>
      <c r="AF95" s="2">
        <v>475495</v>
      </c>
      <c r="AL95" s="120"/>
      <c r="AN95" s="40" t="s">
        <v>107</v>
      </c>
      <c r="AO95" s="2">
        <f>ROUND(AO94*0.5,0)</f>
        <v>432956</v>
      </c>
      <c r="AR95" s="120"/>
      <c r="AS95" s="40" t="s">
        <v>107</v>
      </c>
      <c r="AT95" s="2">
        <f>ROUND(AT94*0.5,0)</f>
        <v>431955</v>
      </c>
    </row>
    <row r="96" spans="1:48" x14ac:dyDescent="0.3">
      <c r="A96" s="246" t="s">
        <v>108</v>
      </c>
      <c r="B96" s="349">
        <f>B95*B5</f>
        <v>17445439.487493549</v>
      </c>
      <c r="G96" s="246" t="s">
        <v>108</v>
      </c>
      <c r="H96" s="41">
        <f>ROUND(H95*H5,0)</f>
        <v>17445435</v>
      </c>
      <c r="M96" s="35" t="s">
        <v>108</v>
      </c>
      <c r="N96" s="41">
        <v>15049417</v>
      </c>
      <c r="S96" s="35" t="s">
        <v>108</v>
      </c>
      <c r="T96" s="41">
        <v>15049417</v>
      </c>
      <c r="Y96" s="35" t="s">
        <v>108</v>
      </c>
      <c r="Z96" s="41">
        <v>15049417</v>
      </c>
      <c r="AE96" s="35" t="s">
        <v>108</v>
      </c>
      <c r="AF96" s="41">
        <v>15049417</v>
      </c>
      <c r="AL96" s="120"/>
      <c r="AN96" s="35" t="s">
        <v>108</v>
      </c>
      <c r="AO96" s="41">
        <f>ROUND(AO95*AO5,0)</f>
        <v>12828486</v>
      </c>
      <c r="AR96" s="120"/>
      <c r="AS96" s="35" t="s">
        <v>108</v>
      </c>
      <c r="AT96" s="41">
        <f>ROUND(AT95*'Inputs and Parameters (Old)'!L5,0)</f>
        <v>12042905</v>
      </c>
    </row>
    <row r="97" spans="1:48" x14ac:dyDescent="0.3">
      <c r="A97" s="241" t="s">
        <v>105</v>
      </c>
      <c r="B97" s="2">
        <f>B87*(1-(B93+B88))</f>
        <v>3664152.9845377342</v>
      </c>
      <c r="C97" s="8"/>
      <c r="D97" s="8"/>
      <c r="G97" s="241" t="s">
        <v>105</v>
      </c>
      <c r="H97" s="2">
        <f>ROUND(H87*(1-(H93+H88)),0)</f>
        <v>3664153</v>
      </c>
      <c r="J97" s="2"/>
      <c r="M97" s="38" t="s">
        <v>105</v>
      </c>
      <c r="N97" s="39">
        <v>3423565</v>
      </c>
      <c r="S97" s="38" t="s">
        <v>105</v>
      </c>
      <c r="T97" s="39">
        <v>3423565</v>
      </c>
      <c r="U97" t="s">
        <v>435</v>
      </c>
      <c r="Y97" s="38" t="s">
        <v>105</v>
      </c>
      <c r="Z97" s="39">
        <v>3423565</v>
      </c>
      <c r="AE97" s="38" t="s">
        <v>105</v>
      </c>
      <c r="AF97" s="39">
        <v>3423565</v>
      </c>
      <c r="AG97" t="s">
        <v>435</v>
      </c>
      <c r="AL97" s="120"/>
      <c r="AN97" s="38" t="s">
        <v>105</v>
      </c>
      <c r="AO97" s="39">
        <f>ROUND(AO87*(1-(AO93+AO88)),0)</f>
        <v>3117280</v>
      </c>
      <c r="AR97" s="120"/>
      <c r="AS97" s="38" t="s">
        <v>105</v>
      </c>
      <c r="AT97" s="39">
        <f>ROUND(AT87*(1-(AT93+AT88)),0)</f>
        <v>3110076</v>
      </c>
    </row>
    <row r="98" spans="1:48" ht="30" customHeight="1" x14ac:dyDescent="0.3">
      <c r="A98" s="241" t="s">
        <v>425</v>
      </c>
      <c r="B98" s="2">
        <f>B84-B90-(B24*B82*B85)</f>
        <v>1803167.5033512947</v>
      </c>
      <c r="E98" s="2">
        <f>B98-H98</f>
        <v>1108046.1642559581</v>
      </c>
      <c r="G98" s="241" t="s">
        <v>402</v>
      </c>
      <c r="H98" s="2">
        <f>H84-H90-(H24*H82*H85)</f>
        <v>695121.33909533673</v>
      </c>
      <c r="I98" s="2"/>
      <c r="M98" s="40" t="s">
        <v>425</v>
      </c>
      <c r="N98" s="152">
        <v>1494573.6331633683</v>
      </c>
      <c r="S98" s="40" t="s">
        <v>402</v>
      </c>
      <c r="T98" s="152">
        <v>649479.74183330359</v>
      </c>
      <c r="U98" s="2">
        <v>2774085.2581666964</v>
      </c>
      <c r="V98">
        <v>0.18970860545463678</v>
      </c>
      <c r="W98" t="s">
        <v>436</v>
      </c>
      <c r="Y98" s="40" t="s">
        <v>425</v>
      </c>
      <c r="Z98" s="152">
        <v>1494573.6331633683</v>
      </c>
      <c r="AE98" s="40" t="s">
        <v>402</v>
      </c>
      <c r="AF98" s="152">
        <v>649479.74183330359</v>
      </c>
      <c r="AG98" s="2">
        <v>2774085.2581666964</v>
      </c>
      <c r="AH98">
        <v>0.18970860545463678</v>
      </c>
      <c r="AI98" t="s">
        <v>436</v>
      </c>
      <c r="AL98" s="120"/>
      <c r="AN98" s="40"/>
      <c r="AO98" s="2"/>
      <c r="AR98" s="120"/>
      <c r="AS98" s="40"/>
      <c r="AT98" s="2"/>
    </row>
    <row r="99" spans="1:48" x14ac:dyDescent="0.3">
      <c r="A99" s="315" t="s">
        <v>486</v>
      </c>
      <c r="B99" s="333">
        <f>B98*(25/60)</f>
        <v>751319.79306303943</v>
      </c>
      <c r="C99" t="s">
        <v>502</v>
      </c>
      <c r="D99" t="s">
        <v>403</v>
      </c>
      <c r="G99" s="315" t="s">
        <v>486</v>
      </c>
      <c r="H99" s="333">
        <f>H98*(25/60)</f>
        <v>289633.89128972363</v>
      </c>
      <c r="M99" s="40" t="s">
        <v>109</v>
      </c>
      <c r="N99" s="2">
        <v>1587235</v>
      </c>
      <c r="O99" t="s">
        <v>403</v>
      </c>
      <c r="S99" s="40" t="s">
        <v>109</v>
      </c>
      <c r="T99" s="2">
        <v>1657660</v>
      </c>
      <c r="U99" t="s">
        <v>403</v>
      </c>
      <c r="Y99" s="40" t="s">
        <v>109</v>
      </c>
      <c r="Z99" s="2">
        <v>1587235</v>
      </c>
      <c r="AA99" t="s">
        <v>403</v>
      </c>
      <c r="AE99" s="40" t="s">
        <v>109</v>
      </c>
      <c r="AF99" s="2">
        <v>1657660</v>
      </c>
      <c r="AG99" t="s">
        <v>403</v>
      </c>
      <c r="AL99" s="120"/>
      <c r="AN99" s="40" t="s">
        <v>109</v>
      </c>
      <c r="AO99" s="2">
        <f>ROUND(AO97*0.5,0)</f>
        <v>1558640</v>
      </c>
      <c r="AR99" s="120"/>
      <c r="AS99" s="40" t="s">
        <v>109</v>
      </c>
      <c r="AT99" s="2">
        <f>ROUND(AT97*0.5,0)</f>
        <v>1555038</v>
      </c>
    </row>
    <row r="100" spans="1:48" x14ac:dyDescent="0.3">
      <c r="A100" s="315" t="s">
        <v>110</v>
      </c>
      <c r="B100" s="2">
        <f>B99</f>
        <v>751319.79306303943</v>
      </c>
      <c r="D100" t="s">
        <v>403</v>
      </c>
      <c r="G100" s="315" t="s">
        <v>110</v>
      </c>
      <c r="H100" s="2">
        <f>H99</f>
        <v>289633.89128972363</v>
      </c>
      <c r="J100" t="s">
        <v>403</v>
      </c>
      <c r="M100" s="40" t="s">
        <v>110</v>
      </c>
      <c r="N100" s="2">
        <v>1587235</v>
      </c>
      <c r="O100" t="s">
        <v>403</v>
      </c>
      <c r="S100" s="40" t="s">
        <v>110</v>
      </c>
      <c r="T100" s="2">
        <v>1657660</v>
      </c>
      <c r="U100" t="s">
        <v>403</v>
      </c>
      <c r="Y100" s="40" t="s">
        <v>110</v>
      </c>
      <c r="Z100" s="2">
        <v>1587235</v>
      </c>
      <c r="AA100" t="s">
        <v>403</v>
      </c>
      <c r="AE100" s="40" t="s">
        <v>110</v>
      </c>
      <c r="AF100" s="2">
        <v>1657660</v>
      </c>
      <c r="AG100" t="s">
        <v>403</v>
      </c>
      <c r="AL100" s="120"/>
      <c r="AN100" s="40" t="s">
        <v>110</v>
      </c>
      <c r="AO100" s="2">
        <f>AO99</f>
        <v>1558640</v>
      </c>
      <c r="AR100" s="120"/>
      <c r="AS100" s="40" t="s">
        <v>110</v>
      </c>
      <c r="AT100" s="2">
        <f>AT99</f>
        <v>1555038</v>
      </c>
    </row>
    <row r="101" spans="1:48" x14ac:dyDescent="0.3">
      <c r="A101" s="316" t="s">
        <v>111</v>
      </c>
      <c r="B101" s="76">
        <f>B99+B100</f>
        <v>1502639.5861260789</v>
      </c>
      <c r="C101" s="281"/>
      <c r="D101" s="281"/>
      <c r="G101" s="316" t="s">
        <v>111</v>
      </c>
      <c r="H101" s="76">
        <f>H99+H100</f>
        <v>579267.78257944726</v>
      </c>
      <c r="I101" s="281">
        <f>+H98*(0.416666666666667)</f>
        <v>289633.89128972386</v>
      </c>
      <c r="J101" s="282" t="s">
        <v>437</v>
      </c>
      <c r="L101" s="2"/>
      <c r="M101" s="35" t="s">
        <v>111</v>
      </c>
      <c r="N101" s="42">
        <v>3174470</v>
      </c>
      <c r="S101" s="35" t="s">
        <v>111</v>
      </c>
      <c r="T101" s="42">
        <v>3315320</v>
      </c>
      <c r="U101" s="2">
        <v>270616.55909721006</v>
      </c>
      <c r="V101" t="s">
        <v>437</v>
      </c>
      <c r="W101" s="2">
        <v>1387043.4409027901</v>
      </c>
      <c r="X101" t="s">
        <v>438</v>
      </c>
      <c r="Y101" s="35" t="s">
        <v>111</v>
      </c>
      <c r="Z101" s="42">
        <v>3174470</v>
      </c>
      <c r="AE101" s="35" t="s">
        <v>111</v>
      </c>
      <c r="AF101" s="42">
        <v>3315320</v>
      </c>
      <c r="AG101" s="2">
        <v>270616.55909721006</v>
      </c>
      <c r="AH101" t="s">
        <v>437</v>
      </c>
      <c r="AI101" s="2">
        <v>1387043.4409027901</v>
      </c>
      <c r="AJ101" t="s">
        <v>438</v>
      </c>
      <c r="AK101" t="s">
        <v>438</v>
      </c>
      <c r="AL101" s="120"/>
      <c r="AN101" s="35" t="s">
        <v>111</v>
      </c>
      <c r="AO101" s="42">
        <f>AO99+AO100</f>
        <v>3117280</v>
      </c>
      <c r="AR101" s="120"/>
      <c r="AS101" s="35" t="s">
        <v>111</v>
      </c>
      <c r="AT101" s="42">
        <f>AT99+AT100</f>
        <v>3110076</v>
      </c>
    </row>
    <row r="102" spans="1:48" x14ac:dyDescent="0.3">
      <c r="A102" s="315" t="s">
        <v>496</v>
      </c>
      <c r="B102" s="322">
        <f>B99*B7</f>
        <v>35770335.347731307</v>
      </c>
      <c r="C102" t="s">
        <v>503</v>
      </c>
      <c r="G102" s="315" t="s">
        <v>496</v>
      </c>
      <c r="H102" s="322">
        <f>ROUND(H99*H7,0)</f>
        <v>13789470</v>
      </c>
      <c r="I102" s="281">
        <f>+I101*2</f>
        <v>579267.78257944772</v>
      </c>
      <c r="J102" s="282" t="s">
        <v>439</v>
      </c>
      <c r="L102" s="2"/>
      <c r="M102" s="40" t="s">
        <v>112</v>
      </c>
      <c r="N102" s="21">
        <v>88599458</v>
      </c>
      <c r="S102" s="40" t="s">
        <v>112</v>
      </c>
      <c r="T102" s="21">
        <v>92530581</v>
      </c>
      <c r="U102" s="2">
        <v>541233.11819442012</v>
      </c>
      <c r="V102" t="s">
        <v>439</v>
      </c>
      <c r="W102" s="2">
        <v>2774086.8818055801</v>
      </c>
      <c r="X102" t="s">
        <v>440</v>
      </c>
      <c r="Y102" s="40" t="s">
        <v>112</v>
      </c>
      <c r="Z102" s="21">
        <v>88599458</v>
      </c>
      <c r="AE102" s="40" t="s">
        <v>112</v>
      </c>
      <c r="AF102" s="21">
        <v>92530581</v>
      </c>
      <c r="AG102" s="2">
        <v>541233.11819442012</v>
      </c>
      <c r="AH102" t="s">
        <v>439</v>
      </c>
      <c r="AI102" s="2">
        <v>2774086.8818055801</v>
      </c>
      <c r="AJ102" t="s">
        <v>440</v>
      </c>
      <c r="AK102" t="s">
        <v>440</v>
      </c>
      <c r="AL102" s="120"/>
      <c r="AN102" s="40" t="s">
        <v>112</v>
      </c>
      <c r="AO102" s="21">
        <f>ROUND(AO99*AO4,0)</f>
        <v>80129682</v>
      </c>
      <c r="AQ102" s="2"/>
      <c r="AR102" s="120"/>
      <c r="AS102" s="40" t="s">
        <v>112</v>
      </c>
      <c r="AT102" s="21">
        <f>ROUND(AT99*'Inputs and Parameters (Old)'!L4,0)</f>
        <v>76678924</v>
      </c>
      <c r="AV102" s="2">
        <f>AT97+AT94+AT89</f>
        <v>4319550</v>
      </c>
    </row>
    <row r="103" spans="1:48" x14ac:dyDescent="0.3">
      <c r="A103" s="315" t="s">
        <v>113</v>
      </c>
      <c r="B103" s="322">
        <f>B100*B5</f>
        <v>25755242.506200992</v>
      </c>
      <c r="G103" s="315" t="s">
        <v>113</v>
      </c>
      <c r="H103" s="322">
        <f>ROUND(H100*H5,0)</f>
        <v>9928650</v>
      </c>
      <c r="I103" s="283">
        <f>+I101*H4</f>
        <v>24427722.391375311</v>
      </c>
      <c r="J103" s="282" t="s">
        <v>441</v>
      </c>
      <c r="L103" s="21"/>
      <c r="M103" s="40" t="s">
        <v>113</v>
      </c>
      <c r="N103" s="21">
        <v>50235988</v>
      </c>
      <c r="S103" s="40" t="s">
        <v>113</v>
      </c>
      <c r="T103" s="21">
        <v>52464939</v>
      </c>
      <c r="U103" s="21">
        <v>15105816.328806266</v>
      </c>
      <c r="V103" t="s">
        <v>441</v>
      </c>
      <c r="W103" s="21">
        <v>77424764.671193734</v>
      </c>
      <c r="X103" t="s">
        <v>443</v>
      </c>
      <c r="Y103" s="40" t="s">
        <v>113</v>
      </c>
      <c r="Z103" s="21">
        <v>50235988</v>
      </c>
      <c r="AE103" s="40" t="s">
        <v>113</v>
      </c>
      <c r="AF103" s="21">
        <v>52464939</v>
      </c>
      <c r="AG103" s="21">
        <v>15105816.328806266</v>
      </c>
      <c r="AH103" t="s">
        <v>441</v>
      </c>
      <c r="AI103" s="21">
        <v>77424764.671193734</v>
      </c>
      <c r="AJ103" t="s">
        <v>443</v>
      </c>
      <c r="AK103" t="s">
        <v>443</v>
      </c>
      <c r="AL103" s="120"/>
      <c r="AN103" s="40" t="s">
        <v>113</v>
      </c>
      <c r="AO103" s="21">
        <f>ROUND(AO100*AO5,0)</f>
        <v>46182503</v>
      </c>
      <c r="AP103" s="2"/>
      <c r="AR103" s="120"/>
      <c r="AS103" s="40" t="s">
        <v>113</v>
      </c>
      <c r="AT103" s="21">
        <f>ROUND(AT100*'Inputs and Parameters (Old)'!L5,0)</f>
        <v>43354459</v>
      </c>
      <c r="AU103" s="2"/>
    </row>
    <row r="104" spans="1:48" x14ac:dyDescent="0.3">
      <c r="A104" s="316" t="s">
        <v>114</v>
      </c>
      <c r="B104" s="349">
        <f>B102+B103</f>
        <v>61525577.853932299</v>
      </c>
      <c r="C104" s="314"/>
      <c r="D104" s="314"/>
      <c r="E104" s="314"/>
      <c r="F104" s="314"/>
      <c r="G104" s="316" t="s">
        <v>114</v>
      </c>
      <c r="H104" s="41">
        <f>H102+H103</f>
        <v>23718120</v>
      </c>
      <c r="I104" s="283">
        <f>+I101*H5</f>
        <v>9928649.7934117336</v>
      </c>
      <c r="J104" s="282" t="s">
        <v>442</v>
      </c>
      <c r="L104" s="21"/>
      <c r="M104" s="37" t="s">
        <v>114</v>
      </c>
      <c r="N104" s="43">
        <v>138835446</v>
      </c>
      <c r="P104" t="s">
        <v>426</v>
      </c>
      <c r="S104" s="37" t="s">
        <v>114</v>
      </c>
      <c r="T104" s="43">
        <v>144995520</v>
      </c>
      <c r="U104" s="21">
        <v>8565014.0954266973</v>
      </c>
      <c r="V104" t="s">
        <v>442</v>
      </c>
      <c r="W104" s="21">
        <v>43899924.904573306</v>
      </c>
      <c r="X104" t="s">
        <v>444</v>
      </c>
      <c r="Y104" s="37" t="s">
        <v>114</v>
      </c>
      <c r="Z104" s="43">
        <v>138835446</v>
      </c>
      <c r="AB104" t="s">
        <v>426</v>
      </c>
      <c r="AE104" s="37" t="s">
        <v>114</v>
      </c>
      <c r="AF104" s="43">
        <v>144995520</v>
      </c>
      <c r="AG104" s="21">
        <v>8565014.0954266973</v>
      </c>
      <c r="AH104" t="s">
        <v>442</v>
      </c>
      <c r="AI104" s="21">
        <v>43899924.904573306</v>
      </c>
      <c r="AJ104" t="s">
        <v>444</v>
      </c>
      <c r="AK104" t="s">
        <v>444</v>
      </c>
      <c r="AL104" s="120"/>
      <c r="AN104" s="37" t="s">
        <v>114</v>
      </c>
      <c r="AO104" s="43">
        <f>AO102+AO103</f>
        <v>126312185</v>
      </c>
      <c r="AP104" s="21"/>
      <c r="AR104" s="120"/>
      <c r="AS104" s="37" t="s">
        <v>114</v>
      </c>
      <c r="AT104" s="43">
        <f>AT102+AT103</f>
        <v>120033383</v>
      </c>
      <c r="AU104" s="21"/>
    </row>
    <row r="105" spans="1:48" x14ac:dyDescent="0.3">
      <c r="A105" s="45"/>
      <c r="G105" s="45"/>
      <c r="I105" s="21"/>
      <c r="M105" s="45"/>
      <c r="S105" s="45"/>
      <c r="U105" s="21"/>
      <c r="Y105" s="45"/>
      <c r="AE105" s="45"/>
      <c r="AG105" s="21"/>
      <c r="AL105" s="120"/>
      <c r="AN105" s="45"/>
      <c r="AO105" s="36"/>
      <c r="AR105" s="120"/>
      <c r="AS105" s="45"/>
      <c r="AT105" s="36"/>
    </row>
    <row r="106" spans="1:48" x14ac:dyDescent="0.3">
      <c r="A106" s="342" t="s">
        <v>563</v>
      </c>
      <c r="B106" s="343"/>
      <c r="C106" s="2"/>
      <c r="G106" s="45"/>
      <c r="H106" s="2"/>
      <c r="I106" s="21"/>
      <c r="M106" s="45"/>
      <c r="S106" s="45"/>
      <c r="U106" s="21"/>
      <c r="Y106" s="45"/>
      <c r="AE106" s="45"/>
      <c r="AG106" s="21"/>
      <c r="AL106" s="120"/>
      <c r="AN106" s="45"/>
      <c r="AO106" s="36"/>
      <c r="AR106" s="120"/>
      <c r="AS106" s="45"/>
      <c r="AT106" s="36"/>
    </row>
    <row r="107" spans="1:48" x14ac:dyDescent="0.3">
      <c r="A107" s="331" t="s">
        <v>553</v>
      </c>
      <c r="B107" s="2">
        <f>B97-B98</f>
        <v>1860985.4811864395</v>
      </c>
      <c r="C107" s="2"/>
      <c r="G107" s="45"/>
      <c r="H107" s="2"/>
      <c r="I107" s="21"/>
      <c r="M107" s="45"/>
      <c r="S107" s="45"/>
      <c r="U107" s="21"/>
      <c r="Y107" s="45"/>
      <c r="AE107" s="45"/>
      <c r="AG107" s="21"/>
      <c r="AL107" s="120"/>
      <c r="AN107" s="45"/>
      <c r="AO107" s="36"/>
      <c r="AR107" s="120"/>
      <c r="AS107" s="45"/>
      <c r="AT107" s="36"/>
    </row>
    <row r="108" spans="1:48" x14ac:dyDescent="0.3">
      <c r="A108" s="315" t="s">
        <v>486</v>
      </c>
      <c r="B108" s="2">
        <f>$B$107*(30/60)</f>
        <v>930492.74059321976</v>
      </c>
      <c r="C108" s="2"/>
      <c r="G108" s="45"/>
      <c r="H108" s="2"/>
      <c r="I108" s="21"/>
      <c r="M108" s="45"/>
      <c r="S108" s="45"/>
      <c r="U108" s="21"/>
      <c r="Y108" s="45"/>
      <c r="AE108" s="45"/>
      <c r="AG108" s="21"/>
      <c r="AL108" s="120"/>
      <c r="AN108" s="45"/>
      <c r="AO108" s="36"/>
      <c r="AR108" s="120"/>
      <c r="AS108" s="45"/>
      <c r="AT108" s="36"/>
    </row>
    <row r="109" spans="1:48" x14ac:dyDescent="0.3">
      <c r="A109" s="315" t="s">
        <v>110</v>
      </c>
      <c r="B109" s="2">
        <f>$B$107*(30/60)</f>
        <v>930492.74059321976</v>
      </c>
      <c r="G109" s="45"/>
      <c r="I109" s="21"/>
      <c r="M109" s="45"/>
      <c r="S109" s="45"/>
      <c r="U109" s="21"/>
      <c r="Y109" s="45"/>
      <c r="AE109" s="45"/>
      <c r="AG109" s="21"/>
      <c r="AL109" s="120"/>
      <c r="AN109" s="45"/>
      <c r="AO109" s="36"/>
      <c r="AR109" s="120"/>
      <c r="AS109" s="45"/>
      <c r="AT109" s="36"/>
    </row>
    <row r="110" spans="1:48" x14ac:dyDescent="0.3">
      <c r="A110" s="315" t="s">
        <v>496</v>
      </c>
      <c r="B110" s="322">
        <f>B108*B7</f>
        <v>44300759.379643194</v>
      </c>
      <c r="G110" s="45"/>
      <c r="I110" s="21"/>
      <c r="M110" s="45"/>
      <c r="S110" s="45"/>
      <c r="U110" s="21"/>
      <c r="Y110" s="45"/>
      <c r="AE110" s="45"/>
      <c r="AG110" s="21"/>
      <c r="AL110" s="120"/>
      <c r="AN110" s="45"/>
      <c r="AO110" s="36"/>
      <c r="AR110" s="120"/>
      <c r="AS110" s="45"/>
      <c r="AT110" s="36"/>
    </row>
    <row r="111" spans="1:48" x14ac:dyDescent="0.3">
      <c r="A111" s="315" t="s">
        <v>113</v>
      </c>
      <c r="B111" s="322">
        <f>B109*B5</f>
        <v>31897291.147535574</v>
      </c>
      <c r="G111" s="45"/>
      <c r="I111" s="21"/>
      <c r="M111" s="45"/>
      <c r="S111" s="45"/>
      <c r="U111" s="21"/>
      <c r="Y111" s="45"/>
      <c r="AE111" s="45"/>
      <c r="AG111" s="21"/>
      <c r="AL111" s="120"/>
      <c r="AN111" s="45"/>
      <c r="AO111" s="36"/>
      <c r="AR111" s="120"/>
      <c r="AS111" s="45"/>
      <c r="AT111" s="36"/>
    </row>
    <row r="112" spans="1:48" x14ac:dyDescent="0.3">
      <c r="A112" s="316" t="s">
        <v>114</v>
      </c>
      <c r="B112" s="348">
        <f>SUM(B110:B111)</f>
        <v>76198050.527178764</v>
      </c>
      <c r="G112" s="45"/>
      <c r="I112" s="21"/>
      <c r="M112" s="45"/>
      <c r="S112" s="45"/>
      <c r="U112" s="21"/>
      <c r="Y112" s="45"/>
      <c r="AE112" s="45"/>
      <c r="AG112" s="21"/>
      <c r="AL112" s="120"/>
      <c r="AN112" s="45"/>
      <c r="AO112" s="36"/>
      <c r="AR112" s="120"/>
      <c r="AS112" s="45"/>
      <c r="AT112" s="36"/>
    </row>
    <row r="113" spans="1:46" x14ac:dyDescent="0.3">
      <c r="A113" s="316"/>
      <c r="G113" s="45"/>
      <c r="I113" s="21"/>
      <c r="M113" s="45"/>
      <c r="S113" s="45"/>
      <c r="U113" s="21"/>
      <c r="Y113" s="45"/>
      <c r="AE113" s="45"/>
      <c r="AG113" s="21"/>
      <c r="AL113" s="120"/>
      <c r="AN113" s="45"/>
      <c r="AO113" s="36"/>
      <c r="AR113" s="120"/>
      <c r="AS113" s="45"/>
      <c r="AT113" s="36"/>
    </row>
    <row r="114" spans="1:46" x14ac:dyDescent="0.3">
      <c r="A114" s="45" t="s">
        <v>115</v>
      </c>
      <c r="B114" s="76">
        <f>B101+B107+B91+B95</f>
        <v>4042171.9163009878</v>
      </c>
      <c r="D114" s="2"/>
      <c r="G114" s="316" t="s">
        <v>115</v>
      </c>
      <c r="H114" s="76">
        <f>H91+H95+H101</f>
        <v>1257814.4948265646</v>
      </c>
      <c r="I114" s="283">
        <f>+I104+I103</f>
        <v>34356372.184787042</v>
      </c>
      <c r="J114" s="282" t="s">
        <v>445</v>
      </c>
      <c r="L114" s="21"/>
      <c r="M114" s="46" t="s">
        <v>115</v>
      </c>
      <c r="N114" s="47">
        <v>3809731</v>
      </c>
      <c r="P114" s="2">
        <v>156066</v>
      </c>
      <c r="Q114">
        <v>78033</v>
      </c>
      <c r="S114" s="46" t="s">
        <v>115</v>
      </c>
      <c r="T114" s="47">
        <v>3965797</v>
      </c>
      <c r="U114" s="21">
        <v>23670830.424232963</v>
      </c>
      <c r="V114" t="s">
        <v>445</v>
      </c>
      <c r="W114" s="21">
        <v>121324689.57576704</v>
      </c>
      <c r="X114" t="s">
        <v>446</v>
      </c>
      <c r="Y114" s="46" t="s">
        <v>115</v>
      </c>
      <c r="Z114" s="47">
        <v>3809731</v>
      </c>
      <c r="AB114" s="2">
        <v>156066</v>
      </c>
      <c r="AC114">
        <v>78033</v>
      </c>
      <c r="AE114" s="46" t="s">
        <v>115</v>
      </c>
      <c r="AF114" s="47">
        <v>3965797</v>
      </c>
      <c r="AG114" s="21">
        <v>23670830.424232963</v>
      </c>
      <c r="AH114" t="s">
        <v>445</v>
      </c>
      <c r="AI114" s="21">
        <v>121324689.57576704</v>
      </c>
      <c r="AJ114" t="s">
        <v>446</v>
      </c>
      <c r="AK114" t="s">
        <v>446</v>
      </c>
      <c r="AL114" s="120"/>
      <c r="AN114" s="46" t="s">
        <v>115</v>
      </c>
      <c r="AO114" s="47">
        <f>AO91+AO95+AO101</f>
        <v>3723418</v>
      </c>
      <c r="AR114" s="120"/>
      <c r="AS114" s="46" t="s">
        <v>115</v>
      </c>
      <c r="AT114" s="47">
        <f>AT91+AT95+AT101</f>
        <v>3714813</v>
      </c>
    </row>
    <row r="115" spans="1:46" x14ac:dyDescent="0.3">
      <c r="A115" s="45"/>
      <c r="B115" s="76"/>
      <c r="D115" s="2"/>
      <c r="G115" s="316"/>
      <c r="H115" s="76"/>
      <c r="I115" s="283"/>
      <c r="J115" s="282"/>
      <c r="L115" s="21"/>
      <c r="M115" s="45"/>
      <c r="N115" s="76"/>
      <c r="P115" s="2"/>
      <c r="S115" s="45"/>
      <c r="T115" s="76"/>
      <c r="U115" s="21"/>
      <c r="W115" s="21"/>
      <c r="Y115" s="45"/>
      <c r="Z115" s="76"/>
      <c r="AB115" s="2"/>
      <c r="AE115" s="45"/>
      <c r="AF115" s="76"/>
      <c r="AG115" s="21"/>
      <c r="AI115" s="21"/>
      <c r="AL115" s="120"/>
      <c r="AN115" s="45"/>
      <c r="AO115" s="76"/>
      <c r="AR115" s="120"/>
      <c r="AS115" s="45"/>
      <c r="AT115" s="76"/>
    </row>
    <row r="116" spans="1:46" ht="15.75" customHeight="1" x14ac:dyDescent="0.3">
      <c r="A116" s="48" t="s">
        <v>71</v>
      </c>
      <c r="B116" s="49">
        <f>B92+B96+B104+B112</f>
        <v>160984214.36443579</v>
      </c>
      <c r="G116" s="48" t="s">
        <v>71</v>
      </c>
      <c r="H116" s="49">
        <f>H92+H96+H104</f>
        <v>46978701.495831184</v>
      </c>
      <c r="M116" s="48" t="s">
        <v>71</v>
      </c>
      <c r="N116" s="49">
        <v>158941457</v>
      </c>
      <c r="S116" s="48" t="s">
        <v>71</v>
      </c>
      <c r="T116" s="49">
        <v>165583117</v>
      </c>
      <c r="Y116" s="48" t="s">
        <v>71</v>
      </c>
      <c r="Z116" s="49">
        <v>158941457</v>
      </c>
      <c r="AE116" s="48" t="s">
        <v>71</v>
      </c>
      <c r="AF116" s="49">
        <v>165583117</v>
      </c>
      <c r="AL116" s="120"/>
      <c r="AN116" s="48" t="s">
        <v>71</v>
      </c>
      <c r="AO116" s="49">
        <f>AO92+AO96+AO104</f>
        <v>144272054</v>
      </c>
      <c r="AR116" s="120"/>
      <c r="AS116" s="48" t="s">
        <v>71</v>
      </c>
      <c r="AT116" s="49">
        <f>AT92+AT96+AT104</f>
        <v>136893450</v>
      </c>
    </row>
    <row r="117" spans="1:46" s="338" customFormat="1" x14ac:dyDescent="0.3">
      <c r="A117" s="336" t="s">
        <v>158</v>
      </c>
      <c r="B117" s="337">
        <f>B94+B89+B97+B97</f>
        <v>8753254.3519512545</v>
      </c>
      <c r="G117" s="336" t="str">
        <f>A117</f>
        <v>Responses:</v>
      </c>
      <c r="H117" s="339">
        <f>H94+H89+H97+H97</f>
        <v>8753254.3828757852</v>
      </c>
      <c r="I117" s="340" t="s">
        <v>554</v>
      </c>
      <c r="J117" s="340"/>
      <c r="M117" s="336" t="s">
        <v>158</v>
      </c>
      <c r="N117" s="337">
        <v>8178516</v>
      </c>
      <c r="S117" s="336" t="s">
        <v>158</v>
      </c>
      <c r="T117" s="337">
        <v>8178516</v>
      </c>
      <c r="Y117" s="336" t="s">
        <v>158</v>
      </c>
      <c r="Z117" s="337">
        <v>8178516</v>
      </c>
      <c r="AE117" s="336" t="s">
        <v>158</v>
      </c>
      <c r="AF117" s="337">
        <v>8178516</v>
      </c>
      <c r="AL117" s="341"/>
      <c r="AN117" s="336" t="s">
        <v>158</v>
      </c>
      <c r="AO117" s="337">
        <f>AO94+AO89+AO97+AO97</f>
        <v>7446835</v>
      </c>
      <c r="AR117" s="341"/>
      <c r="AS117" s="336" t="s">
        <v>158</v>
      </c>
      <c r="AT117" s="337">
        <f>AT94+AT89+AT97+AT97</f>
        <v>7429626</v>
      </c>
    </row>
    <row r="118" spans="1:46" x14ac:dyDescent="0.3">
      <c r="AL118" s="120"/>
      <c r="AR118" s="120"/>
    </row>
    <row r="119" spans="1:46" x14ac:dyDescent="0.3">
      <c r="AL119" s="120"/>
      <c r="AR119" s="120"/>
    </row>
    <row r="120" spans="1:46" x14ac:dyDescent="0.3">
      <c r="A120" s="274" t="s">
        <v>116</v>
      </c>
      <c r="B120" s="274"/>
      <c r="C120" s="274"/>
      <c r="D120" s="274"/>
      <c r="G120" s="274" t="s">
        <v>116</v>
      </c>
      <c r="H120" s="274"/>
      <c r="I120" s="274"/>
      <c r="J120" s="274"/>
      <c r="M120" t="s">
        <v>116</v>
      </c>
      <c r="S120" t="s">
        <v>116</v>
      </c>
      <c r="Y120" t="s">
        <v>116</v>
      </c>
      <c r="AE120" t="s">
        <v>116</v>
      </c>
      <c r="AL120" s="120"/>
      <c r="AN120" t="s">
        <v>116</v>
      </c>
      <c r="AR120" s="120"/>
      <c r="AS120" t="s">
        <v>116</v>
      </c>
    </row>
    <row r="121" spans="1:46" x14ac:dyDescent="0.3">
      <c r="AL121" s="120"/>
      <c r="AR121" s="120"/>
    </row>
    <row r="122" spans="1:46" x14ac:dyDescent="0.3">
      <c r="A122" s="55" t="s">
        <v>122</v>
      </c>
      <c r="G122" s="55" t="s">
        <v>122</v>
      </c>
      <c r="M122" s="55" t="s">
        <v>122</v>
      </c>
      <c r="S122" s="55" t="s">
        <v>122</v>
      </c>
      <c r="Y122" s="55" t="s">
        <v>122</v>
      </c>
      <c r="AE122" s="55" t="s">
        <v>122</v>
      </c>
      <c r="AL122" s="120"/>
      <c r="AN122" s="55" t="s">
        <v>122</v>
      </c>
      <c r="AR122" s="120"/>
      <c r="AS122" s="55" t="s">
        <v>122</v>
      </c>
    </row>
    <row r="123" spans="1:46" x14ac:dyDescent="0.3">
      <c r="A123" s="55"/>
      <c r="G123" s="55"/>
      <c r="M123" s="55"/>
      <c r="S123" s="55"/>
      <c r="Y123" s="55"/>
      <c r="AE123" s="55"/>
      <c r="AL123" s="120"/>
      <c r="AN123" s="55"/>
      <c r="AR123" s="120"/>
      <c r="AS123" s="55"/>
    </row>
    <row r="124" spans="1:46" x14ac:dyDescent="0.3">
      <c r="A124" s="50" t="s">
        <v>117</v>
      </c>
      <c r="B124" s="8">
        <v>0.02</v>
      </c>
      <c r="G124" s="50" t="s">
        <v>117</v>
      </c>
      <c r="H124" s="8">
        <v>0.02</v>
      </c>
      <c r="M124" s="50" t="s">
        <v>117</v>
      </c>
      <c r="N124" s="8">
        <v>0.02</v>
      </c>
      <c r="S124" s="50" t="s">
        <v>117</v>
      </c>
      <c r="T124" s="8">
        <v>0.02</v>
      </c>
      <c r="Y124" s="50" t="s">
        <v>117</v>
      </c>
      <c r="Z124" s="8">
        <v>0.02</v>
      </c>
      <c r="AE124" s="50" t="s">
        <v>117</v>
      </c>
      <c r="AF124" s="8">
        <v>0.02</v>
      </c>
      <c r="AL124" s="120"/>
      <c r="AN124" s="50" t="s">
        <v>117</v>
      </c>
      <c r="AO124" s="8">
        <v>0.02</v>
      </c>
      <c r="AR124" s="120"/>
      <c r="AS124" s="50" t="s">
        <v>117</v>
      </c>
      <c r="AT124" s="8">
        <v>0.02</v>
      </c>
    </row>
    <row r="125" spans="1:46" x14ac:dyDescent="0.3">
      <c r="A125" s="50" t="s">
        <v>118</v>
      </c>
      <c r="B125" s="2">
        <f>ROUND(B13*B124,0)</f>
        <v>12632</v>
      </c>
      <c r="G125" s="50" t="s">
        <v>118</v>
      </c>
      <c r="H125" s="2">
        <f>ROUND(H13*H124,0)</f>
        <v>12632</v>
      </c>
      <c r="M125" s="50" t="s">
        <v>118</v>
      </c>
      <c r="N125" s="2">
        <v>12321</v>
      </c>
      <c r="S125" s="50" t="s">
        <v>118</v>
      </c>
      <c r="T125" s="2">
        <v>12321</v>
      </c>
      <c r="Y125" s="50" t="s">
        <v>118</v>
      </c>
      <c r="Z125" s="2">
        <v>12321</v>
      </c>
      <c r="AE125" s="50" t="s">
        <v>118</v>
      </c>
      <c r="AF125" s="2">
        <v>12321</v>
      </c>
      <c r="AL125" s="120"/>
      <c r="AN125" s="50" t="s">
        <v>118</v>
      </c>
      <c r="AO125" s="2">
        <f>ROUND(AO13*AO124,0)</f>
        <v>12204</v>
      </c>
      <c r="AR125" s="120"/>
      <c r="AS125" s="50" t="s">
        <v>118</v>
      </c>
      <c r="AT125" s="2">
        <f>ROUND(AT13*AT124,0)</f>
        <v>12376</v>
      </c>
    </row>
    <row r="126" spans="1:46" x14ac:dyDescent="0.3">
      <c r="A126" s="50" t="s">
        <v>119</v>
      </c>
      <c r="B126" s="8">
        <v>0.1</v>
      </c>
      <c r="G126" s="50" t="s">
        <v>119</v>
      </c>
      <c r="H126" s="8">
        <v>0.1</v>
      </c>
      <c r="M126" s="51" t="s">
        <v>119</v>
      </c>
      <c r="N126" s="8">
        <v>0.1</v>
      </c>
      <c r="S126" s="51" t="s">
        <v>119</v>
      </c>
      <c r="T126" s="8">
        <v>0.1</v>
      </c>
      <c r="Y126" s="51" t="s">
        <v>119</v>
      </c>
      <c r="Z126" s="8">
        <v>0.1</v>
      </c>
      <c r="AE126" s="51" t="s">
        <v>119</v>
      </c>
      <c r="AF126" s="8">
        <v>0.1</v>
      </c>
      <c r="AL126" s="120"/>
      <c r="AN126" s="51" t="s">
        <v>119</v>
      </c>
      <c r="AO126" s="8">
        <v>0.1</v>
      </c>
      <c r="AR126" s="120"/>
      <c r="AS126" s="51" t="s">
        <v>119</v>
      </c>
      <c r="AT126" s="8">
        <v>0.1</v>
      </c>
    </row>
    <row r="127" spans="1:46" x14ac:dyDescent="0.3">
      <c r="A127" s="50" t="s">
        <v>463</v>
      </c>
      <c r="B127" s="2">
        <f>ROUND(B125*B126,0)</f>
        <v>1263</v>
      </c>
      <c r="G127" s="50" t="s">
        <v>463</v>
      </c>
      <c r="H127" s="2">
        <f>ROUND(H125*H126,0)</f>
        <v>1263</v>
      </c>
      <c r="M127" s="51" t="s">
        <v>120</v>
      </c>
      <c r="N127" s="2">
        <v>1232</v>
      </c>
      <c r="S127" s="51" t="s">
        <v>120</v>
      </c>
      <c r="T127" s="2">
        <v>1232</v>
      </c>
      <c r="Y127" s="51" t="s">
        <v>120</v>
      </c>
      <c r="Z127" s="2">
        <v>1232</v>
      </c>
      <c r="AE127" s="51" t="s">
        <v>120</v>
      </c>
      <c r="AF127" s="2">
        <v>1232</v>
      </c>
      <c r="AL127" s="120"/>
      <c r="AN127" s="51" t="s">
        <v>120</v>
      </c>
      <c r="AO127" s="2">
        <f>ROUND(AO125*AO126,0)</f>
        <v>1220</v>
      </c>
      <c r="AR127" s="120"/>
      <c r="AS127" s="51" t="s">
        <v>120</v>
      </c>
      <c r="AT127" s="2">
        <f>AT125*AT126</f>
        <v>1237.6000000000001</v>
      </c>
    </row>
    <row r="128" spans="1:46" x14ac:dyDescent="0.3">
      <c r="A128" s="50" t="s">
        <v>462</v>
      </c>
      <c r="B128" s="2">
        <f>B127*2</f>
        <v>2526</v>
      </c>
      <c r="C128" s="54"/>
      <c r="G128" s="50" t="s">
        <v>462</v>
      </c>
      <c r="H128" s="2">
        <f>H127*2</f>
        <v>2526</v>
      </c>
      <c r="M128" s="52" t="s">
        <v>121</v>
      </c>
      <c r="N128" s="2">
        <v>2464</v>
      </c>
      <c r="S128" s="52" t="s">
        <v>121</v>
      </c>
      <c r="T128" s="2">
        <v>2464</v>
      </c>
      <c r="Y128" s="52" t="s">
        <v>121</v>
      </c>
      <c r="Z128" s="2">
        <v>2464</v>
      </c>
      <c r="AE128" s="52" t="s">
        <v>121</v>
      </c>
      <c r="AF128" s="2">
        <v>2464</v>
      </c>
      <c r="AL128" s="120"/>
      <c r="AN128" s="52" t="s">
        <v>121</v>
      </c>
      <c r="AO128" s="2">
        <f>AO127*2</f>
        <v>2440</v>
      </c>
      <c r="AR128" s="120"/>
      <c r="AS128" s="52" t="s">
        <v>121</v>
      </c>
      <c r="AT128" s="2">
        <f>AT127*2</f>
        <v>2475.2000000000003</v>
      </c>
    </row>
    <row r="129" spans="1:47" x14ac:dyDescent="0.3">
      <c r="A129" s="250" t="s">
        <v>107</v>
      </c>
      <c r="B129" s="344">
        <f>ROUND(B128*5/60,0)</f>
        <v>211</v>
      </c>
      <c r="C129" s="54">
        <f>0.08*60</f>
        <v>4.8</v>
      </c>
      <c r="G129" s="250" t="s">
        <v>107</v>
      </c>
      <c r="H129" s="54">
        <f>ROUND(H128*0.08,0)</f>
        <v>202</v>
      </c>
      <c r="M129" s="56" t="s">
        <v>107</v>
      </c>
      <c r="N129" s="54">
        <v>197</v>
      </c>
      <c r="S129" s="56" t="s">
        <v>107</v>
      </c>
      <c r="T129" s="54">
        <v>197</v>
      </c>
      <c r="Y129" s="56" t="s">
        <v>107</v>
      </c>
      <c r="Z129" s="54">
        <v>197</v>
      </c>
      <c r="AE129" s="56" t="s">
        <v>107</v>
      </c>
      <c r="AF129" s="54">
        <v>197</v>
      </c>
      <c r="AL129" s="120"/>
      <c r="AN129" s="56" t="s">
        <v>107</v>
      </c>
      <c r="AO129" s="54">
        <f>ROUND(AO128*0.08,0)</f>
        <v>195</v>
      </c>
      <c r="AR129" s="120"/>
      <c r="AS129" s="56" t="s">
        <v>107</v>
      </c>
      <c r="AT129" s="54">
        <f>ROUND(AT128*0.08,0)</f>
        <v>198</v>
      </c>
    </row>
    <row r="130" spans="1:47" x14ac:dyDescent="0.3">
      <c r="A130" s="250" t="s">
        <v>108</v>
      </c>
      <c r="B130" s="21">
        <f>ROUND(B129*B5,0)</f>
        <v>7233</v>
      </c>
      <c r="G130" s="250" t="s">
        <v>108</v>
      </c>
      <c r="H130" s="21">
        <f>ROUND(H129*H5,0)</f>
        <v>6925</v>
      </c>
      <c r="M130" s="56" t="s">
        <v>108</v>
      </c>
      <c r="N130" s="21">
        <v>6235</v>
      </c>
      <c r="S130" s="56" t="s">
        <v>108</v>
      </c>
      <c r="T130" s="21">
        <v>6235</v>
      </c>
      <c r="Y130" s="56" t="s">
        <v>108</v>
      </c>
      <c r="Z130" s="21">
        <v>6235</v>
      </c>
      <c r="AE130" s="56" t="s">
        <v>108</v>
      </c>
      <c r="AF130" s="21">
        <v>6235</v>
      </c>
      <c r="AL130" s="120"/>
      <c r="AN130" s="56" t="s">
        <v>108</v>
      </c>
      <c r="AO130" s="21">
        <f>ROUND(AO129*AO5,0)</f>
        <v>5778</v>
      </c>
      <c r="AR130" s="120"/>
      <c r="AS130" s="56" t="s">
        <v>108</v>
      </c>
      <c r="AT130" s="21">
        <f>ROUND(AT129*'Inputs and Parameters (Old)'!L5,0)</f>
        <v>5520</v>
      </c>
    </row>
    <row r="131" spans="1:47" x14ac:dyDescent="0.3">
      <c r="AL131" s="120"/>
      <c r="AR131" s="120"/>
    </row>
    <row r="132" spans="1:47" x14ac:dyDescent="0.3">
      <c r="A132" s="55" t="s">
        <v>123</v>
      </c>
      <c r="G132" s="55" t="s">
        <v>123</v>
      </c>
      <c r="M132" s="55" t="s">
        <v>123</v>
      </c>
      <c r="S132" s="55" t="s">
        <v>123</v>
      </c>
      <c r="Y132" s="55" t="s">
        <v>123</v>
      </c>
      <c r="AE132" s="55" t="s">
        <v>123</v>
      </c>
      <c r="AL132" s="120"/>
      <c r="AN132" s="55" t="s">
        <v>123</v>
      </c>
      <c r="AR132" s="120"/>
      <c r="AS132" s="55" t="s">
        <v>123</v>
      </c>
    </row>
    <row r="133" spans="1:47" x14ac:dyDescent="0.3">
      <c r="AL133" s="120"/>
      <c r="AR133" s="120"/>
    </row>
    <row r="134" spans="1:47" x14ac:dyDescent="0.3">
      <c r="A134" s="50" t="s">
        <v>124</v>
      </c>
      <c r="B134" s="2">
        <f>B125*2</f>
        <v>25264</v>
      </c>
      <c r="G134" s="50" t="s">
        <v>124</v>
      </c>
      <c r="H134" s="2">
        <f>H125*2</f>
        <v>25264</v>
      </c>
      <c r="M134" s="50" t="s">
        <v>124</v>
      </c>
      <c r="N134" s="2">
        <v>24642</v>
      </c>
      <c r="S134" s="50" t="s">
        <v>124</v>
      </c>
      <c r="T134" s="2">
        <v>24642</v>
      </c>
      <c r="Y134" s="50" t="s">
        <v>124</v>
      </c>
      <c r="Z134" s="2">
        <v>24642</v>
      </c>
      <c r="AE134" s="50" t="s">
        <v>124</v>
      </c>
      <c r="AF134" s="2">
        <v>24642</v>
      </c>
      <c r="AL134" s="120"/>
      <c r="AN134" s="50" t="s">
        <v>124</v>
      </c>
      <c r="AO134" s="2">
        <f>AO125*2</f>
        <v>24408</v>
      </c>
      <c r="AR134" s="120"/>
      <c r="AS134" s="50" t="s">
        <v>124</v>
      </c>
      <c r="AT134" s="2">
        <f>AT125*2</f>
        <v>24752</v>
      </c>
    </row>
    <row r="135" spans="1:47" x14ac:dyDescent="0.3">
      <c r="A135" s="250" t="s">
        <v>107</v>
      </c>
      <c r="B135" s="333">
        <f>ROUND(B134*12*10/60,0)</f>
        <v>50528</v>
      </c>
      <c r="G135" s="250" t="s">
        <v>107</v>
      </c>
      <c r="H135" s="2">
        <f>ROUND(H134*12*0.17,0)</f>
        <v>51539</v>
      </c>
      <c r="M135" s="56" t="s">
        <v>107</v>
      </c>
      <c r="N135" s="2">
        <v>50270</v>
      </c>
      <c r="S135" s="56" t="s">
        <v>107</v>
      </c>
      <c r="T135" s="2">
        <v>50270</v>
      </c>
      <c r="Y135" s="56" t="s">
        <v>107</v>
      </c>
      <c r="Z135" s="2">
        <v>50270</v>
      </c>
      <c r="AE135" s="56" t="s">
        <v>107</v>
      </c>
      <c r="AF135" s="2">
        <v>50270</v>
      </c>
      <c r="AL135" s="120"/>
      <c r="AN135" s="56" t="s">
        <v>107</v>
      </c>
      <c r="AO135" s="2">
        <f>ROUND(AO134*12*0.17,0)</f>
        <v>49792</v>
      </c>
      <c r="AR135" s="120"/>
      <c r="AS135" s="56" t="s">
        <v>107</v>
      </c>
      <c r="AT135" s="2">
        <f>ROUND(AT134*12*0.17,0)</f>
        <v>50494</v>
      </c>
    </row>
    <row r="136" spans="1:47" x14ac:dyDescent="0.3">
      <c r="A136" s="250" t="s">
        <v>108</v>
      </c>
      <c r="B136" s="21">
        <f>ROUND(B135*B5,0)</f>
        <v>1732100</v>
      </c>
      <c r="G136" s="250" t="s">
        <v>108</v>
      </c>
      <c r="H136" s="21">
        <f>ROUND(H135*H5,0)</f>
        <v>1766757</v>
      </c>
      <c r="M136" s="56" t="s">
        <v>108</v>
      </c>
      <c r="N136" s="21">
        <v>1591046</v>
      </c>
      <c r="S136" s="56" t="s">
        <v>108</v>
      </c>
      <c r="T136" s="21">
        <v>1591046</v>
      </c>
      <c r="Y136" s="56" t="s">
        <v>108</v>
      </c>
      <c r="Z136" s="21">
        <v>1591046</v>
      </c>
      <c r="AE136" s="56" t="s">
        <v>108</v>
      </c>
      <c r="AF136" s="21">
        <v>1591046</v>
      </c>
      <c r="AL136" s="120"/>
      <c r="AN136" s="56" t="s">
        <v>108</v>
      </c>
      <c r="AO136" s="21">
        <f>ROUND(AO135*AO5,0)</f>
        <v>1475337</v>
      </c>
      <c r="AR136" s="120"/>
      <c r="AS136" s="56" t="s">
        <v>108</v>
      </c>
      <c r="AT136" s="21">
        <f>ROUND(AT135*'Inputs and Parameters (Old)'!L5,0)</f>
        <v>1407773</v>
      </c>
    </row>
    <row r="137" spans="1:47" x14ac:dyDescent="0.3">
      <c r="A137" s="56"/>
      <c r="B137" s="21"/>
      <c r="G137" s="56"/>
      <c r="H137" s="21"/>
      <c r="M137" s="56"/>
      <c r="N137" s="21"/>
      <c r="S137" s="56"/>
      <c r="T137" s="21"/>
      <c r="Y137" s="56"/>
      <c r="Z137" s="21"/>
      <c r="AE137" s="56"/>
      <c r="AF137" s="21"/>
      <c r="AL137" s="120"/>
      <c r="AN137" s="56"/>
      <c r="AO137" s="21"/>
      <c r="AR137" s="120"/>
      <c r="AS137" s="56"/>
      <c r="AT137" s="21"/>
    </row>
    <row r="138" spans="1:47" x14ac:dyDescent="0.3">
      <c r="A138" s="51" t="s">
        <v>1</v>
      </c>
      <c r="B138" s="2">
        <f>12*B134</f>
        <v>303168</v>
      </c>
      <c r="G138" s="51" t="s">
        <v>1</v>
      </c>
      <c r="H138" s="2">
        <f>12*H134</f>
        <v>303168</v>
      </c>
      <c r="M138" s="53" t="s">
        <v>1</v>
      </c>
      <c r="N138" s="2">
        <v>295704</v>
      </c>
      <c r="S138" s="53" t="s">
        <v>1</v>
      </c>
      <c r="T138" s="2">
        <v>295704</v>
      </c>
      <c r="Y138" s="53" t="s">
        <v>1</v>
      </c>
      <c r="Z138" s="2">
        <v>295704</v>
      </c>
      <c r="AE138" s="53" t="s">
        <v>1</v>
      </c>
      <c r="AF138" s="2">
        <v>295704</v>
      </c>
      <c r="AL138" s="120"/>
      <c r="AN138" s="53" t="s">
        <v>1</v>
      </c>
      <c r="AO138" s="2">
        <f>12*AO134</f>
        <v>292896</v>
      </c>
      <c r="AR138" s="120"/>
      <c r="AS138" s="53" t="s">
        <v>1</v>
      </c>
      <c r="AT138" s="2">
        <f>12*AT134</f>
        <v>297024</v>
      </c>
    </row>
    <row r="139" spans="1:47" x14ac:dyDescent="0.3">
      <c r="AL139" s="120"/>
      <c r="AR139" s="120"/>
    </row>
    <row r="140" spans="1:47" x14ac:dyDescent="0.3">
      <c r="A140" s="274" t="s">
        <v>125</v>
      </c>
      <c r="B140" s="274"/>
      <c r="C140" s="274"/>
      <c r="D140" s="274"/>
      <c r="G140" s="274" t="s">
        <v>125</v>
      </c>
      <c r="H140" s="274"/>
      <c r="I140" s="274"/>
      <c r="J140" s="274"/>
      <c r="M140" t="s">
        <v>125</v>
      </c>
      <c r="S140" t="s">
        <v>125</v>
      </c>
      <c r="Y140" t="s">
        <v>125</v>
      </c>
      <c r="AE140" t="s">
        <v>125</v>
      </c>
      <c r="AL140" s="120"/>
      <c r="AN140" t="s">
        <v>125</v>
      </c>
      <c r="AR140" s="120"/>
      <c r="AS140" t="s">
        <v>125</v>
      </c>
    </row>
    <row r="141" spans="1:47" x14ac:dyDescent="0.3">
      <c r="AL141" s="120"/>
      <c r="AR141" s="120"/>
    </row>
    <row r="142" spans="1:47" x14ac:dyDescent="0.3">
      <c r="A142" s="249" t="s">
        <v>129</v>
      </c>
      <c r="G142" s="249" t="s">
        <v>129</v>
      </c>
      <c r="M142" s="60" t="s">
        <v>129</v>
      </c>
      <c r="S142" s="60" t="s">
        <v>129</v>
      </c>
      <c r="Y142" s="60" t="s">
        <v>129</v>
      </c>
      <c r="AE142" s="60" t="s">
        <v>129</v>
      </c>
      <c r="AL142" s="120"/>
      <c r="AN142" s="60" t="s">
        <v>129</v>
      </c>
      <c r="AR142" s="120"/>
      <c r="AS142" s="60" t="s">
        <v>129</v>
      </c>
    </row>
    <row r="143" spans="1:47" x14ac:dyDescent="0.3">
      <c r="A143" s="248" t="s">
        <v>126</v>
      </c>
      <c r="B143" s="2">
        <v>24727</v>
      </c>
      <c r="G143" s="248" t="s">
        <v>126</v>
      </c>
      <c r="H143" s="2">
        <v>24727</v>
      </c>
      <c r="M143" s="58" t="s">
        <v>126</v>
      </c>
      <c r="N143" s="2">
        <v>24727</v>
      </c>
      <c r="S143" s="58" t="s">
        <v>126</v>
      </c>
      <c r="T143" s="2">
        <v>24727</v>
      </c>
      <c r="Y143" s="58" t="s">
        <v>126</v>
      </c>
      <c r="Z143" s="2">
        <v>24727</v>
      </c>
      <c r="AE143" s="58" t="s">
        <v>126</v>
      </c>
      <c r="AF143" s="2">
        <v>24727</v>
      </c>
      <c r="AL143" s="120"/>
      <c r="AN143" s="58" t="s">
        <v>126</v>
      </c>
      <c r="AO143" s="2">
        <v>24727</v>
      </c>
      <c r="AP143" s="2"/>
      <c r="AR143" s="120"/>
      <c r="AS143" s="58" t="s">
        <v>126</v>
      </c>
      <c r="AT143" s="2">
        <v>24727</v>
      </c>
      <c r="AU143" s="2"/>
    </row>
    <row r="144" spans="1:47" x14ac:dyDescent="0.3">
      <c r="A144" s="248" t="s">
        <v>465</v>
      </c>
      <c r="B144" s="57">
        <f>'Profile 2015'!$W$47</f>
        <v>8.9121153119047086E-2</v>
      </c>
      <c r="G144" s="248" t="str">
        <f>A144</f>
        <v>total employment change (from 2001 to 2015)</v>
      </c>
      <c r="H144" s="57">
        <f>B144</f>
        <v>8.9121153119047086E-2</v>
      </c>
      <c r="M144" s="58" t="s">
        <v>304</v>
      </c>
      <c r="N144" s="57">
        <v>1.7399999999999999E-2</v>
      </c>
      <c r="S144" s="58" t="s">
        <v>304</v>
      </c>
      <c r="T144" s="57">
        <v>1.7399999999999999E-2</v>
      </c>
      <c r="Y144" s="58" t="s">
        <v>304</v>
      </c>
      <c r="Z144" s="57">
        <v>1.7399999999999999E-2</v>
      </c>
      <c r="AE144" s="58" t="s">
        <v>304</v>
      </c>
      <c r="AF144" s="57">
        <v>1.7399999999999999E-2</v>
      </c>
      <c r="AL144" s="120"/>
      <c r="AN144" s="58" t="s">
        <v>304</v>
      </c>
      <c r="AO144" s="57">
        <v>-4.7000000000000002E-3</v>
      </c>
      <c r="AP144" s="57"/>
      <c r="AR144" s="120"/>
      <c r="AS144" s="58" t="s">
        <v>127</v>
      </c>
      <c r="AT144" s="57">
        <v>7.0000000000000001E-3</v>
      </c>
      <c r="AU144" s="57"/>
    </row>
    <row r="145" spans="1:47" x14ac:dyDescent="0.3">
      <c r="A145" s="248" t="s">
        <v>466</v>
      </c>
      <c r="B145" s="2">
        <f>ROUND(B143*(1+B144),0)</f>
        <v>26931</v>
      </c>
      <c r="G145" s="248" t="s">
        <v>466</v>
      </c>
      <c r="H145" s="2">
        <f>ROUND(H143*(1+H144),0)</f>
        <v>26931</v>
      </c>
      <c r="M145" s="58" t="s">
        <v>303</v>
      </c>
      <c r="N145" s="2">
        <v>25157</v>
      </c>
      <c r="S145" s="58" t="s">
        <v>303</v>
      </c>
      <c r="T145" s="2">
        <v>25157</v>
      </c>
      <c r="Y145" s="58" t="s">
        <v>303</v>
      </c>
      <c r="Z145" s="2">
        <v>25157</v>
      </c>
      <c r="AE145" s="58" t="s">
        <v>303</v>
      </c>
      <c r="AF145" s="2">
        <v>25157</v>
      </c>
      <c r="AL145" s="120"/>
      <c r="AN145" s="58" t="s">
        <v>303</v>
      </c>
      <c r="AO145" s="2">
        <f>ROUND(AO143*(1+AO144),0)</f>
        <v>24611</v>
      </c>
      <c r="AP145" s="2"/>
      <c r="AR145" s="120"/>
      <c r="AS145" s="58" t="s">
        <v>128</v>
      </c>
      <c r="AT145" s="2">
        <f>ROUND(AT143*(1-AT144),0)</f>
        <v>24554</v>
      </c>
      <c r="AU145" s="2"/>
    </row>
    <row r="146" spans="1:47" x14ac:dyDescent="0.3">
      <c r="A146" s="250" t="s">
        <v>107</v>
      </c>
      <c r="B146" s="333">
        <f>ROUND(B145*3*5/60,0)</f>
        <v>6733</v>
      </c>
      <c r="G146" s="250" t="s">
        <v>107</v>
      </c>
      <c r="H146" s="2">
        <f>ROUND(H145*3*0.08,0)</f>
        <v>6463</v>
      </c>
      <c r="M146" s="56" t="s">
        <v>107</v>
      </c>
      <c r="N146" s="2">
        <v>6038</v>
      </c>
      <c r="S146" s="56" t="s">
        <v>107</v>
      </c>
      <c r="T146" s="2">
        <v>6038</v>
      </c>
      <c r="Y146" s="56" t="s">
        <v>107</v>
      </c>
      <c r="Z146" s="2">
        <v>6038</v>
      </c>
      <c r="AE146" s="56" t="s">
        <v>107</v>
      </c>
      <c r="AF146" s="2">
        <v>6038</v>
      </c>
      <c r="AL146" s="120"/>
      <c r="AN146" s="56" t="s">
        <v>107</v>
      </c>
      <c r="AO146" s="2">
        <f>ROUND(AO145*3*0.08,0)</f>
        <v>5907</v>
      </c>
      <c r="AP146" s="2"/>
      <c r="AR146" s="120"/>
      <c r="AS146" s="56" t="s">
        <v>107</v>
      </c>
      <c r="AT146" s="2">
        <f>ROUND(AT145*3*0.08,0)</f>
        <v>5893</v>
      </c>
      <c r="AU146" s="2"/>
    </row>
    <row r="147" spans="1:47" x14ac:dyDescent="0.3">
      <c r="A147" s="250" t="s">
        <v>108</v>
      </c>
      <c r="B147" s="21">
        <f>ROUND(B146*B5,0)</f>
        <v>230807</v>
      </c>
      <c r="G147" s="250" t="s">
        <v>108</v>
      </c>
      <c r="H147" s="21">
        <f>ROUND(H146*H5,0)</f>
        <v>221552</v>
      </c>
      <c r="M147" s="56" t="s">
        <v>108</v>
      </c>
      <c r="N147" s="21">
        <v>191103</v>
      </c>
      <c r="S147" s="56" t="s">
        <v>108</v>
      </c>
      <c r="T147" s="21">
        <v>191103</v>
      </c>
      <c r="Y147" s="56" t="s">
        <v>108</v>
      </c>
      <c r="Z147" s="21">
        <v>191103</v>
      </c>
      <c r="AE147" s="56" t="s">
        <v>108</v>
      </c>
      <c r="AF147" s="21">
        <v>191103</v>
      </c>
      <c r="AL147" s="120"/>
      <c r="AN147" s="56" t="s">
        <v>108</v>
      </c>
      <c r="AO147" s="21">
        <f>ROUND(AO146*AO5,0)</f>
        <v>175024</v>
      </c>
      <c r="AP147" s="21"/>
      <c r="AR147" s="120"/>
      <c r="AS147" s="56" t="s">
        <v>108</v>
      </c>
      <c r="AT147" s="21">
        <f>ROUND(AT146*'Inputs and Parameters (Old)'!L5,0)</f>
        <v>164297</v>
      </c>
      <c r="AU147" s="21"/>
    </row>
    <row r="148" spans="1:47" x14ac:dyDescent="0.3">
      <c r="A148" s="56"/>
      <c r="B148" s="21"/>
      <c r="G148" s="56"/>
      <c r="H148" s="21"/>
      <c r="M148" s="56"/>
      <c r="N148" s="21"/>
      <c r="S148" s="56"/>
      <c r="T148" s="21"/>
      <c r="Y148" s="56"/>
      <c r="Z148" s="21"/>
      <c r="AE148" s="56"/>
      <c r="AF148" s="21"/>
      <c r="AL148" s="120"/>
      <c r="AN148" s="56"/>
      <c r="AO148" s="21"/>
      <c r="AP148" s="21"/>
      <c r="AR148" s="120"/>
      <c r="AS148" s="56"/>
      <c r="AT148" s="21"/>
      <c r="AU148" s="21"/>
    </row>
    <row r="149" spans="1:47" x14ac:dyDescent="0.3">
      <c r="A149" s="51" t="s">
        <v>1</v>
      </c>
      <c r="B149" s="2">
        <f>B145*3</f>
        <v>80793</v>
      </c>
      <c r="G149" s="51" t="s">
        <v>1</v>
      </c>
      <c r="H149" s="2">
        <f>H145*3</f>
        <v>80793</v>
      </c>
      <c r="M149" s="56" t="s">
        <v>1</v>
      </c>
      <c r="N149" s="2">
        <v>75471</v>
      </c>
      <c r="S149" s="56" t="s">
        <v>1</v>
      </c>
      <c r="T149" s="2">
        <v>75471</v>
      </c>
      <c r="Y149" s="56" t="s">
        <v>1</v>
      </c>
      <c r="Z149" s="2">
        <v>75471</v>
      </c>
      <c r="AE149" s="56" t="s">
        <v>1</v>
      </c>
      <c r="AF149" s="2">
        <v>75471</v>
      </c>
      <c r="AL149" s="120"/>
      <c r="AN149" s="56" t="s">
        <v>1</v>
      </c>
      <c r="AO149" s="2">
        <f>AO145*3</f>
        <v>73833</v>
      </c>
      <c r="AP149" s="21"/>
      <c r="AR149" s="120"/>
      <c r="AS149" s="56" t="s">
        <v>1</v>
      </c>
      <c r="AT149" s="2">
        <f>AT145*3</f>
        <v>73662</v>
      </c>
      <c r="AU149" s="21"/>
    </row>
    <row r="150" spans="1:47" x14ac:dyDescent="0.3">
      <c r="AL150" s="120"/>
      <c r="AR150" s="120"/>
    </row>
    <row r="151" spans="1:47" x14ac:dyDescent="0.3">
      <c r="A151" s="274" t="s">
        <v>131</v>
      </c>
      <c r="B151" s="274"/>
      <c r="C151" s="274"/>
      <c r="D151" s="274"/>
      <c r="G151" s="274" t="s">
        <v>131</v>
      </c>
      <c r="H151" s="274"/>
      <c r="I151" s="274"/>
      <c r="J151" s="274"/>
      <c r="M151" t="s">
        <v>131</v>
      </c>
      <c r="S151" t="s">
        <v>131</v>
      </c>
      <c r="Y151" t="s">
        <v>131</v>
      </c>
      <c r="AE151" t="s">
        <v>131</v>
      </c>
      <c r="AL151" s="120"/>
      <c r="AN151" t="s">
        <v>131</v>
      </c>
      <c r="AR151" s="120"/>
      <c r="AS151" t="s">
        <v>131</v>
      </c>
    </row>
    <row r="152" spans="1:47" x14ac:dyDescent="0.3">
      <c r="A152" s="248" t="s">
        <v>132</v>
      </c>
      <c r="G152" s="248" t="s">
        <v>132</v>
      </c>
      <c r="M152" s="59" t="s">
        <v>132</v>
      </c>
      <c r="S152" s="59" t="s">
        <v>132</v>
      </c>
      <c r="Y152" s="59" t="s">
        <v>132</v>
      </c>
      <c r="AE152" s="59" t="s">
        <v>132</v>
      </c>
      <c r="AL152" s="120"/>
      <c r="AN152" s="59" t="s">
        <v>132</v>
      </c>
      <c r="AR152" s="120"/>
      <c r="AS152" s="59" t="s">
        <v>132</v>
      </c>
    </row>
    <row r="153" spans="1:47" x14ac:dyDescent="0.3">
      <c r="AL153" s="120"/>
      <c r="AR153" s="120"/>
    </row>
    <row r="154" spans="1:47" x14ac:dyDescent="0.3">
      <c r="A154" s="274" t="s">
        <v>130</v>
      </c>
      <c r="B154" s="274"/>
      <c r="C154" s="274"/>
      <c r="D154" s="274"/>
      <c r="G154" s="274" t="s">
        <v>130</v>
      </c>
      <c r="H154" s="274"/>
      <c r="I154" s="274"/>
      <c r="J154" s="274"/>
      <c r="M154" t="s">
        <v>130</v>
      </c>
      <c r="S154" t="s">
        <v>130</v>
      </c>
      <c r="Y154" t="s">
        <v>130</v>
      </c>
      <c r="AE154" t="s">
        <v>130</v>
      </c>
      <c r="AL154" s="120"/>
      <c r="AN154" t="s">
        <v>130</v>
      </c>
      <c r="AR154" s="120"/>
      <c r="AS154" t="s">
        <v>130</v>
      </c>
    </row>
    <row r="155" spans="1:47" x14ac:dyDescent="0.3">
      <c r="AL155" s="120"/>
      <c r="AR155" s="120"/>
    </row>
    <row r="156" spans="1:47" x14ac:dyDescent="0.3">
      <c r="A156" s="55" t="s">
        <v>20</v>
      </c>
      <c r="G156" s="55" t="s">
        <v>20</v>
      </c>
      <c r="M156" s="55" t="s">
        <v>20</v>
      </c>
      <c r="S156" s="55" t="s">
        <v>20</v>
      </c>
      <c r="Y156" s="55" t="s">
        <v>20</v>
      </c>
      <c r="AE156" s="55" t="s">
        <v>20</v>
      </c>
      <c r="AL156" s="120"/>
      <c r="AN156" s="55" t="s">
        <v>20</v>
      </c>
      <c r="AR156" s="120"/>
      <c r="AS156" s="55" t="s">
        <v>20</v>
      </c>
    </row>
    <row r="157" spans="1:47" x14ac:dyDescent="0.3">
      <c r="A157" s="248" t="s">
        <v>134</v>
      </c>
      <c r="B157" s="2">
        <f>B57+B62+B71</f>
        <v>3328741</v>
      </c>
      <c r="G157" s="248" t="s">
        <v>134</v>
      </c>
      <c r="H157" s="2">
        <f>H57+H62+H71</f>
        <v>3328741</v>
      </c>
      <c r="M157" s="61" t="s">
        <v>134</v>
      </c>
      <c r="N157" s="2">
        <v>3110176</v>
      </c>
      <c r="S157" s="61" t="s">
        <v>134</v>
      </c>
      <c r="T157" s="2">
        <v>3110176</v>
      </c>
      <c r="Y157" s="61" t="s">
        <v>134</v>
      </c>
      <c r="Z157" s="2">
        <v>3110176</v>
      </c>
      <c r="AE157" s="61" t="s">
        <v>134</v>
      </c>
      <c r="AF157" s="2">
        <v>3110176</v>
      </c>
      <c r="AL157" s="120"/>
      <c r="AN157" s="61" t="s">
        <v>134</v>
      </c>
      <c r="AO157" s="2">
        <f>AO57+AO62+AO71</f>
        <v>2831927</v>
      </c>
      <c r="AR157" s="120"/>
      <c r="AS157" s="61" t="s">
        <v>134</v>
      </c>
      <c r="AT157" s="2">
        <f>AT57+AT62+AT71</f>
        <v>3069661</v>
      </c>
    </row>
    <row r="158" spans="1:47" x14ac:dyDescent="0.3">
      <c r="A158" s="250" t="s">
        <v>107</v>
      </c>
      <c r="B158" s="333">
        <f>ROUND(B157*5/60,0)</f>
        <v>277395</v>
      </c>
      <c r="G158" s="250" t="s">
        <v>107</v>
      </c>
      <c r="H158" s="2">
        <f>ROUND(H157*0.08,0)</f>
        <v>266299</v>
      </c>
      <c r="M158" s="56" t="s">
        <v>107</v>
      </c>
      <c r="N158" s="2">
        <v>248814</v>
      </c>
      <c r="S158" s="56" t="s">
        <v>107</v>
      </c>
      <c r="T158" s="2">
        <v>248814</v>
      </c>
      <c r="Y158" s="56" t="s">
        <v>107</v>
      </c>
      <c r="Z158" s="2">
        <v>248814</v>
      </c>
      <c r="AE158" s="56" t="s">
        <v>107</v>
      </c>
      <c r="AF158" s="2">
        <v>248814</v>
      </c>
      <c r="AL158" s="120"/>
      <c r="AN158" s="56" t="s">
        <v>107</v>
      </c>
      <c r="AO158" s="2">
        <f>ROUND(AO157*0.08,0)</f>
        <v>226554</v>
      </c>
      <c r="AR158" s="120"/>
      <c r="AS158" s="56" t="s">
        <v>107</v>
      </c>
      <c r="AT158" s="2">
        <f>ROUND(AT157*0.08,0)</f>
        <v>245573</v>
      </c>
    </row>
    <row r="159" spans="1:47" x14ac:dyDescent="0.3">
      <c r="A159" s="250" t="s">
        <v>108</v>
      </c>
      <c r="B159" s="2">
        <f>ROUND(B158*B6,0)</f>
        <v>7728225</v>
      </c>
      <c r="G159" s="250" t="s">
        <v>108</v>
      </c>
      <c r="H159" s="2">
        <f>ROUND(H158*H6,0)</f>
        <v>7419090</v>
      </c>
      <c r="M159" s="56" t="s">
        <v>108</v>
      </c>
      <c r="N159" s="2">
        <v>5974024</v>
      </c>
      <c r="S159" s="56" t="s">
        <v>108</v>
      </c>
      <c r="T159" s="2">
        <v>5974024</v>
      </c>
      <c r="Y159" s="56" t="s">
        <v>108</v>
      </c>
      <c r="Z159" s="2">
        <v>5974024</v>
      </c>
      <c r="AE159" s="56" t="s">
        <v>108</v>
      </c>
      <c r="AF159" s="2">
        <v>5974024</v>
      </c>
      <c r="AL159" s="120"/>
      <c r="AN159" s="56" t="s">
        <v>108</v>
      </c>
      <c r="AO159" s="2">
        <f>ROUND(AO158*AO6,0)</f>
        <v>5201680</v>
      </c>
      <c r="AR159" s="120"/>
      <c r="AS159" s="56" t="s">
        <v>108</v>
      </c>
      <c r="AT159" s="2">
        <f>ROUND(AT158*'Inputs and Parameters (Old)'!L6,0)</f>
        <v>5402606</v>
      </c>
    </row>
    <row r="160" spans="1:47" x14ac:dyDescent="0.3">
      <c r="A160" s="56"/>
      <c r="B160" s="2"/>
      <c r="G160" s="56"/>
      <c r="H160" s="2"/>
      <c r="M160" s="56"/>
      <c r="N160" s="2"/>
      <c r="S160" s="56"/>
      <c r="T160" s="2"/>
      <c r="Y160" s="56"/>
      <c r="Z160" s="2"/>
      <c r="AE160" s="56"/>
      <c r="AF160" s="2"/>
      <c r="AL160" s="120"/>
      <c r="AN160" s="56"/>
      <c r="AO160" s="2"/>
      <c r="AR160" s="120"/>
      <c r="AS160" s="56"/>
      <c r="AT160" s="2"/>
    </row>
    <row r="161" spans="1:46" x14ac:dyDescent="0.3">
      <c r="A161" s="55" t="s">
        <v>133</v>
      </c>
      <c r="G161" s="55" t="s">
        <v>133</v>
      </c>
      <c r="M161" s="55" t="s">
        <v>133</v>
      </c>
      <c r="S161" s="55" t="s">
        <v>133</v>
      </c>
      <c r="Y161" s="55" t="s">
        <v>133</v>
      </c>
      <c r="AE161" s="55" t="s">
        <v>133</v>
      </c>
      <c r="AL161" s="120"/>
      <c r="AN161" s="55" t="s">
        <v>133</v>
      </c>
      <c r="AR161" s="120"/>
      <c r="AS161" s="55" t="s">
        <v>133</v>
      </c>
    </row>
    <row r="162" spans="1:46" x14ac:dyDescent="0.3">
      <c r="AL162" s="120"/>
      <c r="AR162" s="120"/>
    </row>
    <row r="163" spans="1:46" x14ac:dyDescent="0.3">
      <c r="A163" s="250" t="s">
        <v>107</v>
      </c>
      <c r="B163" s="333">
        <f>ROUND(B87*5/60,0)</f>
        <v>424092</v>
      </c>
      <c r="C163" s="2"/>
      <c r="G163" s="250" t="s">
        <v>107</v>
      </c>
      <c r="H163" s="2">
        <f>ROUND(H87*0.08,0)</f>
        <v>407128</v>
      </c>
      <c r="M163" s="56" t="s">
        <v>107</v>
      </c>
      <c r="N163" s="2">
        <v>380396</v>
      </c>
      <c r="S163" s="56" t="s">
        <v>107</v>
      </c>
      <c r="T163" s="2">
        <v>380396</v>
      </c>
      <c r="Y163" s="56" t="s">
        <v>107</v>
      </c>
      <c r="Z163" s="2">
        <v>380396</v>
      </c>
      <c r="AE163" s="56" t="s">
        <v>107</v>
      </c>
      <c r="AF163" s="2">
        <v>380396</v>
      </c>
      <c r="AL163" s="120"/>
      <c r="AN163" s="56" t="s">
        <v>107</v>
      </c>
      <c r="AO163" s="2">
        <f>ROUND(AO87*0.08,0)</f>
        <v>346364</v>
      </c>
      <c r="AR163" s="120"/>
      <c r="AS163" s="56" t="s">
        <v>107</v>
      </c>
      <c r="AT163" s="2">
        <f>ROUND(AT87*0.08,0)</f>
        <v>345564</v>
      </c>
    </row>
    <row r="164" spans="1:46" x14ac:dyDescent="0.3">
      <c r="A164" s="250" t="s">
        <v>108</v>
      </c>
      <c r="B164" s="21">
        <f>ROUND(B163*B6,0)</f>
        <v>11815203</v>
      </c>
      <c r="G164" s="250" t="s">
        <v>108</v>
      </c>
      <c r="H164" s="21">
        <f>ROUND(H163*H6,0)</f>
        <v>11342586</v>
      </c>
      <c r="M164" s="56" t="s">
        <v>108</v>
      </c>
      <c r="N164" s="21">
        <v>9133308</v>
      </c>
      <c r="S164" s="56" t="s">
        <v>108</v>
      </c>
      <c r="T164" s="21">
        <v>9133308</v>
      </c>
      <c r="Y164" s="56" t="s">
        <v>108</v>
      </c>
      <c r="Z164" s="21">
        <v>9133308</v>
      </c>
      <c r="AE164" s="56" t="s">
        <v>108</v>
      </c>
      <c r="AF164" s="21">
        <v>9133308</v>
      </c>
      <c r="AL164" s="120"/>
      <c r="AN164" s="56" t="s">
        <v>108</v>
      </c>
      <c r="AO164" s="21">
        <f>ROUND(AO163*AO6,0)</f>
        <v>7952517</v>
      </c>
      <c r="AR164" s="120"/>
      <c r="AS164" s="56" t="s">
        <v>108</v>
      </c>
      <c r="AT164" s="21">
        <f>ROUND(AT163*'Inputs and Parameters (Old)'!L6,0)</f>
        <v>7602408</v>
      </c>
    </row>
    <row r="165" spans="1:46" ht="28.8" x14ac:dyDescent="0.3">
      <c r="A165" s="134"/>
      <c r="B165" s="1"/>
      <c r="G165" s="134"/>
      <c r="H165" s="1"/>
      <c r="M165" s="134" t="s">
        <v>337</v>
      </c>
      <c r="N165" s="1" t="s">
        <v>338</v>
      </c>
      <c r="S165" s="134" t="s">
        <v>337</v>
      </c>
      <c r="T165" s="1" t="s">
        <v>338</v>
      </c>
      <c r="Y165" s="134" t="s">
        <v>337</v>
      </c>
      <c r="Z165" s="1" t="s">
        <v>338</v>
      </c>
      <c r="AE165" s="134" t="s">
        <v>337</v>
      </c>
      <c r="AF165" s="1" t="s">
        <v>338</v>
      </c>
      <c r="AL165" s="120"/>
      <c r="AR165" s="120"/>
    </row>
    <row r="166" spans="1:46" x14ac:dyDescent="0.3">
      <c r="A166" s="371" t="s">
        <v>538</v>
      </c>
      <c r="B166" s="1"/>
      <c r="G166" s="134"/>
      <c r="H166" s="1"/>
      <c r="M166" s="134"/>
      <c r="N166" s="1"/>
      <c r="S166" s="134"/>
      <c r="T166" s="1"/>
      <c r="Y166" s="134"/>
      <c r="Z166" s="1"/>
      <c r="AE166" s="134"/>
      <c r="AF166" s="1"/>
      <c r="AL166" s="120"/>
      <c r="AR166" s="120"/>
    </row>
    <row r="167" spans="1:46" x14ac:dyDescent="0.3">
      <c r="A167" s="250" t="s">
        <v>107</v>
      </c>
      <c r="B167" s="2">
        <f>B13*5/60</f>
        <v>52633.916666666664</v>
      </c>
      <c r="G167" s="134"/>
      <c r="H167" s="1"/>
      <c r="M167" s="134"/>
      <c r="N167" s="1"/>
      <c r="S167" s="134"/>
      <c r="T167" s="1"/>
      <c r="Y167" s="134"/>
      <c r="Z167" s="1"/>
      <c r="AE167" s="134"/>
      <c r="AF167" s="1"/>
      <c r="AL167" s="120"/>
      <c r="AR167" s="120"/>
    </row>
    <row r="168" spans="1:46" x14ac:dyDescent="0.3">
      <c r="A168" s="250" t="s">
        <v>108</v>
      </c>
      <c r="B168" s="21">
        <f>B167*B6</f>
        <v>1466380.9183333332</v>
      </c>
      <c r="G168" s="134"/>
      <c r="H168" s="1"/>
      <c r="M168" s="134"/>
      <c r="N168" s="1"/>
      <c r="S168" s="134"/>
      <c r="T168" s="1"/>
      <c r="Y168" s="134"/>
      <c r="Z168" s="1"/>
      <c r="AE168" s="134"/>
      <c r="AF168" s="1"/>
      <c r="AL168" s="120"/>
      <c r="AR168" s="120"/>
    </row>
    <row r="169" spans="1:46" x14ac:dyDescent="0.3">
      <c r="A169" s="134"/>
      <c r="B169" s="1"/>
      <c r="G169" s="134"/>
      <c r="H169" s="1"/>
      <c r="M169" s="134"/>
      <c r="N169" s="1"/>
      <c r="S169" s="134"/>
      <c r="T169" s="1"/>
      <c r="Y169" s="134"/>
      <c r="Z169" s="1"/>
      <c r="AE169" s="134"/>
      <c r="AF169" s="1"/>
      <c r="AL169" s="120"/>
      <c r="AR169" s="120"/>
    </row>
    <row r="170" spans="1:46" x14ac:dyDescent="0.3">
      <c r="A170" s="55" t="s">
        <v>22</v>
      </c>
      <c r="G170" s="55" t="s">
        <v>22</v>
      </c>
      <c r="M170" s="55" t="s">
        <v>22</v>
      </c>
      <c r="S170" s="55" t="s">
        <v>22</v>
      </c>
      <c r="Y170" s="55" t="s">
        <v>22</v>
      </c>
      <c r="AE170" s="55" t="s">
        <v>22</v>
      </c>
      <c r="AL170" s="120"/>
      <c r="AN170" s="55" t="s">
        <v>22</v>
      </c>
      <c r="AR170" s="120"/>
      <c r="AS170" s="55" t="s">
        <v>22</v>
      </c>
    </row>
    <row r="171" spans="1:46" x14ac:dyDescent="0.3">
      <c r="AL171" s="120"/>
      <c r="AR171" s="120"/>
    </row>
    <row r="172" spans="1:46" x14ac:dyDescent="0.3">
      <c r="A172" s="51" t="s">
        <v>135</v>
      </c>
      <c r="B172" s="8">
        <v>0.1</v>
      </c>
      <c r="G172" s="51" t="s">
        <v>135</v>
      </c>
      <c r="H172" s="8">
        <v>0.1</v>
      </c>
      <c r="M172" s="61" t="s">
        <v>135</v>
      </c>
      <c r="N172" s="8">
        <v>0.1</v>
      </c>
      <c r="S172" s="61" t="s">
        <v>135</v>
      </c>
      <c r="T172" s="8">
        <v>0.1</v>
      </c>
      <c r="Y172" s="61" t="s">
        <v>135</v>
      </c>
      <c r="Z172" s="8">
        <v>0.1</v>
      </c>
      <c r="AE172" s="61" t="s">
        <v>135</v>
      </c>
      <c r="AF172" s="8">
        <v>0.1</v>
      </c>
      <c r="AL172" s="120"/>
      <c r="AN172" s="61" t="s">
        <v>135</v>
      </c>
      <c r="AO172" s="8">
        <v>0.1</v>
      </c>
      <c r="AR172" s="120"/>
      <c r="AS172" s="61" t="s">
        <v>135</v>
      </c>
      <c r="AT172" s="8">
        <v>0.1</v>
      </c>
    </row>
    <row r="173" spans="1:46" x14ac:dyDescent="0.3">
      <c r="A173" s="51" t="s">
        <v>136</v>
      </c>
      <c r="B173" s="2">
        <f>ROUND(B172*B24,0)</f>
        <v>584954</v>
      </c>
      <c r="G173" s="51" t="s">
        <v>136</v>
      </c>
      <c r="H173" s="2">
        <f>ROUND(H172*H24,0)</f>
        <v>584954</v>
      </c>
      <c r="M173" s="61" t="s">
        <v>136</v>
      </c>
      <c r="N173" s="2">
        <v>546546</v>
      </c>
      <c r="S173" s="61" t="s">
        <v>136</v>
      </c>
      <c r="T173" s="2">
        <v>546546</v>
      </c>
      <c r="Y173" s="61" t="s">
        <v>136</v>
      </c>
      <c r="Z173" s="2">
        <v>546546</v>
      </c>
      <c r="AE173" s="61" t="s">
        <v>136</v>
      </c>
      <c r="AF173" s="2">
        <v>546546</v>
      </c>
      <c r="AL173" s="120"/>
      <c r="AN173" s="61" t="s">
        <v>136</v>
      </c>
      <c r="AO173" s="2">
        <f>ROUND(AO172*AO24,0)</f>
        <v>497650</v>
      </c>
      <c r="AR173" s="120"/>
      <c r="AS173" s="61" t="s">
        <v>136</v>
      </c>
      <c r="AT173" s="2">
        <f>ROUND(AT172*AT24,0)</f>
        <v>496500</v>
      </c>
    </row>
    <row r="174" spans="1:46" x14ac:dyDescent="0.3">
      <c r="A174" s="250" t="s">
        <v>107</v>
      </c>
      <c r="B174" s="333">
        <f>ROUND(B173*5/60,0)</f>
        <v>48746</v>
      </c>
      <c r="G174" s="250" t="s">
        <v>107</v>
      </c>
      <c r="H174" s="2">
        <f>ROUND(H173*0.08,0)</f>
        <v>46796</v>
      </c>
      <c r="M174" s="56" t="s">
        <v>107</v>
      </c>
      <c r="N174" s="2">
        <v>43724</v>
      </c>
      <c r="S174" s="56" t="s">
        <v>107</v>
      </c>
      <c r="T174" s="2">
        <v>43724</v>
      </c>
      <c r="Y174" s="56" t="s">
        <v>107</v>
      </c>
      <c r="Z174" s="2">
        <v>43724</v>
      </c>
      <c r="AE174" s="56" t="s">
        <v>107</v>
      </c>
      <c r="AF174" s="2">
        <v>43724</v>
      </c>
      <c r="AL174" s="120"/>
      <c r="AN174" s="56" t="s">
        <v>107</v>
      </c>
      <c r="AO174" s="2">
        <f>ROUND(AO173*0.08,0)</f>
        <v>39812</v>
      </c>
      <c r="AR174" s="120"/>
      <c r="AS174" s="56" t="s">
        <v>107</v>
      </c>
      <c r="AT174" s="2">
        <f>ROUND(AT173*0.08,0)</f>
        <v>39720</v>
      </c>
    </row>
    <row r="175" spans="1:46" x14ac:dyDescent="0.3">
      <c r="A175" s="250" t="s">
        <v>108</v>
      </c>
      <c r="B175" s="21">
        <f>ROUND(B174*B6,0)</f>
        <v>1358064</v>
      </c>
      <c r="G175" s="250" t="s">
        <v>108</v>
      </c>
      <c r="H175" s="21">
        <f>ROUND(H174*H6,0)</f>
        <v>1303737</v>
      </c>
      <c r="M175" s="56" t="s">
        <v>108</v>
      </c>
      <c r="N175" s="21">
        <v>1049813</v>
      </c>
      <c r="S175" s="56" t="s">
        <v>108</v>
      </c>
      <c r="T175" s="21">
        <v>1049813</v>
      </c>
      <c r="Y175" s="56" t="s">
        <v>108</v>
      </c>
      <c r="Z175" s="21">
        <v>1049813</v>
      </c>
      <c r="AE175" s="56" t="s">
        <v>108</v>
      </c>
      <c r="AF175" s="21">
        <v>1049813</v>
      </c>
      <c r="AL175" s="120"/>
      <c r="AN175" s="56" t="s">
        <v>108</v>
      </c>
      <c r="AO175" s="21">
        <f>ROUND(AO174*AO6,0)</f>
        <v>914084</v>
      </c>
      <c r="AR175" s="120"/>
      <c r="AS175" s="56" t="s">
        <v>108</v>
      </c>
      <c r="AT175" s="21">
        <f>ROUND(AT174*'Inputs and Parameters (Old)'!L6,0)</f>
        <v>873840</v>
      </c>
    </row>
    <row r="176" spans="1:46" x14ac:dyDescent="0.3">
      <c r="AL176" s="120"/>
      <c r="AR176" s="120"/>
    </row>
    <row r="177" spans="1:46" x14ac:dyDescent="0.3">
      <c r="A177" s="275" t="s">
        <v>137</v>
      </c>
      <c r="B177" s="275"/>
      <c r="C177" s="275"/>
      <c r="D177" s="275"/>
      <c r="E177" s="276"/>
      <c r="F177" s="276"/>
      <c r="G177" s="275" t="s">
        <v>137</v>
      </c>
      <c r="H177" s="275"/>
      <c r="I177" s="275"/>
      <c r="J177" s="275"/>
      <c r="M177" t="s">
        <v>137</v>
      </c>
      <c r="S177" t="s">
        <v>137</v>
      </c>
      <c r="Y177" t="s">
        <v>137</v>
      </c>
      <c r="AE177" t="s">
        <v>137</v>
      </c>
      <c r="AL177" s="120"/>
      <c r="AN177" t="s">
        <v>137</v>
      </c>
      <c r="AR177" s="120"/>
      <c r="AS177" t="s">
        <v>137</v>
      </c>
    </row>
    <row r="178" spans="1:46" x14ac:dyDescent="0.3">
      <c r="AL178" s="120"/>
      <c r="AR178" s="120"/>
    </row>
    <row r="179" spans="1:46" x14ac:dyDescent="0.3">
      <c r="A179" t="s">
        <v>152</v>
      </c>
      <c r="B179" s="2">
        <f>B186+B192+B200</f>
        <v>318290926</v>
      </c>
      <c r="G179" t="s">
        <v>152</v>
      </c>
      <c r="H179" s="2">
        <f>H186+H192+H200</f>
        <v>316906664</v>
      </c>
      <c r="M179" t="s">
        <v>152</v>
      </c>
      <c r="N179" s="2">
        <v>296098563</v>
      </c>
      <c r="S179" t="s">
        <v>152</v>
      </c>
      <c r="T179" s="2">
        <v>296098563</v>
      </c>
      <c r="Y179" t="s">
        <v>152</v>
      </c>
      <c r="Z179" s="2">
        <v>296098563</v>
      </c>
      <c r="AE179" t="s">
        <v>152</v>
      </c>
      <c r="AF179" s="2">
        <v>296098563</v>
      </c>
      <c r="AL179" s="120"/>
      <c r="AN179" t="s">
        <v>152</v>
      </c>
      <c r="AO179" s="2">
        <f>AO186+AO192+AO200</f>
        <v>188844691</v>
      </c>
      <c r="AR179" s="120"/>
      <c r="AS179" t="s">
        <v>152</v>
      </c>
      <c r="AT179" s="2">
        <f>AT187+AT193+AT202</f>
        <v>185578934.67000002</v>
      </c>
    </row>
    <row r="180" spans="1:46" x14ac:dyDescent="0.3">
      <c r="A180" t="s">
        <v>469</v>
      </c>
      <c r="B180" s="170">
        <v>296098563</v>
      </c>
      <c r="C180" t="s">
        <v>467</v>
      </c>
      <c r="G180" t="s">
        <v>468</v>
      </c>
      <c r="H180" s="170">
        <v>296098563</v>
      </c>
      <c r="I180" t="s">
        <v>467</v>
      </c>
      <c r="M180" t="s">
        <v>153</v>
      </c>
      <c r="N180" s="2">
        <v>164751553</v>
      </c>
      <c r="S180" t="s">
        <v>153</v>
      </c>
      <c r="T180" s="2">
        <v>164751553</v>
      </c>
      <c r="Y180" t="s">
        <v>153</v>
      </c>
      <c r="Z180" s="2">
        <v>164751553</v>
      </c>
      <c r="AE180" t="s">
        <v>153</v>
      </c>
      <c r="AF180" s="2">
        <v>164751553</v>
      </c>
      <c r="AL180" s="120"/>
      <c r="AN180" t="s">
        <v>153</v>
      </c>
      <c r="AO180" s="2">
        <v>164751553</v>
      </c>
      <c r="AR180" s="120"/>
      <c r="AS180" t="s">
        <v>153</v>
      </c>
      <c r="AT180" s="2">
        <v>164751553</v>
      </c>
    </row>
    <row r="181" spans="1:46" x14ac:dyDescent="0.3">
      <c r="A181" s="53" t="s">
        <v>154</v>
      </c>
      <c r="B181" s="2">
        <f>B179-B180</f>
        <v>22192363</v>
      </c>
      <c r="G181" s="53" t="s">
        <v>154</v>
      </c>
      <c r="H181" s="2">
        <f>H179-H180</f>
        <v>20808101</v>
      </c>
      <c r="M181" s="53" t="s">
        <v>154</v>
      </c>
      <c r="N181" s="2">
        <v>131347010</v>
      </c>
      <c r="S181" s="53" t="s">
        <v>154</v>
      </c>
      <c r="T181" s="2">
        <v>131347010</v>
      </c>
      <c r="Y181" s="53" t="s">
        <v>154</v>
      </c>
      <c r="Z181" s="2">
        <v>131347010</v>
      </c>
      <c r="AE181" s="53" t="s">
        <v>154</v>
      </c>
      <c r="AF181" s="2">
        <v>131347010</v>
      </c>
      <c r="AL181" s="120"/>
      <c r="AN181" s="53" t="s">
        <v>154</v>
      </c>
      <c r="AO181" s="2">
        <f>AO179-AO180</f>
        <v>24093138</v>
      </c>
      <c r="AR181" s="120"/>
      <c r="AS181" s="53" t="s">
        <v>154</v>
      </c>
      <c r="AT181" s="2">
        <f>AT179-AT180</f>
        <v>20827381.670000017</v>
      </c>
    </row>
    <row r="182" spans="1:46" x14ac:dyDescent="0.3">
      <c r="AL182" s="120"/>
      <c r="AR182" s="120"/>
    </row>
    <row r="183" spans="1:46" x14ac:dyDescent="0.3">
      <c r="A183" s="55" t="s">
        <v>138</v>
      </c>
      <c r="G183" s="55" t="s">
        <v>138</v>
      </c>
      <c r="M183" s="55" t="s">
        <v>138</v>
      </c>
      <c r="S183" s="55" t="s">
        <v>138</v>
      </c>
      <c r="Y183" s="55" t="s">
        <v>138</v>
      </c>
      <c r="AE183" s="55" t="s">
        <v>138</v>
      </c>
      <c r="AL183" s="120"/>
      <c r="AN183" s="55" t="s">
        <v>138</v>
      </c>
      <c r="AR183" s="120"/>
      <c r="AS183" s="55" t="s">
        <v>138</v>
      </c>
    </row>
    <row r="184" spans="1:46" x14ac:dyDescent="0.3">
      <c r="A184" s="51" t="s">
        <v>234</v>
      </c>
      <c r="B184" s="57">
        <v>0.1012</v>
      </c>
      <c r="C184" t="s">
        <v>330</v>
      </c>
      <c r="G184" s="51" t="s">
        <v>234</v>
      </c>
      <c r="H184" s="57">
        <v>0.1012</v>
      </c>
      <c r="I184" t="s">
        <v>330</v>
      </c>
      <c r="M184" s="32" t="s">
        <v>234</v>
      </c>
      <c r="N184" s="57">
        <v>0.1012</v>
      </c>
      <c r="O184" t="s">
        <v>330</v>
      </c>
      <c r="S184" s="32" t="s">
        <v>234</v>
      </c>
      <c r="T184" s="57">
        <v>0.1012</v>
      </c>
      <c r="U184" t="s">
        <v>330</v>
      </c>
      <c r="Y184" s="32" t="s">
        <v>234</v>
      </c>
      <c r="Z184" s="57">
        <v>0.1012</v>
      </c>
      <c r="AA184" t="s">
        <v>330</v>
      </c>
      <c r="AE184" s="32" t="s">
        <v>234</v>
      </c>
      <c r="AF184" s="57">
        <v>0.1012</v>
      </c>
      <c r="AG184" t="s">
        <v>330</v>
      </c>
      <c r="AL184" s="120"/>
      <c r="AN184" s="32" t="s">
        <v>234</v>
      </c>
      <c r="AO184" s="57">
        <v>0.1012</v>
      </c>
      <c r="AR184" s="120"/>
      <c r="AS184" s="32" t="s">
        <v>143</v>
      </c>
      <c r="AT184" s="62">
        <v>250</v>
      </c>
    </row>
    <row r="185" spans="1:46" x14ac:dyDescent="0.3">
      <c r="A185" s="51" t="s">
        <v>233</v>
      </c>
      <c r="B185" s="63">
        <f>ROUND(AT186*(1+H184),2)</f>
        <v>324.58</v>
      </c>
      <c r="C185" s="3"/>
      <c r="G185" s="51" t="s">
        <v>233</v>
      </c>
      <c r="H185" s="63">
        <f>ROUND(AT186*(1+AO184),2)</f>
        <v>324.58</v>
      </c>
      <c r="I185" s="3"/>
      <c r="M185" s="32" t="s">
        <v>233</v>
      </c>
      <c r="N185" s="63">
        <v>324.58</v>
      </c>
      <c r="O185" s="3"/>
      <c r="S185" s="32" t="s">
        <v>233</v>
      </c>
      <c r="T185" s="63">
        <v>324.58</v>
      </c>
      <c r="U185" s="3"/>
      <c r="Y185" s="32" t="s">
        <v>233</v>
      </c>
      <c r="Z185" s="63">
        <v>324.58</v>
      </c>
      <c r="AA185" s="3"/>
      <c r="AE185" s="32" t="s">
        <v>233</v>
      </c>
      <c r="AF185" s="63">
        <v>324.58</v>
      </c>
      <c r="AG185" s="3"/>
      <c r="AL185" s="120"/>
      <c r="AN185" s="32" t="s">
        <v>233</v>
      </c>
      <c r="AO185" s="63">
        <f>ROUND(AT186*(1+AO184),2)</f>
        <v>324.58</v>
      </c>
      <c r="AR185" s="120"/>
      <c r="AS185" s="32" t="s">
        <v>141</v>
      </c>
      <c r="AT185" s="57">
        <v>0.17899999999999999</v>
      </c>
    </row>
    <row r="186" spans="1:46" x14ac:dyDescent="0.3">
      <c r="A186" s="51" t="s">
        <v>144</v>
      </c>
      <c r="B186" s="62">
        <f>ROUND(SUM(B62,B71)*B185,0)</f>
        <v>279214752</v>
      </c>
      <c r="G186" s="51" t="s">
        <v>144</v>
      </c>
      <c r="H186" s="62">
        <f>ROUND(SUM(H62,H71)*H185,0)</f>
        <v>279214752</v>
      </c>
      <c r="M186" s="32" t="s">
        <v>144</v>
      </c>
      <c r="N186" s="138">
        <v>260881500</v>
      </c>
      <c r="S186" s="32" t="s">
        <v>144</v>
      </c>
      <c r="T186" s="138">
        <v>260881500</v>
      </c>
      <c r="Y186" s="32" t="s">
        <v>144</v>
      </c>
      <c r="Z186" s="138">
        <v>260881500</v>
      </c>
      <c r="AE186" s="32" t="s">
        <v>144</v>
      </c>
      <c r="AF186" s="138">
        <v>260881500</v>
      </c>
      <c r="AL186" s="120"/>
      <c r="AN186" s="32" t="s">
        <v>144</v>
      </c>
      <c r="AO186" s="62">
        <f>ROUND(AO62*AO185,0)</f>
        <v>156778307</v>
      </c>
      <c r="AR186" s="120"/>
      <c r="AS186" s="32" t="s">
        <v>142</v>
      </c>
      <c r="AT186" s="63">
        <f>AT184+(AT184*AT185)</f>
        <v>294.75</v>
      </c>
    </row>
    <row r="187" spans="1:46" x14ac:dyDescent="0.3">
      <c r="A187" s="51" t="s">
        <v>470</v>
      </c>
      <c r="B187" s="62">
        <f>B186-AT187</f>
        <v>123710252.25</v>
      </c>
      <c r="G187" s="51" t="s">
        <v>239</v>
      </c>
      <c r="H187" s="62">
        <f>H186-AT187</f>
        <v>123710252.25</v>
      </c>
      <c r="M187" s="32" t="s">
        <v>239</v>
      </c>
      <c r="N187" s="62">
        <v>105377000.25</v>
      </c>
      <c r="S187" s="32" t="s">
        <v>239</v>
      </c>
      <c r="T187" s="62">
        <v>105377000.25</v>
      </c>
      <c r="Y187" s="32" t="s">
        <v>239</v>
      </c>
      <c r="Z187" s="62">
        <v>105377000.25</v>
      </c>
      <c r="AE187" s="32" t="s">
        <v>239</v>
      </c>
      <c r="AF187" s="62">
        <v>105377000.25</v>
      </c>
      <c r="AL187" s="120"/>
      <c r="AN187" s="32" t="s">
        <v>239</v>
      </c>
      <c r="AO187" s="62">
        <f>AO186-'Inputs and Parameters (Old)'!L170</f>
        <v>1273807.25</v>
      </c>
      <c r="AR187" s="120"/>
      <c r="AS187" s="32" t="s">
        <v>144</v>
      </c>
      <c r="AT187" s="62">
        <f>AT62*AT186</f>
        <v>155504499.75</v>
      </c>
    </row>
    <row r="188" spans="1:46" x14ac:dyDescent="0.3">
      <c r="AL188" s="120"/>
      <c r="AR188" s="120"/>
    </row>
    <row r="189" spans="1:46" x14ac:dyDescent="0.3">
      <c r="A189" s="55" t="s">
        <v>139</v>
      </c>
      <c r="G189" s="55" t="s">
        <v>139</v>
      </c>
      <c r="M189" s="55" t="s">
        <v>139</v>
      </c>
      <c r="S189" s="55" t="s">
        <v>139</v>
      </c>
      <c r="Y189" s="55" t="s">
        <v>139</v>
      </c>
      <c r="AE189" s="55" t="s">
        <v>139</v>
      </c>
      <c r="AL189" s="120"/>
      <c r="AN189" s="55" t="s">
        <v>139</v>
      </c>
      <c r="AP189" s="62"/>
      <c r="AR189" s="120"/>
      <c r="AS189" s="55" t="s">
        <v>139</v>
      </c>
    </row>
    <row r="190" spans="1:46" x14ac:dyDescent="0.3">
      <c r="A190" s="51" t="s">
        <v>234</v>
      </c>
      <c r="B190" s="57">
        <v>6.4199999999999993E-2</v>
      </c>
      <c r="C190" t="s">
        <v>330</v>
      </c>
      <c r="G190" s="51" t="s">
        <v>234</v>
      </c>
      <c r="H190" s="57">
        <v>6.4199999999999993E-2</v>
      </c>
      <c r="I190" t="s">
        <v>330</v>
      </c>
      <c r="M190" s="32" t="s">
        <v>234</v>
      </c>
      <c r="N190" s="57">
        <v>6.4199999999999993E-2</v>
      </c>
      <c r="O190" t="s">
        <v>330</v>
      </c>
      <c r="S190" s="32" t="s">
        <v>234</v>
      </c>
      <c r="T190" s="57">
        <v>6.4199999999999993E-2</v>
      </c>
      <c r="U190" t="s">
        <v>330</v>
      </c>
      <c r="Y190" s="32" t="s">
        <v>234</v>
      </c>
      <c r="Z190" s="57">
        <v>6.4199999999999993E-2</v>
      </c>
      <c r="AA190" t="s">
        <v>330</v>
      </c>
      <c r="AE190" s="32" t="s">
        <v>234</v>
      </c>
      <c r="AF190" s="57">
        <v>6.4199999999999993E-2</v>
      </c>
      <c r="AG190" t="s">
        <v>330</v>
      </c>
      <c r="AL190" s="120"/>
      <c r="AN190" s="32" t="s">
        <v>234</v>
      </c>
      <c r="AO190" s="57">
        <v>6.4199999999999993E-2</v>
      </c>
      <c r="AR190" s="120"/>
      <c r="AS190" s="32" t="s">
        <v>143</v>
      </c>
      <c r="AT190" s="7">
        <v>1</v>
      </c>
    </row>
    <row r="191" spans="1:46" x14ac:dyDescent="0.3">
      <c r="A191" s="51" t="s">
        <v>233</v>
      </c>
      <c r="B191" s="63">
        <f>ROUND((1+AO190)*AT192,2)</f>
        <v>1.22</v>
      </c>
      <c r="C191" s="3"/>
      <c r="G191" s="51" t="s">
        <v>233</v>
      </c>
      <c r="H191" s="63">
        <f>ROUND((1+AO190)*AT192,2)</f>
        <v>1.22</v>
      </c>
      <c r="I191" s="3"/>
      <c r="M191" s="32" t="s">
        <v>233</v>
      </c>
      <c r="N191" s="63">
        <v>1.22</v>
      </c>
      <c r="O191" s="3"/>
      <c r="S191" s="32" t="s">
        <v>233</v>
      </c>
      <c r="T191" s="63">
        <v>1.22</v>
      </c>
      <c r="U191" s="3"/>
      <c r="Y191" s="32" t="s">
        <v>233</v>
      </c>
      <c r="Z191" s="63">
        <v>1.22</v>
      </c>
      <c r="AA191" s="3"/>
      <c r="AE191" s="32" t="s">
        <v>233</v>
      </c>
      <c r="AF191" s="63">
        <v>1.22</v>
      </c>
      <c r="AG191" s="3"/>
      <c r="AL191" s="120"/>
      <c r="AN191" s="32" t="s">
        <v>233</v>
      </c>
      <c r="AO191" s="63">
        <f>ROUND((1+AO190)*AT192,2)</f>
        <v>1.22</v>
      </c>
      <c r="AR191" s="120"/>
      <c r="AS191" s="32" t="s">
        <v>141</v>
      </c>
      <c r="AT191" s="8">
        <v>0.15</v>
      </c>
    </row>
    <row r="192" spans="1:46" x14ac:dyDescent="0.3">
      <c r="A192" s="51" t="s">
        <v>235</v>
      </c>
      <c r="B192" s="62">
        <f>ROUND(B97*B191,0)</f>
        <v>4470267</v>
      </c>
      <c r="G192" s="51" t="s">
        <v>235</v>
      </c>
      <c r="H192" s="62">
        <f>ROUND(H97*H191,0)</f>
        <v>4470267</v>
      </c>
      <c r="M192" s="32" t="s">
        <v>235</v>
      </c>
      <c r="N192" s="138">
        <v>4176749</v>
      </c>
      <c r="S192" s="32" t="s">
        <v>235</v>
      </c>
      <c r="T192" s="138">
        <v>4176749</v>
      </c>
      <c r="Y192" s="32" t="s">
        <v>235</v>
      </c>
      <c r="Z192" s="138">
        <v>4176749</v>
      </c>
      <c r="AE192" s="32" t="s">
        <v>235</v>
      </c>
      <c r="AF192" s="138">
        <v>4176749</v>
      </c>
      <c r="AL192" s="120"/>
      <c r="AN192" s="32" t="s">
        <v>235</v>
      </c>
      <c r="AO192" s="62">
        <f>ROUND(AO101*AO191,0)</f>
        <v>3803082</v>
      </c>
      <c r="AR192" s="120"/>
      <c r="AS192" s="32" t="s">
        <v>142</v>
      </c>
      <c r="AT192" s="63">
        <v>1.1499999999999999</v>
      </c>
    </row>
    <row r="193" spans="1:46" x14ac:dyDescent="0.3">
      <c r="A193" s="51" t="s">
        <v>471</v>
      </c>
      <c r="B193" s="62">
        <f>H192-AT193</f>
        <v>893679.60000000009</v>
      </c>
      <c r="G193" s="51" t="s">
        <v>236</v>
      </c>
      <c r="H193" s="62">
        <f>H192-AT193</f>
        <v>893679.60000000009</v>
      </c>
      <c r="M193" s="32" t="s">
        <v>236</v>
      </c>
      <c r="N193" s="62">
        <v>600161.60000000009</v>
      </c>
      <c r="S193" s="32" t="s">
        <v>236</v>
      </c>
      <c r="T193" s="62">
        <v>600161.60000000009</v>
      </c>
      <c r="Y193" s="32" t="s">
        <v>236</v>
      </c>
      <c r="Z193" s="62">
        <v>600161.60000000009</v>
      </c>
      <c r="AE193" s="32" t="s">
        <v>236</v>
      </c>
      <c r="AF193" s="62">
        <v>600161.60000000009</v>
      </c>
      <c r="AL193" s="120"/>
      <c r="AN193" s="32" t="s">
        <v>236</v>
      </c>
      <c r="AO193" s="62">
        <f>AO192-AT193</f>
        <v>226494.60000000009</v>
      </c>
      <c r="AR193" s="120"/>
      <c r="AS193" s="32" t="s">
        <v>155</v>
      </c>
      <c r="AT193" s="62">
        <f>AT101*AT192</f>
        <v>3576587.4</v>
      </c>
    </row>
    <row r="194" spans="1:46" x14ac:dyDescent="0.3">
      <c r="AL194" s="120"/>
      <c r="AR194" s="120"/>
      <c r="AS194" s="32" t="s">
        <v>156</v>
      </c>
      <c r="AT194" s="62">
        <v>3627382</v>
      </c>
    </row>
    <row r="195" spans="1:46" x14ac:dyDescent="0.3">
      <c r="AL195" s="120"/>
      <c r="AR195" s="120"/>
      <c r="AS195" s="32" t="s">
        <v>154</v>
      </c>
      <c r="AT195" s="62">
        <f>AT193-AT194</f>
        <v>-50794.600000000093</v>
      </c>
    </row>
    <row r="196" spans="1:46" x14ac:dyDescent="0.3">
      <c r="AL196" s="120"/>
      <c r="AR196" s="120"/>
    </row>
    <row r="197" spans="1:46" x14ac:dyDescent="0.3">
      <c r="A197" s="55" t="s">
        <v>140</v>
      </c>
      <c r="G197" s="55" t="s">
        <v>140</v>
      </c>
      <c r="M197" s="55" t="s">
        <v>140</v>
      </c>
      <c r="S197" s="55" t="s">
        <v>140</v>
      </c>
      <c r="Y197" s="55" t="s">
        <v>140</v>
      </c>
      <c r="AE197" s="55" t="s">
        <v>140</v>
      </c>
      <c r="AL197" s="120"/>
      <c r="AN197" s="55" t="s">
        <v>140</v>
      </c>
      <c r="AR197" s="120"/>
      <c r="AS197" s="55" t="s">
        <v>140</v>
      </c>
    </row>
    <row r="198" spans="1:46" x14ac:dyDescent="0.3">
      <c r="A198" s="51" t="s">
        <v>234</v>
      </c>
      <c r="B198" s="57">
        <f>B190</f>
        <v>6.4199999999999993E-2</v>
      </c>
      <c r="C198" t="s">
        <v>330</v>
      </c>
      <c r="G198" s="51" t="s">
        <v>234</v>
      </c>
      <c r="H198" s="57">
        <f>H190</f>
        <v>6.4199999999999993E-2</v>
      </c>
      <c r="I198" t="s">
        <v>330</v>
      </c>
      <c r="M198" s="32" t="s">
        <v>234</v>
      </c>
      <c r="N198" s="57">
        <v>6.4199999999999993E-2</v>
      </c>
      <c r="O198" s="132" t="s">
        <v>330</v>
      </c>
      <c r="S198" s="32" t="s">
        <v>234</v>
      </c>
      <c r="T198" s="57">
        <v>6.4199999999999993E-2</v>
      </c>
      <c r="U198" s="132" t="s">
        <v>330</v>
      </c>
      <c r="Y198" s="32" t="s">
        <v>234</v>
      </c>
      <c r="Z198" s="57">
        <v>6.4199999999999993E-2</v>
      </c>
      <c r="AA198" s="132" t="s">
        <v>330</v>
      </c>
      <c r="AE198" s="32" t="s">
        <v>234</v>
      </c>
      <c r="AF198" s="57">
        <v>6.4199999999999993E-2</v>
      </c>
      <c r="AG198" s="132" t="s">
        <v>330</v>
      </c>
      <c r="AL198" s="120"/>
      <c r="AN198" s="32" t="s">
        <v>234</v>
      </c>
      <c r="AO198" s="57">
        <f>AO190</f>
        <v>6.4199999999999993E-2</v>
      </c>
      <c r="AR198" s="120"/>
      <c r="AS198" s="32" t="s">
        <v>126</v>
      </c>
      <c r="AT198" s="63">
        <v>66.680000000000007</v>
      </c>
    </row>
    <row r="199" spans="1:46" x14ac:dyDescent="0.3">
      <c r="A199" s="51" t="s">
        <v>233</v>
      </c>
      <c r="B199" s="63">
        <f>ROUND((1+AO198)*AT201,2)</f>
        <v>81.599999999999994</v>
      </c>
      <c r="G199" s="51" t="s">
        <v>233</v>
      </c>
      <c r="H199" s="63">
        <f>ROUND((1+AO198)*AT201,2)</f>
        <v>81.599999999999994</v>
      </c>
      <c r="M199" s="32" t="s">
        <v>233</v>
      </c>
      <c r="N199" s="63">
        <v>81.599999999999994</v>
      </c>
      <c r="S199" s="32" t="s">
        <v>233</v>
      </c>
      <c r="T199" s="63">
        <v>81.599999999999994</v>
      </c>
      <c r="Y199" s="32" t="s">
        <v>233</v>
      </c>
      <c r="Z199" s="63">
        <v>81.599999999999994</v>
      </c>
      <c r="AE199" s="32" t="s">
        <v>233</v>
      </c>
      <c r="AF199" s="63">
        <v>81.599999999999994</v>
      </c>
      <c r="AL199" s="120"/>
      <c r="AN199" s="32" t="s">
        <v>233</v>
      </c>
      <c r="AO199" s="63">
        <f>ROUND((1+AO198)*AT201,2)</f>
        <v>81.599999999999994</v>
      </c>
      <c r="AR199" s="120"/>
      <c r="AS199" s="32" t="s">
        <v>249</v>
      </c>
      <c r="AT199" s="63">
        <v>71.08</v>
      </c>
    </row>
    <row r="200" spans="1:46" x14ac:dyDescent="0.3">
      <c r="A200" s="51" t="s">
        <v>238</v>
      </c>
      <c r="B200" s="62">
        <f>ROUND(B163*B199,0)</f>
        <v>34605907</v>
      </c>
      <c r="C200" s="62"/>
      <c r="G200" s="51" t="s">
        <v>238</v>
      </c>
      <c r="H200" s="62">
        <f>ROUND(H163*H199,0)</f>
        <v>33221645</v>
      </c>
      <c r="I200" s="62">
        <f>SUM(H200,H192,H186)</f>
        <v>316906664</v>
      </c>
      <c r="M200" s="32" t="s">
        <v>238</v>
      </c>
      <c r="N200" s="62">
        <v>31040314</v>
      </c>
      <c r="O200" s="62">
        <v>296098563</v>
      </c>
      <c r="S200" s="32" t="s">
        <v>238</v>
      </c>
      <c r="T200" s="62">
        <v>31040314</v>
      </c>
      <c r="U200" s="62">
        <v>296098563</v>
      </c>
      <c r="Y200" s="32" t="s">
        <v>238</v>
      </c>
      <c r="Z200" s="62">
        <v>31040314</v>
      </c>
      <c r="AA200" s="62">
        <v>296098563</v>
      </c>
      <c r="AE200" s="32" t="s">
        <v>238</v>
      </c>
      <c r="AF200" s="62">
        <v>31040314</v>
      </c>
      <c r="AG200" s="62">
        <v>296098563</v>
      </c>
      <c r="AL200" s="120"/>
      <c r="AN200" s="32" t="s">
        <v>238</v>
      </c>
      <c r="AO200" s="62">
        <f>ROUND(AO163*AO199,0)</f>
        <v>28263302</v>
      </c>
      <c r="AP200" s="62">
        <f>SUM(AO200,AO192,AO186)</f>
        <v>188844691</v>
      </c>
      <c r="AR200" s="120"/>
      <c r="AS200" s="32" t="s">
        <v>141</v>
      </c>
      <c r="AT200" s="8">
        <v>0.15</v>
      </c>
    </row>
    <row r="201" spans="1:46" x14ac:dyDescent="0.3">
      <c r="A201" s="51" t="s">
        <v>472</v>
      </c>
      <c r="B201" s="62">
        <f>B200-AT202</f>
        <v>8108059.4799999967</v>
      </c>
      <c r="G201" s="51" t="s">
        <v>237</v>
      </c>
      <c r="H201" s="62">
        <f>H200-AT202</f>
        <v>6723797.4799999967</v>
      </c>
      <c r="M201" s="32" t="s">
        <v>237</v>
      </c>
      <c r="N201" s="62">
        <v>31040314</v>
      </c>
      <c r="S201" s="32" t="s">
        <v>237</v>
      </c>
      <c r="T201" s="62">
        <v>4542466.4799999967</v>
      </c>
      <c r="Y201" s="32" t="s">
        <v>237</v>
      </c>
      <c r="Z201" s="62">
        <v>31040314</v>
      </c>
      <c r="AE201" s="32" t="s">
        <v>237</v>
      </c>
      <c r="AF201" s="62">
        <v>4542466.4799999967</v>
      </c>
      <c r="AL201" s="120"/>
      <c r="AN201" s="32" t="s">
        <v>237</v>
      </c>
      <c r="AO201" s="62">
        <f>AO200-AT202</f>
        <v>1765454.4799999967</v>
      </c>
      <c r="AR201" s="120"/>
      <c r="AS201" s="32" t="s">
        <v>142</v>
      </c>
      <c r="AT201" s="63">
        <f>ROUND(AT198+(AT198*AT200),2)</f>
        <v>76.680000000000007</v>
      </c>
    </row>
    <row r="202" spans="1:46" x14ac:dyDescent="0.3">
      <c r="B202" s="62"/>
      <c r="H202" s="62"/>
      <c r="N202" s="62"/>
      <c r="T202" s="62"/>
      <c r="Z202" s="62"/>
      <c r="AF202" s="62"/>
      <c r="AL202" s="120"/>
      <c r="AR202" s="120"/>
      <c r="AS202" s="32" t="s">
        <v>144</v>
      </c>
      <c r="AT202" s="62">
        <f>AT163*AT201</f>
        <v>26497847.520000003</v>
      </c>
    </row>
    <row r="203" spans="1:46" x14ac:dyDescent="0.3">
      <c r="A203" s="82"/>
      <c r="G203" s="82"/>
      <c r="M203" s="82"/>
      <c r="S203" s="82"/>
      <c r="Y203" s="82"/>
      <c r="AE203" s="82"/>
      <c r="AL203" s="120"/>
      <c r="AN203" s="82"/>
      <c r="AO203" s="81"/>
      <c r="AR203" s="120"/>
      <c r="AS203" s="32" t="s">
        <v>157</v>
      </c>
      <c r="AT203" s="62">
        <f>AT202-26774059</f>
        <v>-276211.47999999672</v>
      </c>
    </row>
    <row r="204" spans="1:46" x14ac:dyDescent="0.3">
      <c r="AL204" s="120"/>
      <c r="AR204" s="120"/>
    </row>
    <row r="205" spans="1:46" x14ac:dyDescent="0.3">
      <c r="A205" s="275" t="s">
        <v>145</v>
      </c>
      <c r="B205" s="275"/>
      <c r="C205" s="275"/>
      <c r="D205" s="275"/>
      <c r="E205" s="276"/>
      <c r="F205" s="276"/>
      <c r="G205" s="275" t="s">
        <v>145</v>
      </c>
      <c r="H205" s="275"/>
      <c r="I205" s="275"/>
      <c r="J205" s="275"/>
      <c r="M205" t="s">
        <v>145</v>
      </c>
      <c r="S205" t="s">
        <v>145</v>
      </c>
      <c r="Y205" t="s">
        <v>145</v>
      </c>
      <c r="AE205" t="s">
        <v>145</v>
      </c>
      <c r="AL205" s="120"/>
      <c r="AN205" t="s">
        <v>145</v>
      </c>
      <c r="AR205" s="120"/>
      <c r="AS205" t="s">
        <v>145</v>
      </c>
    </row>
    <row r="206" spans="1:46" x14ac:dyDescent="0.3">
      <c r="A206" s="51" t="s">
        <v>146</v>
      </c>
      <c r="B206" s="57">
        <v>1.4E-2</v>
      </c>
      <c r="G206" s="32" t="s">
        <v>146</v>
      </c>
      <c r="H206" s="57">
        <v>1.4E-2</v>
      </c>
      <c r="M206" s="32" t="s">
        <v>146</v>
      </c>
      <c r="N206" s="57">
        <v>1.4E-2</v>
      </c>
      <c r="S206" s="32" t="s">
        <v>146</v>
      </c>
      <c r="T206" s="57">
        <v>1.4E-2</v>
      </c>
      <c r="Y206" s="32" t="s">
        <v>146</v>
      </c>
      <c r="Z206" s="57">
        <v>1.4E-2</v>
      </c>
      <c r="AE206" s="32" t="s">
        <v>146</v>
      </c>
      <c r="AF206" s="57">
        <v>1.4E-2</v>
      </c>
      <c r="AL206" s="120"/>
      <c r="AN206" s="32" t="s">
        <v>146</v>
      </c>
      <c r="AO206" s="57">
        <v>1.4E-2</v>
      </c>
      <c r="AR206" s="120"/>
      <c r="AS206" s="32" t="s">
        <v>146</v>
      </c>
      <c r="AT206" s="57">
        <v>1.4E-2</v>
      </c>
    </row>
    <row r="207" spans="1:46" x14ac:dyDescent="0.3">
      <c r="A207" s="51" t="s">
        <v>147</v>
      </c>
      <c r="B207" s="2">
        <f>ROUND(B206*B13,0)</f>
        <v>8842</v>
      </c>
      <c r="G207" s="32" t="s">
        <v>147</v>
      </c>
      <c r="H207" s="2">
        <f>ROUND(H206*H13,0)</f>
        <v>8842</v>
      </c>
      <c r="M207" s="32" t="s">
        <v>147</v>
      </c>
      <c r="N207" s="2">
        <v>8624</v>
      </c>
      <c r="S207" s="32" t="s">
        <v>147</v>
      </c>
      <c r="T207" s="2">
        <v>8624</v>
      </c>
      <c r="Y207" s="32" t="s">
        <v>147</v>
      </c>
      <c r="Z207" s="2">
        <v>8624</v>
      </c>
      <c r="AE207" s="32" t="s">
        <v>147</v>
      </c>
      <c r="AF207" s="2">
        <v>8624</v>
      </c>
      <c r="AL207" s="120"/>
      <c r="AN207" s="32" t="s">
        <v>147</v>
      </c>
      <c r="AO207" s="2">
        <f>ROUND(AO206*AO13,0)</f>
        <v>8543</v>
      </c>
      <c r="AR207" s="120"/>
      <c r="AS207" s="32" t="s">
        <v>147</v>
      </c>
      <c r="AT207" s="21">
        <f>AT206*AT13</f>
        <v>8663.2581981643325</v>
      </c>
    </row>
    <row r="208" spans="1:46" x14ac:dyDescent="0.3">
      <c r="A208" s="51" t="s">
        <v>148</v>
      </c>
      <c r="B208" s="63">
        <v>37.369999999999997</v>
      </c>
      <c r="G208" s="32" t="s">
        <v>148</v>
      </c>
      <c r="H208" s="63">
        <v>37.369999999999997</v>
      </c>
      <c r="M208" s="32" t="s">
        <v>148</v>
      </c>
      <c r="N208" s="63">
        <v>37.369999999999997</v>
      </c>
      <c r="S208" s="32" t="s">
        <v>148</v>
      </c>
      <c r="T208" s="63">
        <v>37.369999999999997</v>
      </c>
      <c r="Y208" s="32" t="s">
        <v>148</v>
      </c>
      <c r="Z208" s="63">
        <v>37.369999999999997</v>
      </c>
      <c r="AE208" s="32" t="s">
        <v>148</v>
      </c>
      <c r="AF208" s="63">
        <v>37.369999999999997</v>
      </c>
      <c r="AL208" s="120"/>
      <c r="AN208" s="32" t="s">
        <v>148</v>
      </c>
      <c r="AO208" s="63">
        <v>37.369999999999997</v>
      </c>
      <c r="AR208" s="120"/>
      <c r="AS208" s="32" t="s">
        <v>148</v>
      </c>
      <c r="AT208" s="63">
        <v>37.369999999999997</v>
      </c>
    </row>
    <row r="209" spans="1:47" x14ac:dyDescent="0.3">
      <c r="A209" s="56" t="s">
        <v>108</v>
      </c>
      <c r="B209" s="21">
        <f>ROUND(B207*0.17*B208,0)</f>
        <v>56172</v>
      </c>
      <c r="G209" s="56" t="s">
        <v>108</v>
      </c>
      <c r="H209" s="21">
        <f>ROUND(H207*0.17*H208,0)</f>
        <v>56172</v>
      </c>
      <c r="M209" s="56" t="s">
        <v>108</v>
      </c>
      <c r="N209" s="21">
        <v>54787</v>
      </c>
      <c r="S209" s="56" t="s">
        <v>108</v>
      </c>
      <c r="T209" s="21">
        <v>54787</v>
      </c>
      <c r="Y209" s="56" t="s">
        <v>108</v>
      </c>
      <c r="Z209" s="21">
        <v>54787</v>
      </c>
      <c r="AE209" s="56" t="s">
        <v>108</v>
      </c>
      <c r="AF209" s="21">
        <v>54787</v>
      </c>
      <c r="AL209" s="120"/>
      <c r="AN209" s="56" t="s">
        <v>108</v>
      </c>
      <c r="AO209" s="21">
        <f>ROUND(AO207*0.17*AO208,0)</f>
        <v>54273</v>
      </c>
      <c r="AR209" s="120"/>
      <c r="AS209" s="56" t="s">
        <v>108</v>
      </c>
      <c r="AT209" s="21">
        <f>AT207*0.17*AT208</f>
        <v>55036.813007118188</v>
      </c>
    </row>
    <row r="210" spans="1:47" x14ac:dyDescent="0.3">
      <c r="AL210" s="120"/>
      <c r="AR210" s="120"/>
    </row>
    <row r="211" spans="1:47" x14ac:dyDescent="0.3">
      <c r="A211" s="275" t="s">
        <v>149</v>
      </c>
      <c r="B211" s="275"/>
      <c r="C211" s="275"/>
      <c r="D211" s="275"/>
      <c r="E211" s="276"/>
      <c r="F211" s="276"/>
      <c r="G211" s="275" t="s">
        <v>149</v>
      </c>
      <c r="H211" s="275"/>
      <c r="I211" s="275"/>
      <c r="J211" s="275"/>
      <c r="M211" t="s">
        <v>149</v>
      </c>
      <c r="S211" t="s">
        <v>149</v>
      </c>
      <c r="Y211" t="s">
        <v>149</v>
      </c>
      <c r="AE211" t="s">
        <v>149</v>
      </c>
      <c r="AL211" s="120"/>
      <c r="AN211" t="s">
        <v>149</v>
      </c>
      <c r="AR211" s="120"/>
      <c r="AS211" t="s">
        <v>149</v>
      </c>
    </row>
    <row r="212" spans="1:47" x14ac:dyDescent="0.3">
      <c r="A212" t="s">
        <v>475</v>
      </c>
      <c r="B212" s="2"/>
      <c r="G212" t="s">
        <v>289</v>
      </c>
      <c r="H212" s="2"/>
      <c r="M212" t="s">
        <v>289</v>
      </c>
      <c r="N212" s="2" t="s">
        <v>290</v>
      </c>
      <c r="S212" t="s">
        <v>289</v>
      </c>
      <c r="T212" s="2">
        <v>6801711</v>
      </c>
      <c r="Y212" t="s">
        <v>289</v>
      </c>
      <c r="Z212" s="2" t="s">
        <v>290</v>
      </c>
      <c r="AE212" t="s">
        <v>289</v>
      </c>
      <c r="AF212" s="2">
        <v>6801711</v>
      </c>
      <c r="AL212" s="120"/>
      <c r="AN212" t="s">
        <v>289</v>
      </c>
      <c r="AO212" s="2">
        <f>AT213</f>
        <v>6801711</v>
      </c>
      <c r="AR212" s="120"/>
      <c r="AS212" t="s">
        <v>150</v>
      </c>
      <c r="AT212" s="2">
        <f>'Table 1 May 2011 ICR'!C23</f>
        <v>7159601</v>
      </c>
    </row>
    <row r="213" spans="1:47" x14ac:dyDescent="0.3">
      <c r="A213" t="s">
        <v>290</v>
      </c>
      <c r="G213" t="s">
        <v>290</v>
      </c>
      <c r="M213" t="s">
        <v>290</v>
      </c>
      <c r="S213" t="s">
        <v>290</v>
      </c>
      <c r="Y213" t="s">
        <v>290</v>
      </c>
      <c r="AE213" t="s">
        <v>290</v>
      </c>
      <c r="AL213" s="120"/>
      <c r="AN213" t="s">
        <v>290</v>
      </c>
      <c r="AO213" s="2">
        <f>'Table 1 April 2014 ICR'!D23</f>
        <v>6593720</v>
      </c>
      <c r="AR213" s="120"/>
      <c r="AS213" t="s">
        <v>151</v>
      </c>
      <c r="AT213" s="2">
        <f>'Table 1 May 2011 ICR'!D23</f>
        <v>6801711</v>
      </c>
    </row>
    <row r="214" spans="1:47" x14ac:dyDescent="0.3">
      <c r="AL214" s="120"/>
      <c r="AR214" s="120"/>
    </row>
    <row r="215" spans="1:47" x14ac:dyDescent="0.3">
      <c r="A215" t="s">
        <v>154</v>
      </c>
      <c r="G215" t="s">
        <v>154</v>
      </c>
      <c r="M215" t="s">
        <v>154</v>
      </c>
      <c r="S215" t="s">
        <v>154</v>
      </c>
      <c r="Y215" t="s">
        <v>154</v>
      </c>
      <c r="AE215" t="s">
        <v>154</v>
      </c>
      <c r="AL215" s="120"/>
      <c r="AN215" t="s">
        <v>154</v>
      </c>
      <c r="AO215" s="2">
        <f>AO213-AO212</f>
        <v>-207991</v>
      </c>
      <c r="AR215" s="120"/>
      <c r="AS215" t="s">
        <v>154</v>
      </c>
      <c r="AT215" s="2">
        <f>AT213-AT212</f>
        <v>-357890</v>
      </c>
    </row>
    <row r="216" spans="1:47" x14ac:dyDescent="0.3">
      <c r="AL216" s="120"/>
      <c r="AR216" s="120"/>
    </row>
    <row r="217" spans="1:47" x14ac:dyDescent="0.3">
      <c r="A217" s="278" t="s">
        <v>250</v>
      </c>
      <c r="B217" s="279" t="s">
        <v>464</v>
      </c>
      <c r="C217" s="278" t="s">
        <v>476</v>
      </c>
      <c r="D217" s="271"/>
      <c r="G217" s="278" t="s">
        <v>250</v>
      </c>
      <c r="H217" s="279" t="s">
        <v>464</v>
      </c>
      <c r="I217" s="278" t="s">
        <v>476</v>
      </c>
      <c r="J217" s="271"/>
      <c r="M217" s="72" t="s">
        <v>250</v>
      </c>
      <c r="N217" s="70" t="s">
        <v>308</v>
      </c>
      <c r="O217" s="72" t="s">
        <v>309</v>
      </c>
      <c r="P217" t="s">
        <v>427</v>
      </c>
      <c r="S217" s="72" t="s">
        <v>250</v>
      </c>
      <c r="T217" s="70" t="s">
        <v>308</v>
      </c>
      <c r="U217" s="72" t="s">
        <v>309</v>
      </c>
      <c r="Y217" s="72" t="s">
        <v>250</v>
      </c>
      <c r="Z217" s="70" t="s">
        <v>308</v>
      </c>
      <c r="AA217" s="72" t="s">
        <v>309</v>
      </c>
      <c r="AB217" t="s">
        <v>427</v>
      </c>
      <c r="AE217" s="72" t="s">
        <v>250</v>
      </c>
      <c r="AF217" s="70" t="s">
        <v>308</v>
      </c>
      <c r="AG217" s="72" t="s">
        <v>309</v>
      </c>
      <c r="AL217" s="120"/>
      <c r="AN217" s="72" t="s">
        <v>250</v>
      </c>
      <c r="AO217" s="70" t="s">
        <v>252</v>
      </c>
      <c r="AP217" s="72" t="s">
        <v>291</v>
      </c>
      <c r="AR217" s="120"/>
      <c r="AS217" s="70" t="s">
        <v>251</v>
      </c>
      <c r="AT217" s="72" t="s">
        <v>292</v>
      </c>
      <c r="AU217" s="3" t="s">
        <v>293</v>
      </c>
    </row>
    <row r="218" spans="1:47" x14ac:dyDescent="0.3">
      <c r="A218" s="277" t="s">
        <v>253</v>
      </c>
      <c r="B218" s="2">
        <f>+B174+B163+B158+B146+B135+B129+B114+B75+B47</f>
        <v>7367825.9163009878</v>
      </c>
      <c r="C218" s="2">
        <f>ROUND(B218-N218,0)</f>
        <v>455672</v>
      </c>
      <c r="G218" s="277" t="s">
        <v>253</v>
      </c>
      <c r="H218" s="2">
        <f>+H174+H163+H158+H146+H135+H129+H114+H75+H47</f>
        <v>4554190.4948265646</v>
      </c>
      <c r="I218" s="2">
        <f>ROUND(H218-T218,0)</f>
        <v>-2481426</v>
      </c>
      <c r="M218" s="66" t="s">
        <v>253</v>
      </c>
      <c r="N218" s="2">
        <v>6912154</v>
      </c>
      <c r="O218" s="2">
        <v>110443</v>
      </c>
      <c r="S218" s="66" t="s">
        <v>253</v>
      </c>
      <c r="T218" s="2">
        <v>7035616</v>
      </c>
      <c r="U218" s="2">
        <v>233905</v>
      </c>
      <c r="Y218" s="66" t="s">
        <v>253</v>
      </c>
      <c r="Z218" s="2">
        <v>6912154</v>
      </c>
      <c r="AA218" s="2">
        <v>110443</v>
      </c>
      <c r="AE218" s="66" t="s">
        <v>253</v>
      </c>
      <c r="AF218" s="2">
        <v>7035616</v>
      </c>
      <c r="AG218" s="2">
        <v>233905</v>
      </c>
      <c r="AL218" s="120"/>
      <c r="AN218" s="66" t="s">
        <v>253</v>
      </c>
      <c r="AO218" s="2">
        <f>ROUND('Table 1 April 2014 ICR'!D23,0)</f>
        <v>6593720</v>
      </c>
      <c r="AP218" s="2">
        <f t="shared" ref="AP218:AP226" si="2">ROUND(AO218-AS218,0)</f>
        <v>-207991</v>
      </c>
      <c r="AR218" s="120"/>
      <c r="AS218" s="68">
        <f>ROUND('Table 1 April 2014 ICR'!C23,0)</f>
        <v>6801711</v>
      </c>
      <c r="AT218" s="2">
        <f>AS218-AU218</f>
        <v>-357890</v>
      </c>
      <c r="AU218" s="125">
        <f>'Table 1 May 2011 ICR'!C23</f>
        <v>7159601</v>
      </c>
    </row>
    <row r="219" spans="1:47" x14ac:dyDescent="0.3">
      <c r="A219" s="277" t="s">
        <v>254</v>
      </c>
      <c r="B219" s="62">
        <f>B185</f>
        <v>324.58</v>
      </c>
      <c r="C219" s="62">
        <f t="shared" ref="C219:C226" si="3">ROUND(B219-N219,0)</f>
        <v>0</v>
      </c>
      <c r="G219" s="277" t="s">
        <v>254</v>
      </c>
      <c r="H219" s="62">
        <f>H185</f>
        <v>324.58</v>
      </c>
      <c r="I219" s="62">
        <f t="shared" ref="I219:I226" si="4">ROUND(H219-T219,0)</f>
        <v>0</v>
      </c>
      <c r="M219" s="66" t="s">
        <v>254</v>
      </c>
      <c r="N219" s="62">
        <v>324.58</v>
      </c>
      <c r="O219" s="2">
        <v>30</v>
      </c>
      <c r="S219" s="66" t="s">
        <v>254</v>
      </c>
      <c r="T219" s="62">
        <v>324.58</v>
      </c>
      <c r="U219" s="62">
        <v>30</v>
      </c>
      <c r="Y219" s="66" t="s">
        <v>254</v>
      </c>
      <c r="Z219" s="62">
        <v>324.58</v>
      </c>
      <c r="AA219" s="2">
        <v>30</v>
      </c>
      <c r="AE219" s="66" t="s">
        <v>254</v>
      </c>
      <c r="AF219" s="62">
        <v>324.58</v>
      </c>
      <c r="AG219" s="62">
        <v>30</v>
      </c>
      <c r="AL219" s="120"/>
      <c r="AN219" s="66" t="s">
        <v>254</v>
      </c>
      <c r="AO219" s="62">
        <f>'Inputs and Parameters (Old)'!G168</f>
        <v>324.58</v>
      </c>
      <c r="AP219" s="62">
        <f t="shared" si="2"/>
        <v>30</v>
      </c>
      <c r="AR219" s="120"/>
      <c r="AS219" s="101">
        <f>'Inputs and Parameters (Old)'!L169</f>
        <v>294.75</v>
      </c>
      <c r="AT219" s="62">
        <f>AS219-AU219</f>
        <v>44.75</v>
      </c>
      <c r="AU219" s="126">
        <f>AT184</f>
        <v>250</v>
      </c>
    </row>
    <row r="220" spans="1:47" x14ac:dyDescent="0.3">
      <c r="A220" s="277" t="s">
        <v>255</v>
      </c>
      <c r="B220" s="62">
        <f>B186</f>
        <v>279214752</v>
      </c>
      <c r="C220" s="62">
        <f t="shared" si="3"/>
        <v>18333252</v>
      </c>
      <c r="G220" s="277" t="s">
        <v>255</v>
      </c>
      <c r="H220" s="62">
        <f>H186</f>
        <v>279214752</v>
      </c>
      <c r="I220" s="62">
        <f t="shared" si="4"/>
        <v>18333252</v>
      </c>
      <c r="M220" s="66" t="s">
        <v>255</v>
      </c>
      <c r="N220" s="62">
        <v>260881500</v>
      </c>
      <c r="O220" s="2">
        <v>105377000</v>
      </c>
      <c r="S220" s="66" t="s">
        <v>255</v>
      </c>
      <c r="T220" s="62">
        <v>260881500</v>
      </c>
      <c r="U220" s="62">
        <v>105377000</v>
      </c>
      <c r="Y220" s="66" t="s">
        <v>255</v>
      </c>
      <c r="Z220" s="62">
        <v>260881500</v>
      </c>
      <c r="AA220" s="2">
        <v>105377000</v>
      </c>
      <c r="AE220" s="66" t="s">
        <v>255</v>
      </c>
      <c r="AF220" s="62">
        <v>260881500</v>
      </c>
      <c r="AG220" s="62">
        <v>105377000</v>
      </c>
      <c r="AL220" s="120"/>
      <c r="AN220" s="66" t="s">
        <v>255</v>
      </c>
      <c r="AO220" s="62">
        <f>'Inputs and Parameters (Old)'!G169</f>
        <v>156778307</v>
      </c>
      <c r="AP220" s="62">
        <f t="shared" si="2"/>
        <v>1273807</v>
      </c>
      <c r="AR220" s="120"/>
      <c r="AS220" s="102">
        <f>'Inputs and Parameters (Old)'!L170</f>
        <v>155504499.75</v>
      </c>
      <c r="AT220" s="62">
        <v>21154388</v>
      </c>
      <c r="AU220" s="126">
        <f>AS220-AT220</f>
        <v>134350111.75</v>
      </c>
    </row>
    <row r="221" spans="1:47" x14ac:dyDescent="0.3">
      <c r="A221" s="277" t="s">
        <v>257</v>
      </c>
      <c r="B221" s="63">
        <f>B191</f>
        <v>1.22</v>
      </c>
      <c r="C221" s="62">
        <f t="shared" si="3"/>
        <v>0</v>
      </c>
      <c r="G221" s="277" t="s">
        <v>257</v>
      </c>
      <c r="H221" s="63">
        <f>H191</f>
        <v>1.22</v>
      </c>
      <c r="I221" s="62">
        <f t="shared" si="4"/>
        <v>0</v>
      </c>
      <c r="M221" s="66" t="s">
        <v>257</v>
      </c>
      <c r="N221" s="63">
        <v>1.22</v>
      </c>
      <c r="O221" s="2">
        <v>0</v>
      </c>
      <c r="S221" s="66" t="s">
        <v>257</v>
      </c>
      <c r="T221" s="63">
        <v>1.22</v>
      </c>
      <c r="U221" s="63">
        <v>7.0000000000000062E-2</v>
      </c>
      <c r="Y221" s="66" t="s">
        <v>257</v>
      </c>
      <c r="Z221" s="63">
        <v>1.22</v>
      </c>
      <c r="AA221" s="2">
        <v>0</v>
      </c>
      <c r="AE221" s="66" t="s">
        <v>257</v>
      </c>
      <c r="AF221" s="63">
        <v>1.22</v>
      </c>
      <c r="AG221" s="63">
        <v>7.0000000000000062E-2</v>
      </c>
      <c r="AL221" s="120"/>
      <c r="AN221" s="66" t="s">
        <v>257</v>
      </c>
      <c r="AO221" s="63">
        <f>'Inputs and Parameters (Old)'!G174</f>
        <v>1.22</v>
      </c>
      <c r="AP221" s="63">
        <f>AO221-AS221</f>
        <v>7.0000000000000062E-2</v>
      </c>
      <c r="AR221" s="120"/>
      <c r="AS221" s="101">
        <f>'Inputs and Parameters (Old)'!L175</f>
        <v>1.1499999999999999</v>
      </c>
      <c r="AT221" s="63">
        <f>AS221-AU221</f>
        <v>0.14999999999999991</v>
      </c>
      <c r="AU221" s="127">
        <f>AT190</f>
        <v>1</v>
      </c>
    </row>
    <row r="222" spans="1:47" x14ac:dyDescent="0.3">
      <c r="A222" s="277" t="s">
        <v>256</v>
      </c>
      <c r="B222" s="21">
        <f>B192</f>
        <v>4470267</v>
      </c>
      <c r="C222" s="21">
        <f t="shared" si="3"/>
        <v>293518</v>
      </c>
      <c r="G222" s="277" t="s">
        <v>256</v>
      </c>
      <c r="H222" s="21">
        <f>H192</f>
        <v>4470267</v>
      </c>
      <c r="I222" s="21">
        <f t="shared" si="4"/>
        <v>293518</v>
      </c>
      <c r="M222" s="66" t="s">
        <v>256</v>
      </c>
      <c r="N222" s="21">
        <v>4176749</v>
      </c>
      <c r="O222" s="2">
        <v>600162</v>
      </c>
      <c r="S222" s="66" t="s">
        <v>256</v>
      </c>
      <c r="T222" s="21">
        <v>4176749</v>
      </c>
      <c r="U222" s="21">
        <v>600162</v>
      </c>
      <c r="Y222" s="66" t="s">
        <v>256</v>
      </c>
      <c r="Z222" s="21">
        <v>4176749</v>
      </c>
      <c r="AA222" s="2">
        <v>600162</v>
      </c>
      <c r="AE222" s="66" t="s">
        <v>256</v>
      </c>
      <c r="AF222" s="21">
        <v>4176749</v>
      </c>
      <c r="AG222" s="21">
        <v>600162</v>
      </c>
      <c r="AL222" s="120"/>
      <c r="AN222" s="66" t="s">
        <v>256</v>
      </c>
      <c r="AO222" s="21">
        <f>'Inputs and Parameters (Old)'!G175</f>
        <v>3803082</v>
      </c>
      <c r="AP222" s="21">
        <f t="shared" si="2"/>
        <v>226495</v>
      </c>
      <c r="AR222" s="120"/>
      <c r="AS222" s="102">
        <f>'Inputs and Parameters (Old)'!L176</f>
        <v>3576587.4</v>
      </c>
      <c r="AT222" s="21">
        <f>AS222-AU222</f>
        <v>-50794.600000000093</v>
      </c>
      <c r="AU222" s="126">
        <f>AT194</f>
        <v>3627382</v>
      </c>
    </row>
    <row r="223" spans="1:47" x14ac:dyDescent="0.3">
      <c r="A223" s="277" t="s">
        <v>258</v>
      </c>
      <c r="B223" s="63">
        <f>B199</f>
        <v>81.599999999999994</v>
      </c>
      <c r="C223" s="62">
        <f t="shared" si="3"/>
        <v>0</v>
      </c>
      <c r="G223" s="277" t="s">
        <v>258</v>
      </c>
      <c r="H223" s="63">
        <f>H199</f>
        <v>81.599999999999994</v>
      </c>
      <c r="I223" s="62">
        <f t="shared" si="4"/>
        <v>0</v>
      </c>
      <c r="M223" s="66" t="s">
        <v>258</v>
      </c>
      <c r="N223" s="63">
        <v>81.599999999999994</v>
      </c>
      <c r="O223" s="2">
        <v>5</v>
      </c>
      <c r="S223" s="66" t="s">
        <v>258</v>
      </c>
      <c r="T223" s="63">
        <v>81.599999999999994</v>
      </c>
      <c r="U223" s="63">
        <v>5</v>
      </c>
      <c r="Y223" s="66" t="s">
        <v>258</v>
      </c>
      <c r="Z223" s="63">
        <v>81.599999999999994</v>
      </c>
      <c r="AA223" s="2">
        <v>5</v>
      </c>
      <c r="AE223" s="66" t="s">
        <v>258</v>
      </c>
      <c r="AF223" s="63">
        <v>81.599999999999994</v>
      </c>
      <c r="AG223" s="63">
        <v>5</v>
      </c>
      <c r="AL223" s="120"/>
      <c r="AN223" s="66" t="s">
        <v>258</v>
      </c>
      <c r="AO223" s="63">
        <f>'Inputs and Parameters (Old)'!G182</f>
        <v>81.599999999999994</v>
      </c>
      <c r="AP223" s="63">
        <f t="shared" si="2"/>
        <v>5</v>
      </c>
      <c r="AR223" s="120"/>
      <c r="AS223" s="101">
        <f>'Inputs and Parameters (Old)'!L184</f>
        <v>76.680000000000007</v>
      </c>
      <c r="AT223" s="63">
        <f>AS223-AU223</f>
        <v>5.6000000000000085</v>
      </c>
      <c r="AU223" s="128">
        <f>AT199</f>
        <v>71.08</v>
      </c>
    </row>
    <row r="224" spans="1:47" x14ac:dyDescent="0.3">
      <c r="A224" s="277" t="s">
        <v>259</v>
      </c>
      <c r="B224" s="21">
        <f>B200</f>
        <v>34605907</v>
      </c>
      <c r="C224" s="21">
        <f t="shared" si="3"/>
        <v>3565593</v>
      </c>
      <c r="G224" s="277" t="s">
        <v>259</v>
      </c>
      <c r="H224" s="21">
        <f>H200</f>
        <v>33221645</v>
      </c>
      <c r="I224" s="21">
        <f t="shared" si="4"/>
        <v>2181331</v>
      </c>
      <c r="M224" s="66" t="s">
        <v>259</v>
      </c>
      <c r="N224" s="21">
        <v>31040314</v>
      </c>
      <c r="O224" s="2">
        <v>4542466</v>
      </c>
      <c r="S224" s="66" t="s">
        <v>259</v>
      </c>
      <c r="T224" s="21">
        <v>31040314</v>
      </c>
      <c r="U224" s="21">
        <v>4542466</v>
      </c>
      <c r="Y224" s="66" t="s">
        <v>259</v>
      </c>
      <c r="Z224" s="21">
        <v>31040314</v>
      </c>
      <c r="AA224" s="2">
        <v>4542466</v>
      </c>
      <c r="AE224" s="66" t="s">
        <v>259</v>
      </c>
      <c r="AF224" s="21">
        <v>31040314</v>
      </c>
      <c r="AG224" s="21">
        <v>4542466</v>
      </c>
      <c r="AL224" s="120"/>
      <c r="AN224" s="66" t="s">
        <v>259</v>
      </c>
      <c r="AO224" s="21">
        <f>'Inputs and Parameters (Old)'!G183</f>
        <v>28263302</v>
      </c>
      <c r="AP224" s="21">
        <f t="shared" si="2"/>
        <v>1765454</v>
      </c>
      <c r="AR224" s="120"/>
      <c r="AS224" s="102">
        <f>'Inputs and Parameters (Old)'!L185</f>
        <v>26497847.520000003</v>
      </c>
      <c r="AT224" s="21">
        <f>AS224-AU224</f>
        <v>-276211.47999999672</v>
      </c>
      <c r="AU224" s="126">
        <v>26774059</v>
      </c>
    </row>
    <row r="225" spans="1:47" x14ac:dyDescent="0.3">
      <c r="A225" s="277" t="s">
        <v>260</v>
      </c>
      <c r="B225" s="21">
        <f>SUM(B224,B222,B220)</f>
        <v>318290926</v>
      </c>
      <c r="C225" s="21">
        <f>ROUND(B225-N225,0)</f>
        <v>22192363</v>
      </c>
      <c r="G225" s="277" t="s">
        <v>260</v>
      </c>
      <c r="H225" s="21">
        <f>SUM(H224,H222,H220)</f>
        <v>316906664</v>
      </c>
      <c r="I225" s="21">
        <f>ROUND(H225-T225,0)</f>
        <v>20808101</v>
      </c>
      <c r="M225" s="66" t="s">
        <v>260</v>
      </c>
      <c r="N225" s="21">
        <v>296098563</v>
      </c>
      <c r="O225" s="2">
        <v>110519628</v>
      </c>
      <c r="S225" s="66" t="s">
        <v>260</v>
      </c>
      <c r="T225" s="21">
        <v>296098563</v>
      </c>
      <c r="U225" s="21">
        <v>110519628</v>
      </c>
      <c r="Y225" s="66" t="s">
        <v>260</v>
      </c>
      <c r="Z225" s="21">
        <v>296098563</v>
      </c>
      <c r="AA225" s="2">
        <v>110519628</v>
      </c>
      <c r="AE225" s="66" t="s">
        <v>260</v>
      </c>
      <c r="AF225" s="21">
        <v>296098563</v>
      </c>
      <c r="AG225" s="21">
        <v>110519628</v>
      </c>
      <c r="AL225" s="120"/>
      <c r="AN225" s="66" t="s">
        <v>260</v>
      </c>
      <c r="AO225" s="21">
        <f>SUM(AO224,AO222,AO220)</f>
        <v>188844691</v>
      </c>
      <c r="AP225" s="21">
        <f t="shared" si="2"/>
        <v>3265756</v>
      </c>
      <c r="AR225" s="120"/>
      <c r="AS225" s="102">
        <f>SUM(AS224,AS222,AS220)</f>
        <v>185578934.67000002</v>
      </c>
      <c r="AT225" s="21">
        <f>AS225-AU225</f>
        <v>20827381.920000017</v>
      </c>
      <c r="AU225" s="129">
        <f>SUM(AU224,AU222,AU220)</f>
        <v>164751552.75</v>
      </c>
    </row>
    <row r="226" spans="1:47" x14ac:dyDescent="0.3">
      <c r="A226" s="277" t="s">
        <v>294</v>
      </c>
      <c r="B226" s="170">
        <f>B13</f>
        <v>631607</v>
      </c>
      <c r="C226" s="2">
        <f t="shared" si="3"/>
        <v>15572</v>
      </c>
      <c r="G226" s="277" t="s">
        <v>294</v>
      </c>
      <c r="H226" s="170">
        <f>H13</f>
        <v>631607</v>
      </c>
      <c r="I226" s="2">
        <f t="shared" si="4"/>
        <v>15572</v>
      </c>
      <c r="M226" s="66" t="s">
        <v>294</v>
      </c>
      <c r="N226" s="2">
        <v>616035</v>
      </c>
      <c r="O226" s="2">
        <v>-2769</v>
      </c>
      <c r="S226" s="66" t="s">
        <v>294</v>
      </c>
      <c r="T226" s="2">
        <v>616035</v>
      </c>
      <c r="U226" s="2">
        <v>-2769</v>
      </c>
      <c r="Y226" s="66" t="s">
        <v>294</v>
      </c>
      <c r="Z226" s="2">
        <v>616035</v>
      </c>
      <c r="AA226" s="2">
        <v>-2769</v>
      </c>
      <c r="AE226" s="66" t="s">
        <v>294</v>
      </c>
      <c r="AF226" s="2">
        <v>616035</v>
      </c>
      <c r="AG226" s="2">
        <v>-2769</v>
      </c>
      <c r="AL226" s="120"/>
      <c r="AN226" s="66" t="s">
        <v>294</v>
      </c>
      <c r="AO226" s="21">
        <f>'Profile 2015'!E6</f>
        <v>610213</v>
      </c>
      <c r="AP226" s="21">
        <f t="shared" si="2"/>
        <v>-8591</v>
      </c>
      <c r="AR226" s="120"/>
      <c r="AS226" s="68">
        <f>'Profile 2015'!E5</f>
        <v>618804</v>
      </c>
      <c r="AT226" s="21">
        <f>ROUND(AS226-AU226,0)</f>
        <v>-20819</v>
      </c>
      <c r="AU226" s="2">
        <v>639623</v>
      </c>
    </row>
    <row r="227" spans="1:47" x14ac:dyDescent="0.3">
      <c r="AL227" s="120"/>
      <c r="AR227" s="120"/>
    </row>
    <row r="228" spans="1:47" x14ac:dyDescent="0.3">
      <c r="AL228" s="120"/>
      <c r="AR228" s="120"/>
    </row>
    <row r="229" spans="1:47" x14ac:dyDescent="0.3">
      <c r="AL229" s="120"/>
      <c r="AR229" s="120"/>
    </row>
    <row r="230" spans="1:47" x14ac:dyDescent="0.3">
      <c r="AL230" s="120"/>
      <c r="AR230" s="120"/>
    </row>
    <row r="231" spans="1:47" x14ac:dyDescent="0.3">
      <c r="AL231" s="120"/>
      <c r="AR231" s="120"/>
    </row>
    <row r="232" spans="1:47" x14ac:dyDescent="0.3">
      <c r="AL232" s="120"/>
      <c r="AR232" s="120"/>
    </row>
    <row r="233" spans="1:47" x14ac:dyDescent="0.3">
      <c r="AL233" s="120"/>
      <c r="AR233" s="120"/>
    </row>
    <row r="234" spans="1:47" x14ac:dyDescent="0.3">
      <c r="AL234" s="120"/>
      <c r="AR234" s="120"/>
    </row>
    <row r="235" spans="1:47" x14ac:dyDescent="0.3">
      <c r="AL235" s="120"/>
      <c r="AR235" s="120"/>
    </row>
    <row r="236" spans="1:47" x14ac:dyDescent="0.3">
      <c r="AL236" s="120"/>
      <c r="AR236" s="120"/>
    </row>
    <row r="237" spans="1:47" x14ac:dyDescent="0.3">
      <c r="AL237" s="120"/>
      <c r="AR237" s="120"/>
    </row>
    <row r="238" spans="1:47" x14ac:dyDescent="0.3">
      <c r="AL238" s="120"/>
      <c r="AR238" s="120"/>
    </row>
    <row r="239" spans="1:47" x14ac:dyDescent="0.3">
      <c r="AL239" s="120"/>
      <c r="AR239" s="120"/>
    </row>
    <row r="240" spans="1:47" x14ac:dyDescent="0.3">
      <c r="AL240" s="120"/>
      <c r="AR240" s="120"/>
    </row>
    <row r="241" spans="38:44" x14ac:dyDescent="0.3">
      <c r="AL241" s="120"/>
      <c r="AR241" s="120"/>
    </row>
    <row r="242" spans="38:44" x14ac:dyDescent="0.3">
      <c r="AL242" s="120"/>
      <c r="AR242" s="120"/>
    </row>
    <row r="243" spans="38:44" x14ac:dyDescent="0.3">
      <c r="AL243" s="120"/>
      <c r="AR243" s="120"/>
    </row>
    <row r="244" spans="38:44" x14ac:dyDescent="0.3">
      <c r="AL244" s="120"/>
      <c r="AR244" s="120"/>
    </row>
    <row r="245" spans="38:44" x14ac:dyDescent="0.3">
      <c r="AL245" s="120"/>
      <c r="AR245" s="120"/>
    </row>
    <row r="246" spans="38:44" x14ac:dyDescent="0.3">
      <c r="AL246" s="120"/>
      <c r="AR246" s="120"/>
    </row>
    <row r="247" spans="38:44" x14ac:dyDescent="0.3">
      <c r="AL247" s="120"/>
      <c r="AR247" s="120"/>
    </row>
    <row r="248" spans="38:44" x14ac:dyDescent="0.3">
      <c r="AL248" s="120"/>
      <c r="AR248" s="120"/>
    </row>
    <row r="249" spans="38:44" x14ac:dyDescent="0.3">
      <c r="AL249" s="120"/>
      <c r="AR249" s="120"/>
    </row>
    <row r="250" spans="38:44" x14ac:dyDescent="0.3">
      <c r="AL250" s="120"/>
      <c r="AR250" s="120"/>
    </row>
    <row r="251" spans="38:44" x14ac:dyDescent="0.3">
      <c r="AL251" s="120"/>
      <c r="AR251" s="120"/>
    </row>
    <row r="252" spans="38:44" x14ac:dyDescent="0.3">
      <c r="AL252" s="120"/>
      <c r="AR252" s="120"/>
    </row>
    <row r="253" spans="38:44" x14ac:dyDescent="0.3">
      <c r="AL253" s="120"/>
      <c r="AR253" s="120"/>
    </row>
    <row r="254" spans="38:44" x14ac:dyDescent="0.3">
      <c r="AL254" s="120"/>
      <c r="AR254" s="120"/>
    </row>
    <row r="255" spans="38:44" x14ac:dyDescent="0.3">
      <c r="AL255" s="120"/>
      <c r="AR255" s="120"/>
    </row>
    <row r="256" spans="38:44" x14ac:dyDescent="0.3">
      <c r="AL256" s="120"/>
      <c r="AR256" s="120"/>
    </row>
    <row r="257" spans="38:44" x14ac:dyDescent="0.3">
      <c r="AL257" s="120"/>
      <c r="AR257" s="120"/>
    </row>
    <row r="258" spans="38:44" x14ac:dyDescent="0.3">
      <c r="AL258" s="120"/>
      <c r="AR258" s="120"/>
    </row>
    <row r="259" spans="38:44" x14ac:dyDescent="0.3">
      <c r="AL259" s="120"/>
      <c r="AR259" s="120"/>
    </row>
    <row r="260" spans="38:44" x14ac:dyDescent="0.3">
      <c r="AL260" s="120"/>
      <c r="AR260" s="120"/>
    </row>
    <row r="261" spans="38:44" x14ac:dyDescent="0.3">
      <c r="AL261" s="120"/>
      <c r="AR261" s="120"/>
    </row>
    <row r="262" spans="38:44" x14ac:dyDescent="0.3">
      <c r="AL262" s="120"/>
      <c r="AR262" s="120"/>
    </row>
    <row r="263" spans="38:44" x14ac:dyDescent="0.3">
      <c r="AL263" s="120"/>
      <c r="AR263" s="120"/>
    </row>
    <row r="264" spans="38:44" x14ac:dyDescent="0.3">
      <c r="AL264" s="120"/>
      <c r="AR264" s="120"/>
    </row>
  </sheetData>
  <mergeCells count="8">
    <mergeCell ref="G2:J2"/>
    <mergeCell ref="AN2:AQ2"/>
    <mergeCell ref="AS2:AV2"/>
    <mergeCell ref="A2:D2"/>
    <mergeCell ref="M2:P2"/>
    <mergeCell ref="S2:V2"/>
    <mergeCell ref="Y2:AB2"/>
    <mergeCell ref="AE2:AH2"/>
  </mergeCells>
  <hyperlinks>
    <hyperlink ref="AT9" r:id="rId1" display="\\Erg-lex\data3\SHARED\ECON\OSHA_je\ICR-2010\Respiratory Protection\rate of entry for new employers, 2005.xls"/>
  </hyperlinks>
  <pageMargins left="0.7" right="0.7" top="0.75" bottom="0.75" header="0.3" footer="0.3"/>
  <pageSetup scale="13"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sheetPr>
  <dimension ref="A2:W59"/>
  <sheetViews>
    <sheetView workbookViewId="0">
      <selection activeCell="D14" sqref="D14"/>
    </sheetView>
  </sheetViews>
  <sheetFormatPr defaultColWidth="7" defaultRowHeight="14.4" x14ac:dyDescent="0.3"/>
  <cols>
    <col min="1" max="1" width="26.109375" style="110" customWidth="1"/>
    <col min="2" max="2" width="13.88671875" style="1" customWidth="1"/>
    <col min="3" max="3" width="14.44140625" customWidth="1"/>
    <col min="4" max="4" width="16.6640625" customWidth="1"/>
    <col min="5" max="5" width="16.33203125" customWidth="1"/>
    <col min="6" max="6" width="12.88671875" customWidth="1"/>
    <col min="7" max="7" width="16.109375" customWidth="1"/>
    <col min="8" max="8" width="14" customWidth="1"/>
    <col min="9" max="9" width="14.44140625" customWidth="1"/>
    <col min="10" max="10" width="16.6640625" customWidth="1"/>
    <col min="11" max="11" width="16.33203125" customWidth="1"/>
    <col min="12" max="12" width="12.44140625" customWidth="1"/>
    <col min="13" max="16" width="14.88671875" customWidth="1"/>
    <col min="17" max="17" width="11.109375" bestFit="1" customWidth="1"/>
    <col min="18" max="18" width="11.6640625" customWidth="1"/>
    <col min="19" max="19" width="11.109375" customWidth="1"/>
    <col min="20" max="20" width="11.33203125" customWidth="1"/>
    <col min="21" max="21" width="11.5546875" customWidth="1"/>
    <col min="22" max="22" width="12.44140625" customWidth="1"/>
    <col min="23" max="23" width="14.88671875" customWidth="1"/>
    <col min="24" max="254" width="8.88671875" customWidth="1"/>
    <col min="255" max="255" width="4.33203125" customWidth="1"/>
  </cols>
  <sheetData>
    <row r="2" spans="1:16" s="69" customFormat="1" ht="34.950000000000003" customHeight="1" x14ac:dyDescent="0.3">
      <c r="A2" s="254" t="s">
        <v>261</v>
      </c>
      <c r="B2" s="254" t="s">
        <v>262</v>
      </c>
      <c r="C2" s="254" t="s">
        <v>196</v>
      </c>
      <c r="D2" s="254" t="s">
        <v>197</v>
      </c>
      <c r="E2" s="254" t="s">
        <v>198</v>
      </c>
      <c r="F2" s="254" t="s">
        <v>199</v>
      </c>
      <c r="G2" s="384" t="s">
        <v>306</v>
      </c>
      <c r="H2" s="384"/>
      <c r="I2" s="384"/>
      <c r="J2" s="384"/>
      <c r="K2" s="384"/>
      <c r="L2" s="384"/>
      <c r="M2" s="384"/>
      <c r="N2" s="384"/>
      <c r="O2" s="384"/>
      <c r="P2" s="384"/>
    </row>
    <row r="3" spans="1:16" x14ac:dyDescent="0.3">
      <c r="A3" s="105">
        <v>2001</v>
      </c>
      <c r="B3" s="251">
        <v>2001</v>
      </c>
      <c r="C3" s="252">
        <v>7095302</v>
      </c>
      <c r="D3" s="104">
        <v>115061184</v>
      </c>
      <c r="E3" s="104">
        <v>619400</v>
      </c>
      <c r="F3" s="104">
        <v>5000000</v>
      </c>
      <c r="G3" s="384"/>
      <c r="H3" s="384"/>
      <c r="I3" s="384"/>
      <c r="J3" s="384"/>
      <c r="K3" s="384"/>
      <c r="L3" s="384"/>
      <c r="M3" s="384"/>
      <c r="N3" s="384"/>
      <c r="O3" s="384"/>
      <c r="P3" s="384"/>
    </row>
    <row r="4" spans="1:16" x14ac:dyDescent="0.3">
      <c r="A4" s="105">
        <v>2008</v>
      </c>
      <c r="B4" s="251">
        <v>2005</v>
      </c>
      <c r="C4" s="252">
        <v>7499702</v>
      </c>
      <c r="D4" s="104">
        <v>116317003</v>
      </c>
      <c r="E4" s="104">
        <v>639623</v>
      </c>
      <c r="F4" s="104">
        <v>5412000</v>
      </c>
      <c r="G4" s="384"/>
      <c r="H4" s="384"/>
      <c r="I4" s="384"/>
      <c r="J4" s="384"/>
      <c r="K4" s="384"/>
      <c r="L4" s="384"/>
      <c r="M4" s="384"/>
      <c r="N4" s="384"/>
      <c r="O4" s="384"/>
      <c r="P4" s="384"/>
    </row>
    <row r="5" spans="1:16" x14ac:dyDescent="0.3">
      <c r="A5" s="105">
        <v>2011</v>
      </c>
      <c r="B5" s="251">
        <v>2007</v>
      </c>
      <c r="C5" s="104">
        <v>7705018</v>
      </c>
      <c r="D5" s="104">
        <v>120604265</v>
      </c>
      <c r="E5" s="104">
        <v>618804</v>
      </c>
      <c r="F5" s="104">
        <v>4965000</v>
      </c>
      <c r="G5" s="384"/>
      <c r="H5" s="384"/>
      <c r="I5" s="384"/>
      <c r="J5" s="384"/>
      <c r="K5" s="384"/>
      <c r="L5" s="384"/>
      <c r="M5" s="384"/>
      <c r="N5" s="384"/>
      <c r="O5" s="384"/>
      <c r="P5" s="384"/>
    </row>
    <row r="6" spans="1:16" x14ac:dyDescent="0.3">
      <c r="A6" s="105">
        <v>2014</v>
      </c>
      <c r="B6" s="251">
        <v>2011</v>
      </c>
      <c r="C6" s="104">
        <v>7354043</v>
      </c>
      <c r="D6" s="104">
        <v>113425965</v>
      </c>
      <c r="E6" s="104">
        <f>O47</f>
        <v>610213</v>
      </c>
      <c r="F6" s="104">
        <v>4976500</v>
      </c>
      <c r="G6" s="384"/>
      <c r="H6" s="384"/>
      <c r="I6" s="384"/>
      <c r="J6" s="384"/>
      <c r="K6" s="384"/>
      <c r="L6" s="384"/>
      <c r="M6" s="384"/>
      <c r="N6" s="384"/>
      <c r="O6" s="384"/>
      <c r="P6" s="384"/>
    </row>
    <row r="7" spans="1:16" ht="15.75" customHeight="1" x14ac:dyDescent="0.3">
      <c r="A7" s="105">
        <v>2015</v>
      </c>
      <c r="B7" s="172">
        <v>2012</v>
      </c>
      <c r="C7" s="253">
        <v>7431808</v>
      </c>
      <c r="D7" s="253">
        <v>115938468</v>
      </c>
      <c r="E7" s="104">
        <f>R47</f>
        <v>616035</v>
      </c>
      <c r="F7" s="104">
        <v>5465461.0886946898</v>
      </c>
      <c r="G7" s="384"/>
      <c r="H7" s="384"/>
      <c r="I7" s="384"/>
      <c r="J7" s="384"/>
      <c r="K7" s="384"/>
      <c r="L7" s="384"/>
      <c r="M7" s="384"/>
      <c r="N7" s="384"/>
      <c r="O7" s="384"/>
      <c r="P7" s="384"/>
    </row>
    <row r="8" spans="1:16" ht="15" customHeight="1" x14ac:dyDescent="0.3">
      <c r="A8" s="255">
        <v>2017</v>
      </c>
      <c r="B8" s="256">
        <v>2015</v>
      </c>
      <c r="C8" s="257">
        <f>N12</f>
        <v>7663938</v>
      </c>
      <c r="D8" s="257">
        <f>O12</f>
        <v>124085947</v>
      </c>
      <c r="E8" s="258">
        <f>V47</f>
        <v>631607</v>
      </c>
      <c r="F8" s="258">
        <f>'Potential Savings from Fit Test'!C24</f>
        <v>5849541.8016247358</v>
      </c>
      <c r="G8" s="384"/>
      <c r="H8" s="384"/>
      <c r="I8" s="384"/>
      <c r="J8" s="384"/>
      <c r="K8" s="384"/>
      <c r="L8" s="384"/>
      <c r="M8" s="384"/>
      <c r="N8" s="384"/>
      <c r="O8" s="384"/>
      <c r="P8" s="384"/>
    </row>
    <row r="9" spans="1:16" ht="30" customHeight="1" x14ac:dyDescent="0.3">
      <c r="C9" s="2"/>
      <c r="E9" s="2"/>
      <c r="F9" s="2"/>
      <c r="G9" s="384"/>
      <c r="H9" s="384"/>
      <c r="I9" s="384"/>
      <c r="J9" s="384"/>
      <c r="K9" s="384"/>
      <c r="L9" s="384"/>
      <c r="M9" s="384"/>
      <c r="N9" s="384"/>
      <c r="O9" s="384"/>
      <c r="P9" s="384"/>
    </row>
    <row r="10" spans="1:16" x14ac:dyDescent="0.3">
      <c r="A10" s="386" t="s">
        <v>216</v>
      </c>
      <c r="B10" s="387" t="s">
        <v>160</v>
      </c>
      <c r="C10" s="387" t="s">
        <v>200</v>
      </c>
      <c r="D10" s="387">
        <v>2001</v>
      </c>
      <c r="E10" s="387"/>
      <c r="F10" s="387">
        <v>2005</v>
      </c>
      <c r="G10" s="387"/>
      <c r="H10" s="387">
        <v>2007</v>
      </c>
      <c r="I10" s="387"/>
      <c r="J10" s="387">
        <v>2011</v>
      </c>
      <c r="K10" s="387"/>
      <c r="L10" s="387">
        <v>2012</v>
      </c>
      <c r="M10" s="387"/>
      <c r="N10" s="386">
        <v>2015</v>
      </c>
      <c r="O10" s="386"/>
    </row>
    <row r="11" spans="1:16" x14ac:dyDescent="0.3">
      <c r="A11" s="386"/>
      <c r="B11" s="387"/>
      <c r="C11" s="387"/>
      <c r="D11" s="103" t="s">
        <v>166</v>
      </c>
      <c r="E11" s="103" t="s">
        <v>167</v>
      </c>
      <c r="F11" s="103" t="s">
        <v>166</v>
      </c>
      <c r="G11" s="103" t="s">
        <v>167</v>
      </c>
      <c r="H11" s="103" t="s">
        <v>166</v>
      </c>
      <c r="I11" s="103" t="s">
        <v>167</v>
      </c>
      <c r="J11" s="103" t="s">
        <v>166</v>
      </c>
      <c r="K11" s="103" t="s">
        <v>167</v>
      </c>
      <c r="L11" s="103" t="s">
        <v>166</v>
      </c>
      <c r="M11" s="103" t="s">
        <v>167</v>
      </c>
      <c r="N11" s="212" t="s">
        <v>166</v>
      </c>
      <c r="O11" s="212" t="s">
        <v>167</v>
      </c>
    </row>
    <row r="12" spans="1:16" x14ac:dyDescent="0.3">
      <c r="A12" s="106" t="s">
        <v>169</v>
      </c>
      <c r="B12" s="104" t="s">
        <v>195</v>
      </c>
      <c r="C12" s="105" t="s">
        <v>169</v>
      </c>
      <c r="D12" s="105">
        <v>7095302</v>
      </c>
      <c r="E12" s="105">
        <v>115061184</v>
      </c>
      <c r="F12" s="105">
        <v>7499702</v>
      </c>
      <c r="G12" s="105">
        <v>116317003</v>
      </c>
      <c r="H12" s="104">
        <v>7705018</v>
      </c>
      <c r="I12" s="104">
        <v>120604265</v>
      </c>
      <c r="J12" s="105">
        <v>7354043</v>
      </c>
      <c r="K12" s="105">
        <v>113425965</v>
      </c>
      <c r="L12" s="105">
        <v>7431808</v>
      </c>
      <c r="M12" s="105">
        <v>115938468</v>
      </c>
      <c r="N12" s="105">
        <f>VLOOKUP($B12,CBP_2015!$B$1:$E$2017,MATCH('Profile 2015'!N$11,CBP_2015!$B$1:$E$1,0),0)</f>
        <v>7663938</v>
      </c>
      <c r="O12" s="105">
        <f>VLOOKUP($B12,CBP_2015!$B$1:$E$2017,MATCH('Profile 2015'!O$11,CBP_2015!$B$1:$E$1,0),0)</f>
        <v>124085947</v>
      </c>
    </row>
    <row r="13" spans="1:16" ht="28.8" x14ac:dyDescent="0.3">
      <c r="A13" s="106" t="s">
        <v>217</v>
      </c>
      <c r="B13" s="104" t="s">
        <v>175</v>
      </c>
      <c r="C13" s="105" t="s">
        <v>201</v>
      </c>
      <c r="D13" s="105">
        <v>26447</v>
      </c>
      <c r="E13" s="105">
        <v>183476</v>
      </c>
      <c r="F13" s="105">
        <v>24102</v>
      </c>
      <c r="G13" s="105">
        <v>168744</v>
      </c>
      <c r="H13" s="104">
        <v>23645</v>
      </c>
      <c r="I13" s="104">
        <v>172105</v>
      </c>
      <c r="J13" s="105">
        <v>21340</v>
      </c>
      <c r="K13" s="105">
        <v>156520</v>
      </c>
      <c r="L13" s="105">
        <v>22046</v>
      </c>
      <c r="M13" s="105">
        <v>161077</v>
      </c>
      <c r="N13" s="105">
        <f>VLOOKUP($B13,CBP_2015!$B$1:$E$2017,MATCH('Profile 2015'!N$11,CBP_2015!$B$1:$E$1,0),0)</f>
        <v>22368</v>
      </c>
      <c r="O13" s="105">
        <f>VLOOKUP($B13,CBP_2015!$B$1:$E$2017,MATCH('Profile 2015'!O$11,CBP_2015!$B$1:$E$1,0),0)</f>
        <v>160144</v>
      </c>
    </row>
    <row r="14" spans="1:16" x14ac:dyDescent="0.3">
      <c r="A14" s="106" t="s">
        <v>202</v>
      </c>
      <c r="B14" s="104" t="s">
        <v>176</v>
      </c>
      <c r="C14" s="105" t="s">
        <v>202</v>
      </c>
      <c r="D14" s="105">
        <v>24319</v>
      </c>
      <c r="E14" s="105">
        <v>485565</v>
      </c>
      <c r="F14" s="105">
        <v>24696</v>
      </c>
      <c r="G14" s="105">
        <v>497272</v>
      </c>
      <c r="H14" s="104">
        <v>26202</v>
      </c>
      <c r="I14" s="104">
        <v>700887</v>
      </c>
      <c r="J14" s="105">
        <v>28022</v>
      </c>
      <c r="K14" s="105">
        <v>651204</v>
      </c>
      <c r="L14" s="105">
        <v>28909</v>
      </c>
      <c r="M14" s="105">
        <v>727626</v>
      </c>
      <c r="N14" s="105">
        <f>VLOOKUP($B14,CBP_2015!$B$1:$E$2017,MATCH('Profile 2015'!N$11,CBP_2015!$B$1:$E$1,0),0)</f>
        <v>29225</v>
      </c>
      <c r="O14" s="105">
        <f>VLOOKUP($B14,CBP_2015!$B$1:$E$2017,MATCH('Profile 2015'!O$11,CBP_2015!$B$1:$E$1,0),0)</f>
        <v>743660</v>
      </c>
    </row>
    <row r="15" spans="1:16" ht="28.8" x14ac:dyDescent="0.3">
      <c r="A15" s="111" t="s">
        <v>33</v>
      </c>
      <c r="B15" s="104" t="s">
        <v>177</v>
      </c>
      <c r="C15" s="105" t="s">
        <v>161</v>
      </c>
      <c r="D15" s="105">
        <v>17702</v>
      </c>
      <c r="E15" s="105">
        <v>654484</v>
      </c>
      <c r="F15" s="105">
        <v>17326</v>
      </c>
      <c r="G15" s="105">
        <v>633106</v>
      </c>
      <c r="H15" s="104">
        <v>16674</v>
      </c>
      <c r="I15" s="104">
        <v>622757</v>
      </c>
      <c r="J15" s="105">
        <v>17634</v>
      </c>
      <c r="K15" s="105">
        <v>639795</v>
      </c>
      <c r="L15" s="105">
        <v>17833</v>
      </c>
      <c r="M15" s="105">
        <v>641063</v>
      </c>
      <c r="N15" s="105">
        <f>VLOOKUP($B15,CBP_2015!$B$1:$E$2017,MATCH('Profile 2015'!N$11,CBP_2015!$B$1:$E$1,0),0)</f>
        <v>17990</v>
      </c>
      <c r="O15" s="105">
        <f>VLOOKUP($B15,CBP_2015!$B$1:$E$2017,MATCH('Profile 2015'!O$11,CBP_2015!$B$1:$E$1,0),0)</f>
        <v>639234</v>
      </c>
    </row>
    <row r="16" spans="1:16" x14ac:dyDescent="0.3">
      <c r="A16" s="106" t="s">
        <v>32</v>
      </c>
      <c r="B16" s="104" t="s">
        <v>178</v>
      </c>
      <c r="C16" s="105" t="s">
        <v>32</v>
      </c>
      <c r="D16" s="105">
        <v>698898</v>
      </c>
      <c r="E16" s="105">
        <v>6491994</v>
      </c>
      <c r="F16" s="105">
        <v>787672</v>
      </c>
      <c r="G16" s="105">
        <v>6781327</v>
      </c>
      <c r="H16" s="104">
        <v>811452</v>
      </c>
      <c r="I16" s="104">
        <v>7267883</v>
      </c>
      <c r="J16" s="105">
        <v>657738</v>
      </c>
      <c r="K16" s="105">
        <v>5190921</v>
      </c>
      <c r="L16" s="105">
        <v>652902</v>
      </c>
      <c r="M16" s="105">
        <v>5260942</v>
      </c>
      <c r="N16" s="105">
        <f>VLOOKUP($B16,CBP_2015!$B$1:$E$2017,MATCH('Profile 2015'!N$11,CBP_2015!$B$1:$E$1,0),0)</f>
        <v>682390</v>
      </c>
      <c r="O16" s="105">
        <f>VLOOKUP($B16,CBP_2015!$B$1:$E$2017,MATCH('Profile 2015'!O$11,CBP_2015!$B$1:$E$1,0),0)</f>
        <v>6008286</v>
      </c>
    </row>
    <row r="17" spans="1:15" x14ac:dyDescent="0.3">
      <c r="A17" s="106" t="s">
        <v>27</v>
      </c>
      <c r="B17" s="104" t="s">
        <v>179</v>
      </c>
      <c r="C17" s="105" t="s">
        <v>27</v>
      </c>
      <c r="D17" s="105">
        <v>352619</v>
      </c>
      <c r="E17" s="105">
        <v>15950424</v>
      </c>
      <c r="F17" s="105">
        <v>333460</v>
      </c>
      <c r="G17" s="105">
        <v>13667337</v>
      </c>
      <c r="H17" s="104">
        <v>331355</v>
      </c>
      <c r="I17" s="104">
        <v>13320172</v>
      </c>
      <c r="J17" s="105">
        <v>295643</v>
      </c>
      <c r="K17" s="105">
        <v>10984361</v>
      </c>
      <c r="L17" s="105">
        <v>297221</v>
      </c>
      <c r="M17" s="105">
        <v>11192043</v>
      </c>
      <c r="N17" s="105">
        <f>VLOOKUP($B17,CBP_2015!$B$1:$E$2017,MATCH('Profile 2015'!N$11,CBP_2015!$B$1:$E$1,0),0)</f>
        <v>292825</v>
      </c>
      <c r="O17" s="105">
        <f>VLOOKUP($B17,CBP_2015!$B$1:$E$2017,MATCH('Profile 2015'!O$11,CBP_2015!$B$1:$E$1,0),0)</f>
        <v>11605501</v>
      </c>
    </row>
    <row r="18" spans="1:15" x14ac:dyDescent="0.3">
      <c r="A18" s="106" t="s">
        <v>34</v>
      </c>
      <c r="B18" s="104" t="s">
        <v>180</v>
      </c>
      <c r="C18" s="105" t="s">
        <v>162</v>
      </c>
      <c r="D18" s="105">
        <v>438924</v>
      </c>
      <c r="E18" s="105">
        <v>6142089</v>
      </c>
      <c r="F18" s="105">
        <v>429823</v>
      </c>
      <c r="G18" s="105">
        <v>5968929</v>
      </c>
      <c r="H18" s="104">
        <v>434464</v>
      </c>
      <c r="I18" s="104">
        <v>5964850</v>
      </c>
      <c r="J18" s="105">
        <v>411930</v>
      </c>
      <c r="K18" s="105">
        <v>5626328</v>
      </c>
      <c r="L18" s="105">
        <v>420501</v>
      </c>
      <c r="M18" s="105">
        <v>5776243</v>
      </c>
      <c r="N18" s="105">
        <f>VLOOKUP($B18,CBP_2015!$B$1:$E$2017,MATCH('Profile 2015'!N$11,CBP_2015!$B$1:$E$1,0),0)</f>
        <v>413437</v>
      </c>
      <c r="O18" s="105">
        <f>VLOOKUP($B18,CBP_2015!$B$1:$E$2017,MATCH('Profile 2015'!O$11,CBP_2015!$B$1:$E$1,0),0)</f>
        <v>6076109</v>
      </c>
    </row>
    <row r="19" spans="1:15" x14ac:dyDescent="0.3">
      <c r="A19" s="106" t="s">
        <v>35</v>
      </c>
      <c r="B19" s="104" t="s">
        <v>181</v>
      </c>
      <c r="C19" s="105" t="s">
        <v>163</v>
      </c>
      <c r="D19" s="105">
        <v>1119950</v>
      </c>
      <c r="E19" s="105">
        <v>14890289</v>
      </c>
      <c r="F19" s="105">
        <v>1123207</v>
      </c>
      <c r="G19" s="105">
        <v>15338672</v>
      </c>
      <c r="H19" s="104">
        <v>1123629</v>
      </c>
      <c r="I19" s="104">
        <v>15759928</v>
      </c>
      <c r="J19" s="105">
        <v>1062942</v>
      </c>
      <c r="K19" s="105">
        <v>14698563</v>
      </c>
      <c r="L19" s="105">
        <v>1063842</v>
      </c>
      <c r="M19" s="105">
        <v>14807958</v>
      </c>
      <c r="N19" s="105">
        <f>VLOOKUP($B19,CBP_2015!$B$1:$E$2017,MATCH('Profile 2015'!N$11,CBP_2015!$B$1:$E$1,0),0)</f>
        <v>1070209</v>
      </c>
      <c r="O19" s="105">
        <f>VLOOKUP($B19,CBP_2015!$B$1:$E$2017,MATCH('Profile 2015'!O$11,CBP_2015!$B$1:$E$1,0),0)</f>
        <v>15704167</v>
      </c>
    </row>
    <row r="20" spans="1:15" ht="28.8" x14ac:dyDescent="0.3">
      <c r="A20" s="111" t="s">
        <v>33</v>
      </c>
      <c r="B20" s="104" t="s">
        <v>182</v>
      </c>
      <c r="C20" s="105" t="s">
        <v>164</v>
      </c>
      <c r="D20" s="105">
        <v>190683</v>
      </c>
      <c r="E20" s="105">
        <v>3750663</v>
      </c>
      <c r="F20" s="105">
        <v>211150</v>
      </c>
      <c r="G20" s="105">
        <v>4168016</v>
      </c>
      <c r="H20" s="104">
        <v>219806</v>
      </c>
      <c r="I20" s="104">
        <v>4395432</v>
      </c>
      <c r="J20" s="105">
        <v>211854</v>
      </c>
      <c r="K20" s="105">
        <v>4106359</v>
      </c>
      <c r="L20" s="105">
        <v>214492</v>
      </c>
      <c r="M20" s="105">
        <v>4233381</v>
      </c>
      <c r="N20" s="105">
        <f>VLOOKUP($B20,CBP_2015!$B$1:$E$2017,MATCH('Profile 2015'!N$11,CBP_2015!$B$1:$E$1,0),0)</f>
        <v>228382</v>
      </c>
      <c r="O20" s="105">
        <f>VLOOKUP($B20,CBP_2015!$B$1:$E$2017,MATCH('Profile 2015'!O$11,CBP_2015!$B$1:$E$1,0),0)</f>
        <v>4616568</v>
      </c>
    </row>
    <row r="21" spans="1:15" x14ac:dyDescent="0.3">
      <c r="A21" s="106" t="s">
        <v>28</v>
      </c>
      <c r="B21" s="104" t="s">
        <v>183</v>
      </c>
      <c r="C21" s="105" t="s">
        <v>203</v>
      </c>
      <c r="D21" s="105">
        <v>137293</v>
      </c>
      <c r="E21" s="105">
        <v>3754698</v>
      </c>
      <c r="F21" s="105">
        <v>141290</v>
      </c>
      <c r="G21" s="105">
        <v>3402599</v>
      </c>
      <c r="H21" s="104">
        <v>143779</v>
      </c>
      <c r="I21" s="104">
        <v>3399313</v>
      </c>
      <c r="J21" s="105">
        <v>134452</v>
      </c>
      <c r="K21" s="105">
        <v>3121317</v>
      </c>
      <c r="L21" s="105">
        <v>135185</v>
      </c>
      <c r="M21" s="105">
        <v>3136025</v>
      </c>
      <c r="N21" s="105">
        <f>VLOOKUP($B21,CBP_2015!$B$1:$E$2017,MATCH('Profile 2015'!N$11,CBP_2015!$B$1:$E$1,0),0)</f>
        <v>139508</v>
      </c>
      <c r="O21" s="105">
        <f>VLOOKUP($B21,CBP_2015!$B$1:$E$2017,MATCH('Profile 2015'!O$11,CBP_2015!$B$1:$E$1,0),0)</f>
        <v>3394317</v>
      </c>
    </row>
    <row r="22" spans="1:15" ht="15" customHeight="1" x14ac:dyDescent="0.3">
      <c r="A22" s="106" t="s">
        <v>218</v>
      </c>
      <c r="B22" s="104" t="s">
        <v>184</v>
      </c>
      <c r="C22" s="105" t="s">
        <v>204</v>
      </c>
      <c r="D22" s="105">
        <v>425028</v>
      </c>
      <c r="E22" s="105">
        <v>6248400</v>
      </c>
      <c r="F22" s="105">
        <v>476806</v>
      </c>
      <c r="G22" s="105">
        <v>6431837</v>
      </c>
      <c r="H22" s="104">
        <v>508091</v>
      </c>
      <c r="I22" s="104">
        <v>6548868</v>
      </c>
      <c r="J22" s="105">
        <v>467537</v>
      </c>
      <c r="K22" s="105">
        <v>5886602</v>
      </c>
      <c r="L22" s="105">
        <v>474510</v>
      </c>
      <c r="M22" s="105">
        <v>5979661</v>
      </c>
      <c r="N22" s="105">
        <f>VLOOKUP($B22,CBP_2015!$B$1:$E$2017,MATCH('Profile 2015'!N$11,CBP_2015!$B$1:$E$1,0),0)</f>
        <v>470062</v>
      </c>
      <c r="O22" s="105">
        <f>VLOOKUP($B22,CBP_2015!$B$1:$E$2017,MATCH('Profile 2015'!O$11,CBP_2015!$B$1:$E$1,0),0)</f>
        <v>6135914</v>
      </c>
    </row>
    <row r="23" spans="1:15" ht="28.8" x14ac:dyDescent="0.3">
      <c r="A23" s="106" t="s">
        <v>218</v>
      </c>
      <c r="B23" s="104" t="s">
        <v>185</v>
      </c>
      <c r="C23" s="105" t="s">
        <v>165</v>
      </c>
      <c r="D23" s="105">
        <v>307003</v>
      </c>
      <c r="E23" s="105">
        <v>2013673</v>
      </c>
      <c r="F23" s="105">
        <v>370651</v>
      </c>
      <c r="G23" s="105">
        <v>2144077</v>
      </c>
      <c r="H23" s="104">
        <v>380138</v>
      </c>
      <c r="I23" s="104">
        <v>2224175</v>
      </c>
      <c r="J23" s="105">
        <v>341683</v>
      </c>
      <c r="K23" s="105">
        <v>1917640</v>
      </c>
      <c r="L23" s="105">
        <v>349776</v>
      </c>
      <c r="M23" s="105">
        <v>1940681</v>
      </c>
      <c r="N23" s="105">
        <f>VLOOKUP($B23,CBP_2015!$B$1:$E$2017,MATCH('Profile 2015'!N$11,CBP_2015!$B$1:$E$1,0),0)</f>
        <v>377602</v>
      </c>
      <c r="O23" s="105">
        <f>VLOOKUP($B23,CBP_2015!$B$1:$E$2017,MATCH('Profile 2015'!O$11,CBP_2015!$B$1:$E$1,0),0)</f>
        <v>2065427</v>
      </c>
    </row>
    <row r="24" spans="1:15" x14ac:dyDescent="0.3">
      <c r="A24" s="106" t="s">
        <v>28</v>
      </c>
      <c r="B24" s="104" t="s">
        <v>186</v>
      </c>
      <c r="C24" s="105" t="s">
        <v>205</v>
      </c>
      <c r="D24" s="105">
        <v>736454</v>
      </c>
      <c r="E24" s="105">
        <v>7156579</v>
      </c>
      <c r="F24" s="105">
        <v>826101</v>
      </c>
      <c r="G24" s="105">
        <v>7689366</v>
      </c>
      <c r="H24" s="104">
        <v>867556</v>
      </c>
      <c r="I24" s="104">
        <v>8179941</v>
      </c>
      <c r="J24" s="105">
        <v>850903</v>
      </c>
      <c r="K24" s="105">
        <v>7929910</v>
      </c>
      <c r="L24" s="105">
        <v>859182</v>
      </c>
      <c r="M24" s="105">
        <v>8016181</v>
      </c>
      <c r="N24" s="105">
        <f>VLOOKUP($B24,CBP_2015!$B$1:$E$2017,MATCH('Profile 2015'!N$11,CBP_2015!$B$1:$E$1,0),0)</f>
        <v>896026</v>
      </c>
      <c r="O24" s="105">
        <f>VLOOKUP($B24,CBP_2015!$B$1:$E$2017,MATCH('Profile 2015'!O$11,CBP_2015!$B$1:$E$1,0),0)</f>
        <v>8798260</v>
      </c>
    </row>
    <row r="25" spans="1:15" x14ac:dyDescent="0.3">
      <c r="A25" s="106" t="s">
        <v>28</v>
      </c>
      <c r="B25" s="104" t="s">
        <v>187</v>
      </c>
      <c r="C25" s="105" t="s">
        <v>206</v>
      </c>
      <c r="D25" s="105">
        <v>47559</v>
      </c>
      <c r="E25" s="105">
        <v>2879223</v>
      </c>
      <c r="F25" s="105">
        <v>47593</v>
      </c>
      <c r="G25" s="105">
        <v>2856418</v>
      </c>
      <c r="H25" s="104">
        <v>50643</v>
      </c>
      <c r="I25" s="104">
        <v>3121402</v>
      </c>
      <c r="J25" s="105">
        <v>49497</v>
      </c>
      <c r="K25" s="105">
        <v>2921669</v>
      </c>
      <c r="L25" s="105">
        <v>52247</v>
      </c>
      <c r="M25" s="105">
        <v>3037299</v>
      </c>
      <c r="N25" s="105">
        <f>VLOOKUP($B25,CBP_2015!$B$1:$E$2017,MATCH('Profile 2015'!N$11,CBP_2015!$B$1:$E$1,0),0)</f>
        <v>53943</v>
      </c>
      <c r="O25" s="105">
        <f>VLOOKUP($B25,CBP_2015!$B$1:$E$2017,MATCH('Profile 2015'!O$11,CBP_2015!$B$1:$E$1,0),0)</f>
        <v>3308759</v>
      </c>
    </row>
    <row r="26" spans="1:15" x14ac:dyDescent="0.3">
      <c r="A26" s="106" t="s">
        <v>28</v>
      </c>
      <c r="B26" s="104" t="s">
        <v>188</v>
      </c>
      <c r="C26" s="105" t="s">
        <v>207</v>
      </c>
      <c r="D26" s="105">
        <v>362665</v>
      </c>
      <c r="E26" s="105">
        <v>9061987</v>
      </c>
      <c r="F26" s="105">
        <v>369507</v>
      </c>
      <c r="G26" s="105">
        <v>9280282</v>
      </c>
      <c r="H26" s="104">
        <v>384501</v>
      </c>
      <c r="I26" s="104">
        <v>9983661</v>
      </c>
      <c r="J26" s="105">
        <v>380671</v>
      </c>
      <c r="K26" s="105">
        <v>9389950</v>
      </c>
      <c r="L26" s="105">
        <v>387465</v>
      </c>
      <c r="M26" s="105">
        <v>9866296</v>
      </c>
      <c r="N26" s="105">
        <f>VLOOKUP($B26,CBP_2015!$B$1:$E$2017,MATCH('Profile 2015'!N$11,CBP_2015!$B$1:$E$1,0),0)</f>
        <v>404282</v>
      </c>
      <c r="O26" s="105">
        <f>VLOOKUP($B26,CBP_2015!$B$1:$E$2017,MATCH('Profile 2015'!O$11,CBP_2015!$B$1:$E$1,0),0)</f>
        <v>11112465</v>
      </c>
    </row>
    <row r="27" spans="1:15" x14ac:dyDescent="0.3">
      <c r="A27" s="106" t="s">
        <v>28</v>
      </c>
      <c r="B27" s="104" t="s">
        <v>189</v>
      </c>
      <c r="C27" s="105" t="s">
        <v>208</v>
      </c>
      <c r="D27" s="105">
        <v>70878</v>
      </c>
      <c r="E27" s="105">
        <v>2612430</v>
      </c>
      <c r="F27" s="105">
        <v>80486</v>
      </c>
      <c r="G27" s="105">
        <v>2879374</v>
      </c>
      <c r="H27" s="104">
        <v>86896</v>
      </c>
      <c r="I27" s="104">
        <v>3039385</v>
      </c>
      <c r="J27" s="105">
        <v>91492</v>
      </c>
      <c r="K27" s="105">
        <v>3386047</v>
      </c>
      <c r="L27" s="105">
        <v>95872</v>
      </c>
      <c r="M27" s="105">
        <v>3477047</v>
      </c>
      <c r="N27" s="105">
        <f>VLOOKUP($B27,CBP_2015!$B$1:$E$2017,MATCH('Profile 2015'!N$11,CBP_2015!$B$1:$E$1,0),0)</f>
        <v>101981</v>
      </c>
      <c r="O27" s="105">
        <f>VLOOKUP($B27,CBP_2015!$B$1:$E$2017,MATCH('Profile 2015'!O$11,CBP_2015!$B$1:$E$1,0),0)</f>
        <v>3642170</v>
      </c>
    </row>
    <row r="28" spans="1:15" x14ac:dyDescent="0.3">
      <c r="A28" s="106" t="s">
        <v>28</v>
      </c>
      <c r="B28" s="104" t="s">
        <v>190</v>
      </c>
      <c r="C28" s="105" t="s">
        <v>209</v>
      </c>
      <c r="D28" s="105">
        <v>671370</v>
      </c>
      <c r="E28" s="105">
        <v>14534726</v>
      </c>
      <c r="F28" s="105">
        <v>746600</v>
      </c>
      <c r="G28" s="105">
        <v>16025147</v>
      </c>
      <c r="H28" s="104">
        <v>784231</v>
      </c>
      <c r="I28" s="104">
        <v>16797647</v>
      </c>
      <c r="J28" s="105">
        <v>818726</v>
      </c>
      <c r="K28" s="105">
        <v>18059112</v>
      </c>
      <c r="L28" s="105">
        <v>833883</v>
      </c>
      <c r="M28" s="105">
        <v>18378342</v>
      </c>
      <c r="N28" s="105">
        <f>VLOOKUP($B28,CBP_2015!$B$1:$E$2017,MATCH('Profile 2015'!N$11,CBP_2015!$B$1:$E$1,0),0)</f>
        <v>876072</v>
      </c>
      <c r="O28" s="105">
        <f>VLOOKUP($B28,CBP_2015!$B$1:$E$2017,MATCH('Profile 2015'!O$11,CBP_2015!$B$1:$E$1,0),0)</f>
        <v>19221864</v>
      </c>
    </row>
    <row r="29" spans="1:15" s="3" customFormat="1" x14ac:dyDescent="0.3">
      <c r="A29" s="106" t="s">
        <v>28</v>
      </c>
      <c r="B29" s="104" t="s">
        <v>191</v>
      </c>
      <c r="C29" s="105" t="s">
        <v>210</v>
      </c>
      <c r="D29" s="105">
        <v>105961</v>
      </c>
      <c r="E29" s="105">
        <v>1780362</v>
      </c>
      <c r="F29" s="105">
        <v>121777</v>
      </c>
      <c r="G29" s="105">
        <v>1936484</v>
      </c>
      <c r="H29" s="104">
        <v>125222</v>
      </c>
      <c r="I29" s="104">
        <v>2008567</v>
      </c>
      <c r="J29" s="105">
        <v>123327</v>
      </c>
      <c r="K29" s="105">
        <v>2003129</v>
      </c>
      <c r="L29" s="105">
        <v>125082</v>
      </c>
      <c r="M29" s="105">
        <v>2057290</v>
      </c>
      <c r="N29" s="105">
        <f>VLOOKUP($B29,CBP_2015!$B$1:$E$2017,MATCH('Profile 2015'!N$11,CBP_2015!$B$1:$E$1,0),0)</f>
        <v>133610</v>
      </c>
      <c r="O29" s="105">
        <f>VLOOKUP($B29,CBP_2015!$B$1:$E$2017,MATCH('Profile 2015'!O$11,CBP_2015!$B$1:$E$1,0),0)</f>
        <v>2230822</v>
      </c>
    </row>
    <row r="30" spans="1:15" x14ac:dyDescent="0.3">
      <c r="A30" s="106" t="s">
        <v>28</v>
      </c>
      <c r="B30" s="104" t="s">
        <v>192</v>
      </c>
      <c r="C30" s="105" t="s">
        <v>211</v>
      </c>
      <c r="D30" s="105">
        <v>548569</v>
      </c>
      <c r="E30" s="105">
        <v>9972301</v>
      </c>
      <c r="F30" s="105">
        <v>603435</v>
      </c>
      <c r="G30" s="105">
        <v>11025909</v>
      </c>
      <c r="H30" s="104">
        <v>632489</v>
      </c>
      <c r="I30" s="104">
        <v>11564864</v>
      </c>
      <c r="J30" s="105">
        <v>649011</v>
      </c>
      <c r="K30" s="105">
        <v>11556285</v>
      </c>
      <c r="L30" s="105">
        <v>662757</v>
      </c>
      <c r="M30" s="105">
        <v>11985274</v>
      </c>
      <c r="N30" s="105">
        <f>VLOOKUP($B30,CBP_2015!$B$1:$E$2017,MATCH('Profile 2015'!N$11,CBP_2015!$B$1:$E$1,0),0)</f>
        <v>687619</v>
      </c>
      <c r="O30" s="105">
        <f>VLOOKUP($B30,CBP_2015!$B$1:$E$2017,MATCH('Profile 2015'!O$11,CBP_2015!$B$1:$E$1,0),0)</f>
        <v>13196892</v>
      </c>
    </row>
    <row r="31" spans="1:15" x14ac:dyDescent="0.3">
      <c r="A31" s="106" t="s">
        <v>28</v>
      </c>
      <c r="B31" s="104" t="s">
        <v>193</v>
      </c>
      <c r="C31" s="105" t="s">
        <v>212</v>
      </c>
      <c r="D31" s="105">
        <v>719402</v>
      </c>
      <c r="E31" s="105">
        <v>5370479</v>
      </c>
      <c r="F31" s="105">
        <v>740034</v>
      </c>
      <c r="G31" s="105">
        <v>5390954</v>
      </c>
      <c r="H31" s="104">
        <v>744252</v>
      </c>
      <c r="I31" s="104">
        <v>5519773</v>
      </c>
      <c r="J31" s="105">
        <v>722398</v>
      </c>
      <c r="K31" s="105">
        <v>5181801</v>
      </c>
      <c r="L31" s="105">
        <v>730999</v>
      </c>
      <c r="M31" s="105">
        <v>5256250</v>
      </c>
      <c r="N31" s="105">
        <f>VLOOKUP($B31,CBP_2015!$B$1:$E$2017,MATCH('Profile 2015'!N$11,CBP_2015!$B$1:$E$1,0),0)</f>
        <v>746046</v>
      </c>
      <c r="O31" s="105">
        <f>VLOOKUP($B31,CBP_2015!$B$1:$E$2017,MATCH('Profile 2015'!O$11,CBP_2015!$B$1:$E$1,0),0)</f>
        <v>5401233</v>
      </c>
    </row>
    <row r="32" spans="1:15" x14ac:dyDescent="0.3">
      <c r="A32" s="106" t="s">
        <v>222</v>
      </c>
      <c r="B32" s="104" t="s">
        <v>215</v>
      </c>
      <c r="C32" s="105" t="s">
        <v>214</v>
      </c>
      <c r="D32" s="105">
        <v>14934</v>
      </c>
      <c r="E32" s="105">
        <v>1022114</v>
      </c>
      <c r="F32" s="105" t="s">
        <v>170</v>
      </c>
      <c r="G32" s="105" t="s">
        <v>170</v>
      </c>
      <c r="H32" s="105" t="s">
        <v>170</v>
      </c>
      <c r="I32" s="105" t="s">
        <v>170</v>
      </c>
      <c r="J32" s="105" t="s">
        <v>170</v>
      </c>
      <c r="K32" s="105" t="s">
        <v>170</v>
      </c>
      <c r="L32" s="105" t="s">
        <v>170</v>
      </c>
      <c r="M32" s="105" t="s">
        <v>170</v>
      </c>
      <c r="N32" s="105" t="s">
        <v>170</v>
      </c>
      <c r="O32" s="105" t="s">
        <v>170</v>
      </c>
    </row>
    <row r="33" spans="1:23" x14ac:dyDescent="0.3">
      <c r="A33" s="106" t="s">
        <v>222</v>
      </c>
      <c r="B33" s="104" t="s">
        <v>194</v>
      </c>
      <c r="C33" s="105" t="s">
        <v>213</v>
      </c>
      <c r="D33" s="105">
        <v>78644</v>
      </c>
      <c r="E33" s="105">
        <v>105228</v>
      </c>
      <c r="F33" s="105">
        <v>23986</v>
      </c>
      <c r="G33" s="105">
        <v>31153</v>
      </c>
      <c r="H33" s="104">
        <v>9993</v>
      </c>
      <c r="I33" s="104">
        <v>12655</v>
      </c>
      <c r="J33" s="105">
        <v>17243</v>
      </c>
      <c r="K33" s="105">
        <v>0</v>
      </c>
      <c r="L33" s="105">
        <v>7104</v>
      </c>
      <c r="M33" s="105">
        <v>0</v>
      </c>
      <c r="N33" s="105">
        <f>VLOOKUP($B33,CBP_2015!$B$1:$E$2017,MATCH('Profile 2015'!N$11,CBP_2015!$B$1:$E$1,0),0)</f>
        <v>20361</v>
      </c>
      <c r="O33" s="105">
        <f>VLOOKUP($B33,CBP_2015!$B$1:$E$2017,MATCH('Profile 2015'!O$11,CBP_2015!$B$1:$E$1,0),0)</f>
        <v>24155</v>
      </c>
    </row>
    <row r="35" spans="1:23" ht="15" thickBot="1" x14ac:dyDescent="0.35"/>
    <row r="36" spans="1:23" ht="15" thickTop="1" x14ac:dyDescent="0.3">
      <c r="A36" s="390" t="s">
        <v>168</v>
      </c>
      <c r="B36" s="381">
        <v>2001</v>
      </c>
      <c r="C36" s="382"/>
      <c r="D36" s="382"/>
      <c r="E36" s="383"/>
      <c r="F36" s="231"/>
      <c r="G36" s="381">
        <v>2005</v>
      </c>
      <c r="H36" s="382"/>
      <c r="I36" s="385"/>
      <c r="J36" s="392">
        <v>2007</v>
      </c>
      <c r="K36" s="393"/>
      <c r="L36" s="394"/>
      <c r="M36" s="381">
        <v>2011</v>
      </c>
      <c r="N36" s="382"/>
      <c r="O36" s="385"/>
      <c r="P36" s="381">
        <v>2012</v>
      </c>
      <c r="Q36" s="382"/>
      <c r="R36" s="382"/>
      <c r="S36" s="385"/>
      <c r="T36" s="378">
        <v>2015</v>
      </c>
      <c r="U36" s="379"/>
      <c r="V36" s="379"/>
      <c r="W36" s="380"/>
    </row>
    <row r="37" spans="1:23" ht="59.25" customHeight="1" x14ac:dyDescent="0.3">
      <c r="A37" s="391"/>
      <c r="B37" s="215" t="s">
        <v>220</v>
      </c>
      <c r="C37" s="213" t="s">
        <v>221</v>
      </c>
      <c r="D37" s="213" t="s">
        <v>228</v>
      </c>
      <c r="E37" s="214" t="s">
        <v>232</v>
      </c>
      <c r="F37" s="216" t="s">
        <v>231</v>
      </c>
      <c r="G37" s="215" t="s">
        <v>220</v>
      </c>
      <c r="H37" s="213" t="s">
        <v>221</v>
      </c>
      <c r="I37" s="216" t="s">
        <v>223</v>
      </c>
      <c r="J37" s="215" t="s">
        <v>220</v>
      </c>
      <c r="K37" s="213" t="s">
        <v>221</v>
      </c>
      <c r="L37" s="216" t="s">
        <v>223</v>
      </c>
      <c r="M37" s="215" t="s">
        <v>220</v>
      </c>
      <c r="N37" s="213" t="s">
        <v>221</v>
      </c>
      <c r="O37" s="216" t="s">
        <v>223</v>
      </c>
      <c r="P37" s="215" t="s">
        <v>220</v>
      </c>
      <c r="Q37" s="213" t="s">
        <v>221</v>
      </c>
      <c r="R37" s="213" t="s">
        <v>223</v>
      </c>
      <c r="S37" s="216" t="s">
        <v>305</v>
      </c>
      <c r="T37" s="237" t="s">
        <v>220</v>
      </c>
      <c r="U37" s="180" t="s">
        <v>221</v>
      </c>
      <c r="V37" s="180" t="s">
        <v>223</v>
      </c>
      <c r="W37" s="238" t="s">
        <v>458</v>
      </c>
    </row>
    <row r="38" spans="1:23" ht="28.8" x14ac:dyDescent="0.3">
      <c r="A38" s="228" t="s">
        <v>225</v>
      </c>
      <c r="B38" s="217">
        <f>SUMIF($A$12:$A$33,$A38,D$12:D$33)</f>
        <v>26447</v>
      </c>
      <c r="C38" s="104">
        <f>SUMIF($A$12:$A$33,$A38,E$12:E$33)</f>
        <v>183476</v>
      </c>
      <c r="D38" s="107">
        <v>27300</v>
      </c>
      <c r="E38" s="104">
        <f>101.8/13.2</f>
        <v>7.7121212121212119</v>
      </c>
      <c r="F38" s="220">
        <f>E38*D38</f>
        <v>210540.90909090909</v>
      </c>
      <c r="G38" s="217">
        <f>SUMIF($A$12:$A$33,$A38,F$12:F$33)</f>
        <v>24102</v>
      </c>
      <c r="H38" s="104">
        <f>SUMIF($A$12:$A$33,$A38,G$12:G$33)</f>
        <v>168744</v>
      </c>
      <c r="I38" s="218">
        <f>G38</f>
        <v>24102</v>
      </c>
      <c r="J38" s="217">
        <f>SUMIF($A$12:$A$33,$A38,H$12:H$33)</f>
        <v>23645</v>
      </c>
      <c r="K38" s="104">
        <f>SUMIF($A$12:$A$33,$A38,I$12:I$33)</f>
        <v>172105</v>
      </c>
      <c r="L38" s="218">
        <f>J38</f>
        <v>23645</v>
      </c>
      <c r="M38" s="217">
        <f>SUMIF($A$12:$A$33,$A38,J$12:J$33)</f>
        <v>21340</v>
      </c>
      <c r="N38" s="104">
        <f>SUMIF($A$12:$A$33,$A38,K$12:K$33)</f>
        <v>156520</v>
      </c>
      <c r="O38" s="218">
        <f>M38</f>
        <v>21340</v>
      </c>
      <c r="P38" s="217">
        <f>SUMIF($A$12:$A$33,$A38,L$12:L$33)</f>
        <v>22046</v>
      </c>
      <c r="Q38" s="104">
        <f>SUMIF($A$12:$A$33,$A38,M$12:M$33)</f>
        <v>161077</v>
      </c>
      <c r="R38" s="108">
        <f>P38</f>
        <v>22046</v>
      </c>
      <c r="S38" s="234">
        <f t="shared" ref="S38:S46" si="0">(Q38-C38)/C38</f>
        <v>-0.12208136214000741</v>
      </c>
      <c r="T38" s="217">
        <f>SUMIF($A$12:$A$33,$A38,N$12:N$33)</f>
        <v>22368</v>
      </c>
      <c r="U38" s="104">
        <f>SUMIF($A$12:$A$33,$A38,O$12:O$33)</f>
        <v>160144</v>
      </c>
      <c r="V38" s="108">
        <f>T38</f>
        <v>22368</v>
      </c>
      <c r="W38" s="234">
        <f>(U38-C38)/C38</f>
        <v>-0.12716649589047069</v>
      </c>
    </row>
    <row r="39" spans="1:23" x14ac:dyDescent="0.3">
      <c r="A39" s="228" t="s">
        <v>224</v>
      </c>
      <c r="B39" s="219">
        <f>SUM(B56:B59)</f>
        <v>16325</v>
      </c>
      <c r="C39" s="108">
        <f>SUM(C56:C59)</f>
        <v>274309</v>
      </c>
      <c r="D39" s="104">
        <v>8400</v>
      </c>
      <c r="E39" s="104">
        <f>54/3.5</f>
        <v>15.428571428571429</v>
      </c>
      <c r="F39" s="220">
        <f t="shared" ref="F39:F46" si="1">E39*D39</f>
        <v>129600</v>
      </c>
      <c r="G39" s="219">
        <f>SUM(D56:D59)</f>
        <v>16741</v>
      </c>
      <c r="H39" s="108">
        <f>SUM(E56:E59)</f>
        <v>287684</v>
      </c>
      <c r="I39" s="220">
        <f t="shared" ref="I39:I46" si="2">G39/B39*D39</f>
        <v>8614.0520673813171</v>
      </c>
      <c r="J39" s="219">
        <f>SUM(F56:F59)</f>
        <v>18396</v>
      </c>
      <c r="K39" s="108">
        <f>SUM(G56:G59)</f>
        <v>462766</v>
      </c>
      <c r="L39" s="220">
        <f t="shared" ref="L39:L46" si="3">J39/B39*D39</f>
        <v>9465.6294027565073</v>
      </c>
      <c r="M39" s="219">
        <f>SUM(H56:H59)</f>
        <v>20506</v>
      </c>
      <c r="N39" s="108">
        <f>SUM(I56:I59)</f>
        <v>433292</v>
      </c>
      <c r="O39" s="220">
        <f>ROUND(M39/B39*D39,0)</f>
        <v>10551</v>
      </c>
      <c r="P39" s="219">
        <f>SUM(J56:J59)</f>
        <v>21475</v>
      </c>
      <c r="Q39" s="108">
        <f>SUM(K56:K59)</f>
        <v>503726</v>
      </c>
      <c r="R39" s="104">
        <f>ROUND(P39/B39*D39,0)</f>
        <v>11050</v>
      </c>
      <c r="S39" s="234">
        <f t="shared" si="0"/>
        <v>0.83634514361541179</v>
      </c>
      <c r="T39" s="219">
        <f>SUM(L56:L59)</f>
        <v>22099</v>
      </c>
      <c r="U39" s="108">
        <f>SUM(M56:M59)</f>
        <v>539542</v>
      </c>
      <c r="V39" s="104">
        <f>ROUND(T39/B39*D39,0)</f>
        <v>11371</v>
      </c>
      <c r="W39" s="234">
        <f t="shared" ref="W39:W47" si="4">(U39-C39)/C39</f>
        <v>0.96691322559595205</v>
      </c>
    </row>
    <row r="40" spans="1:23" ht="28.8" x14ac:dyDescent="0.3">
      <c r="A40" s="229" t="s">
        <v>33</v>
      </c>
      <c r="B40" s="217">
        <f t="shared" ref="B40:C46" si="5">SUMIF($A$12:$A$33,$A40,D$12:D$33)</f>
        <v>208385</v>
      </c>
      <c r="C40" s="104">
        <f t="shared" si="5"/>
        <v>4405147</v>
      </c>
      <c r="D40" s="104">
        <v>29000</v>
      </c>
      <c r="E40" s="104">
        <f>591/64.2</f>
        <v>9.2056074766355138</v>
      </c>
      <c r="F40" s="220">
        <f t="shared" si="1"/>
        <v>266962.61682242987</v>
      </c>
      <c r="G40" s="217">
        <f t="shared" ref="G40:H46" si="6">SUMIF($A$12:$A$33,$A40,F$12:F$33)</f>
        <v>228476</v>
      </c>
      <c r="H40" s="104">
        <f t="shared" si="6"/>
        <v>4801122</v>
      </c>
      <c r="I40" s="220">
        <f t="shared" si="2"/>
        <v>31795.973798497977</v>
      </c>
      <c r="J40" s="217">
        <f t="shared" ref="J40:K46" si="7">SUMIF($A$12:$A$33,$A40,H$12:H$33)</f>
        <v>236480</v>
      </c>
      <c r="K40" s="104">
        <f t="shared" si="7"/>
        <v>5018189</v>
      </c>
      <c r="L40" s="220">
        <f t="shared" si="3"/>
        <v>32909.854356119678</v>
      </c>
      <c r="M40" s="217">
        <f t="shared" ref="M40:N46" si="8">SUMIF($A$12:$A$33,$A40,J$12:J$33)</f>
        <v>229488</v>
      </c>
      <c r="N40" s="104">
        <f t="shared" si="8"/>
        <v>4746154</v>
      </c>
      <c r="O40" s="220">
        <f t="shared" ref="O40:O46" si="9">ROUND(M40/B40*D40,0)</f>
        <v>31937</v>
      </c>
      <c r="P40" s="217">
        <f t="shared" ref="P40:Q46" si="10">SUMIF($A$12:$A$33,$A40,L$12:L$33)</f>
        <v>232325</v>
      </c>
      <c r="Q40" s="104">
        <f t="shared" si="10"/>
        <v>4874444</v>
      </c>
      <c r="R40" s="104">
        <f t="shared" ref="R40:R45" si="11">ROUND(P40/B40*D40,0)</f>
        <v>32332</v>
      </c>
      <c r="S40" s="234">
        <f t="shared" si="0"/>
        <v>0.10653378877027259</v>
      </c>
      <c r="T40" s="217">
        <f>SUMIF($A$12:$A$33,$A40,N$12:N$33)</f>
        <v>246372</v>
      </c>
      <c r="U40" s="104">
        <f>SUMIF($A$12:$A$33,$A40,O$12:O$33)</f>
        <v>5255802</v>
      </c>
      <c r="V40" s="104">
        <f t="shared" ref="V40:V48" si="12">ROUND(T40/B40*D40,0)</f>
        <v>34286</v>
      </c>
      <c r="W40" s="234">
        <f t="shared" si="4"/>
        <v>0.19310479309771048</v>
      </c>
    </row>
    <row r="41" spans="1:23" x14ac:dyDescent="0.3">
      <c r="A41" s="228" t="s">
        <v>32</v>
      </c>
      <c r="B41" s="217">
        <f t="shared" si="5"/>
        <v>698898</v>
      </c>
      <c r="C41" s="104">
        <f t="shared" si="5"/>
        <v>6491994</v>
      </c>
      <c r="D41" s="104">
        <v>153900</v>
      </c>
      <c r="E41" s="104">
        <f>882.5/48.6</f>
        <v>18.15843621399177</v>
      </c>
      <c r="F41" s="220">
        <f t="shared" si="1"/>
        <v>2794583.3333333335</v>
      </c>
      <c r="G41" s="217">
        <f t="shared" si="6"/>
        <v>787672</v>
      </c>
      <c r="H41" s="104">
        <f t="shared" si="6"/>
        <v>6781327</v>
      </c>
      <c r="I41" s="220">
        <f t="shared" si="2"/>
        <v>173448.37272391678</v>
      </c>
      <c r="J41" s="217">
        <f t="shared" si="7"/>
        <v>811452</v>
      </c>
      <c r="K41" s="104">
        <f t="shared" si="7"/>
        <v>7267883</v>
      </c>
      <c r="L41" s="220">
        <f t="shared" si="3"/>
        <v>178684.81924400985</v>
      </c>
      <c r="M41" s="217">
        <f t="shared" si="8"/>
        <v>657738</v>
      </c>
      <c r="N41" s="104">
        <f t="shared" si="8"/>
        <v>5190921</v>
      </c>
      <c r="O41" s="220">
        <f t="shared" si="9"/>
        <v>144836</v>
      </c>
      <c r="P41" s="217">
        <f t="shared" si="10"/>
        <v>652902</v>
      </c>
      <c r="Q41" s="104">
        <f t="shared" si="10"/>
        <v>5260942</v>
      </c>
      <c r="R41" s="104">
        <f t="shared" si="11"/>
        <v>143772</v>
      </c>
      <c r="S41" s="234">
        <f t="shared" si="0"/>
        <v>-0.18962617648753219</v>
      </c>
      <c r="T41" s="217">
        <f t="shared" ref="T41:T49" si="13">SUMIF($A$12:$A$33,$A41,N$12:N$33)</f>
        <v>682390</v>
      </c>
      <c r="U41" s="104">
        <f t="shared" ref="U41:U49" si="14">SUMIF($A$12:$A$33,$A41,O$12:O$33)</f>
        <v>6008286</v>
      </c>
      <c r="V41" s="104">
        <f t="shared" si="12"/>
        <v>150265</v>
      </c>
      <c r="W41" s="234">
        <f t="shared" si="4"/>
        <v>-7.4508386791485026E-2</v>
      </c>
    </row>
    <row r="42" spans="1:23" x14ac:dyDescent="0.3">
      <c r="A42" s="228" t="s">
        <v>27</v>
      </c>
      <c r="B42" s="217">
        <f t="shared" si="5"/>
        <v>352619</v>
      </c>
      <c r="C42" s="104">
        <f t="shared" si="5"/>
        <v>15950424</v>
      </c>
      <c r="D42" s="104">
        <v>100900</v>
      </c>
      <c r="E42" s="104">
        <f>189.9/10.4</f>
        <v>18.259615384615383</v>
      </c>
      <c r="F42" s="220">
        <f t="shared" si="1"/>
        <v>1842395.1923076923</v>
      </c>
      <c r="G42" s="217">
        <f t="shared" si="6"/>
        <v>333460</v>
      </c>
      <c r="H42" s="104">
        <f t="shared" si="6"/>
        <v>13667337</v>
      </c>
      <c r="I42" s="220">
        <f t="shared" si="2"/>
        <v>95417.756842370945</v>
      </c>
      <c r="J42" s="217">
        <f t="shared" si="7"/>
        <v>331355</v>
      </c>
      <c r="K42" s="104">
        <f t="shared" si="7"/>
        <v>13320172</v>
      </c>
      <c r="L42" s="220">
        <f t="shared" si="3"/>
        <v>94815.422594925403</v>
      </c>
      <c r="M42" s="217">
        <f t="shared" si="8"/>
        <v>295643</v>
      </c>
      <c r="N42" s="104">
        <f t="shared" si="8"/>
        <v>10984361</v>
      </c>
      <c r="O42" s="220">
        <f t="shared" si="9"/>
        <v>84597</v>
      </c>
      <c r="P42" s="217">
        <f t="shared" si="10"/>
        <v>297221</v>
      </c>
      <c r="Q42" s="104">
        <f t="shared" si="10"/>
        <v>11192043</v>
      </c>
      <c r="R42" s="104">
        <f t="shared" si="11"/>
        <v>85048</v>
      </c>
      <c r="S42" s="234">
        <f t="shared" si="0"/>
        <v>-0.29832316683243026</v>
      </c>
      <c r="T42" s="217">
        <f t="shared" si="13"/>
        <v>292825</v>
      </c>
      <c r="U42" s="104">
        <f t="shared" si="14"/>
        <v>11605501</v>
      </c>
      <c r="V42" s="104">
        <f t="shared" si="12"/>
        <v>83790</v>
      </c>
      <c r="W42" s="234">
        <f t="shared" si="4"/>
        <v>-0.27240172424256559</v>
      </c>
    </row>
    <row r="43" spans="1:23" x14ac:dyDescent="0.3">
      <c r="A43" s="228" t="s">
        <v>34</v>
      </c>
      <c r="B43" s="217">
        <f t="shared" si="5"/>
        <v>438924</v>
      </c>
      <c r="C43" s="104">
        <f t="shared" si="5"/>
        <v>6142089</v>
      </c>
      <c r="D43" s="104">
        <v>66300</v>
      </c>
      <c r="E43" s="104">
        <f>182.9/31.2</f>
        <v>5.8621794871794872</v>
      </c>
      <c r="F43" s="220">
        <f t="shared" si="1"/>
        <v>388662.5</v>
      </c>
      <c r="G43" s="217">
        <f t="shared" si="6"/>
        <v>429823</v>
      </c>
      <c r="H43" s="104">
        <f t="shared" si="6"/>
        <v>5968929</v>
      </c>
      <c r="I43" s="220">
        <f t="shared" si="2"/>
        <v>64925.282964704595</v>
      </c>
      <c r="J43" s="217">
        <f t="shared" si="7"/>
        <v>434464</v>
      </c>
      <c r="K43" s="104">
        <f t="shared" si="7"/>
        <v>5964850</v>
      </c>
      <c r="L43" s="220">
        <f t="shared" si="3"/>
        <v>65626.311616589664</v>
      </c>
      <c r="M43" s="217">
        <f t="shared" si="8"/>
        <v>411930</v>
      </c>
      <c r="N43" s="104">
        <f t="shared" si="8"/>
        <v>5626328</v>
      </c>
      <c r="O43" s="220">
        <f t="shared" si="9"/>
        <v>62223</v>
      </c>
      <c r="P43" s="217">
        <f t="shared" si="10"/>
        <v>420501</v>
      </c>
      <c r="Q43" s="104">
        <f t="shared" si="10"/>
        <v>5776243</v>
      </c>
      <c r="R43" s="104">
        <f t="shared" si="11"/>
        <v>63517</v>
      </c>
      <c r="S43" s="234">
        <f t="shared" si="0"/>
        <v>-5.9563773823531375E-2</v>
      </c>
      <c r="T43" s="217">
        <f t="shared" si="13"/>
        <v>413437</v>
      </c>
      <c r="U43" s="104">
        <f t="shared" si="14"/>
        <v>6076109</v>
      </c>
      <c r="V43" s="104">
        <f t="shared" si="12"/>
        <v>62450</v>
      </c>
      <c r="W43" s="234">
        <f t="shared" si="4"/>
        <v>-1.0742273516388316E-2</v>
      </c>
    </row>
    <row r="44" spans="1:23" x14ac:dyDescent="0.3">
      <c r="A44" s="228" t="s">
        <v>35</v>
      </c>
      <c r="B44" s="217">
        <f t="shared" si="5"/>
        <v>1119950</v>
      </c>
      <c r="C44" s="104">
        <f t="shared" si="5"/>
        <v>14890289</v>
      </c>
      <c r="D44" s="104">
        <v>43700</v>
      </c>
      <c r="E44" s="104">
        <f>118.2/16.9</f>
        <v>6.994082840236687</v>
      </c>
      <c r="F44" s="220">
        <f t="shared" si="1"/>
        <v>305641.4201183432</v>
      </c>
      <c r="G44" s="217">
        <f t="shared" si="6"/>
        <v>1123207</v>
      </c>
      <c r="H44" s="104">
        <f t="shared" si="6"/>
        <v>15338672</v>
      </c>
      <c r="I44" s="220">
        <f t="shared" si="2"/>
        <v>43827.086834233676</v>
      </c>
      <c r="J44" s="217">
        <f t="shared" si="7"/>
        <v>1123629</v>
      </c>
      <c r="K44" s="104">
        <f t="shared" si="7"/>
        <v>15759928</v>
      </c>
      <c r="L44" s="220">
        <f t="shared" si="3"/>
        <v>43843.553105049337</v>
      </c>
      <c r="M44" s="217">
        <f t="shared" si="8"/>
        <v>1062942</v>
      </c>
      <c r="N44" s="104">
        <f t="shared" si="8"/>
        <v>14698563</v>
      </c>
      <c r="O44" s="220">
        <f t="shared" si="9"/>
        <v>41476</v>
      </c>
      <c r="P44" s="217">
        <f t="shared" si="10"/>
        <v>1063842</v>
      </c>
      <c r="Q44" s="104">
        <f t="shared" si="10"/>
        <v>14807958</v>
      </c>
      <c r="R44" s="104">
        <f t="shared" si="11"/>
        <v>41511</v>
      </c>
      <c r="S44" s="234">
        <f t="shared" si="0"/>
        <v>-5.5291740811746499E-3</v>
      </c>
      <c r="T44" s="217">
        <f t="shared" si="13"/>
        <v>1070209</v>
      </c>
      <c r="U44" s="104">
        <f t="shared" si="14"/>
        <v>15704167</v>
      </c>
      <c r="V44" s="104">
        <f t="shared" si="12"/>
        <v>41759</v>
      </c>
      <c r="W44" s="234">
        <f t="shared" si="4"/>
        <v>5.4658307840767896E-2</v>
      </c>
    </row>
    <row r="45" spans="1:23" x14ac:dyDescent="0.3">
      <c r="A45" s="228" t="s">
        <v>28</v>
      </c>
      <c r="B45" s="217">
        <f t="shared" si="5"/>
        <v>3400151</v>
      </c>
      <c r="C45" s="104">
        <f t="shared" si="5"/>
        <v>57122785</v>
      </c>
      <c r="D45" s="104">
        <v>177100</v>
      </c>
      <c r="E45" s="104">
        <f>22.9/4.2</f>
        <v>5.4523809523809517</v>
      </c>
      <c r="F45" s="220">
        <f t="shared" si="1"/>
        <v>965616.66666666651</v>
      </c>
      <c r="G45" s="217">
        <f t="shared" si="6"/>
        <v>3676823</v>
      </c>
      <c r="H45" s="104">
        <f t="shared" si="6"/>
        <v>60486533</v>
      </c>
      <c r="I45" s="220">
        <f t="shared" si="2"/>
        <v>191510.71622995569</v>
      </c>
      <c r="J45" s="217">
        <f t="shared" si="7"/>
        <v>3819569</v>
      </c>
      <c r="K45" s="104">
        <f t="shared" si="7"/>
        <v>63614553</v>
      </c>
      <c r="L45" s="220">
        <f t="shared" si="3"/>
        <v>198945.77326124636</v>
      </c>
      <c r="M45" s="217">
        <f t="shared" si="8"/>
        <v>3820477</v>
      </c>
      <c r="N45" s="104">
        <f t="shared" si="8"/>
        <v>63549220</v>
      </c>
      <c r="O45" s="220">
        <f t="shared" si="9"/>
        <v>198993</v>
      </c>
      <c r="P45" s="217">
        <f t="shared" si="10"/>
        <v>3882672</v>
      </c>
      <c r="Q45" s="104">
        <f t="shared" si="10"/>
        <v>65210004</v>
      </c>
      <c r="R45" s="104">
        <f t="shared" si="11"/>
        <v>202233</v>
      </c>
      <c r="S45" s="234">
        <f t="shared" si="0"/>
        <v>0.14157606286178098</v>
      </c>
      <c r="T45" s="217">
        <f t="shared" si="13"/>
        <v>4039087</v>
      </c>
      <c r="U45" s="104">
        <f t="shared" si="14"/>
        <v>70306782</v>
      </c>
      <c r="V45" s="104">
        <f t="shared" si="12"/>
        <v>210380</v>
      </c>
      <c r="W45" s="234">
        <f t="shared" si="4"/>
        <v>0.23080101924302185</v>
      </c>
    </row>
    <row r="46" spans="1:23" ht="28.8" x14ac:dyDescent="0.3">
      <c r="A46" s="228" t="s">
        <v>218</v>
      </c>
      <c r="B46" s="217">
        <f t="shared" si="5"/>
        <v>732031</v>
      </c>
      <c r="C46" s="104">
        <f t="shared" si="5"/>
        <v>8262073</v>
      </c>
      <c r="D46" s="104">
        <v>12900</v>
      </c>
      <c r="E46" s="104">
        <f>1160.3/89.6</f>
        <v>12.949776785714286</v>
      </c>
      <c r="F46" s="220">
        <f t="shared" si="1"/>
        <v>167052.12053571429</v>
      </c>
      <c r="G46" s="217">
        <f t="shared" si="6"/>
        <v>847457</v>
      </c>
      <c r="H46" s="104">
        <f t="shared" si="6"/>
        <v>8575914</v>
      </c>
      <c r="I46" s="220">
        <f t="shared" si="2"/>
        <v>14934.060579401694</v>
      </c>
      <c r="J46" s="217">
        <f t="shared" si="7"/>
        <v>888229</v>
      </c>
      <c r="K46" s="104">
        <f t="shared" si="7"/>
        <v>8773043</v>
      </c>
      <c r="L46" s="220">
        <f t="shared" si="3"/>
        <v>15652.55310225933</v>
      </c>
      <c r="M46" s="217">
        <f t="shared" si="8"/>
        <v>809220</v>
      </c>
      <c r="N46" s="104">
        <f t="shared" si="8"/>
        <v>7804242</v>
      </c>
      <c r="O46" s="220">
        <f t="shared" si="9"/>
        <v>14260</v>
      </c>
      <c r="P46" s="217">
        <f t="shared" si="10"/>
        <v>824286</v>
      </c>
      <c r="Q46" s="104">
        <f t="shared" si="10"/>
        <v>7920342</v>
      </c>
      <c r="R46" s="104">
        <f>ROUND(P46/B46*D46,0)</f>
        <v>14526</v>
      </c>
      <c r="S46" s="234">
        <f t="shared" si="0"/>
        <v>-4.1361411355237361E-2</v>
      </c>
      <c r="T46" s="217">
        <f t="shared" si="13"/>
        <v>847664</v>
      </c>
      <c r="U46" s="104">
        <f t="shared" si="14"/>
        <v>8201341</v>
      </c>
      <c r="V46" s="104">
        <f t="shared" si="12"/>
        <v>14938</v>
      </c>
      <c r="W46" s="234">
        <f t="shared" si="4"/>
        <v>-7.3506975791668748E-3</v>
      </c>
    </row>
    <row r="47" spans="1:23" x14ac:dyDescent="0.3">
      <c r="A47" s="230" t="s">
        <v>219</v>
      </c>
      <c r="B47" s="221">
        <f>SUM(B38:B46)</f>
        <v>6993730</v>
      </c>
      <c r="C47" s="109">
        <f>SUM(C38:C46)</f>
        <v>113722586</v>
      </c>
      <c r="D47" s="109">
        <v>619430</v>
      </c>
      <c r="E47" s="109">
        <f>3303.4/281.8</f>
        <v>11.722498225691981</v>
      </c>
      <c r="F47" s="222">
        <f t="shared" ref="F47:R47" si="15">SUM(F38:F46)</f>
        <v>7071054.7588750888</v>
      </c>
      <c r="G47" s="221">
        <f t="shared" si="15"/>
        <v>7467761</v>
      </c>
      <c r="H47" s="109">
        <f t="shared" si="15"/>
        <v>116076262</v>
      </c>
      <c r="I47" s="222">
        <f t="shared" si="15"/>
        <v>648575.30204046261</v>
      </c>
      <c r="J47" s="221">
        <f t="shared" si="15"/>
        <v>7687219</v>
      </c>
      <c r="K47" s="109">
        <f t="shared" si="15"/>
        <v>120353489</v>
      </c>
      <c r="L47" s="222">
        <f t="shared" si="15"/>
        <v>663588.91668295616</v>
      </c>
      <c r="M47" s="221">
        <f t="shared" si="15"/>
        <v>7329284</v>
      </c>
      <c r="N47" s="109">
        <f t="shared" si="15"/>
        <v>113189601</v>
      </c>
      <c r="O47" s="222">
        <f t="shared" si="15"/>
        <v>610213</v>
      </c>
      <c r="P47" s="221">
        <f t="shared" si="15"/>
        <v>7417270</v>
      </c>
      <c r="Q47" s="109">
        <f t="shared" si="15"/>
        <v>115706779</v>
      </c>
      <c r="R47" s="109">
        <f t="shared" si="15"/>
        <v>616035</v>
      </c>
      <c r="S47" s="236">
        <f>ROUND((Q47-C47)/C47,4)</f>
        <v>1.7399999999999999E-2</v>
      </c>
      <c r="T47" s="221">
        <f>SUM(T38:T46)</f>
        <v>7636451</v>
      </c>
      <c r="U47" s="109">
        <f>SUM(U38:U46)</f>
        <v>123857674</v>
      </c>
      <c r="V47" s="109">
        <f>SUM(V38:V46)</f>
        <v>631607</v>
      </c>
      <c r="W47" s="236">
        <f t="shared" si="4"/>
        <v>8.9121153119047086E-2</v>
      </c>
    </row>
    <row r="48" spans="1:23" x14ac:dyDescent="0.3">
      <c r="A48" s="228" t="s">
        <v>222</v>
      </c>
      <c r="B48" s="217">
        <f>SUMIF($A$12:$A$33,$A48,D$12:D$33)</f>
        <v>93578</v>
      </c>
      <c r="C48" s="104">
        <f>SUMIF($A$12:$A$33,$A48,E$12:E$33)</f>
        <v>1127342</v>
      </c>
      <c r="D48" s="104"/>
      <c r="E48" s="105"/>
      <c r="F48" s="220"/>
      <c r="G48" s="226">
        <f>SUMIF($A$12:$A$33,$A48,F$12:F$33)</f>
        <v>23986</v>
      </c>
      <c r="H48" s="186">
        <f>SUMIF($A$12:$A$33,$A48,G$12:G$33)</f>
        <v>31153</v>
      </c>
      <c r="I48" s="227"/>
      <c r="J48" s="217">
        <f>SUMIF($A$12:$A$33,$A48,H$12:H$33)</f>
        <v>9993</v>
      </c>
      <c r="K48" s="104">
        <f>SUMIF($A$12:$A$33,$A48,I$12:I$33)</f>
        <v>12655</v>
      </c>
      <c r="L48" s="220"/>
      <c r="M48" s="217">
        <f>SUMIF($A$12:$A$33,$A48,J$12:J$33)</f>
        <v>17243</v>
      </c>
      <c r="N48" s="104">
        <f>SUMIF($A$12:$A$33,$A48,K$12:K$33)</f>
        <v>0</v>
      </c>
      <c r="O48" s="220"/>
      <c r="P48" s="217">
        <f>SUMIF($A$12:$A$33,$A48,L$12:L$33)</f>
        <v>7104</v>
      </c>
      <c r="Q48" s="104">
        <f>SUMIF($A$12:$A$33,$A48,M$12:M$33)</f>
        <v>0</v>
      </c>
      <c r="R48" s="105"/>
      <c r="S48" s="235"/>
      <c r="T48" s="217">
        <f t="shared" si="13"/>
        <v>20361</v>
      </c>
      <c r="U48" s="104">
        <f t="shared" si="14"/>
        <v>24155</v>
      </c>
      <c r="V48" s="104">
        <f t="shared" si="12"/>
        <v>0</v>
      </c>
      <c r="W48" s="235"/>
    </row>
    <row r="49" spans="1:23" ht="15" thickBot="1" x14ac:dyDescent="0.35">
      <c r="A49" s="230" t="s">
        <v>169</v>
      </c>
      <c r="B49" s="223">
        <f>SUMIF($A$12:$A$33,$A49,D$12:D$33)</f>
        <v>7095302</v>
      </c>
      <c r="C49" s="224">
        <f>SUMIF($A$12:$A$33,$A49,E$12:E$33)</f>
        <v>115061184</v>
      </c>
      <c r="D49" s="224">
        <f>D47+D48</f>
        <v>619430</v>
      </c>
      <c r="E49" s="232"/>
      <c r="F49" s="233"/>
      <c r="G49" s="223">
        <f>SUMIF($A$12:$A$33,$A49,F$12:F$33)</f>
        <v>7499702</v>
      </c>
      <c r="H49" s="224">
        <f>SUMIF($A$12:$A$33,$A49,G$12:G$33)</f>
        <v>116317003</v>
      </c>
      <c r="I49" s="225"/>
      <c r="J49" s="223">
        <f>SUMIF($A$12:$A$33,$A49,H$12:H$33)</f>
        <v>7705018</v>
      </c>
      <c r="K49" s="224">
        <f>SUMIF($A$12:$A$33,$A49,I$12:I$33)</f>
        <v>120604265</v>
      </c>
      <c r="L49" s="225">
        <f>L47+L48</f>
        <v>663588.91668295616</v>
      </c>
      <c r="M49" s="223">
        <f>SUMIF($A$12:$A$33,$A49,J$12:J$33)</f>
        <v>7354043</v>
      </c>
      <c r="N49" s="224">
        <f>SUMIF($A$12:$A$33,$A49,K$12:K$33)</f>
        <v>113425965</v>
      </c>
      <c r="O49" s="225">
        <f>O47+O48</f>
        <v>610213</v>
      </c>
      <c r="P49" s="223">
        <f>SUMIF($A$12:$A$33,$A49,L$12:L$33)</f>
        <v>7431808</v>
      </c>
      <c r="Q49" s="224">
        <f>SUMIF($A$12:$A$33,$A49,M$12:M$33)</f>
        <v>115938468</v>
      </c>
      <c r="R49" s="224">
        <f>R47+R48</f>
        <v>616035</v>
      </c>
      <c r="S49" s="225"/>
      <c r="T49" s="223">
        <f t="shared" si="13"/>
        <v>7663938</v>
      </c>
      <c r="U49" s="224">
        <f t="shared" si="14"/>
        <v>124085947</v>
      </c>
      <c r="V49" s="224">
        <f>V47+V48</f>
        <v>631607</v>
      </c>
      <c r="W49" s="225"/>
    </row>
    <row r="50" spans="1:23" ht="15" thickTop="1" x14ac:dyDescent="0.3">
      <c r="A50" s="113" t="s">
        <v>226</v>
      </c>
      <c r="B50"/>
    </row>
    <row r="51" spans="1:23" x14ac:dyDescent="0.3">
      <c r="A51" s="113" t="s">
        <v>227</v>
      </c>
      <c r="B51"/>
    </row>
    <row r="52" spans="1:23" x14ac:dyDescent="0.3">
      <c r="A52" s="1"/>
      <c r="B52"/>
    </row>
    <row r="53" spans="1:23" x14ac:dyDescent="0.3">
      <c r="A53" s="3" t="s">
        <v>229</v>
      </c>
      <c r="B53"/>
    </row>
    <row r="54" spans="1:23" x14ac:dyDescent="0.3">
      <c r="A54" s="79" t="s">
        <v>160</v>
      </c>
      <c r="B54" s="395">
        <v>2001</v>
      </c>
      <c r="C54" s="396"/>
      <c r="D54" s="395">
        <v>2005</v>
      </c>
      <c r="E54" s="396"/>
      <c r="F54" s="395">
        <v>2007</v>
      </c>
      <c r="G54" s="396"/>
      <c r="H54" s="395">
        <v>2011</v>
      </c>
      <c r="I54" s="396"/>
      <c r="J54" s="395">
        <v>2012</v>
      </c>
      <c r="K54" s="396"/>
      <c r="L54" s="388">
        <v>2015</v>
      </c>
      <c r="M54" s="389"/>
    </row>
    <row r="55" spans="1:23" x14ac:dyDescent="0.3">
      <c r="A55" s="80"/>
      <c r="B55" s="240" t="s">
        <v>166</v>
      </c>
      <c r="C55" s="240" t="s">
        <v>167</v>
      </c>
      <c r="D55" s="240" t="s">
        <v>166</v>
      </c>
      <c r="E55" s="240" t="s">
        <v>167</v>
      </c>
      <c r="F55" s="240" t="s">
        <v>166</v>
      </c>
      <c r="G55" s="240" t="s">
        <v>167</v>
      </c>
      <c r="H55" s="240" t="s">
        <v>166</v>
      </c>
      <c r="I55" s="240" t="s">
        <v>167</v>
      </c>
      <c r="J55" s="240" t="s">
        <v>166</v>
      </c>
      <c r="K55" s="240" t="s">
        <v>167</v>
      </c>
      <c r="L55" s="239" t="s">
        <v>166</v>
      </c>
      <c r="M55" s="239" t="s">
        <v>167</v>
      </c>
    </row>
    <row r="56" spans="1:23" x14ac:dyDescent="0.3">
      <c r="A56" s="111">
        <v>211111</v>
      </c>
      <c r="B56" s="105">
        <v>7254</v>
      </c>
      <c r="C56" s="105">
        <v>78394</v>
      </c>
      <c r="D56" s="105">
        <v>6948</v>
      </c>
      <c r="E56" s="105">
        <v>72350</v>
      </c>
      <c r="F56" s="105">
        <v>7221</v>
      </c>
      <c r="G56" s="105">
        <v>133286</v>
      </c>
      <c r="H56" s="105">
        <v>7757</v>
      </c>
      <c r="I56" s="105">
        <v>108954</v>
      </c>
      <c r="J56" s="105">
        <v>7720</v>
      </c>
      <c r="K56" s="105">
        <v>114524</v>
      </c>
      <c r="L56" s="105">
        <f>VLOOKUP($A56,CBP_2015!$B$1:$E$2017,MATCH('Profile 2015'!L$55,CBP_2015!$B$1:$E$1,0),0)</f>
        <v>7477</v>
      </c>
      <c r="M56" s="105">
        <f>VLOOKUP($A56,CBP_2015!$B$1:$E$2017,MATCH('Profile 2015'!M$55,CBP_2015!$B$1:$E$1,0),0)</f>
        <v>124847</v>
      </c>
    </row>
    <row r="57" spans="1:23" x14ac:dyDescent="0.3">
      <c r="A57" s="111">
        <v>211112</v>
      </c>
      <c r="B57" s="105">
        <v>437</v>
      </c>
      <c r="C57" s="105">
        <v>9586</v>
      </c>
      <c r="D57" s="105">
        <v>442</v>
      </c>
      <c r="E57" s="105">
        <v>13212</v>
      </c>
      <c r="F57" s="105">
        <v>321</v>
      </c>
      <c r="G57" s="105">
        <v>8523</v>
      </c>
      <c r="H57" s="105">
        <v>338</v>
      </c>
      <c r="I57" s="105">
        <v>10005</v>
      </c>
      <c r="J57" s="105">
        <v>344</v>
      </c>
      <c r="K57" s="105">
        <v>10477</v>
      </c>
      <c r="L57" s="105">
        <f>VLOOKUP($A57,CBP_2015!$B$1:$E$2017,MATCH('Profile 2015'!L$55,CBP_2015!$B$1:$E$1,0),0)</f>
        <v>429</v>
      </c>
      <c r="M57" s="105">
        <f>VLOOKUP($A57,CBP_2015!$B$1:$E$2017,MATCH('Profile 2015'!M$55,CBP_2015!$B$1:$E$1,0),0)</f>
        <v>10635</v>
      </c>
    </row>
    <row r="58" spans="1:23" x14ac:dyDescent="0.3">
      <c r="A58" s="111">
        <v>213111</v>
      </c>
      <c r="B58" s="105">
        <v>1654</v>
      </c>
      <c r="C58" s="105">
        <v>58528</v>
      </c>
      <c r="D58" s="105">
        <v>2145</v>
      </c>
      <c r="E58" s="105">
        <v>66084</v>
      </c>
      <c r="F58" s="105">
        <v>2482</v>
      </c>
      <c r="G58" s="105">
        <v>106426</v>
      </c>
      <c r="H58" s="105">
        <v>2436</v>
      </c>
      <c r="I58" s="105">
        <v>94506</v>
      </c>
      <c r="J58" s="105">
        <v>2539</v>
      </c>
      <c r="K58" s="105">
        <v>106368</v>
      </c>
      <c r="L58" s="105">
        <f>VLOOKUP($A58,CBP_2015!$B$1:$E$2017,MATCH('Profile 2015'!L$55,CBP_2015!$B$1:$E$1,0),0)</f>
        <v>2313</v>
      </c>
      <c r="M58" s="105">
        <f>VLOOKUP($A58,CBP_2015!$B$1:$E$2017,MATCH('Profile 2015'!M$55,CBP_2015!$B$1:$E$1,0),0)</f>
        <v>89471</v>
      </c>
    </row>
    <row r="59" spans="1:23" x14ac:dyDescent="0.3">
      <c r="A59" s="111">
        <v>213112</v>
      </c>
      <c r="B59" s="105">
        <v>6980</v>
      </c>
      <c r="C59" s="105">
        <v>127801</v>
      </c>
      <c r="D59" s="105">
        <v>7206</v>
      </c>
      <c r="E59" s="105">
        <v>136038</v>
      </c>
      <c r="F59" s="105">
        <v>8372</v>
      </c>
      <c r="G59" s="105">
        <v>214531</v>
      </c>
      <c r="H59" s="105">
        <v>9975</v>
      </c>
      <c r="I59" s="105">
        <v>219827</v>
      </c>
      <c r="J59" s="105">
        <v>10872</v>
      </c>
      <c r="K59" s="105">
        <v>272357</v>
      </c>
      <c r="L59" s="105">
        <f>VLOOKUP($A59,CBP_2015!$B$1:$E$2017,MATCH('Profile 2015'!L$55,CBP_2015!$B$1:$E$1,0),0)</f>
        <v>11880</v>
      </c>
      <c r="M59" s="105">
        <f>VLOOKUP($A59,CBP_2015!$B$1:$E$2017,MATCH('Profile 2015'!M$55,CBP_2015!$B$1:$E$1,0),0)</f>
        <v>314589</v>
      </c>
    </row>
  </sheetData>
  <mergeCells count="23">
    <mergeCell ref="L54:M54"/>
    <mergeCell ref="A36:A37"/>
    <mergeCell ref="J36:L36"/>
    <mergeCell ref="P36:S36"/>
    <mergeCell ref="L10:M10"/>
    <mergeCell ref="N10:O10"/>
    <mergeCell ref="D54:E54"/>
    <mergeCell ref="B54:C54"/>
    <mergeCell ref="F54:G54"/>
    <mergeCell ref="H54:I54"/>
    <mergeCell ref="J54:K54"/>
    <mergeCell ref="T36:W36"/>
    <mergeCell ref="B36:E36"/>
    <mergeCell ref="G2:P9"/>
    <mergeCell ref="M36:O36"/>
    <mergeCell ref="A10:A11"/>
    <mergeCell ref="G36:I36"/>
    <mergeCell ref="B10:B11"/>
    <mergeCell ref="C10:C11"/>
    <mergeCell ref="J10:K10"/>
    <mergeCell ref="F10:G10"/>
    <mergeCell ref="D10:E10"/>
    <mergeCell ref="H10:I1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9"/>
  <sheetViews>
    <sheetView workbookViewId="0">
      <pane ySplit="1" topLeftCell="A11" activePane="bottomLeft" state="frozen"/>
      <selection pane="bottomLeft" activeCell="J24" sqref="J24"/>
    </sheetView>
  </sheetViews>
  <sheetFormatPr defaultColWidth="8.88671875" defaultRowHeight="14.4" x14ac:dyDescent="0.3"/>
  <cols>
    <col min="1" max="1" width="29.44140625" customWidth="1"/>
    <col min="2" max="2" width="28.88671875" customWidth="1"/>
    <col min="3" max="3" width="16.6640625" customWidth="1"/>
    <col min="4" max="4" width="13.5546875" customWidth="1"/>
    <col min="5" max="5" width="12.33203125" customWidth="1"/>
    <col min="6" max="6" width="13.5546875" customWidth="1"/>
    <col min="7" max="8" width="12.109375" customWidth="1"/>
    <col min="9" max="11" width="15.109375" customWidth="1"/>
    <col min="12" max="12" width="15.5546875" customWidth="1"/>
    <col min="13" max="14" width="11.109375" bestFit="1" customWidth="1"/>
    <col min="15" max="15" width="12.5546875" customWidth="1"/>
    <col min="16" max="16" width="15" customWidth="1"/>
  </cols>
  <sheetData>
    <row r="1" spans="1:16" x14ac:dyDescent="0.3">
      <c r="A1" s="139" t="s">
        <v>342</v>
      </c>
    </row>
    <row r="3" spans="1:16" x14ac:dyDescent="0.3">
      <c r="C3" s="72" t="s">
        <v>343</v>
      </c>
    </row>
    <row r="4" spans="1:16" x14ac:dyDescent="0.3">
      <c r="A4" t="s">
        <v>347</v>
      </c>
      <c r="B4">
        <v>5</v>
      </c>
      <c r="C4" s="7">
        <f>+L5/(1-M5)</f>
        <v>32.646198830409354</v>
      </c>
      <c r="L4" t="s">
        <v>344</v>
      </c>
      <c r="M4" t="s">
        <v>345</v>
      </c>
      <c r="O4" t="s">
        <v>346</v>
      </c>
    </row>
    <row r="5" spans="1:16" x14ac:dyDescent="0.3">
      <c r="A5" t="s">
        <v>349</v>
      </c>
      <c r="B5">
        <v>0.5</v>
      </c>
      <c r="G5" s="21"/>
      <c r="H5" s="21"/>
      <c r="I5" s="21"/>
      <c r="J5" s="21"/>
      <c r="K5" s="21"/>
      <c r="L5">
        <v>22.33</v>
      </c>
      <c r="M5">
        <v>0.316</v>
      </c>
      <c r="O5" t="s">
        <v>348</v>
      </c>
      <c r="P5" s="7">
        <v>33.590000000000003</v>
      </c>
    </row>
    <row r="6" spans="1:16" x14ac:dyDescent="0.3">
      <c r="A6" t="s">
        <v>352</v>
      </c>
      <c r="B6">
        <f>+B4/4</f>
        <v>1.25</v>
      </c>
      <c r="L6">
        <v>0.1</v>
      </c>
      <c r="M6" t="s">
        <v>350</v>
      </c>
      <c r="O6" t="s">
        <v>351</v>
      </c>
      <c r="P6" s="7">
        <f>+P5/(1-M5)</f>
        <v>49.108187134502934</v>
      </c>
    </row>
    <row r="7" spans="1:16" x14ac:dyDescent="0.3">
      <c r="L7">
        <v>2013</v>
      </c>
      <c r="M7" s="140">
        <v>41974</v>
      </c>
    </row>
    <row r="8" spans="1:16" x14ac:dyDescent="0.3">
      <c r="A8" s="175"/>
      <c r="B8" s="175"/>
      <c r="C8" s="397" t="s">
        <v>450</v>
      </c>
      <c r="D8" s="397"/>
      <c r="E8" s="397"/>
      <c r="F8" s="397"/>
      <c r="G8" s="397"/>
      <c r="H8" s="397"/>
      <c r="I8" s="397"/>
      <c r="J8" s="397"/>
      <c r="K8" s="397"/>
      <c r="M8" s="140"/>
    </row>
    <row r="9" spans="1:16" ht="43.2" x14ac:dyDescent="0.3">
      <c r="A9" s="176" t="s">
        <v>353</v>
      </c>
      <c r="B9" s="176" t="s">
        <v>353</v>
      </c>
      <c r="C9" s="177" t="s">
        <v>354</v>
      </c>
      <c r="D9" s="177"/>
      <c r="E9" s="177" t="s">
        <v>355</v>
      </c>
      <c r="F9" s="177" t="s">
        <v>349</v>
      </c>
      <c r="G9" s="177" t="s">
        <v>356</v>
      </c>
      <c r="H9" s="178" t="s">
        <v>451</v>
      </c>
      <c r="I9" s="179" t="s">
        <v>447</v>
      </c>
      <c r="J9" s="180" t="s">
        <v>448</v>
      </c>
      <c r="K9" s="180" t="s">
        <v>449</v>
      </c>
    </row>
    <row r="10" spans="1:16" x14ac:dyDescent="0.3">
      <c r="A10" s="141" t="s">
        <v>357</v>
      </c>
      <c r="B10" s="141" t="s">
        <v>358</v>
      </c>
      <c r="C10" s="104">
        <v>121816.72244289612</v>
      </c>
      <c r="D10" s="171"/>
      <c r="E10" s="172" t="s">
        <v>359</v>
      </c>
      <c r="F10" s="172" t="str">
        <f>+IF(E10="Y",B$5,"NA")</f>
        <v>NA</v>
      </c>
      <c r="G10" s="173">
        <f t="shared" ref="G10:G21" si="0">+IF(E10="Y",C10*F10*(B$4*(C$4/60)+(B$6)*($P$6/60)),0)</f>
        <v>0</v>
      </c>
      <c r="H10" s="174"/>
      <c r="I10" s="173"/>
      <c r="J10" s="173"/>
      <c r="K10" s="173"/>
    </row>
    <row r="11" spans="1:16" x14ac:dyDescent="0.3">
      <c r="A11" s="141"/>
      <c r="B11" s="141" t="s">
        <v>360</v>
      </c>
      <c r="C11" s="104">
        <v>51151.225352913105</v>
      </c>
      <c r="D11" s="171"/>
      <c r="E11" s="172" t="s">
        <v>359</v>
      </c>
      <c r="F11" s="172" t="str">
        <f>+IF(E11="Y",B$5,"NA")</f>
        <v>NA</v>
      </c>
      <c r="G11" s="173">
        <f t="shared" si="0"/>
        <v>0</v>
      </c>
      <c r="H11" s="174"/>
      <c r="I11" s="173"/>
      <c r="J11" s="173"/>
      <c r="K11" s="173"/>
    </row>
    <row r="12" spans="1:16" x14ac:dyDescent="0.3">
      <c r="A12" s="141"/>
      <c r="B12" s="141" t="s">
        <v>361</v>
      </c>
      <c r="C12" s="104">
        <v>57298.301832675388</v>
      </c>
      <c r="D12" s="171"/>
      <c r="E12" s="172" t="s">
        <v>362</v>
      </c>
      <c r="F12" s="172">
        <f>+IF(E12="Y",B$5,"NA")</f>
        <v>0.5</v>
      </c>
      <c r="G12" s="173">
        <f t="shared" si="0"/>
        <v>107251.07027068305</v>
      </c>
      <c r="H12" s="174">
        <f>+F12</f>
        <v>0.5</v>
      </c>
      <c r="I12" s="104">
        <f>+H12*C12</f>
        <v>28649.150916337694</v>
      </c>
      <c r="J12" s="104">
        <f>+I12</f>
        <v>28649.150916337694</v>
      </c>
      <c r="K12" s="104"/>
    </row>
    <row r="13" spans="1:16" x14ac:dyDescent="0.3">
      <c r="A13" s="141"/>
      <c r="B13" s="141" t="s">
        <v>363</v>
      </c>
      <c r="C13" s="104">
        <v>103590.10146316589</v>
      </c>
      <c r="D13" s="171"/>
      <c r="E13" s="172" t="s">
        <v>362</v>
      </c>
      <c r="F13" s="172">
        <f>+IF(E13="Y",B$5,"NA")</f>
        <v>0.5</v>
      </c>
      <c r="G13" s="173">
        <f t="shared" si="0"/>
        <v>193900.1488005257</v>
      </c>
      <c r="H13" s="174">
        <f t="shared" ref="H13:H21" si="1">+F13</f>
        <v>0.5</v>
      </c>
      <c r="I13" s="104">
        <f t="shared" ref="I13:I23" si="2">+H13*C13</f>
        <v>51795.050731582945</v>
      </c>
      <c r="J13" s="104">
        <f t="shared" ref="J13:J23" si="3">+I13</f>
        <v>51795.050731582945</v>
      </c>
      <c r="K13" s="104"/>
    </row>
    <row r="14" spans="1:16" ht="15" thickBot="1" x14ac:dyDescent="0.35">
      <c r="A14" s="181"/>
      <c r="B14" s="181" t="s">
        <v>364</v>
      </c>
      <c r="C14" s="186">
        <v>107813.25084820959</v>
      </c>
      <c r="D14" s="182"/>
      <c r="E14" s="183" t="s">
        <v>362</v>
      </c>
      <c r="F14" s="183">
        <f>+IF(E14="Y",B$5,"NA")</f>
        <v>0.5</v>
      </c>
      <c r="G14" s="184">
        <f t="shared" si="0"/>
        <v>201805.04784590399</v>
      </c>
      <c r="H14" s="185">
        <f t="shared" si="1"/>
        <v>0.5</v>
      </c>
      <c r="I14" s="186">
        <f t="shared" si="2"/>
        <v>53906.625424104794</v>
      </c>
      <c r="J14" s="186">
        <f t="shared" si="3"/>
        <v>53906.625424104794</v>
      </c>
      <c r="K14" s="186"/>
    </row>
    <row r="15" spans="1:16" ht="15" thickTop="1" x14ac:dyDescent="0.3">
      <c r="A15" s="193" t="s">
        <v>365</v>
      </c>
      <c r="B15" s="193" t="s">
        <v>366</v>
      </c>
      <c r="C15" s="198">
        <v>2406445.6375181661</v>
      </c>
      <c r="D15" s="194" t="s">
        <v>367</v>
      </c>
      <c r="E15" s="195" t="s">
        <v>362</v>
      </c>
      <c r="F15" s="195">
        <v>0.1</v>
      </c>
      <c r="G15" s="196">
        <f t="shared" si="0"/>
        <v>900877.90359209862</v>
      </c>
      <c r="H15" s="197">
        <f t="shared" si="1"/>
        <v>0.1</v>
      </c>
      <c r="I15" s="198">
        <f>+H15*C15</f>
        <v>240644.56375181663</v>
      </c>
      <c r="J15" s="198">
        <v>0</v>
      </c>
      <c r="K15" s="198"/>
    </row>
    <row r="16" spans="1:16" x14ac:dyDescent="0.3">
      <c r="A16" s="142"/>
      <c r="B16" s="142" t="s">
        <v>368</v>
      </c>
      <c r="C16" s="104">
        <v>1541278.0544601991</v>
      </c>
      <c r="D16" s="171" t="s">
        <v>367</v>
      </c>
      <c r="E16" s="172" t="s">
        <v>362</v>
      </c>
      <c r="F16" s="172">
        <v>0.25</v>
      </c>
      <c r="G16" s="173">
        <f t="shared" si="0"/>
        <v>1442483.5958341181</v>
      </c>
      <c r="H16" s="174">
        <v>0.25</v>
      </c>
      <c r="I16" s="104">
        <f t="shared" si="2"/>
        <v>385319.51361504977</v>
      </c>
      <c r="J16" s="104">
        <f t="shared" si="3"/>
        <v>385319.51361504977</v>
      </c>
      <c r="K16" s="104"/>
      <c r="M16" s="7"/>
      <c r="O16" s="21"/>
      <c r="P16" s="21"/>
    </row>
    <row r="17" spans="1:15" x14ac:dyDescent="0.3">
      <c r="A17" s="142"/>
      <c r="B17" s="142" t="s">
        <v>369</v>
      </c>
      <c r="C17" s="104">
        <v>704357.90547844535</v>
      </c>
      <c r="D17" s="171" t="s">
        <v>370</v>
      </c>
      <c r="E17" s="172" t="s">
        <v>362</v>
      </c>
      <c r="F17" s="172">
        <f t="shared" ref="F17:F23" si="4">+IF(E17="Y",B$5,"NA")</f>
        <v>0.5</v>
      </c>
      <c r="G17" s="173">
        <f t="shared" si="0"/>
        <v>1318418.4661664795</v>
      </c>
      <c r="H17" s="174">
        <f t="shared" si="1"/>
        <v>0.5</v>
      </c>
      <c r="I17" s="104">
        <f t="shared" si="2"/>
        <v>352178.95273922267</v>
      </c>
      <c r="J17" s="104">
        <f t="shared" si="3"/>
        <v>352178.95273922267</v>
      </c>
      <c r="K17" s="104"/>
    </row>
    <row r="18" spans="1:15" ht="15" thickBot="1" x14ac:dyDescent="0.35">
      <c r="A18" s="199"/>
      <c r="B18" s="199" t="s">
        <v>371</v>
      </c>
      <c r="C18" s="204">
        <v>95919.197077104647</v>
      </c>
      <c r="D18" s="200" t="s">
        <v>367</v>
      </c>
      <c r="E18" s="201" t="s">
        <v>362</v>
      </c>
      <c r="F18" s="201">
        <f t="shared" si="4"/>
        <v>0.5</v>
      </c>
      <c r="G18" s="202">
        <f t="shared" si="0"/>
        <v>179541.73539149202</v>
      </c>
      <c r="H18" s="203">
        <f t="shared" si="1"/>
        <v>0.5</v>
      </c>
      <c r="I18" s="204">
        <f t="shared" si="2"/>
        <v>47959.598538552324</v>
      </c>
      <c r="J18" s="204">
        <f t="shared" si="3"/>
        <v>47959.598538552324</v>
      </c>
      <c r="K18" s="204"/>
    </row>
    <row r="19" spans="1:15" ht="15" thickTop="1" x14ac:dyDescent="0.3">
      <c r="A19" s="187" t="s">
        <v>372</v>
      </c>
      <c r="B19" s="187" t="s">
        <v>373</v>
      </c>
      <c r="C19" s="192">
        <v>210814.52709068247</v>
      </c>
      <c r="D19" s="188" t="s">
        <v>374</v>
      </c>
      <c r="E19" s="189" t="s">
        <v>359</v>
      </c>
      <c r="F19" s="189" t="str">
        <f t="shared" si="4"/>
        <v>NA</v>
      </c>
      <c r="G19" s="190">
        <f t="shared" si="0"/>
        <v>0</v>
      </c>
      <c r="H19" s="191"/>
      <c r="I19" s="192">
        <f t="shared" si="2"/>
        <v>0</v>
      </c>
      <c r="J19" s="192">
        <f t="shared" si="3"/>
        <v>0</v>
      </c>
      <c r="K19" s="192"/>
    </row>
    <row r="20" spans="1:15" x14ac:dyDescent="0.3">
      <c r="A20" s="143"/>
      <c r="B20" s="143" t="s">
        <v>375</v>
      </c>
      <c r="C20" s="104">
        <v>51457.500742431082</v>
      </c>
      <c r="D20" s="171"/>
      <c r="E20" s="172" t="s">
        <v>362</v>
      </c>
      <c r="F20" s="172">
        <f t="shared" si="4"/>
        <v>0.5</v>
      </c>
      <c r="G20" s="173">
        <f t="shared" si="0"/>
        <v>96318.247689026015</v>
      </c>
      <c r="H20" s="174">
        <f t="shared" si="1"/>
        <v>0.5</v>
      </c>
      <c r="I20" s="104">
        <f t="shared" si="2"/>
        <v>25728.750371215541</v>
      </c>
      <c r="J20" s="104">
        <f t="shared" si="3"/>
        <v>25728.750371215541</v>
      </c>
      <c r="K20" s="104"/>
    </row>
    <row r="21" spans="1:15" x14ac:dyDescent="0.3">
      <c r="A21" s="143"/>
      <c r="B21" s="143" t="s">
        <v>376</v>
      </c>
      <c r="C21" s="104">
        <v>174868.14933218487</v>
      </c>
      <c r="D21" s="171"/>
      <c r="E21" s="172" t="s">
        <v>362</v>
      </c>
      <c r="F21" s="172">
        <f t="shared" si="4"/>
        <v>0.5</v>
      </c>
      <c r="G21" s="173">
        <f t="shared" si="0"/>
        <v>327318.53427172941</v>
      </c>
      <c r="H21" s="174">
        <f t="shared" si="1"/>
        <v>0.5</v>
      </c>
      <c r="I21" s="104">
        <f t="shared" si="2"/>
        <v>87434.074666092434</v>
      </c>
      <c r="J21" s="104">
        <f t="shared" si="3"/>
        <v>87434.074666092434</v>
      </c>
      <c r="K21" s="104"/>
      <c r="M21" s="7"/>
      <c r="N21" s="7"/>
      <c r="O21" s="7"/>
    </row>
    <row r="22" spans="1:15" x14ac:dyDescent="0.3">
      <c r="A22" s="143"/>
      <c r="B22" s="143" t="s">
        <v>377</v>
      </c>
      <c r="C22" s="104">
        <v>111105.71128552788</v>
      </c>
      <c r="D22" s="171"/>
      <c r="E22" s="172" t="s">
        <v>359</v>
      </c>
      <c r="F22" s="172" t="str">
        <f t="shared" si="4"/>
        <v>NA</v>
      </c>
      <c r="G22" s="173">
        <f>+IF(E22="Y",C22*F22*(B$4*C$4/60+(B$6)*($P$6/60)),0)</f>
        <v>0</v>
      </c>
      <c r="H22" s="174"/>
      <c r="I22" s="104">
        <f t="shared" si="2"/>
        <v>0</v>
      </c>
      <c r="J22" s="104">
        <f t="shared" si="3"/>
        <v>0</v>
      </c>
      <c r="K22" s="104"/>
    </row>
    <row r="23" spans="1:15" ht="15" thickBot="1" x14ac:dyDescent="0.35">
      <c r="A23" s="207"/>
      <c r="B23" s="207" t="s">
        <v>378</v>
      </c>
      <c r="C23" s="204">
        <v>111625.51670013234</v>
      </c>
      <c r="D23" s="200" t="s">
        <v>374</v>
      </c>
      <c r="E23" s="201" t="s">
        <v>359</v>
      </c>
      <c r="F23" s="201" t="str">
        <f t="shared" si="4"/>
        <v>NA</v>
      </c>
      <c r="G23" s="202">
        <f>+IF(E23="Y",C23*F23*(B$4*C$4/60+(B$6)*($P$6/60)),0)</f>
        <v>0</v>
      </c>
      <c r="H23" s="203"/>
      <c r="I23" s="204">
        <f t="shared" si="2"/>
        <v>0</v>
      </c>
      <c r="J23" s="204">
        <f t="shared" si="3"/>
        <v>0</v>
      </c>
      <c r="K23" s="204"/>
    </row>
    <row r="24" spans="1:15" ht="15" thickTop="1" x14ac:dyDescent="0.3">
      <c r="A24" s="205"/>
      <c r="B24" s="206" t="s">
        <v>169</v>
      </c>
      <c r="C24" s="208">
        <f>SUM(C10:C23)</f>
        <v>5849541.8016247358</v>
      </c>
      <c r="D24" s="209"/>
      <c r="E24" s="209"/>
      <c r="F24" s="209"/>
      <c r="G24" s="210">
        <f>+SUM(G10:G23)</f>
        <v>4767914.7498620562</v>
      </c>
      <c r="H24" s="211"/>
      <c r="I24" s="208">
        <f>+SUM(I10:I23)</f>
        <v>1273616.2807539748</v>
      </c>
      <c r="J24" s="208">
        <f>+SUM(J10:J23)</f>
        <v>1032971.7170021581</v>
      </c>
      <c r="K24" s="208">
        <f>+J24+I24</f>
        <v>2306587.9977561329</v>
      </c>
      <c r="L24" s="2"/>
    </row>
    <row r="26" spans="1:15" x14ac:dyDescent="0.3">
      <c r="A26" t="s">
        <v>379</v>
      </c>
      <c r="G26" t="s">
        <v>380</v>
      </c>
    </row>
    <row r="27" spans="1:15" x14ac:dyDescent="0.3">
      <c r="A27" t="s">
        <v>452</v>
      </c>
    </row>
    <row r="28" spans="1:15" x14ac:dyDescent="0.3">
      <c r="H28" t="s">
        <v>381</v>
      </c>
      <c r="I28" s="21">
        <f>+I24*(C4/12)</f>
        <v>3464894.1945950603</v>
      </c>
      <c r="J28" t="s">
        <v>382</v>
      </c>
    </row>
    <row r="29" spans="1:15" x14ac:dyDescent="0.3">
      <c r="H29" t="s">
        <v>383</v>
      </c>
      <c r="I29" s="21">
        <f>+I24*(P6/60)*1.25</f>
        <v>1303020.5552669961</v>
      </c>
      <c r="J29" t="s">
        <v>384</v>
      </c>
    </row>
    <row r="30" spans="1:15" x14ac:dyDescent="0.3">
      <c r="I30" s="21">
        <f>+I29+I28</f>
        <v>4767914.7498620562</v>
      </c>
      <c r="J30" s="21"/>
      <c r="K30" s="21"/>
    </row>
    <row r="31" spans="1:15" x14ac:dyDescent="0.3">
      <c r="B31" s="144" t="s">
        <v>385</v>
      </c>
      <c r="C31" s="145">
        <f>+I24/C24</f>
        <v>0.21772923827986362</v>
      </c>
    </row>
    <row r="32" spans="1:15" x14ac:dyDescent="0.3">
      <c r="B32" s="146" t="s">
        <v>386</v>
      </c>
      <c r="C32" s="78">
        <v>0.13</v>
      </c>
    </row>
    <row r="33" spans="2:7" x14ac:dyDescent="0.3">
      <c r="B33" s="146" t="s">
        <v>387</v>
      </c>
      <c r="C33" s="78">
        <v>0.08</v>
      </c>
    </row>
    <row r="34" spans="2:7" x14ac:dyDescent="0.3">
      <c r="B34" s="146" t="s">
        <v>388</v>
      </c>
      <c r="C34" s="78">
        <v>0.5</v>
      </c>
    </row>
    <row r="35" spans="2:7" x14ac:dyDescent="0.3">
      <c r="B35" s="146"/>
      <c r="C35" s="78"/>
    </row>
    <row r="36" spans="2:7" x14ac:dyDescent="0.3">
      <c r="B36" s="146" t="s">
        <v>389</v>
      </c>
      <c r="C36" s="147">
        <f>+C34*C33*(1-C32)*C24</f>
        <v>203564.05469654078</v>
      </c>
    </row>
    <row r="37" spans="2:7" x14ac:dyDescent="0.3">
      <c r="B37" s="146" t="s">
        <v>390</v>
      </c>
      <c r="C37" s="147">
        <f>+C32*C31*C24</f>
        <v>165570.11649801672</v>
      </c>
    </row>
    <row r="38" spans="2:7" x14ac:dyDescent="0.3">
      <c r="B38" s="148" t="s">
        <v>391</v>
      </c>
      <c r="C38" s="149">
        <f>+I24-C37-C36</f>
        <v>904482.10955941724</v>
      </c>
    </row>
    <row r="40" spans="2:7" x14ac:dyDescent="0.3">
      <c r="B40" s="144" t="s">
        <v>409</v>
      </c>
      <c r="C40" s="145">
        <f>+J24/C24</f>
        <v>0.17659019322081698</v>
      </c>
    </row>
    <row r="41" spans="2:7" x14ac:dyDescent="0.3">
      <c r="B41" s="146" t="s">
        <v>386</v>
      </c>
      <c r="C41" s="78">
        <v>0.13</v>
      </c>
    </row>
    <row r="42" spans="2:7" x14ac:dyDescent="0.3">
      <c r="B42" s="146" t="s">
        <v>387</v>
      </c>
      <c r="C42" s="78">
        <v>0.08</v>
      </c>
    </row>
    <row r="43" spans="2:7" x14ac:dyDescent="0.3">
      <c r="B43" s="146" t="s">
        <v>388</v>
      </c>
      <c r="C43" s="78">
        <v>0.5</v>
      </c>
    </row>
    <row r="44" spans="2:7" x14ac:dyDescent="0.3">
      <c r="B44" s="146"/>
      <c r="C44" s="78"/>
    </row>
    <row r="45" spans="2:7" x14ac:dyDescent="0.3">
      <c r="B45" s="146" t="s">
        <v>410</v>
      </c>
      <c r="C45" s="147">
        <f>+C36</f>
        <v>203564.05469654078</v>
      </c>
    </row>
    <row r="46" spans="2:7" x14ac:dyDescent="0.3">
      <c r="B46" s="146" t="s">
        <v>390</v>
      </c>
      <c r="C46" s="147">
        <f>+C41*C40*C24</f>
        <v>134286.32321028053</v>
      </c>
      <c r="E46">
        <v>5</v>
      </c>
      <c r="F46">
        <v>60</v>
      </c>
      <c r="G46">
        <f>+E46/F46</f>
        <v>8.3333333333333329E-2</v>
      </c>
    </row>
    <row r="47" spans="2:7" x14ac:dyDescent="0.3">
      <c r="B47" s="148" t="s">
        <v>391</v>
      </c>
      <c r="C47" s="149">
        <f>+J24-C46-C45</f>
        <v>695121.33909533673</v>
      </c>
      <c r="E47" s="140"/>
      <c r="G47" s="2">
        <f>+C47+C45</f>
        <v>898685.39379187755</v>
      </c>
    </row>
    <row r="49" spans="7:7" x14ac:dyDescent="0.3">
      <c r="G49">
        <f>+G47*G46</f>
        <v>74890.449482656462</v>
      </c>
    </row>
  </sheetData>
  <mergeCells count="1">
    <mergeCell ref="C8:K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61"/>
  <sheetViews>
    <sheetView zoomScale="85" zoomScaleNormal="85" workbookViewId="0">
      <pane xSplit="1" ySplit="4" topLeftCell="G47" activePane="bottomRight" state="frozen"/>
      <selection pane="topRight" activeCell="B1" sqref="B1"/>
      <selection pane="bottomLeft" activeCell="A5" sqref="A5"/>
      <selection pane="bottomRight" activeCell="J62" sqref="J62"/>
    </sheetView>
  </sheetViews>
  <sheetFormatPr defaultRowHeight="14.4" x14ac:dyDescent="0.3"/>
  <cols>
    <col min="1" max="1" width="50.33203125" bestFit="1" customWidth="1"/>
    <col min="2" max="2" width="17" bestFit="1" customWidth="1"/>
    <col min="3" max="3" width="23.109375" hidden="1" customWidth="1"/>
    <col min="4" max="4" width="19.5546875" customWidth="1"/>
    <col min="5" max="5" width="17.33203125" customWidth="1"/>
    <col min="6" max="7" width="18.33203125" customWidth="1"/>
    <col min="8" max="8" width="11.33203125" style="338" customWidth="1"/>
    <col min="9" max="9" width="15.44140625" customWidth="1"/>
    <col min="10" max="11" width="17" customWidth="1"/>
    <col min="12" max="12" width="13.109375" customWidth="1"/>
    <col min="13" max="13" width="20.44140625" customWidth="1"/>
    <col min="14" max="14" width="18.109375" customWidth="1"/>
  </cols>
  <sheetData>
    <row r="1" spans="1:14" ht="15.6" x14ac:dyDescent="0.3">
      <c r="A1" s="406" t="s">
        <v>500</v>
      </c>
      <c r="B1" s="407"/>
      <c r="C1" s="407"/>
      <c r="D1" s="407"/>
      <c r="E1" s="407"/>
      <c r="F1" s="407"/>
      <c r="G1" s="407"/>
      <c r="H1" s="407"/>
      <c r="I1" s="407"/>
      <c r="J1" s="407"/>
      <c r="K1" s="407"/>
      <c r="L1" s="407"/>
      <c r="M1" s="408"/>
    </row>
    <row r="2" spans="1:14" ht="16.2" thickBot="1" x14ac:dyDescent="0.35">
      <c r="A2" s="409" t="s">
        <v>501</v>
      </c>
      <c r="B2" s="410"/>
      <c r="C2" s="410"/>
      <c r="D2" s="410"/>
      <c r="E2" s="410"/>
      <c r="F2" s="410"/>
      <c r="G2" s="410"/>
      <c r="H2" s="410"/>
      <c r="I2" s="410"/>
      <c r="J2" s="410"/>
      <c r="K2" s="410"/>
      <c r="L2" s="410"/>
      <c r="M2" s="411"/>
    </row>
    <row r="3" spans="1:14" ht="52.5" customHeight="1" thickBot="1" x14ac:dyDescent="0.35">
      <c r="A3" s="401" t="s">
        <v>0</v>
      </c>
      <c r="B3" s="401" t="s">
        <v>504</v>
      </c>
      <c r="C3" s="402" t="s">
        <v>561</v>
      </c>
      <c r="D3" s="404" t="s">
        <v>562</v>
      </c>
      <c r="E3" s="401" t="s">
        <v>505</v>
      </c>
      <c r="F3" s="401" t="s">
        <v>506</v>
      </c>
      <c r="G3" s="400" t="s">
        <v>566</v>
      </c>
      <c r="H3" s="359" t="s">
        <v>567</v>
      </c>
      <c r="I3" s="311" t="s">
        <v>507</v>
      </c>
      <c r="J3" s="311" t="s">
        <v>253</v>
      </c>
      <c r="K3" s="412" t="s">
        <v>564</v>
      </c>
      <c r="L3" s="401" t="s">
        <v>509</v>
      </c>
      <c r="M3" s="311" t="s">
        <v>510</v>
      </c>
      <c r="N3" s="398" t="s">
        <v>565</v>
      </c>
    </row>
    <row r="4" spans="1:14" ht="30" customHeight="1" thickBot="1" x14ac:dyDescent="0.35">
      <c r="A4" s="401"/>
      <c r="B4" s="401"/>
      <c r="C4" s="403"/>
      <c r="D4" s="405"/>
      <c r="E4" s="401"/>
      <c r="F4" s="401"/>
      <c r="G4" s="400"/>
      <c r="H4" s="359"/>
      <c r="I4" s="311" t="s">
        <v>508</v>
      </c>
      <c r="J4" s="311" t="s">
        <v>541</v>
      </c>
      <c r="K4" s="413"/>
      <c r="L4" s="401"/>
      <c r="M4" s="311" t="s">
        <v>542</v>
      </c>
      <c r="N4" s="399"/>
    </row>
    <row r="5" spans="1:14" ht="16.2" thickBot="1" x14ac:dyDescent="0.35">
      <c r="A5" s="354" t="s">
        <v>511</v>
      </c>
      <c r="B5" s="355"/>
      <c r="C5" s="355"/>
      <c r="D5" s="355"/>
      <c r="E5" s="355"/>
      <c r="F5" s="355"/>
      <c r="G5" s="355"/>
      <c r="H5" s="360"/>
      <c r="I5" s="355"/>
      <c r="J5" s="355"/>
      <c r="K5" s="352"/>
      <c r="L5" s="355"/>
      <c r="M5" s="356"/>
      <c r="N5" s="353"/>
    </row>
    <row r="6" spans="1:14" ht="16.2" thickBot="1" x14ac:dyDescent="0.35">
      <c r="A6" s="284"/>
      <c r="B6" s="264" t="s">
        <v>24</v>
      </c>
      <c r="C6" s="286">
        <v>63755</v>
      </c>
      <c r="D6" s="286">
        <f>'Inputs and Parameters'!B17</f>
        <v>63755</v>
      </c>
      <c r="E6" s="264">
        <v>1</v>
      </c>
      <c r="F6" s="286">
        <f>D6*E6</f>
        <v>63755</v>
      </c>
      <c r="G6" s="286"/>
      <c r="H6" s="361"/>
      <c r="I6" s="293">
        <v>4</v>
      </c>
      <c r="J6" s="286">
        <f>ROUND(F6*I6,0)</f>
        <v>255020</v>
      </c>
      <c r="K6" s="286"/>
      <c r="L6" s="300">
        <f>VLOOKUP(B6,'Inputs and Parameters'!$A$4:$B$7,2,0)</f>
        <v>84.34</v>
      </c>
      <c r="M6" s="288">
        <f>ROUND(J6*L6,0)</f>
        <v>21508387</v>
      </c>
      <c r="N6" s="288"/>
    </row>
    <row r="7" spans="1:14" ht="16.2" thickBot="1" x14ac:dyDescent="0.35">
      <c r="A7" s="289"/>
      <c r="B7" s="264" t="s">
        <v>24</v>
      </c>
      <c r="C7" s="286">
        <v>1301</v>
      </c>
      <c r="D7" s="286">
        <f>'Inputs and Parameters'!B16</f>
        <v>1301</v>
      </c>
      <c r="E7" s="264">
        <v>1</v>
      </c>
      <c r="F7" s="286">
        <f>D7*E7</f>
        <v>1301</v>
      </c>
      <c r="G7" s="286"/>
      <c r="H7" s="361"/>
      <c r="I7" s="293">
        <v>8</v>
      </c>
      <c r="J7" s="286">
        <f t="shared" ref="J7:J9" si="0">ROUND(F7*I7,0)</f>
        <v>10408</v>
      </c>
      <c r="K7" s="286"/>
      <c r="L7" s="300">
        <f>VLOOKUP(B7,'Inputs and Parameters'!$A$4:$B$7,2,0)</f>
        <v>84.34</v>
      </c>
      <c r="M7" s="288">
        <f t="shared" ref="M7:M9" si="1">ROUND(J7*L7,0)</f>
        <v>877811</v>
      </c>
      <c r="N7" s="288"/>
    </row>
    <row r="8" spans="1:14" ht="16.2" thickBot="1" x14ac:dyDescent="0.35">
      <c r="A8" s="284"/>
      <c r="B8" s="264" t="s">
        <v>24</v>
      </c>
      <c r="C8" s="286">
        <v>111044</v>
      </c>
      <c r="D8" s="286">
        <f>'Inputs and Parameters'!B21</f>
        <v>111044</v>
      </c>
      <c r="E8" s="264">
        <v>1</v>
      </c>
      <c r="F8" s="286">
        <f>D8*E8</f>
        <v>111044</v>
      </c>
      <c r="G8" s="286"/>
      <c r="H8" s="361"/>
      <c r="I8" s="293">
        <v>2</v>
      </c>
      <c r="J8" s="286">
        <f t="shared" si="0"/>
        <v>222088</v>
      </c>
      <c r="K8" s="286"/>
      <c r="L8" s="300">
        <f>VLOOKUP(B8,'Inputs and Parameters'!$A$4:$B$7,2,0)</f>
        <v>84.34</v>
      </c>
      <c r="M8" s="288">
        <f t="shared" si="1"/>
        <v>18730902</v>
      </c>
      <c r="N8" s="288"/>
    </row>
    <row r="9" spans="1:14" ht="16.2" thickBot="1" x14ac:dyDescent="0.35">
      <c r="A9" s="284"/>
      <c r="B9" s="264" t="s">
        <v>24</v>
      </c>
      <c r="C9" s="286">
        <v>2266</v>
      </c>
      <c r="D9" s="286">
        <f>'Inputs and Parameters'!B20</f>
        <v>2266</v>
      </c>
      <c r="E9" s="264">
        <v>1</v>
      </c>
      <c r="F9" s="286">
        <f>D9*E9</f>
        <v>2266</v>
      </c>
      <c r="G9" s="286"/>
      <c r="H9" s="361"/>
      <c r="I9" s="293">
        <v>4</v>
      </c>
      <c r="J9" s="286">
        <f t="shared" si="0"/>
        <v>9064</v>
      </c>
      <c r="K9" s="286"/>
      <c r="L9" s="300">
        <f>VLOOKUP(B9,'Inputs and Parameters'!$A$4:$B$7,2,0)</f>
        <v>84.34</v>
      </c>
      <c r="M9" s="288">
        <f t="shared" si="1"/>
        <v>764458</v>
      </c>
      <c r="N9" s="288"/>
    </row>
    <row r="10" spans="1:14" ht="16.8" thickBot="1" x14ac:dyDescent="0.35">
      <c r="A10" s="304" t="s">
        <v>512</v>
      </c>
      <c r="B10" s="305"/>
      <c r="C10" s="307">
        <f>SUM(C6:C9)</f>
        <v>178366</v>
      </c>
      <c r="D10" s="307">
        <f>SUM(D6:D9)</f>
        <v>178366</v>
      </c>
      <c r="E10" s="306"/>
      <c r="F10" s="307">
        <f>SUM(F6:F9)</f>
        <v>178366</v>
      </c>
      <c r="G10" s="307">
        <f>'Table 1'!B7</f>
        <v>178366</v>
      </c>
      <c r="H10" s="362"/>
      <c r="I10" s="308"/>
      <c r="J10" s="307">
        <f>SUM(J6:J9)</f>
        <v>496580</v>
      </c>
      <c r="K10" s="307">
        <f>'Table 1'!D7</f>
        <v>496580</v>
      </c>
      <c r="L10" s="308"/>
      <c r="M10" s="309">
        <f>SUM(M6:M9)</f>
        <v>41881558</v>
      </c>
      <c r="N10" s="309">
        <f>'Table 1'!G7</f>
        <v>41881558</v>
      </c>
    </row>
    <row r="11" spans="1:14" ht="16.8" thickBot="1" x14ac:dyDescent="0.35">
      <c r="A11" s="292"/>
      <c r="B11" s="262"/>
      <c r="C11" s="291"/>
      <c r="D11" s="291"/>
      <c r="E11" s="291"/>
      <c r="F11" s="291"/>
      <c r="G11" s="291"/>
      <c r="H11" s="363"/>
      <c r="I11" s="299"/>
      <c r="J11" s="291"/>
      <c r="K11" s="291"/>
      <c r="L11" s="299"/>
      <c r="M11" s="291"/>
      <c r="N11" s="291"/>
    </row>
    <row r="12" spans="1:14" ht="16.2" thickBot="1" x14ac:dyDescent="0.35">
      <c r="A12" s="354" t="s">
        <v>513</v>
      </c>
      <c r="B12" s="355"/>
      <c r="C12" s="355"/>
      <c r="D12" s="355"/>
      <c r="E12" s="355"/>
      <c r="F12" s="355"/>
      <c r="G12" s="355"/>
      <c r="H12" s="360"/>
      <c r="I12" s="355"/>
      <c r="J12" s="355"/>
      <c r="K12" s="352"/>
      <c r="L12" s="355"/>
      <c r="M12" s="356"/>
      <c r="N12" s="353"/>
    </row>
    <row r="13" spans="1:14" ht="16.2" thickBot="1" x14ac:dyDescent="0.35">
      <c r="A13" s="284"/>
      <c r="B13" s="264" t="s">
        <v>491</v>
      </c>
      <c r="C13" s="286">
        <v>2468507</v>
      </c>
      <c r="D13" s="286">
        <f>'Inputs and Parameters'!B57</f>
        <v>2468507</v>
      </c>
      <c r="E13" s="264">
        <v>1</v>
      </c>
      <c r="F13" s="286">
        <f>D13*E13</f>
        <v>2468507</v>
      </c>
      <c r="G13" s="286"/>
      <c r="H13" s="364">
        <f>15/60</f>
        <v>0.25</v>
      </c>
      <c r="I13" s="293" t="s">
        <v>514</v>
      </c>
      <c r="J13" s="286">
        <f>ROUND(F13*H13,0)</f>
        <v>617127</v>
      </c>
      <c r="K13" s="286"/>
      <c r="L13" s="300">
        <f>VLOOKUP(B13,'Inputs and Parameters'!$A$4:$B$7,2,0)</f>
        <v>34.28</v>
      </c>
      <c r="M13" s="288">
        <f>ROUND(J13*L13,0)</f>
        <v>21155114</v>
      </c>
      <c r="N13" s="288"/>
    </row>
    <row r="14" spans="1:14" ht="16.2" thickBot="1" x14ac:dyDescent="0.35">
      <c r="A14" s="289"/>
      <c r="B14" s="264" t="s">
        <v>491</v>
      </c>
      <c r="C14" s="286">
        <v>567757</v>
      </c>
      <c r="D14" s="286">
        <f>'Inputs and Parameters'!B62</f>
        <v>567757</v>
      </c>
      <c r="E14" s="264">
        <v>1</v>
      </c>
      <c r="F14" s="286">
        <f>D14*E14</f>
        <v>567757</v>
      </c>
      <c r="G14" s="286"/>
      <c r="H14" s="364">
        <f>I14</f>
        <v>1</v>
      </c>
      <c r="I14" s="293">
        <v>1</v>
      </c>
      <c r="J14" s="286">
        <f t="shared" ref="J14:J16" si="2">ROUND(F14*H14,0)</f>
        <v>567757</v>
      </c>
      <c r="K14" s="286"/>
      <c r="L14" s="300">
        <f>VLOOKUP(B14,'Inputs and Parameters'!$A$4:$B$7,2,0)</f>
        <v>34.28</v>
      </c>
      <c r="M14" s="288">
        <f t="shared" ref="M14:M16" si="3">ROUND(J14*L14,0)</f>
        <v>19462710</v>
      </c>
      <c r="N14" s="288"/>
    </row>
    <row r="15" spans="1:14" ht="16.2" thickBot="1" x14ac:dyDescent="0.35">
      <c r="A15" s="289"/>
      <c r="B15" s="264" t="s">
        <v>25</v>
      </c>
      <c r="C15" s="286">
        <v>2760984</v>
      </c>
      <c r="D15" s="286">
        <f>'Inputs and Parameters'!B66</f>
        <v>2760984</v>
      </c>
      <c r="E15" s="264">
        <v>1</v>
      </c>
      <c r="F15" s="286">
        <f>D15*E15</f>
        <v>2760984</v>
      </c>
      <c r="G15" s="286"/>
      <c r="H15" s="364">
        <f>15/60</f>
        <v>0.25</v>
      </c>
      <c r="I15" s="293" t="s">
        <v>515</v>
      </c>
      <c r="J15" s="286">
        <f t="shared" si="2"/>
        <v>690246</v>
      </c>
      <c r="K15" s="286"/>
      <c r="L15" s="300">
        <f>VLOOKUP(B15,'Inputs and Parameters'!$A$4:$B$7,2,0)</f>
        <v>27.86</v>
      </c>
      <c r="M15" s="288">
        <f t="shared" si="3"/>
        <v>19230254</v>
      </c>
      <c r="N15" s="288"/>
    </row>
    <row r="16" spans="1:14" ht="16.2" thickBot="1" x14ac:dyDescent="0.35">
      <c r="A16" s="284"/>
      <c r="B16" s="264" t="s">
        <v>491</v>
      </c>
      <c r="C16" s="286">
        <v>292477</v>
      </c>
      <c r="D16" s="286">
        <f>'Inputs and Parameters'!B71</f>
        <v>292477</v>
      </c>
      <c r="E16" s="264">
        <v>1</v>
      </c>
      <c r="F16" s="286">
        <f>D16*E16</f>
        <v>292477</v>
      </c>
      <c r="G16" s="286"/>
      <c r="H16" s="364">
        <f>30/60</f>
        <v>0.5</v>
      </c>
      <c r="I16" s="293" t="s">
        <v>516</v>
      </c>
      <c r="J16" s="286">
        <f t="shared" si="2"/>
        <v>146239</v>
      </c>
      <c r="K16" s="286"/>
      <c r="L16" s="300">
        <f>VLOOKUP(B16,'Inputs and Parameters'!$A$4:$B$7,2,0)</f>
        <v>34.28</v>
      </c>
      <c r="M16" s="288">
        <f t="shared" si="3"/>
        <v>5013073</v>
      </c>
      <c r="N16" s="288"/>
    </row>
    <row r="17" spans="1:14" ht="16.8" thickBot="1" x14ac:dyDescent="0.35">
      <c r="A17" s="304" t="s">
        <v>517</v>
      </c>
      <c r="B17" s="305"/>
      <c r="C17" s="307">
        <f>SUM(C13:C16)</f>
        <v>6089725</v>
      </c>
      <c r="D17" s="307">
        <f>SUM(D13:D16)</f>
        <v>6089725</v>
      </c>
      <c r="E17" s="306"/>
      <c r="F17" s="307">
        <f>SUM(F13:F16)</f>
        <v>6089725</v>
      </c>
      <c r="G17" s="307">
        <f>'Table 1'!B9</f>
        <v>6089725</v>
      </c>
      <c r="H17" s="362"/>
      <c r="I17" s="308"/>
      <c r="J17" s="307">
        <f>SUM(J13:J16)</f>
        <v>2021369</v>
      </c>
      <c r="K17" s="307">
        <f>'Table 1'!D9</f>
        <v>2021369</v>
      </c>
      <c r="L17" s="308"/>
      <c r="M17" s="309">
        <f>SUM(M13:M16)</f>
        <v>64861151</v>
      </c>
      <c r="N17" s="309">
        <f>'Table 1'!G9</f>
        <v>64861151</v>
      </c>
    </row>
    <row r="18" spans="1:14" ht="16.8" thickBot="1" x14ac:dyDescent="0.35">
      <c r="A18" s="292"/>
      <c r="B18" s="262"/>
      <c r="C18" s="291"/>
      <c r="D18" s="291"/>
      <c r="E18" s="261"/>
      <c r="F18" s="291"/>
      <c r="G18" s="291"/>
      <c r="H18" s="363"/>
      <c r="I18" s="262"/>
      <c r="J18" s="291"/>
      <c r="K18" s="291"/>
      <c r="L18" s="262"/>
      <c r="M18" s="291"/>
      <c r="N18" s="291"/>
    </row>
    <row r="19" spans="1:14" ht="16.2" thickBot="1" x14ac:dyDescent="0.35">
      <c r="A19" s="354" t="s">
        <v>518</v>
      </c>
      <c r="B19" s="355"/>
      <c r="C19" s="355"/>
      <c r="D19" s="355"/>
      <c r="E19" s="355"/>
      <c r="F19" s="355"/>
      <c r="G19" s="355"/>
      <c r="H19" s="360"/>
      <c r="I19" s="355"/>
      <c r="J19" s="355"/>
      <c r="K19" s="352"/>
      <c r="L19" s="355"/>
      <c r="M19" s="356"/>
      <c r="N19" s="353"/>
    </row>
    <row r="20" spans="1:14" ht="16.2" thickBot="1" x14ac:dyDescent="0.35">
      <c r="A20" s="319" t="s">
        <v>519</v>
      </c>
      <c r="B20" s="320"/>
      <c r="C20" s="321"/>
      <c r="D20" s="321"/>
      <c r="E20" s="321"/>
      <c r="F20" s="351"/>
      <c r="G20" s="351"/>
      <c r="H20" s="365"/>
      <c r="I20" s="351"/>
      <c r="J20" s="351"/>
      <c r="K20" s="351"/>
      <c r="L20" s="351"/>
      <c r="M20" s="351"/>
      <c r="N20" s="351"/>
    </row>
    <row r="21" spans="1:14" ht="16.2" thickBot="1" x14ac:dyDescent="0.35">
      <c r="A21" s="294" t="s">
        <v>520</v>
      </c>
      <c r="B21" s="264" t="s">
        <v>491</v>
      </c>
      <c r="C21" s="286">
        <v>203564</v>
      </c>
      <c r="D21" s="286">
        <f>'Inputs and Parameters'!H90</f>
        <v>203564.05469654081</v>
      </c>
      <c r="E21" s="264">
        <v>1</v>
      </c>
      <c r="F21" s="286">
        <f>D21*E21</f>
        <v>203564.05469654081</v>
      </c>
      <c r="G21" s="286"/>
      <c r="H21" s="364">
        <f>25/60</f>
        <v>0.41666666666666669</v>
      </c>
      <c r="I21" s="293" t="s">
        <v>521</v>
      </c>
      <c r="J21" s="286">
        <f>ROUND(F21*H21,0)</f>
        <v>84818</v>
      </c>
      <c r="K21" s="286"/>
      <c r="L21" s="300">
        <f>VLOOKUP(B21,'Inputs and Parameters'!$A$4:$B$7,2,0)</f>
        <v>34.28</v>
      </c>
      <c r="M21" s="288">
        <f>ROUND(J21*L21,0)</f>
        <v>2907561</v>
      </c>
      <c r="N21" s="288"/>
    </row>
    <row r="22" spans="1:14" ht="16.2" thickBot="1" x14ac:dyDescent="0.35">
      <c r="A22" s="294" t="s">
        <v>522</v>
      </c>
      <c r="B22" s="264" t="s">
        <v>491</v>
      </c>
      <c r="C22" s="286">
        <v>203564</v>
      </c>
      <c r="D22" s="286">
        <f>'Inputs and Parameters'!H89-'Inputs and Parameters'!H90</f>
        <v>203564.05469654081</v>
      </c>
      <c r="E22" s="264">
        <v>1</v>
      </c>
      <c r="F22" s="286">
        <f>D22*E22</f>
        <v>203564.05469654081</v>
      </c>
      <c r="G22" s="286"/>
      <c r="H22" s="364">
        <f>25/60</f>
        <v>0.41666666666666669</v>
      </c>
      <c r="I22" s="293" t="s">
        <v>521</v>
      </c>
      <c r="J22" s="286">
        <f>ROUND(F22*H22,0)</f>
        <v>84818</v>
      </c>
      <c r="K22" s="286"/>
      <c r="L22" s="300">
        <f>VLOOKUP(B22,'Inputs and Parameters'!$A$4:$B$7,2,0)</f>
        <v>34.28</v>
      </c>
      <c r="M22" s="288">
        <f>ROUND(J22*L22,0)</f>
        <v>2907561</v>
      </c>
      <c r="N22" s="288"/>
    </row>
    <row r="23" spans="1:14" ht="16.8" thickBot="1" x14ac:dyDescent="0.35">
      <c r="A23" s="304" t="s">
        <v>523</v>
      </c>
      <c r="B23" s="305"/>
      <c r="C23" s="306"/>
      <c r="D23" s="306"/>
      <c r="E23" s="306"/>
      <c r="F23" s="307">
        <f>SUM(F21:F22)</f>
        <v>407128.10939308163</v>
      </c>
      <c r="G23" s="307"/>
      <c r="H23" s="362"/>
      <c r="I23" s="308"/>
      <c r="J23" s="307">
        <f>SUM(J21:J22)</f>
        <v>169636</v>
      </c>
      <c r="K23" s="307">
        <f>'Inputs and Parameters'!B91</f>
        <v>169636.71224711736</v>
      </c>
      <c r="L23" s="308"/>
      <c r="M23" s="309">
        <f>SUM(M21:M22)</f>
        <v>5815122</v>
      </c>
      <c r="N23" s="309"/>
    </row>
    <row r="24" spans="1:14" ht="16.2" thickBot="1" x14ac:dyDescent="0.35">
      <c r="A24" s="319" t="s">
        <v>524</v>
      </c>
      <c r="B24" s="264" t="s">
        <v>491</v>
      </c>
      <c r="C24" s="286">
        <v>1017820</v>
      </c>
      <c r="D24" s="286">
        <f>'Inputs and Parameters'!B94</f>
        <v>1017820.2734827041</v>
      </c>
      <c r="E24" s="264">
        <v>1</v>
      </c>
      <c r="F24" s="286">
        <f>D24*E24</f>
        <v>1017820.2734827041</v>
      </c>
      <c r="G24" s="286"/>
      <c r="H24" s="364">
        <f>30/60</f>
        <v>0.5</v>
      </c>
      <c r="I24" s="293" t="s">
        <v>516</v>
      </c>
      <c r="J24" s="286">
        <f>ROUND(F24*H24,0)</f>
        <v>508910</v>
      </c>
      <c r="K24" s="286"/>
      <c r="L24" s="300">
        <f>VLOOKUP(B24,'Inputs and Parameters'!$A$4:$B$7,2,0)</f>
        <v>34.28</v>
      </c>
      <c r="M24" s="288">
        <f>ROUND(J24*L24,0)</f>
        <v>17445435</v>
      </c>
      <c r="N24" s="288"/>
    </row>
    <row r="25" spans="1:14" ht="16.8" thickBot="1" x14ac:dyDescent="0.35">
      <c r="A25" s="304" t="s">
        <v>549</v>
      </c>
      <c r="B25" s="305"/>
      <c r="C25" s="307">
        <f>SUM(C24)</f>
        <v>1017820</v>
      </c>
      <c r="D25" s="307">
        <f>SUM(D24)</f>
        <v>1017820.2734827041</v>
      </c>
      <c r="E25" s="306"/>
      <c r="F25" s="307">
        <f>SUM(F24)</f>
        <v>1017820.2734827041</v>
      </c>
      <c r="G25" s="307"/>
      <c r="H25" s="362"/>
      <c r="I25" s="308"/>
      <c r="J25" s="307">
        <f>SUM(J24)</f>
        <v>508910</v>
      </c>
      <c r="K25" s="307">
        <f>'Inputs and Parameters'!B95</f>
        <v>508910.13674135203</v>
      </c>
      <c r="L25" s="308"/>
      <c r="M25" s="309">
        <f>SUM(M24)</f>
        <v>17445435</v>
      </c>
      <c r="N25" s="309"/>
    </row>
    <row r="26" spans="1:14" ht="16.2" thickBot="1" x14ac:dyDescent="0.35">
      <c r="A26" s="319" t="s">
        <v>543</v>
      </c>
      <c r="B26" s="264"/>
      <c r="C26" s="264"/>
      <c r="D26" s="264"/>
      <c r="E26" s="264"/>
      <c r="F26" s="264"/>
      <c r="G26" s="264"/>
      <c r="H26" s="366"/>
      <c r="I26" s="293"/>
      <c r="J26" s="264"/>
      <c r="K26" s="264"/>
      <c r="L26" s="264"/>
      <c r="M26" s="264"/>
      <c r="N26" s="264"/>
    </row>
    <row r="27" spans="1:14" ht="16.2" thickBot="1" x14ac:dyDescent="0.35">
      <c r="A27" s="294" t="s">
        <v>520</v>
      </c>
      <c r="B27" s="264" t="s">
        <v>487</v>
      </c>
      <c r="C27" s="286">
        <v>695121</v>
      </c>
      <c r="D27" s="286">
        <f>'Inputs and Parameters'!H98</f>
        <v>695121.33909533673</v>
      </c>
      <c r="E27" s="264">
        <v>1</v>
      </c>
      <c r="F27" s="286">
        <f>D27*E27</f>
        <v>695121.33909533673</v>
      </c>
      <c r="G27" s="286"/>
      <c r="H27" s="367">
        <f>25/60</f>
        <v>0.41666666666666669</v>
      </c>
      <c r="I27" s="293" t="s">
        <v>521</v>
      </c>
      <c r="J27" s="286">
        <f>ROUND(F27*H27,0)</f>
        <v>289634</v>
      </c>
      <c r="K27" s="286">
        <f>'Inputs and Parameters'!H99</f>
        <v>289633.89128972363</v>
      </c>
      <c r="L27" s="300">
        <f>VLOOKUP(B27,'Inputs and Parameters'!$A$4:$B$7,2,0)</f>
        <v>47.61</v>
      </c>
      <c r="M27" s="288">
        <f>ROUND(J27*L27,0)</f>
        <v>13789475</v>
      </c>
      <c r="N27" s="288"/>
    </row>
    <row r="28" spans="1:14" ht="16.2" thickBot="1" x14ac:dyDescent="0.35">
      <c r="A28" s="294" t="s">
        <v>520</v>
      </c>
      <c r="B28" s="264" t="s">
        <v>491</v>
      </c>
      <c r="C28" s="286">
        <v>695121</v>
      </c>
      <c r="D28" s="286">
        <f>'Inputs and Parameters'!H98</f>
        <v>695121.33909533673</v>
      </c>
      <c r="E28" s="264">
        <v>1</v>
      </c>
      <c r="F28" s="286">
        <f t="shared" ref="F28:F32" si="4">D28*E28</f>
        <v>695121.33909533673</v>
      </c>
      <c r="G28" s="286"/>
      <c r="H28" s="367">
        <f>25/60</f>
        <v>0.41666666666666669</v>
      </c>
      <c r="I28" s="293" t="s">
        <v>521</v>
      </c>
      <c r="J28" s="286">
        <f t="shared" ref="J28:J32" si="5">ROUND(F28*H28,0)</f>
        <v>289634</v>
      </c>
      <c r="K28" s="286">
        <f>'Inputs and Parameters'!H100</f>
        <v>289633.89128972363</v>
      </c>
      <c r="L28" s="300">
        <f>VLOOKUP(B28,'Inputs and Parameters'!$A$4:$B$7,2,0)</f>
        <v>34.28</v>
      </c>
      <c r="M28" s="288">
        <f>ROUND(J28*L28,0)</f>
        <v>9928654</v>
      </c>
      <c r="N28" s="288"/>
    </row>
    <row r="29" spans="1:14" ht="16.2" thickBot="1" x14ac:dyDescent="0.35">
      <c r="A29" s="294" t="s">
        <v>525</v>
      </c>
      <c r="B29" s="264" t="s">
        <v>487</v>
      </c>
      <c r="C29" s="286">
        <v>1599604</v>
      </c>
      <c r="D29" s="286">
        <f>'Inputs and Parameters'!B98-'Inputs and Parameters'!H98</f>
        <v>1108046.1642559581</v>
      </c>
      <c r="E29" s="264">
        <v>1</v>
      </c>
      <c r="F29" s="286">
        <f t="shared" si="4"/>
        <v>1108046.1642559581</v>
      </c>
      <c r="G29" s="286"/>
      <c r="H29" s="367">
        <f>25/60</f>
        <v>0.41666666666666669</v>
      </c>
      <c r="I29" s="293" t="s">
        <v>521</v>
      </c>
      <c r="J29" s="286">
        <f t="shared" si="5"/>
        <v>461686</v>
      </c>
      <c r="K29" s="286">
        <f>'Inputs and Parameters'!B99-'Inputs and Parameters'!H99</f>
        <v>461685.9017733158</v>
      </c>
      <c r="L29" s="300">
        <f>VLOOKUP(B29,'Inputs and Parameters'!$A$4:$B$7,2,0)</f>
        <v>47.61</v>
      </c>
      <c r="M29" s="288">
        <f t="shared" ref="M29:M32" si="6">ROUND(J29*L29,0)</f>
        <v>21980870</v>
      </c>
      <c r="N29" s="288"/>
    </row>
    <row r="30" spans="1:14" ht="16.2" thickBot="1" x14ac:dyDescent="0.35">
      <c r="A30" s="294" t="s">
        <v>526</v>
      </c>
      <c r="B30" s="264" t="s">
        <v>491</v>
      </c>
      <c r="C30" s="286">
        <v>1599604</v>
      </c>
      <c r="D30" s="286">
        <f>'Inputs and Parameters'!B98-'Inputs and Parameters'!H98</f>
        <v>1108046.1642559581</v>
      </c>
      <c r="E30" s="264">
        <v>1</v>
      </c>
      <c r="F30" s="286">
        <f t="shared" si="4"/>
        <v>1108046.1642559581</v>
      </c>
      <c r="G30" s="286"/>
      <c r="H30" s="367">
        <f>25/60</f>
        <v>0.41666666666666669</v>
      </c>
      <c r="I30" s="293" t="s">
        <v>521</v>
      </c>
      <c r="J30" s="286">
        <f t="shared" si="5"/>
        <v>461686</v>
      </c>
      <c r="K30" s="286">
        <f>'Inputs and Parameters'!B100-'Inputs and Parameters'!H100</f>
        <v>461685.9017733158</v>
      </c>
      <c r="L30" s="300">
        <f>VLOOKUP(B30,'Inputs and Parameters'!$A$4:$B$7,2,0)</f>
        <v>34.28</v>
      </c>
      <c r="M30" s="288">
        <f t="shared" si="6"/>
        <v>15826596</v>
      </c>
      <c r="N30" s="288"/>
    </row>
    <row r="31" spans="1:14" ht="16.2" thickBot="1" x14ac:dyDescent="0.35">
      <c r="A31" s="294" t="s">
        <v>563</v>
      </c>
      <c r="B31" s="264" t="s">
        <v>487</v>
      </c>
      <c r="C31" s="286">
        <v>2969033</v>
      </c>
      <c r="D31" s="286">
        <f>'Inputs and Parameters'!B107</f>
        <v>1860985.4811864395</v>
      </c>
      <c r="E31" s="264">
        <v>1</v>
      </c>
      <c r="F31" s="286">
        <f t="shared" si="4"/>
        <v>1860985.4811864395</v>
      </c>
      <c r="G31" s="286"/>
      <c r="H31" s="367">
        <f>30/60</f>
        <v>0.5</v>
      </c>
      <c r="I31" s="293" t="s">
        <v>516</v>
      </c>
      <c r="J31" s="286">
        <f t="shared" si="5"/>
        <v>930493</v>
      </c>
      <c r="K31" s="286">
        <f>'Inputs and Parameters'!B108</f>
        <v>930492.74059321976</v>
      </c>
      <c r="L31" s="300">
        <f>VLOOKUP(B31,'Inputs and Parameters'!$A$4:$B$7,2,0)</f>
        <v>47.61</v>
      </c>
      <c r="M31" s="288">
        <f t="shared" si="6"/>
        <v>44300772</v>
      </c>
      <c r="N31" s="288"/>
    </row>
    <row r="32" spans="1:14" ht="16.2" thickBot="1" x14ac:dyDescent="0.35">
      <c r="A32" s="294" t="s">
        <v>563</v>
      </c>
      <c r="B32" s="264" t="s">
        <v>491</v>
      </c>
      <c r="C32" s="286">
        <v>2969033</v>
      </c>
      <c r="D32" s="286">
        <f>'Inputs and Parameters'!B107</f>
        <v>1860985.4811864395</v>
      </c>
      <c r="E32" s="264">
        <v>1</v>
      </c>
      <c r="F32" s="286">
        <f t="shared" si="4"/>
        <v>1860985.4811864395</v>
      </c>
      <c r="G32" s="286"/>
      <c r="H32" s="367">
        <f>30/60</f>
        <v>0.5</v>
      </c>
      <c r="I32" s="293" t="s">
        <v>516</v>
      </c>
      <c r="J32" s="286">
        <f t="shared" si="5"/>
        <v>930493</v>
      </c>
      <c r="K32" s="286">
        <f>'Inputs and Parameters'!B109</f>
        <v>930492.74059321976</v>
      </c>
      <c r="L32" s="300">
        <f>VLOOKUP(B32,'Inputs and Parameters'!$A$4:$B$7,2,0)</f>
        <v>34.28</v>
      </c>
      <c r="M32" s="288">
        <f t="shared" si="6"/>
        <v>31897300</v>
      </c>
      <c r="N32" s="288"/>
    </row>
    <row r="33" spans="1:14" ht="16.8" thickBot="1" x14ac:dyDescent="0.35">
      <c r="A33" s="304" t="s">
        <v>527</v>
      </c>
      <c r="B33" s="305"/>
      <c r="C33" s="307">
        <f>SUM(C27:C32)</f>
        <v>10527516</v>
      </c>
      <c r="D33" s="307">
        <f>SUM(D27:D32)</f>
        <v>7328305.9690754684</v>
      </c>
      <c r="E33" s="306"/>
      <c r="F33" s="307">
        <f>SUM(F27:F32)</f>
        <v>7328305.9690754684</v>
      </c>
      <c r="G33" s="307"/>
      <c r="H33" s="362"/>
      <c r="I33" s="308"/>
      <c r="J33" s="307">
        <f>SUM(J27:J32)</f>
        <v>3363626</v>
      </c>
      <c r="K33" s="307">
        <f>SUM(K27:K32)</f>
        <v>3363625.0673125181</v>
      </c>
      <c r="L33" s="308"/>
      <c r="M33" s="309">
        <f>SUM(M27:M32)</f>
        <v>137723667</v>
      </c>
      <c r="N33" s="309"/>
    </row>
    <row r="34" spans="1:14" ht="16.8" thickBot="1" x14ac:dyDescent="0.35">
      <c r="A34" s="290"/>
      <c r="B34" s="264"/>
      <c r="C34" s="295"/>
      <c r="D34" s="295"/>
      <c r="E34" s="264"/>
      <c r="F34" s="291"/>
      <c r="G34" s="291"/>
      <c r="H34" s="363"/>
      <c r="I34" s="262"/>
      <c r="J34" s="291"/>
      <c r="K34" s="291"/>
      <c r="L34" s="262"/>
      <c r="M34" s="291"/>
      <c r="N34" s="291"/>
    </row>
    <row r="35" spans="1:14" ht="16.8" thickBot="1" x14ac:dyDescent="0.35">
      <c r="A35" s="304" t="s">
        <v>528</v>
      </c>
      <c r="B35" s="305"/>
      <c r="C35" s="307"/>
      <c r="D35" s="307"/>
      <c r="E35" s="306"/>
      <c r="F35" s="307">
        <f>SUM(F23,F25,F33)</f>
        <v>8753254.3519512545</v>
      </c>
      <c r="G35" s="307">
        <f>'Table 1'!B10</f>
        <v>8753254.3519512545</v>
      </c>
      <c r="H35" s="362"/>
      <c r="I35" s="308"/>
      <c r="J35" s="307">
        <f>SUM(J23,J25,J33)</f>
        <v>4042172</v>
      </c>
      <c r="K35" s="307">
        <f>SUM(K23,K25,K33)</f>
        <v>4042171.9163009878</v>
      </c>
      <c r="L35" s="308"/>
      <c r="M35" s="309">
        <f>SUM(M23,M25,M33)</f>
        <v>160984224</v>
      </c>
      <c r="N35" s="309">
        <f>'Table 1'!G10</f>
        <v>160984214.36443579</v>
      </c>
    </row>
    <row r="36" spans="1:14" ht="16.2" thickBot="1" x14ac:dyDescent="0.35">
      <c r="A36" s="310"/>
      <c r="B36" s="310"/>
      <c r="C36" s="310"/>
      <c r="D36" s="310"/>
      <c r="E36" s="310"/>
      <c r="F36" s="310"/>
      <c r="G36" s="310"/>
      <c r="H36" s="368"/>
      <c r="I36" s="298"/>
      <c r="J36" s="310"/>
      <c r="K36" s="310"/>
      <c r="L36" s="298"/>
      <c r="M36" s="310"/>
      <c r="N36" s="310"/>
    </row>
    <row r="37" spans="1:14" ht="16.2" thickBot="1" x14ac:dyDescent="0.35">
      <c r="A37" s="354" t="s">
        <v>529</v>
      </c>
      <c r="B37" s="355"/>
      <c r="C37" s="355"/>
      <c r="D37" s="355"/>
      <c r="E37" s="355"/>
      <c r="F37" s="355"/>
      <c r="G37" s="355"/>
      <c r="H37" s="360"/>
      <c r="I37" s="355"/>
      <c r="J37" s="355"/>
      <c r="K37" s="352"/>
      <c r="L37" s="355"/>
      <c r="M37" s="356"/>
      <c r="N37" s="353"/>
    </row>
    <row r="38" spans="1:14" ht="16.2" thickBot="1" x14ac:dyDescent="0.35">
      <c r="A38" s="263" t="s">
        <v>530</v>
      </c>
      <c r="B38" s="264" t="s">
        <v>491</v>
      </c>
      <c r="C38" s="286">
        <v>2526</v>
      </c>
      <c r="D38" s="286">
        <f>'Inputs and Parameters'!B128</f>
        <v>2526</v>
      </c>
      <c r="E38" s="264">
        <v>1</v>
      </c>
      <c r="F38" s="286">
        <f>C38*E38</f>
        <v>2526</v>
      </c>
      <c r="G38" s="286">
        <f>'Table 1'!B12</f>
        <v>2526</v>
      </c>
      <c r="H38" s="364">
        <f>5/60</f>
        <v>8.3333333333333329E-2</v>
      </c>
      <c r="I38" s="302" t="s">
        <v>547</v>
      </c>
      <c r="J38" s="286">
        <f>ROUND(F38*H38,0)</f>
        <v>211</v>
      </c>
      <c r="K38" s="286">
        <f>'Inputs and Parameters'!B129</f>
        <v>211</v>
      </c>
      <c r="L38" s="300">
        <f>VLOOKUP(B38,'Inputs and Parameters'!$A$4:$B$7,2,0)</f>
        <v>34.28</v>
      </c>
      <c r="M38" s="288">
        <f>ROUND(J38*L38,0)</f>
        <v>7233</v>
      </c>
      <c r="N38" s="288">
        <f>'Table 1'!G12</f>
        <v>7233</v>
      </c>
    </row>
    <row r="39" spans="1:14" ht="31.8" thickBot="1" x14ac:dyDescent="0.35">
      <c r="A39" s="263" t="s">
        <v>531</v>
      </c>
      <c r="B39" s="264" t="s">
        <v>491</v>
      </c>
      <c r="C39" s="286">
        <v>25264</v>
      </c>
      <c r="D39" s="286">
        <f>'Inputs and Parameters'!B134</f>
        <v>25264</v>
      </c>
      <c r="E39" s="264">
        <v>12</v>
      </c>
      <c r="F39" s="286">
        <f>C39*E39</f>
        <v>303168</v>
      </c>
      <c r="G39" s="286">
        <f>'Table 1'!B13</f>
        <v>303168</v>
      </c>
      <c r="H39" s="364">
        <f>10/60</f>
        <v>0.16666666666666666</v>
      </c>
      <c r="I39" s="303" t="s">
        <v>548</v>
      </c>
      <c r="J39" s="286">
        <f>ROUND(F39*H39,0)</f>
        <v>50528</v>
      </c>
      <c r="K39" s="286">
        <f>'Inputs and Parameters'!B135</f>
        <v>50528</v>
      </c>
      <c r="L39" s="300">
        <f>VLOOKUP(B39,'Inputs and Parameters'!$A$4:$B$7,2,0)</f>
        <v>34.28</v>
      </c>
      <c r="M39" s="288">
        <f>ROUND(J39*L39,0)</f>
        <v>1732100</v>
      </c>
      <c r="N39" s="288">
        <f>'Table 1'!G13</f>
        <v>1732100</v>
      </c>
    </row>
    <row r="40" spans="1:14" ht="16.8" thickBot="1" x14ac:dyDescent="0.35">
      <c r="A40" s="304" t="s">
        <v>532</v>
      </c>
      <c r="B40" s="305"/>
      <c r="C40" s="307"/>
      <c r="D40" s="307"/>
      <c r="E40" s="306"/>
      <c r="F40" s="307">
        <f>SUM(F38:F39)</f>
        <v>305694</v>
      </c>
      <c r="G40" s="307">
        <f>SUM(G38:G39)</f>
        <v>305694</v>
      </c>
      <c r="H40" s="362"/>
      <c r="I40" s="308"/>
      <c r="J40" s="307">
        <f>SUM(J38:J39)</f>
        <v>50739</v>
      </c>
      <c r="K40" s="307">
        <f>SUM(K38:K39)</f>
        <v>50739</v>
      </c>
      <c r="L40" s="308"/>
      <c r="M40" s="309">
        <f>SUM(M38:M39)</f>
        <v>1739333</v>
      </c>
      <c r="N40" s="309">
        <f>SUM(N38:N39)</f>
        <v>1739333</v>
      </c>
    </row>
    <row r="41" spans="1:14" ht="16.2" thickBot="1" x14ac:dyDescent="0.35">
      <c r="A41" s="284"/>
      <c r="B41" s="264"/>
      <c r="C41" s="264"/>
      <c r="D41" s="264"/>
      <c r="E41" s="264"/>
      <c r="F41" s="264"/>
      <c r="G41" s="264"/>
      <c r="H41" s="366"/>
      <c r="I41" s="293"/>
      <c r="J41" s="264"/>
      <c r="K41" s="264"/>
      <c r="L41" s="264"/>
      <c r="M41" s="264"/>
      <c r="N41" s="264"/>
    </row>
    <row r="42" spans="1:14" ht="16.2" thickBot="1" x14ac:dyDescent="0.35">
      <c r="A42" s="354" t="s">
        <v>533</v>
      </c>
      <c r="B42" s="355"/>
      <c r="C42" s="355"/>
      <c r="D42" s="355"/>
      <c r="E42" s="355"/>
      <c r="F42" s="355"/>
      <c r="G42" s="355"/>
      <c r="H42" s="360"/>
      <c r="I42" s="355"/>
      <c r="J42" s="355"/>
      <c r="K42" s="352"/>
      <c r="L42" s="355"/>
      <c r="M42" s="356"/>
      <c r="N42" s="353"/>
    </row>
    <row r="43" spans="1:14" ht="16.2" thickBot="1" x14ac:dyDescent="0.35">
      <c r="A43" s="263" t="s">
        <v>534</v>
      </c>
      <c r="B43" s="264"/>
      <c r="C43" s="264"/>
      <c r="D43" s="264"/>
      <c r="E43" s="264"/>
      <c r="F43" s="264"/>
      <c r="G43" s="264"/>
      <c r="H43" s="366"/>
      <c r="I43" s="293"/>
      <c r="J43" s="264"/>
      <c r="K43" s="264"/>
      <c r="L43" s="264"/>
      <c r="M43" s="264"/>
      <c r="N43" s="264"/>
    </row>
    <row r="44" spans="1:14" ht="16.2" thickBot="1" x14ac:dyDescent="0.35">
      <c r="A44" s="263" t="s">
        <v>16</v>
      </c>
      <c r="B44" s="264" t="s">
        <v>491</v>
      </c>
      <c r="C44" s="286">
        <v>26931</v>
      </c>
      <c r="D44" s="286">
        <f>'Inputs and Parameters'!B145</f>
        <v>26931</v>
      </c>
      <c r="E44" s="264">
        <v>3</v>
      </c>
      <c r="F44" s="286">
        <f>C44*E44</f>
        <v>80793</v>
      </c>
      <c r="G44" s="286">
        <f>'Table 1'!B16</f>
        <v>80793</v>
      </c>
      <c r="H44" s="364">
        <f>5/60</f>
        <v>8.3333333333333329E-2</v>
      </c>
      <c r="I44" s="302" t="s">
        <v>547</v>
      </c>
      <c r="J44" s="286">
        <f>ROUND(F44*H44,0)</f>
        <v>6733</v>
      </c>
      <c r="K44" s="286">
        <f>'Inputs and Parameters'!B146</f>
        <v>6733</v>
      </c>
      <c r="L44" s="300">
        <f>VLOOKUP(B44,'Inputs and Parameters'!$A$4:$B$7,2,0)</f>
        <v>34.28</v>
      </c>
      <c r="M44" s="288">
        <f>ROUND(J44*L44,0)</f>
        <v>230807</v>
      </c>
      <c r="N44" s="288"/>
    </row>
    <row r="45" spans="1:14" ht="16.8" thickBot="1" x14ac:dyDescent="0.35">
      <c r="A45" s="304" t="s">
        <v>535</v>
      </c>
      <c r="B45" s="305"/>
      <c r="C45" s="307"/>
      <c r="D45" s="307"/>
      <c r="E45" s="306"/>
      <c r="F45" s="307">
        <f>SUM(F43:F44)</f>
        <v>80793</v>
      </c>
      <c r="G45" s="307">
        <f>SUM(G43:G44)</f>
        <v>80793</v>
      </c>
      <c r="H45" s="362"/>
      <c r="I45" s="308"/>
      <c r="J45" s="307">
        <f>SUM(J43:J44)</f>
        <v>6733</v>
      </c>
      <c r="K45" s="307">
        <f>SUM(K43:K44)</f>
        <v>6733</v>
      </c>
      <c r="L45" s="308"/>
      <c r="M45" s="309">
        <f>SUM(M43:M44)</f>
        <v>230807</v>
      </c>
      <c r="N45" s="309">
        <f>'Table 1'!G16</f>
        <v>230807</v>
      </c>
    </row>
    <row r="46" spans="1:14" ht="16.2" thickBot="1" x14ac:dyDescent="0.35">
      <c r="A46" s="284"/>
      <c r="B46" s="264"/>
      <c r="C46" s="264"/>
      <c r="D46" s="264"/>
      <c r="E46" s="264"/>
      <c r="F46" s="264"/>
      <c r="G46" s="264"/>
      <c r="H46" s="366"/>
      <c r="I46" s="264"/>
      <c r="J46" s="264"/>
      <c r="K46" s="264"/>
      <c r="L46" s="264"/>
      <c r="M46" s="264"/>
      <c r="N46" s="264"/>
    </row>
    <row r="47" spans="1:14" ht="16.2" thickBot="1" x14ac:dyDescent="0.35">
      <c r="A47" s="354" t="s">
        <v>536</v>
      </c>
      <c r="B47" s="355"/>
      <c r="C47" s="355"/>
      <c r="D47" s="355"/>
      <c r="E47" s="355"/>
      <c r="F47" s="355"/>
      <c r="G47" s="355"/>
      <c r="H47" s="360"/>
      <c r="I47" s="355"/>
      <c r="J47" s="355"/>
      <c r="K47" s="352"/>
      <c r="L47" s="355"/>
      <c r="M47" s="356"/>
      <c r="N47" s="353"/>
    </row>
    <row r="48" spans="1:14" ht="16.2" thickBot="1" x14ac:dyDescent="0.35">
      <c r="A48" s="284"/>
      <c r="B48" s="264"/>
      <c r="C48" s="313" t="s">
        <v>457</v>
      </c>
      <c r="D48" s="313"/>
      <c r="E48" s="313" t="s">
        <v>457</v>
      </c>
      <c r="F48" s="313" t="s">
        <v>457</v>
      </c>
      <c r="G48" s="313"/>
      <c r="H48" s="369"/>
      <c r="I48" s="313" t="s">
        <v>457</v>
      </c>
      <c r="J48" s="313" t="s">
        <v>457</v>
      </c>
      <c r="K48" s="313"/>
      <c r="L48" s="313" t="s">
        <v>457</v>
      </c>
      <c r="M48" s="313" t="s">
        <v>457</v>
      </c>
      <c r="N48" s="313"/>
    </row>
    <row r="49" spans="1:15" ht="16.2" thickBot="1" x14ac:dyDescent="0.35">
      <c r="A49" s="354" t="s">
        <v>537</v>
      </c>
      <c r="B49" s="355"/>
      <c r="C49" s="355"/>
      <c r="D49" s="355"/>
      <c r="E49" s="355"/>
      <c r="F49" s="355"/>
      <c r="G49" s="355"/>
      <c r="H49" s="360"/>
      <c r="I49" s="355"/>
      <c r="J49" s="355"/>
      <c r="K49" s="352"/>
      <c r="L49" s="355"/>
      <c r="M49" s="356"/>
      <c r="N49" s="353"/>
    </row>
    <row r="50" spans="1:15" ht="16.2" thickBot="1" x14ac:dyDescent="0.35">
      <c r="A50" s="263" t="s">
        <v>20</v>
      </c>
      <c r="B50" s="264" t="s">
        <v>25</v>
      </c>
      <c r="C50" s="286">
        <v>3328741</v>
      </c>
      <c r="D50" s="286">
        <f>'Inputs and Parameters'!B157</f>
        <v>3328741</v>
      </c>
      <c r="E50" s="264">
        <v>1</v>
      </c>
      <c r="F50" s="286">
        <f>D50*E50</f>
        <v>3328741</v>
      </c>
      <c r="G50" s="286">
        <f>'Table 1'!B19</f>
        <v>3328741</v>
      </c>
      <c r="H50" s="364">
        <f>5/60</f>
        <v>8.3333333333333329E-2</v>
      </c>
      <c r="I50" s="302" t="s">
        <v>547</v>
      </c>
      <c r="J50" s="286">
        <f>ROUND(F50*H50,0)</f>
        <v>277395</v>
      </c>
      <c r="K50" s="286">
        <f>'Inputs and Parameters'!B158</f>
        <v>277395</v>
      </c>
      <c r="L50" s="300">
        <f>VLOOKUP(B50,'Inputs and Parameters'!$A$4:$B$7,2,0)</f>
        <v>27.86</v>
      </c>
      <c r="M50" s="288">
        <f>J50*L50</f>
        <v>7728224.7000000002</v>
      </c>
      <c r="N50" s="288">
        <f>'Table 1'!G19</f>
        <v>7728225</v>
      </c>
    </row>
    <row r="51" spans="1:15" ht="16.2" thickBot="1" x14ac:dyDescent="0.35">
      <c r="A51" s="263" t="s">
        <v>133</v>
      </c>
      <c r="B51" s="264" t="s">
        <v>25</v>
      </c>
      <c r="C51" s="286">
        <v>5089102</v>
      </c>
      <c r="D51" s="286">
        <f>'Inputs and Parameters'!B87</f>
        <v>5089101.3674135199</v>
      </c>
      <c r="E51" s="264">
        <v>1</v>
      </c>
      <c r="F51" s="286">
        <f>D51*E51</f>
        <v>5089101.3674135199</v>
      </c>
      <c r="G51" s="286">
        <f>'Table 1'!B20</f>
        <v>5089101.3674135199</v>
      </c>
      <c r="H51" s="364">
        <f>5/60</f>
        <v>8.3333333333333329E-2</v>
      </c>
      <c r="I51" s="302" t="s">
        <v>547</v>
      </c>
      <c r="J51" s="286">
        <f>ROUND(F51*H51,0)</f>
        <v>424092</v>
      </c>
      <c r="K51" s="286">
        <f>'Inputs and Parameters'!B163</f>
        <v>424092</v>
      </c>
      <c r="L51" s="300">
        <f>VLOOKUP(B51,'Inputs and Parameters'!$A$4:$B$7,2,0)</f>
        <v>27.86</v>
      </c>
      <c r="M51" s="288">
        <f>J51*L51</f>
        <v>11815203.119999999</v>
      </c>
      <c r="N51" s="288">
        <f>'Table 1'!G20</f>
        <v>11815203</v>
      </c>
    </row>
    <row r="52" spans="1:15" ht="16.2" thickBot="1" x14ac:dyDescent="0.35">
      <c r="A52" s="263" t="s">
        <v>538</v>
      </c>
      <c r="B52" s="264" t="s">
        <v>25</v>
      </c>
      <c r="C52" s="286">
        <v>631607</v>
      </c>
      <c r="D52" s="286">
        <f>'Inputs and Parameters'!B13</f>
        <v>631607</v>
      </c>
      <c r="E52" s="264">
        <v>1</v>
      </c>
      <c r="F52" s="286">
        <f>D52*E52</f>
        <v>631607</v>
      </c>
      <c r="G52" s="358">
        <f>'Inputs and Parameters'!B13</f>
        <v>631607</v>
      </c>
      <c r="H52" s="364">
        <f>5/60</f>
        <v>8.3333333333333329E-2</v>
      </c>
      <c r="I52" s="302" t="s">
        <v>547</v>
      </c>
      <c r="J52" s="286">
        <f>ROUND(F52*H52,0)</f>
        <v>52634</v>
      </c>
      <c r="K52" s="347">
        <f>'Table 1'!D22</f>
        <v>52633.916666666664</v>
      </c>
      <c r="L52" s="300">
        <f>VLOOKUP(B52,'Inputs and Parameters'!$A$4:$B$7,2,0)</f>
        <v>27.86</v>
      </c>
      <c r="M52" s="288">
        <f>J52*L52</f>
        <v>1466383.24</v>
      </c>
      <c r="N52" s="350">
        <f>'Inputs and Parameters'!B168</f>
        <v>1466380.9183333332</v>
      </c>
    </row>
    <row r="53" spans="1:15" ht="16.2" thickBot="1" x14ac:dyDescent="0.35">
      <c r="A53" s="263" t="s">
        <v>22</v>
      </c>
      <c r="B53" s="264" t="s">
        <v>25</v>
      </c>
      <c r="C53" s="286">
        <v>584954</v>
      </c>
      <c r="D53" s="286">
        <f>'Inputs and Parameters'!B173</f>
        <v>584954</v>
      </c>
      <c r="E53" s="264">
        <v>1</v>
      </c>
      <c r="F53" s="286">
        <f>D53*E53</f>
        <v>584954</v>
      </c>
      <c r="G53" s="357">
        <f>'Table 1'!B21</f>
        <v>584954</v>
      </c>
      <c r="H53" s="364">
        <f>5/60</f>
        <v>8.3333333333333329E-2</v>
      </c>
      <c r="I53" s="302" t="s">
        <v>547</v>
      </c>
      <c r="J53" s="286">
        <f>ROUND(F53*H53,0)</f>
        <v>48746</v>
      </c>
      <c r="K53" s="286">
        <f>'Inputs and Parameters'!B174</f>
        <v>48746</v>
      </c>
      <c r="L53" s="300">
        <f>VLOOKUP(B53,'Inputs and Parameters'!$A$4:$B$7,2,0)</f>
        <v>27.86</v>
      </c>
      <c r="M53" s="288">
        <f>J53*L53</f>
        <v>1358063.56</v>
      </c>
      <c r="N53" s="288">
        <f>'Table 1'!G21</f>
        <v>1358064</v>
      </c>
    </row>
    <row r="54" spans="1:15" ht="16.8" thickBot="1" x14ac:dyDescent="0.35">
      <c r="A54" s="304" t="s">
        <v>539</v>
      </c>
      <c r="B54" s="305"/>
      <c r="C54" s="307"/>
      <c r="D54" s="307"/>
      <c r="E54" s="306"/>
      <c r="F54" s="307">
        <f>SUM(F50:F53)</f>
        <v>9634403.3674135208</v>
      </c>
      <c r="G54" s="307">
        <f>SUM(G50:G53)</f>
        <v>9634403.3674135208</v>
      </c>
      <c r="H54" s="362"/>
      <c r="I54" s="308"/>
      <c r="J54" s="307">
        <f>SUM(J50:J53)</f>
        <v>802867</v>
      </c>
      <c r="K54" s="307">
        <f>SUM(K50:K53)</f>
        <v>802866.91666666663</v>
      </c>
      <c r="L54" s="308"/>
      <c r="M54" s="309">
        <f>SUM(M50:M53)</f>
        <v>22367874.619999997</v>
      </c>
      <c r="N54" s="309">
        <f>SUM(N50:N53)</f>
        <v>22367872.918333333</v>
      </c>
    </row>
    <row r="55" spans="1:15" ht="16.8" thickBot="1" x14ac:dyDescent="0.35">
      <c r="A55" s="292"/>
      <c r="B55" s="291"/>
      <c r="C55" s="291"/>
      <c r="D55" s="291"/>
      <c r="E55" s="291"/>
      <c r="F55" s="291"/>
      <c r="G55" s="291"/>
      <c r="H55" s="363"/>
      <c r="I55" s="291"/>
      <c r="J55" s="291"/>
      <c r="K55" s="291"/>
      <c r="L55" s="291"/>
      <c r="M55" s="291"/>
      <c r="N55" s="291"/>
    </row>
    <row r="56" spans="1:15" ht="16.2" thickBot="1" x14ac:dyDescent="0.35">
      <c r="A56" s="301" t="s">
        <v>540</v>
      </c>
      <c r="B56" s="262"/>
      <c r="C56" s="262"/>
      <c r="D56" s="262"/>
      <c r="E56" s="262"/>
      <c r="F56" s="297">
        <f>SUM(F10,F17,F35,F40,F45,F54)</f>
        <v>25042235.719364777</v>
      </c>
      <c r="G56" s="297">
        <f>SUM(G10,G17,G35,G40,G45,G54)</f>
        <v>25042235.719364777</v>
      </c>
      <c r="H56" s="370"/>
      <c r="I56" s="262"/>
      <c r="J56" s="297">
        <f>SUM(J10,J17,J35,J40,J45,J54)</f>
        <v>7420460</v>
      </c>
      <c r="K56" s="297">
        <f>SUM(K10,K17,K35,K40,K45,K54)</f>
        <v>7420459.8329676548</v>
      </c>
      <c r="L56" s="262"/>
      <c r="M56" s="312">
        <f>SUM(M10,M17,M35,M40,M45,M54)</f>
        <v>292064947.62</v>
      </c>
      <c r="N56" s="372">
        <f>SUM(N10,N17,N35,N40,N45,N54)</f>
        <v>292064936.28276914</v>
      </c>
      <c r="O56" s="62"/>
    </row>
    <row r="57" spans="1:15" x14ac:dyDescent="0.3">
      <c r="A57" s="280"/>
    </row>
    <row r="58" spans="1:15" x14ac:dyDescent="0.3">
      <c r="A58" s="280"/>
    </row>
    <row r="59" spans="1:15" x14ac:dyDescent="0.3">
      <c r="A59" s="280"/>
    </row>
    <row r="60" spans="1:15" x14ac:dyDescent="0.3">
      <c r="A60" s="280"/>
    </row>
    <row r="61" spans="1:15" x14ac:dyDescent="0.3">
      <c r="A61" s="280"/>
    </row>
  </sheetData>
  <mergeCells count="12">
    <mergeCell ref="A1:M1"/>
    <mergeCell ref="A2:M2"/>
    <mergeCell ref="B3:B4"/>
    <mergeCell ref="E3:E4"/>
    <mergeCell ref="F3:F4"/>
    <mergeCell ref="L3:L4"/>
    <mergeCell ref="K3:K4"/>
    <mergeCell ref="N3:N4"/>
    <mergeCell ref="G3:G4"/>
    <mergeCell ref="A3:A4"/>
    <mergeCell ref="C3:C4"/>
    <mergeCell ref="D3:D4"/>
  </mergeCells>
  <pageMargins left="0.7" right="0.7" top="0.75" bottom="0.75" header="0.3" footer="0.3"/>
  <pageSetup paperSize="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K31"/>
  <sheetViews>
    <sheetView zoomScale="85" zoomScaleNormal="85" workbookViewId="0">
      <pane xSplit="1" ySplit="6" topLeftCell="B19" activePane="bottomRight" state="frozen"/>
      <selection pane="topRight" activeCell="B1" sqref="B1"/>
      <selection pane="bottomLeft" activeCell="A7" sqref="A7"/>
      <selection pane="bottomRight" activeCell="D22" sqref="D22"/>
    </sheetView>
  </sheetViews>
  <sheetFormatPr defaultColWidth="8.88671875" defaultRowHeight="14.4" outlineLevelRow="1" x14ac:dyDescent="0.3"/>
  <cols>
    <col min="1" max="1" width="30.109375" customWidth="1"/>
    <col min="2" max="2" width="11.6640625" customWidth="1"/>
    <col min="3" max="3" width="23.109375" customWidth="1"/>
    <col min="4" max="4" width="23.6640625" customWidth="1"/>
    <col min="5" max="5" width="32.5546875" customWidth="1"/>
    <col min="6" max="6" width="26.109375" customWidth="1"/>
    <col min="7" max="7" width="20.33203125" customWidth="1"/>
    <col min="8" max="8" width="39.5546875" customWidth="1"/>
  </cols>
  <sheetData>
    <row r="1" spans="1:11" x14ac:dyDescent="0.3">
      <c r="E1" s="168"/>
      <c r="F1" s="168"/>
    </row>
    <row r="2" spans="1:11" ht="97.95" customHeight="1" outlineLevel="1" x14ac:dyDescent="0.3">
      <c r="C2" s="160" t="s">
        <v>417</v>
      </c>
      <c r="D2" s="160" t="s">
        <v>428</v>
      </c>
      <c r="E2" s="160" t="s">
        <v>429</v>
      </c>
      <c r="F2" s="160" t="s">
        <v>430</v>
      </c>
      <c r="G2" s="160" t="s">
        <v>431</v>
      </c>
      <c r="H2" s="160"/>
    </row>
    <row r="3" spans="1:11" x14ac:dyDescent="0.3">
      <c r="D3" s="158"/>
      <c r="E3" s="158"/>
      <c r="F3" s="159"/>
    </row>
    <row r="4" spans="1:11" x14ac:dyDescent="0.3">
      <c r="B4" s="64"/>
      <c r="C4" s="153" t="s">
        <v>308</v>
      </c>
      <c r="D4" s="154"/>
      <c r="E4" s="154" t="s">
        <v>407</v>
      </c>
      <c r="F4" s="155" t="s">
        <v>408</v>
      </c>
      <c r="G4" s="66"/>
      <c r="H4" s="66"/>
    </row>
    <row r="5" spans="1:11" ht="28.2" x14ac:dyDescent="0.3">
      <c r="A5" s="156" t="s">
        <v>0</v>
      </c>
      <c r="B5" s="157" t="s">
        <v>1</v>
      </c>
      <c r="C5" s="157" t="s">
        <v>12</v>
      </c>
      <c r="D5" s="156" t="s">
        <v>11</v>
      </c>
      <c r="E5" s="414" t="s">
        <v>10</v>
      </c>
      <c r="F5" s="415"/>
      <c r="G5" s="83" t="s">
        <v>2</v>
      </c>
      <c r="H5" s="83" t="s">
        <v>295</v>
      </c>
    </row>
    <row r="6" spans="1:11" x14ac:dyDescent="0.3">
      <c r="A6" s="88"/>
      <c r="B6" s="89"/>
      <c r="C6" s="89"/>
      <c r="D6" s="89"/>
      <c r="E6" s="89" t="s">
        <v>406</v>
      </c>
      <c r="F6" s="89" t="s">
        <v>404</v>
      </c>
      <c r="G6" s="90"/>
      <c r="H6" s="94"/>
    </row>
    <row r="7" spans="1:11" ht="18.75" customHeight="1" x14ac:dyDescent="0.3">
      <c r="A7" s="91" t="s">
        <v>4</v>
      </c>
      <c r="B7" s="92">
        <f>'Inputs and Parameters'!B52</f>
        <v>178366</v>
      </c>
      <c r="C7" s="92">
        <v>484338</v>
      </c>
      <c r="D7" s="92">
        <f>'Inputs and Parameters'!B47</f>
        <v>496580</v>
      </c>
      <c r="E7" s="92">
        <f>'Inputs and Parameters'!H47-C7</f>
        <v>12242</v>
      </c>
      <c r="F7" s="92">
        <f>'Inputs and Parameters'!H47-D7</f>
        <v>0</v>
      </c>
      <c r="G7" s="93">
        <f>'Inputs and Parameters'!B48</f>
        <v>41881558</v>
      </c>
      <c r="H7" s="105"/>
    </row>
    <row r="8" spans="1:11" x14ac:dyDescent="0.3">
      <c r="A8" s="91" t="s">
        <v>5</v>
      </c>
      <c r="B8" s="92"/>
      <c r="C8" s="92"/>
      <c r="D8" s="92"/>
      <c r="E8" s="92"/>
      <c r="F8" s="92"/>
      <c r="G8" s="94"/>
      <c r="H8" s="94"/>
    </row>
    <row r="9" spans="1:11" ht="69" x14ac:dyDescent="0.3">
      <c r="A9" s="84" t="s">
        <v>6</v>
      </c>
      <c r="B9" s="92">
        <f>'Inputs and Parameters'!B78</f>
        <v>6089725</v>
      </c>
      <c r="C9" s="92">
        <v>1888646</v>
      </c>
      <c r="D9" s="92">
        <f>'Inputs and Parameters'!B75</f>
        <v>2021369</v>
      </c>
      <c r="E9" s="92">
        <f>'Inputs and Parameters'!H75-C9</f>
        <v>132723</v>
      </c>
      <c r="F9" s="92">
        <f>'Inputs and Parameters'!H75-D9</f>
        <v>0</v>
      </c>
      <c r="G9" s="93">
        <f>'Inputs and Parameters'!B76</f>
        <v>64861151</v>
      </c>
      <c r="H9" s="93"/>
    </row>
    <row r="10" spans="1:11" ht="41.4" x14ac:dyDescent="0.3">
      <c r="A10" s="91" t="s">
        <v>7</v>
      </c>
      <c r="B10" s="92">
        <f>'Inputs and Parameters'!B117</f>
        <v>8753254.3519512545</v>
      </c>
      <c r="C10" s="92">
        <v>3809731</v>
      </c>
      <c r="D10" s="92">
        <f>'Inputs and Parameters'!B114</f>
        <v>4042171.9163009878</v>
      </c>
      <c r="E10" s="92">
        <f>'Inputs and Parameters'!H114-C10</f>
        <v>-2551916.5051734354</v>
      </c>
      <c r="F10" s="92">
        <f>'Inputs and Parameters'!H114-D10</f>
        <v>-2784357.4214744233</v>
      </c>
      <c r="G10" s="93">
        <f>'Inputs and Parameters'!B116</f>
        <v>160984214.36443579</v>
      </c>
      <c r="H10" s="84" t="str">
        <f>CONCATENATE("There is an increase in burden hours due to the increase in number of employees"," from ",TEXT('Profile 2015'!F7,"0,000")," to ",TEXT('Inputs and Parameters'!B24,"0,000"),".")</f>
        <v>There is an increase in burden hours due to the increase in number of employees from 5,465,461 to 5,849,542.</v>
      </c>
      <c r="J10" s="2">
        <f>+C10-D10</f>
        <v>-232440.91630098782</v>
      </c>
      <c r="K10" s="2">
        <f>+E10-F10</f>
        <v>232440.91630098782</v>
      </c>
    </row>
    <row r="11" spans="1:11" ht="27.6" x14ac:dyDescent="0.3">
      <c r="A11" s="91" t="s">
        <v>8</v>
      </c>
      <c r="B11" s="92"/>
      <c r="C11" s="92"/>
      <c r="D11" s="92"/>
      <c r="E11" s="92"/>
      <c r="F11" s="92"/>
      <c r="G11" s="94"/>
      <c r="H11" s="94"/>
    </row>
    <row r="12" spans="1:11" ht="27.6" x14ac:dyDescent="0.3">
      <c r="A12" s="84" t="s">
        <v>9</v>
      </c>
      <c r="B12" s="92">
        <f>'Inputs and Parameters'!B128</f>
        <v>2526</v>
      </c>
      <c r="C12" s="92">
        <v>197</v>
      </c>
      <c r="D12" s="92">
        <f>'Inputs and Parameters'!B129</f>
        <v>211</v>
      </c>
      <c r="E12" s="92">
        <f>'Inputs and Parameters'!H129-C12</f>
        <v>5</v>
      </c>
      <c r="F12" s="92">
        <f>'Inputs and Parameters'!H129-D12</f>
        <v>-9</v>
      </c>
      <c r="G12" s="93">
        <f>'Inputs and Parameters'!B130</f>
        <v>7233</v>
      </c>
      <c r="H12" s="93"/>
    </row>
    <row r="13" spans="1:11" ht="27.6" x14ac:dyDescent="0.3">
      <c r="A13" s="84" t="s">
        <v>13</v>
      </c>
      <c r="B13" s="92">
        <f>'Inputs and Parameters'!B138</f>
        <v>303168</v>
      </c>
      <c r="C13" s="92">
        <v>50270</v>
      </c>
      <c r="D13" s="92">
        <f>'Inputs and Parameters'!B135</f>
        <v>50528</v>
      </c>
      <c r="E13" s="92">
        <f>'Inputs and Parameters'!H135-C13</f>
        <v>1269</v>
      </c>
      <c r="F13" s="92">
        <f>'Inputs and Parameters'!H135-D13</f>
        <v>1011</v>
      </c>
      <c r="G13" s="93">
        <f>'Inputs and Parameters'!B136</f>
        <v>1732100</v>
      </c>
      <c r="H13" s="93"/>
    </row>
    <row r="14" spans="1:11" x14ac:dyDescent="0.3">
      <c r="A14" s="91" t="s">
        <v>14</v>
      </c>
      <c r="B14" s="92"/>
      <c r="C14" s="92"/>
      <c r="D14" s="92"/>
      <c r="E14" s="92"/>
      <c r="F14" s="92"/>
      <c r="G14" s="94"/>
      <c r="H14" s="94"/>
    </row>
    <row r="15" spans="1:11" x14ac:dyDescent="0.3">
      <c r="A15" s="84" t="s">
        <v>15</v>
      </c>
      <c r="B15" s="92"/>
      <c r="C15" s="92"/>
      <c r="D15" s="92"/>
      <c r="E15" s="92"/>
      <c r="F15" s="92"/>
      <c r="G15" s="95"/>
      <c r="H15" s="95"/>
    </row>
    <row r="16" spans="1:11" x14ac:dyDescent="0.3">
      <c r="A16" s="84" t="s">
        <v>16</v>
      </c>
      <c r="B16" s="92">
        <f>'Inputs and Parameters'!B149</f>
        <v>80793</v>
      </c>
      <c r="C16" s="92">
        <v>6038</v>
      </c>
      <c r="D16" s="92">
        <f>'Inputs and Parameters'!B146</f>
        <v>6733</v>
      </c>
      <c r="E16" s="92">
        <f>'Inputs and Parameters'!H146-C16</f>
        <v>425</v>
      </c>
      <c r="F16" s="92">
        <f>'Inputs and Parameters'!H146-D16</f>
        <v>-270</v>
      </c>
      <c r="G16" s="93">
        <f>'Inputs and Parameters'!B147</f>
        <v>230807</v>
      </c>
      <c r="H16" s="93"/>
    </row>
    <row r="17" spans="1:8" x14ac:dyDescent="0.3">
      <c r="A17" s="91" t="s">
        <v>17</v>
      </c>
      <c r="B17" s="92"/>
      <c r="C17" s="92">
        <v>0</v>
      </c>
      <c r="D17" s="92">
        <v>0</v>
      </c>
      <c r="E17" s="92"/>
      <c r="F17" s="92"/>
      <c r="G17" s="95"/>
      <c r="H17" s="95"/>
    </row>
    <row r="18" spans="1:8" x14ac:dyDescent="0.3">
      <c r="A18" s="91" t="s">
        <v>19</v>
      </c>
      <c r="B18" s="92"/>
      <c r="C18" s="92"/>
      <c r="D18" s="92"/>
      <c r="E18" s="92"/>
      <c r="F18" s="92"/>
      <c r="G18" s="94"/>
      <c r="H18" s="94"/>
    </row>
    <row r="19" spans="1:8" x14ac:dyDescent="0.3">
      <c r="A19" s="84" t="s">
        <v>20</v>
      </c>
      <c r="B19" s="92">
        <f>'Inputs and Parameters'!B157</f>
        <v>3328741</v>
      </c>
      <c r="C19" s="92">
        <v>248814</v>
      </c>
      <c r="D19" s="92">
        <f>'Inputs and Parameters'!B158</f>
        <v>277395</v>
      </c>
      <c r="E19" s="92">
        <f>'Inputs and Parameters'!H158-C19</f>
        <v>17485</v>
      </c>
      <c r="F19" s="92">
        <f>'Inputs and Parameters'!H158-D19</f>
        <v>-11096</v>
      </c>
      <c r="G19" s="93">
        <f>'Inputs and Parameters'!B159</f>
        <v>7728225</v>
      </c>
      <c r="H19" s="93"/>
    </row>
    <row r="20" spans="1:8" x14ac:dyDescent="0.3">
      <c r="A20" s="84" t="s">
        <v>21</v>
      </c>
      <c r="B20" s="92">
        <f>'Inputs and Parameters'!B87</f>
        <v>5089101.3674135199</v>
      </c>
      <c r="C20" s="92">
        <v>380396</v>
      </c>
      <c r="D20" s="92">
        <f>'Inputs and Parameters'!B163</f>
        <v>424092</v>
      </c>
      <c r="E20" s="92">
        <f>'Inputs and Parameters'!H163-C20</f>
        <v>26732</v>
      </c>
      <c r="F20" s="92">
        <f>'Inputs and Parameters'!H163-D20</f>
        <v>-16964</v>
      </c>
      <c r="G20" s="93">
        <f>'Inputs and Parameters'!B164</f>
        <v>11815203</v>
      </c>
      <c r="H20" s="93"/>
    </row>
    <row r="21" spans="1:8" x14ac:dyDescent="0.3">
      <c r="A21" s="84" t="s">
        <v>22</v>
      </c>
      <c r="B21" s="92">
        <f>'Inputs and Parameters'!B173</f>
        <v>584954</v>
      </c>
      <c r="C21" s="92">
        <v>43724</v>
      </c>
      <c r="D21" s="92">
        <f>'Inputs and Parameters'!B174</f>
        <v>48746</v>
      </c>
      <c r="E21" s="92">
        <f>'Inputs and Parameters'!H174-C21</f>
        <v>3072</v>
      </c>
      <c r="F21" s="92">
        <f>'Inputs and Parameters'!H174-D21</f>
        <v>-1950</v>
      </c>
      <c r="G21" s="93">
        <f>'Inputs and Parameters'!B175</f>
        <v>1358064</v>
      </c>
      <c r="H21" s="93"/>
    </row>
    <row r="22" spans="1:8" ht="27.6" x14ac:dyDescent="0.3">
      <c r="A22" s="84" t="s">
        <v>538</v>
      </c>
      <c r="B22" s="345">
        <f>'Inputs and Parameters'!B13</f>
        <v>631607</v>
      </c>
      <c r="C22" s="345"/>
      <c r="D22" s="345">
        <f>'Inputs and Parameters'!B167</f>
        <v>52633.916666666664</v>
      </c>
      <c r="E22" s="345"/>
      <c r="F22" s="345"/>
      <c r="G22" s="346">
        <f>'Inputs and Parameters'!B168</f>
        <v>1466380.9183333332</v>
      </c>
      <c r="H22" s="346"/>
    </row>
    <row r="23" spans="1:8" x14ac:dyDescent="0.3">
      <c r="A23" s="86" t="s">
        <v>246</v>
      </c>
      <c r="B23" s="85">
        <f t="shared" ref="B23:G23" si="0">SUM(B7:B21)</f>
        <v>24410628.719364777</v>
      </c>
      <c r="C23" s="85">
        <f t="shared" si="0"/>
        <v>6912154</v>
      </c>
      <c r="D23" s="332">
        <f>SUM(D7:D21)</f>
        <v>7367825.9163009878</v>
      </c>
      <c r="E23" s="85">
        <f t="shared" si="0"/>
        <v>-2357963.5051734354</v>
      </c>
      <c r="F23" s="85">
        <f t="shared" si="0"/>
        <v>-2813635.4214744233</v>
      </c>
      <c r="G23" s="87">
        <f t="shared" si="0"/>
        <v>290598555.36443579</v>
      </c>
      <c r="H23" s="87"/>
    </row>
    <row r="24" spans="1:8" x14ac:dyDescent="0.3">
      <c r="B24" s="66"/>
      <c r="C24" s="66"/>
      <c r="D24" s="66"/>
      <c r="E24" s="66"/>
      <c r="F24" s="66"/>
      <c r="G24" s="66"/>
      <c r="H24" s="66"/>
    </row>
    <row r="25" spans="1:8" x14ac:dyDescent="0.3">
      <c r="A25" s="162"/>
      <c r="B25" s="163"/>
      <c r="C25" s="163"/>
      <c r="D25" s="163"/>
      <c r="E25" s="163"/>
      <c r="F25" s="163"/>
      <c r="G25" s="163"/>
      <c r="H25" s="163"/>
    </row>
    <row r="26" spans="1:8" x14ac:dyDescent="0.3">
      <c r="A26" s="162"/>
      <c r="B26" s="163"/>
      <c r="C26" s="164"/>
      <c r="D26" s="164"/>
      <c r="E26" s="163"/>
      <c r="F26" s="163"/>
      <c r="G26" s="163"/>
      <c r="H26" s="163"/>
    </row>
    <row r="27" spans="1:8" ht="14.4" customHeight="1" x14ac:dyDescent="0.3">
      <c r="A27" s="165"/>
      <c r="B27" s="165"/>
      <c r="C27" s="166"/>
      <c r="D27" s="166"/>
      <c r="E27" s="416"/>
      <c r="F27" s="416"/>
      <c r="G27" s="416"/>
      <c r="H27" s="167"/>
    </row>
    <row r="28" spans="1:8" x14ac:dyDescent="0.3">
      <c r="A28" s="165"/>
      <c r="B28" s="84"/>
      <c r="C28" s="165"/>
      <c r="D28" s="165"/>
      <c r="E28" s="416"/>
      <c r="F28" s="416"/>
      <c r="G28" s="416"/>
      <c r="H28" s="167"/>
    </row>
    <row r="29" spans="1:8" x14ac:dyDescent="0.3">
      <c r="A29" s="165"/>
      <c r="B29" s="165"/>
      <c r="C29" s="165"/>
      <c r="D29" s="165"/>
      <c r="E29" s="416"/>
      <c r="F29" s="416"/>
      <c r="G29" s="416"/>
      <c r="H29" s="167"/>
    </row>
    <row r="31" spans="1:8" x14ac:dyDescent="0.3">
      <c r="E31" s="2"/>
      <c r="F31" s="2"/>
    </row>
  </sheetData>
  <mergeCells count="2">
    <mergeCell ref="E5:F5"/>
    <mergeCell ref="E27:G29"/>
  </mergeCells>
  <pageMargins left="0.7" right="0.7" top="0.75" bottom="0.75" header="0.3" footer="0.3"/>
  <pageSetup scale="53"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2017"/>
  <sheetViews>
    <sheetView workbookViewId="0">
      <selection activeCell="K22" sqref="K22"/>
    </sheetView>
  </sheetViews>
  <sheetFormatPr defaultRowHeight="14.4" x14ac:dyDescent="0.3"/>
  <sheetData>
    <row r="1" spans="1:5" x14ac:dyDescent="0.3">
      <c r="A1" s="72" t="s">
        <v>453</v>
      </c>
      <c r="B1" s="72" t="s">
        <v>160</v>
      </c>
      <c r="C1" s="72" t="s">
        <v>454</v>
      </c>
      <c r="D1" s="72" t="s">
        <v>455</v>
      </c>
      <c r="E1" s="72" t="s">
        <v>456</v>
      </c>
    </row>
    <row r="2" spans="1:5" x14ac:dyDescent="0.3">
      <c r="A2">
        <v>98</v>
      </c>
      <c r="B2" t="s">
        <v>195</v>
      </c>
      <c r="C2" t="s">
        <v>457</v>
      </c>
      <c r="D2">
        <v>124085947</v>
      </c>
      <c r="E2">
        <v>7663938</v>
      </c>
    </row>
    <row r="3" spans="1:5" x14ac:dyDescent="0.3">
      <c r="A3">
        <v>98</v>
      </c>
      <c r="B3" t="s">
        <v>175</v>
      </c>
      <c r="C3" t="s">
        <v>457</v>
      </c>
      <c r="D3">
        <v>160144</v>
      </c>
      <c r="E3">
        <v>22368</v>
      </c>
    </row>
    <row r="4" spans="1:5" x14ac:dyDescent="0.3">
      <c r="A4">
        <v>98</v>
      </c>
      <c r="B4">
        <v>113</v>
      </c>
      <c r="C4" t="s">
        <v>457</v>
      </c>
      <c r="D4">
        <v>56169</v>
      </c>
      <c r="E4">
        <v>8754</v>
      </c>
    </row>
    <row r="5" spans="1:5" x14ac:dyDescent="0.3">
      <c r="A5">
        <v>98</v>
      </c>
      <c r="B5">
        <v>1131</v>
      </c>
      <c r="C5" t="s">
        <v>457</v>
      </c>
      <c r="D5">
        <v>3666</v>
      </c>
      <c r="E5">
        <v>473</v>
      </c>
    </row>
    <row r="6" spans="1:5" x14ac:dyDescent="0.3">
      <c r="A6">
        <v>98</v>
      </c>
      <c r="B6">
        <v>11311</v>
      </c>
      <c r="C6" t="s">
        <v>457</v>
      </c>
      <c r="D6">
        <v>3666</v>
      </c>
      <c r="E6">
        <v>473</v>
      </c>
    </row>
    <row r="7" spans="1:5" x14ac:dyDescent="0.3">
      <c r="A7">
        <v>98</v>
      </c>
      <c r="B7">
        <v>113110</v>
      </c>
      <c r="C7" t="s">
        <v>457</v>
      </c>
      <c r="D7">
        <v>3666</v>
      </c>
      <c r="E7">
        <v>473</v>
      </c>
    </row>
    <row r="8" spans="1:5" x14ac:dyDescent="0.3">
      <c r="A8">
        <v>98</v>
      </c>
      <c r="B8">
        <v>1132</v>
      </c>
      <c r="C8" t="s">
        <v>457</v>
      </c>
      <c r="D8">
        <v>1395</v>
      </c>
      <c r="E8">
        <v>183</v>
      </c>
    </row>
    <row r="9" spans="1:5" x14ac:dyDescent="0.3">
      <c r="A9">
        <v>98</v>
      </c>
      <c r="B9">
        <v>11321</v>
      </c>
      <c r="C9" t="s">
        <v>457</v>
      </c>
      <c r="D9">
        <v>1395</v>
      </c>
      <c r="E9">
        <v>183</v>
      </c>
    </row>
    <row r="10" spans="1:5" x14ac:dyDescent="0.3">
      <c r="A10">
        <v>98</v>
      </c>
      <c r="B10">
        <v>113210</v>
      </c>
      <c r="C10" t="s">
        <v>457</v>
      </c>
      <c r="D10">
        <v>1395</v>
      </c>
      <c r="E10">
        <v>183</v>
      </c>
    </row>
    <row r="11" spans="1:5" x14ac:dyDescent="0.3">
      <c r="A11">
        <v>98</v>
      </c>
      <c r="B11">
        <v>1133</v>
      </c>
      <c r="C11" t="s">
        <v>457</v>
      </c>
      <c r="D11">
        <v>51108</v>
      </c>
      <c r="E11">
        <v>8098</v>
      </c>
    </row>
    <row r="12" spans="1:5" x14ac:dyDescent="0.3">
      <c r="A12">
        <v>98</v>
      </c>
      <c r="B12">
        <v>11331</v>
      </c>
      <c r="C12" t="s">
        <v>457</v>
      </c>
      <c r="D12">
        <v>51108</v>
      </c>
      <c r="E12">
        <v>8098</v>
      </c>
    </row>
    <row r="13" spans="1:5" x14ac:dyDescent="0.3">
      <c r="A13">
        <v>98</v>
      </c>
      <c r="B13">
        <v>113310</v>
      </c>
      <c r="C13" t="s">
        <v>457</v>
      </c>
      <c r="D13">
        <v>51108</v>
      </c>
      <c r="E13">
        <v>8098</v>
      </c>
    </row>
    <row r="14" spans="1:5" x14ac:dyDescent="0.3">
      <c r="A14">
        <v>98</v>
      </c>
      <c r="B14">
        <v>114</v>
      </c>
      <c r="C14" t="s">
        <v>457</v>
      </c>
      <c r="D14">
        <v>7509</v>
      </c>
      <c r="E14">
        <v>2688</v>
      </c>
    </row>
    <row r="15" spans="1:5" x14ac:dyDescent="0.3">
      <c r="A15">
        <v>98</v>
      </c>
      <c r="B15">
        <v>1141</v>
      </c>
      <c r="C15" t="s">
        <v>457</v>
      </c>
      <c r="D15">
        <v>5905</v>
      </c>
      <c r="E15">
        <v>2343</v>
      </c>
    </row>
    <row r="16" spans="1:5" x14ac:dyDescent="0.3">
      <c r="A16">
        <v>98</v>
      </c>
      <c r="B16">
        <v>11411</v>
      </c>
      <c r="C16" t="s">
        <v>457</v>
      </c>
      <c r="D16">
        <v>5905</v>
      </c>
      <c r="E16">
        <v>2343</v>
      </c>
    </row>
    <row r="17" spans="1:5" x14ac:dyDescent="0.3">
      <c r="A17">
        <v>98</v>
      </c>
      <c r="B17">
        <v>114111</v>
      </c>
      <c r="C17" t="s">
        <v>457</v>
      </c>
      <c r="D17">
        <v>3717</v>
      </c>
      <c r="E17">
        <v>1199</v>
      </c>
    </row>
    <row r="18" spans="1:5" x14ac:dyDescent="0.3">
      <c r="A18">
        <v>98</v>
      </c>
      <c r="B18">
        <v>114112</v>
      </c>
      <c r="C18" t="s">
        <v>457</v>
      </c>
      <c r="D18">
        <v>2049</v>
      </c>
      <c r="E18">
        <v>1068</v>
      </c>
    </row>
    <row r="19" spans="1:5" x14ac:dyDescent="0.3">
      <c r="A19">
        <v>98</v>
      </c>
      <c r="B19">
        <v>114119</v>
      </c>
      <c r="C19" t="s">
        <v>457</v>
      </c>
      <c r="D19">
        <v>139</v>
      </c>
      <c r="E19">
        <v>76</v>
      </c>
    </row>
    <row r="20" spans="1:5" x14ac:dyDescent="0.3">
      <c r="A20">
        <v>98</v>
      </c>
      <c r="B20">
        <v>1142</v>
      </c>
      <c r="C20" t="s">
        <v>457</v>
      </c>
      <c r="D20">
        <v>1604</v>
      </c>
      <c r="E20">
        <v>345</v>
      </c>
    </row>
    <row r="21" spans="1:5" x14ac:dyDescent="0.3">
      <c r="A21">
        <v>98</v>
      </c>
      <c r="B21">
        <v>11421</v>
      </c>
      <c r="C21" t="s">
        <v>457</v>
      </c>
      <c r="D21">
        <v>1604</v>
      </c>
      <c r="E21">
        <v>345</v>
      </c>
    </row>
    <row r="22" spans="1:5" x14ac:dyDescent="0.3">
      <c r="A22">
        <v>98</v>
      </c>
      <c r="B22">
        <v>114210</v>
      </c>
      <c r="C22" t="s">
        <v>457</v>
      </c>
      <c r="D22">
        <v>1604</v>
      </c>
      <c r="E22">
        <v>345</v>
      </c>
    </row>
    <row r="23" spans="1:5" x14ac:dyDescent="0.3">
      <c r="A23">
        <v>98</v>
      </c>
      <c r="B23">
        <v>115</v>
      </c>
      <c r="C23" t="s">
        <v>457</v>
      </c>
      <c r="D23">
        <v>96466</v>
      </c>
      <c r="E23">
        <v>10926</v>
      </c>
    </row>
    <row r="24" spans="1:5" x14ac:dyDescent="0.3">
      <c r="A24">
        <v>98</v>
      </c>
      <c r="B24">
        <v>1151</v>
      </c>
      <c r="C24" t="s">
        <v>457</v>
      </c>
      <c r="D24">
        <v>65307</v>
      </c>
      <c r="E24">
        <v>4761</v>
      </c>
    </row>
    <row r="25" spans="1:5" x14ac:dyDescent="0.3">
      <c r="A25">
        <v>98</v>
      </c>
      <c r="B25">
        <v>11511</v>
      </c>
      <c r="C25" t="s">
        <v>457</v>
      </c>
      <c r="D25">
        <v>65307</v>
      </c>
      <c r="E25">
        <v>4761</v>
      </c>
    </row>
    <row r="26" spans="1:5" x14ac:dyDescent="0.3">
      <c r="A26">
        <v>98</v>
      </c>
      <c r="B26">
        <v>115111</v>
      </c>
      <c r="C26" t="s">
        <v>457</v>
      </c>
      <c r="D26">
        <v>2229</v>
      </c>
      <c r="E26">
        <v>228</v>
      </c>
    </row>
    <row r="27" spans="1:5" x14ac:dyDescent="0.3">
      <c r="A27">
        <v>98</v>
      </c>
      <c r="B27">
        <v>115112</v>
      </c>
      <c r="C27" t="s">
        <v>457</v>
      </c>
      <c r="D27">
        <v>10336</v>
      </c>
      <c r="E27">
        <v>2157</v>
      </c>
    </row>
    <row r="28" spans="1:5" x14ac:dyDescent="0.3">
      <c r="A28">
        <v>98</v>
      </c>
      <c r="B28">
        <v>115113</v>
      </c>
      <c r="C28" t="s">
        <v>457</v>
      </c>
      <c r="D28">
        <v>1926</v>
      </c>
      <c r="E28">
        <v>316</v>
      </c>
    </row>
    <row r="29" spans="1:5" x14ac:dyDescent="0.3">
      <c r="A29">
        <v>98</v>
      </c>
      <c r="B29">
        <v>115114</v>
      </c>
      <c r="C29" t="s">
        <v>457</v>
      </c>
      <c r="D29">
        <v>35263</v>
      </c>
      <c r="E29">
        <v>1012</v>
      </c>
    </row>
    <row r="30" spans="1:5" x14ac:dyDescent="0.3">
      <c r="A30">
        <v>98</v>
      </c>
      <c r="B30">
        <v>115115</v>
      </c>
      <c r="C30" t="s">
        <v>457</v>
      </c>
      <c r="D30">
        <v>10496</v>
      </c>
      <c r="E30">
        <v>472</v>
      </c>
    </row>
    <row r="31" spans="1:5" x14ac:dyDescent="0.3">
      <c r="A31">
        <v>98</v>
      </c>
      <c r="B31">
        <v>115116</v>
      </c>
      <c r="C31" t="s">
        <v>457</v>
      </c>
      <c r="D31">
        <v>5057</v>
      </c>
      <c r="E31">
        <v>576</v>
      </c>
    </row>
    <row r="32" spans="1:5" x14ac:dyDescent="0.3">
      <c r="A32">
        <v>98</v>
      </c>
      <c r="B32">
        <v>1152</v>
      </c>
      <c r="C32" t="s">
        <v>457</v>
      </c>
      <c r="D32">
        <v>19474</v>
      </c>
      <c r="E32">
        <v>4485</v>
      </c>
    </row>
    <row r="33" spans="1:5" x14ac:dyDescent="0.3">
      <c r="A33">
        <v>98</v>
      </c>
      <c r="B33">
        <v>11521</v>
      </c>
      <c r="C33" t="s">
        <v>457</v>
      </c>
      <c r="D33">
        <v>19474</v>
      </c>
      <c r="E33">
        <v>4485</v>
      </c>
    </row>
    <row r="34" spans="1:5" x14ac:dyDescent="0.3">
      <c r="A34">
        <v>98</v>
      </c>
      <c r="B34">
        <v>115210</v>
      </c>
      <c r="C34" t="s">
        <v>457</v>
      </c>
      <c r="D34">
        <v>19474</v>
      </c>
      <c r="E34">
        <v>4485</v>
      </c>
    </row>
    <row r="35" spans="1:5" x14ac:dyDescent="0.3">
      <c r="A35">
        <v>98</v>
      </c>
      <c r="B35">
        <v>1153</v>
      </c>
      <c r="C35" t="s">
        <v>457</v>
      </c>
      <c r="D35">
        <v>11685</v>
      </c>
      <c r="E35">
        <v>1680</v>
      </c>
    </row>
    <row r="36" spans="1:5" x14ac:dyDescent="0.3">
      <c r="A36">
        <v>98</v>
      </c>
      <c r="B36">
        <v>11531</v>
      </c>
      <c r="C36" t="s">
        <v>457</v>
      </c>
      <c r="D36">
        <v>11685</v>
      </c>
      <c r="E36">
        <v>1680</v>
      </c>
    </row>
    <row r="37" spans="1:5" x14ac:dyDescent="0.3">
      <c r="A37">
        <v>98</v>
      </c>
      <c r="B37">
        <v>115310</v>
      </c>
      <c r="C37" t="s">
        <v>457</v>
      </c>
      <c r="D37">
        <v>11685</v>
      </c>
      <c r="E37">
        <v>1680</v>
      </c>
    </row>
    <row r="38" spans="1:5" x14ac:dyDescent="0.3">
      <c r="A38">
        <v>98</v>
      </c>
      <c r="B38" t="s">
        <v>176</v>
      </c>
      <c r="C38" t="s">
        <v>457</v>
      </c>
      <c r="D38">
        <v>743660</v>
      </c>
      <c r="E38">
        <v>29225</v>
      </c>
    </row>
    <row r="39" spans="1:5" x14ac:dyDescent="0.3">
      <c r="A39">
        <v>98</v>
      </c>
      <c r="B39">
        <v>211</v>
      </c>
      <c r="C39" t="s">
        <v>457</v>
      </c>
      <c r="D39">
        <v>135482</v>
      </c>
      <c r="E39">
        <v>7906</v>
      </c>
    </row>
    <row r="40" spans="1:5" x14ac:dyDescent="0.3">
      <c r="A40">
        <v>98</v>
      </c>
      <c r="B40">
        <v>2111</v>
      </c>
      <c r="C40" t="s">
        <v>457</v>
      </c>
      <c r="D40">
        <v>135482</v>
      </c>
      <c r="E40">
        <v>7906</v>
      </c>
    </row>
    <row r="41" spans="1:5" x14ac:dyDescent="0.3">
      <c r="A41">
        <v>98</v>
      </c>
      <c r="B41">
        <v>21111</v>
      </c>
      <c r="C41" t="s">
        <v>457</v>
      </c>
      <c r="D41">
        <v>135482</v>
      </c>
      <c r="E41">
        <v>7906</v>
      </c>
    </row>
    <row r="42" spans="1:5" x14ac:dyDescent="0.3">
      <c r="A42">
        <v>98</v>
      </c>
      <c r="B42">
        <v>211111</v>
      </c>
      <c r="C42" t="s">
        <v>457</v>
      </c>
      <c r="D42">
        <v>124847</v>
      </c>
      <c r="E42">
        <v>7477</v>
      </c>
    </row>
    <row r="43" spans="1:5" x14ac:dyDescent="0.3">
      <c r="A43">
        <v>98</v>
      </c>
      <c r="B43">
        <v>211112</v>
      </c>
      <c r="C43" t="s">
        <v>457</v>
      </c>
      <c r="D43">
        <v>10635</v>
      </c>
      <c r="E43">
        <v>429</v>
      </c>
    </row>
    <row r="44" spans="1:5" x14ac:dyDescent="0.3">
      <c r="A44">
        <v>98</v>
      </c>
      <c r="B44">
        <v>212</v>
      </c>
      <c r="C44" t="s">
        <v>457</v>
      </c>
      <c r="D44">
        <v>191948</v>
      </c>
      <c r="E44">
        <v>6324</v>
      </c>
    </row>
    <row r="45" spans="1:5" x14ac:dyDescent="0.3">
      <c r="A45">
        <v>98</v>
      </c>
      <c r="B45">
        <v>2121</v>
      </c>
      <c r="C45" t="s">
        <v>457</v>
      </c>
      <c r="D45">
        <v>69894</v>
      </c>
      <c r="E45">
        <v>881</v>
      </c>
    </row>
    <row r="46" spans="1:5" x14ac:dyDescent="0.3">
      <c r="A46">
        <v>98</v>
      </c>
      <c r="B46">
        <v>21211</v>
      </c>
      <c r="C46" t="s">
        <v>457</v>
      </c>
      <c r="D46">
        <v>69894</v>
      </c>
      <c r="E46">
        <v>881</v>
      </c>
    </row>
    <row r="47" spans="1:5" x14ac:dyDescent="0.3">
      <c r="A47">
        <v>98</v>
      </c>
      <c r="B47">
        <v>212111</v>
      </c>
      <c r="C47" t="s">
        <v>457</v>
      </c>
      <c r="D47">
        <v>31911</v>
      </c>
      <c r="E47">
        <v>496</v>
      </c>
    </row>
    <row r="48" spans="1:5" x14ac:dyDescent="0.3">
      <c r="A48">
        <v>98</v>
      </c>
      <c r="B48">
        <v>212112</v>
      </c>
      <c r="C48" t="s">
        <v>457</v>
      </c>
      <c r="D48">
        <v>37201</v>
      </c>
      <c r="E48">
        <v>329</v>
      </c>
    </row>
    <row r="49" spans="1:5" x14ac:dyDescent="0.3">
      <c r="A49">
        <v>98</v>
      </c>
      <c r="B49">
        <v>212113</v>
      </c>
      <c r="C49" t="s">
        <v>457</v>
      </c>
      <c r="D49">
        <v>782</v>
      </c>
      <c r="E49">
        <v>56</v>
      </c>
    </row>
    <row r="50" spans="1:5" x14ac:dyDescent="0.3">
      <c r="A50">
        <v>98</v>
      </c>
      <c r="B50">
        <v>2122</v>
      </c>
      <c r="C50" t="s">
        <v>457</v>
      </c>
      <c r="D50">
        <v>40237</v>
      </c>
      <c r="E50">
        <v>330</v>
      </c>
    </row>
    <row r="51" spans="1:5" x14ac:dyDescent="0.3">
      <c r="A51">
        <v>98</v>
      </c>
      <c r="B51">
        <v>21221</v>
      </c>
      <c r="C51" t="s">
        <v>457</v>
      </c>
      <c r="D51">
        <v>5495</v>
      </c>
      <c r="E51">
        <v>25</v>
      </c>
    </row>
    <row r="52" spans="1:5" x14ac:dyDescent="0.3">
      <c r="A52">
        <v>98</v>
      </c>
      <c r="B52">
        <v>212210</v>
      </c>
      <c r="C52" t="s">
        <v>457</v>
      </c>
      <c r="D52">
        <v>5495</v>
      </c>
      <c r="E52">
        <v>25</v>
      </c>
    </row>
    <row r="53" spans="1:5" x14ac:dyDescent="0.3">
      <c r="A53">
        <v>98</v>
      </c>
      <c r="B53">
        <v>21222</v>
      </c>
      <c r="C53" t="s">
        <v>457</v>
      </c>
      <c r="D53">
        <v>14584</v>
      </c>
      <c r="E53">
        <v>185</v>
      </c>
    </row>
    <row r="54" spans="1:5" x14ac:dyDescent="0.3">
      <c r="A54">
        <v>98</v>
      </c>
      <c r="B54">
        <v>212221</v>
      </c>
      <c r="C54" t="s">
        <v>457</v>
      </c>
      <c r="D54">
        <v>13179</v>
      </c>
      <c r="E54">
        <v>171</v>
      </c>
    </row>
    <row r="55" spans="1:5" x14ac:dyDescent="0.3">
      <c r="A55">
        <v>98</v>
      </c>
      <c r="B55">
        <v>212222</v>
      </c>
      <c r="C55" t="s">
        <v>457</v>
      </c>
      <c r="D55">
        <v>1405</v>
      </c>
      <c r="E55">
        <v>14</v>
      </c>
    </row>
    <row r="56" spans="1:5" x14ac:dyDescent="0.3">
      <c r="A56">
        <v>98</v>
      </c>
      <c r="B56">
        <v>21223</v>
      </c>
      <c r="C56" t="s">
        <v>457</v>
      </c>
      <c r="D56">
        <v>16086</v>
      </c>
      <c r="E56">
        <v>66</v>
      </c>
    </row>
    <row r="57" spans="1:5" x14ac:dyDescent="0.3">
      <c r="A57">
        <v>98</v>
      </c>
      <c r="B57">
        <v>212231</v>
      </c>
      <c r="C57" t="s">
        <v>457</v>
      </c>
      <c r="D57">
        <v>2594</v>
      </c>
      <c r="E57">
        <v>19</v>
      </c>
    </row>
    <row r="58" spans="1:5" x14ac:dyDescent="0.3">
      <c r="A58">
        <v>98</v>
      </c>
      <c r="B58">
        <v>212234</v>
      </c>
      <c r="C58" t="s">
        <v>457</v>
      </c>
      <c r="D58">
        <v>13492</v>
      </c>
      <c r="E58">
        <v>47</v>
      </c>
    </row>
    <row r="59" spans="1:5" x14ac:dyDescent="0.3">
      <c r="A59">
        <v>98</v>
      </c>
      <c r="B59">
        <v>21229</v>
      </c>
      <c r="C59" t="s">
        <v>457</v>
      </c>
      <c r="D59">
        <v>4072</v>
      </c>
      <c r="E59">
        <v>54</v>
      </c>
    </row>
    <row r="60" spans="1:5" x14ac:dyDescent="0.3">
      <c r="A60">
        <v>98</v>
      </c>
      <c r="B60">
        <v>212291</v>
      </c>
      <c r="C60" t="s">
        <v>457</v>
      </c>
      <c r="D60">
        <v>457</v>
      </c>
      <c r="E60">
        <v>23</v>
      </c>
    </row>
    <row r="61" spans="1:5" x14ac:dyDescent="0.3">
      <c r="A61">
        <v>98</v>
      </c>
      <c r="B61">
        <v>212299</v>
      </c>
      <c r="C61" t="s">
        <v>457</v>
      </c>
      <c r="D61">
        <v>3615</v>
      </c>
      <c r="E61">
        <v>31</v>
      </c>
    </row>
    <row r="62" spans="1:5" x14ac:dyDescent="0.3">
      <c r="A62">
        <v>98</v>
      </c>
      <c r="B62">
        <v>2123</v>
      </c>
      <c r="C62" t="s">
        <v>457</v>
      </c>
      <c r="D62">
        <v>81817</v>
      </c>
      <c r="E62">
        <v>5113</v>
      </c>
    </row>
    <row r="63" spans="1:5" x14ac:dyDescent="0.3">
      <c r="A63">
        <v>98</v>
      </c>
      <c r="B63">
        <v>21231</v>
      </c>
      <c r="C63" t="s">
        <v>457</v>
      </c>
      <c r="D63">
        <v>40259</v>
      </c>
      <c r="E63">
        <v>2526</v>
      </c>
    </row>
    <row r="64" spans="1:5" x14ac:dyDescent="0.3">
      <c r="A64">
        <v>98</v>
      </c>
      <c r="B64">
        <v>212311</v>
      </c>
      <c r="C64" t="s">
        <v>457</v>
      </c>
      <c r="D64">
        <v>3179</v>
      </c>
      <c r="E64">
        <v>303</v>
      </c>
    </row>
    <row r="65" spans="1:5" x14ac:dyDescent="0.3">
      <c r="A65">
        <v>98</v>
      </c>
      <c r="B65">
        <v>212312</v>
      </c>
      <c r="C65" t="s">
        <v>457</v>
      </c>
      <c r="D65">
        <v>25432</v>
      </c>
      <c r="E65">
        <v>1452</v>
      </c>
    </row>
    <row r="66" spans="1:5" x14ac:dyDescent="0.3">
      <c r="A66">
        <v>98</v>
      </c>
      <c r="B66">
        <v>212313</v>
      </c>
      <c r="C66" t="s">
        <v>457</v>
      </c>
      <c r="D66">
        <v>5242</v>
      </c>
      <c r="E66">
        <v>339</v>
      </c>
    </row>
    <row r="67" spans="1:5" x14ac:dyDescent="0.3">
      <c r="A67">
        <v>98</v>
      </c>
      <c r="B67">
        <v>212319</v>
      </c>
      <c r="C67" t="s">
        <v>457</v>
      </c>
      <c r="D67">
        <v>6406</v>
      </c>
      <c r="E67">
        <v>432</v>
      </c>
    </row>
    <row r="68" spans="1:5" x14ac:dyDescent="0.3">
      <c r="A68">
        <v>98</v>
      </c>
      <c r="B68">
        <v>21232</v>
      </c>
      <c r="C68" t="s">
        <v>457</v>
      </c>
      <c r="D68">
        <v>30364</v>
      </c>
      <c r="E68">
        <v>2307</v>
      </c>
    </row>
    <row r="69" spans="1:5" x14ac:dyDescent="0.3">
      <c r="A69">
        <v>98</v>
      </c>
      <c r="B69">
        <v>212321</v>
      </c>
      <c r="C69" t="s">
        <v>457</v>
      </c>
      <c r="D69">
        <v>20509</v>
      </c>
      <c r="E69">
        <v>2015</v>
      </c>
    </row>
    <row r="70" spans="1:5" x14ac:dyDescent="0.3">
      <c r="A70">
        <v>98</v>
      </c>
      <c r="B70">
        <v>212322</v>
      </c>
      <c r="C70" t="s">
        <v>457</v>
      </c>
      <c r="D70">
        <v>5118</v>
      </c>
      <c r="E70">
        <v>169</v>
      </c>
    </row>
    <row r="71" spans="1:5" x14ac:dyDescent="0.3">
      <c r="A71">
        <v>98</v>
      </c>
      <c r="B71">
        <v>212324</v>
      </c>
      <c r="C71" t="s">
        <v>457</v>
      </c>
      <c r="D71">
        <v>2316</v>
      </c>
      <c r="E71">
        <v>33</v>
      </c>
    </row>
    <row r="72" spans="1:5" x14ac:dyDescent="0.3">
      <c r="A72">
        <v>98</v>
      </c>
      <c r="B72">
        <v>212325</v>
      </c>
      <c r="C72" t="s">
        <v>457</v>
      </c>
      <c r="D72">
        <v>2421</v>
      </c>
      <c r="E72">
        <v>90</v>
      </c>
    </row>
    <row r="73" spans="1:5" x14ac:dyDescent="0.3">
      <c r="A73">
        <v>98</v>
      </c>
      <c r="B73">
        <v>21239</v>
      </c>
      <c r="C73" t="s">
        <v>457</v>
      </c>
      <c r="D73">
        <v>11194</v>
      </c>
      <c r="E73">
        <v>280</v>
      </c>
    </row>
    <row r="74" spans="1:5" x14ac:dyDescent="0.3">
      <c r="A74">
        <v>98</v>
      </c>
      <c r="B74">
        <v>212391</v>
      </c>
      <c r="C74" t="s">
        <v>457</v>
      </c>
      <c r="D74">
        <v>3659</v>
      </c>
      <c r="E74">
        <v>22</v>
      </c>
    </row>
    <row r="75" spans="1:5" x14ac:dyDescent="0.3">
      <c r="A75">
        <v>98</v>
      </c>
      <c r="B75">
        <v>212392</v>
      </c>
      <c r="C75" t="s">
        <v>457</v>
      </c>
      <c r="D75">
        <v>1911</v>
      </c>
      <c r="E75">
        <v>11</v>
      </c>
    </row>
    <row r="76" spans="1:5" x14ac:dyDescent="0.3">
      <c r="A76">
        <v>98</v>
      </c>
      <c r="B76">
        <v>212393</v>
      </c>
      <c r="C76" t="s">
        <v>457</v>
      </c>
      <c r="D76">
        <v>2409</v>
      </c>
      <c r="E76">
        <v>36</v>
      </c>
    </row>
    <row r="77" spans="1:5" x14ac:dyDescent="0.3">
      <c r="A77">
        <v>98</v>
      </c>
      <c r="B77">
        <v>212399</v>
      </c>
      <c r="C77" t="s">
        <v>457</v>
      </c>
      <c r="D77">
        <v>3215</v>
      </c>
      <c r="E77">
        <v>211</v>
      </c>
    </row>
    <row r="78" spans="1:5" x14ac:dyDescent="0.3">
      <c r="A78">
        <v>98</v>
      </c>
      <c r="B78">
        <v>213</v>
      </c>
      <c r="C78" t="s">
        <v>457</v>
      </c>
      <c r="D78">
        <v>416230</v>
      </c>
      <c r="E78">
        <v>14995</v>
      </c>
    </row>
    <row r="79" spans="1:5" x14ac:dyDescent="0.3">
      <c r="A79">
        <v>98</v>
      </c>
      <c r="B79">
        <v>2131</v>
      </c>
      <c r="C79" t="s">
        <v>457</v>
      </c>
      <c r="D79">
        <v>416230</v>
      </c>
      <c r="E79">
        <v>14995</v>
      </c>
    </row>
    <row r="80" spans="1:5" x14ac:dyDescent="0.3">
      <c r="A80">
        <v>98</v>
      </c>
      <c r="B80">
        <v>21311</v>
      </c>
      <c r="C80" t="s">
        <v>457</v>
      </c>
      <c r="D80">
        <v>416230</v>
      </c>
      <c r="E80">
        <v>14995</v>
      </c>
    </row>
    <row r="81" spans="1:5" x14ac:dyDescent="0.3">
      <c r="A81">
        <v>98</v>
      </c>
      <c r="B81">
        <v>213111</v>
      </c>
      <c r="C81" t="s">
        <v>457</v>
      </c>
      <c r="D81">
        <v>89471</v>
      </c>
      <c r="E81">
        <v>2313</v>
      </c>
    </row>
    <row r="82" spans="1:5" x14ac:dyDescent="0.3">
      <c r="A82">
        <v>98</v>
      </c>
      <c r="B82">
        <v>213112</v>
      </c>
      <c r="C82" t="s">
        <v>457</v>
      </c>
      <c r="D82">
        <v>314589</v>
      </c>
      <c r="E82">
        <v>11880</v>
      </c>
    </row>
    <row r="83" spans="1:5" x14ac:dyDescent="0.3">
      <c r="A83">
        <v>98</v>
      </c>
      <c r="B83">
        <v>213113</v>
      </c>
      <c r="C83" t="s">
        <v>457</v>
      </c>
      <c r="D83">
        <v>5728</v>
      </c>
      <c r="E83">
        <v>317</v>
      </c>
    </row>
    <row r="84" spans="1:5" x14ac:dyDescent="0.3">
      <c r="A84">
        <v>98</v>
      </c>
      <c r="B84">
        <v>213114</v>
      </c>
      <c r="C84" t="s">
        <v>457</v>
      </c>
      <c r="D84">
        <v>3813</v>
      </c>
      <c r="E84">
        <v>235</v>
      </c>
    </row>
    <row r="85" spans="1:5" x14ac:dyDescent="0.3">
      <c r="A85">
        <v>98</v>
      </c>
      <c r="B85">
        <v>213115</v>
      </c>
      <c r="C85" t="s">
        <v>457</v>
      </c>
      <c r="D85">
        <v>2629</v>
      </c>
      <c r="E85">
        <v>250</v>
      </c>
    </row>
    <row r="86" spans="1:5" x14ac:dyDescent="0.3">
      <c r="A86">
        <v>98</v>
      </c>
      <c r="B86" t="s">
        <v>177</v>
      </c>
      <c r="C86" t="s">
        <v>457</v>
      </c>
      <c r="D86">
        <v>639234</v>
      </c>
      <c r="E86">
        <v>17990</v>
      </c>
    </row>
    <row r="87" spans="1:5" x14ac:dyDescent="0.3">
      <c r="A87">
        <v>98</v>
      </c>
      <c r="B87">
        <v>221</v>
      </c>
      <c r="C87" t="s">
        <v>457</v>
      </c>
      <c r="D87">
        <v>639234</v>
      </c>
      <c r="E87">
        <v>17990</v>
      </c>
    </row>
    <row r="88" spans="1:5" x14ac:dyDescent="0.3">
      <c r="A88">
        <v>98</v>
      </c>
      <c r="B88">
        <v>2211</v>
      </c>
      <c r="C88" t="s">
        <v>457</v>
      </c>
      <c r="D88">
        <v>510028</v>
      </c>
      <c r="E88">
        <v>10617</v>
      </c>
    </row>
    <row r="89" spans="1:5" x14ac:dyDescent="0.3">
      <c r="A89">
        <v>98</v>
      </c>
      <c r="B89">
        <v>22111</v>
      </c>
      <c r="C89" t="s">
        <v>457</v>
      </c>
      <c r="D89">
        <v>134915</v>
      </c>
      <c r="E89">
        <v>2862</v>
      </c>
    </row>
    <row r="90" spans="1:5" x14ac:dyDescent="0.3">
      <c r="A90">
        <v>98</v>
      </c>
      <c r="B90">
        <v>221111</v>
      </c>
      <c r="C90" t="s">
        <v>457</v>
      </c>
      <c r="D90">
        <v>3261</v>
      </c>
      <c r="E90">
        <v>423</v>
      </c>
    </row>
    <row r="91" spans="1:5" x14ac:dyDescent="0.3">
      <c r="A91">
        <v>98</v>
      </c>
      <c r="B91">
        <v>221112</v>
      </c>
      <c r="C91" t="s">
        <v>457</v>
      </c>
      <c r="D91">
        <v>76005</v>
      </c>
      <c r="E91">
        <v>1485</v>
      </c>
    </row>
    <row r="92" spans="1:5" x14ac:dyDescent="0.3">
      <c r="A92">
        <v>98</v>
      </c>
      <c r="B92">
        <v>221113</v>
      </c>
      <c r="C92" t="s">
        <v>457</v>
      </c>
      <c r="D92">
        <v>45922</v>
      </c>
      <c r="E92">
        <v>158</v>
      </c>
    </row>
    <row r="93" spans="1:5" x14ac:dyDescent="0.3">
      <c r="A93">
        <v>98</v>
      </c>
      <c r="B93">
        <v>221114</v>
      </c>
      <c r="C93" t="s">
        <v>457</v>
      </c>
      <c r="D93">
        <v>1396</v>
      </c>
      <c r="E93">
        <v>123</v>
      </c>
    </row>
    <row r="94" spans="1:5" x14ac:dyDescent="0.3">
      <c r="A94">
        <v>98</v>
      </c>
      <c r="B94">
        <v>221115</v>
      </c>
      <c r="C94" t="s">
        <v>457</v>
      </c>
      <c r="D94">
        <v>3148</v>
      </c>
      <c r="E94">
        <v>233</v>
      </c>
    </row>
    <row r="95" spans="1:5" x14ac:dyDescent="0.3">
      <c r="A95">
        <v>98</v>
      </c>
      <c r="B95">
        <v>221116</v>
      </c>
      <c r="C95" t="s">
        <v>457</v>
      </c>
      <c r="D95">
        <v>1134</v>
      </c>
      <c r="E95">
        <v>37</v>
      </c>
    </row>
    <row r="96" spans="1:5" x14ac:dyDescent="0.3">
      <c r="A96">
        <v>98</v>
      </c>
      <c r="B96">
        <v>221117</v>
      </c>
      <c r="C96" t="s">
        <v>457</v>
      </c>
      <c r="D96">
        <v>1247</v>
      </c>
      <c r="E96">
        <v>109</v>
      </c>
    </row>
    <row r="97" spans="1:5" x14ac:dyDescent="0.3">
      <c r="A97">
        <v>98</v>
      </c>
      <c r="B97">
        <v>221118</v>
      </c>
      <c r="C97" t="s">
        <v>457</v>
      </c>
      <c r="D97">
        <v>2802</v>
      </c>
      <c r="E97">
        <v>294</v>
      </c>
    </row>
    <row r="98" spans="1:5" x14ac:dyDescent="0.3">
      <c r="A98">
        <v>98</v>
      </c>
      <c r="B98">
        <v>22112</v>
      </c>
      <c r="C98" t="s">
        <v>457</v>
      </c>
      <c r="D98">
        <v>375113</v>
      </c>
      <c r="E98">
        <v>7755</v>
      </c>
    </row>
    <row r="99" spans="1:5" x14ac:dyDescent="0.3">
      <c r="A99">
        <v>98</v>
      </c>
      <c r="B99">
        <v>221121</v>
      </c>
      <c r="C99" t="s">
        <v>457</v>
      </c>
      <c r="D99">
        <v>13048</v>
      </c>
      <c r="E99">
        <v>268</v>
      </c>
    </row>
    <row r="100" spans="1:5" x14ac:dyDescent="0.3">
      <c r="A100">
        <v>98</v>
      </c>
      <c r="B100">
        <v>221122</v>
      </c>
      <c r="C100" t="s">
        <v>457</v>
      </c>
      <c r="D100">
        <v>362065</v>
      </c>
      <c r="E100">
        <v>7487</v>
      </c>
    </row>
    <row r="101" spans="1:5" x14ac:dyDescent="0.3">
      <c r="A101">
        <v>98</v>
      </c>
      <c r="B101">
        <v>2212</v>
      </c>
      <c r="C101" t="s">
        <v>457</v>
      </c>
      <c r="D101">
        <v>86439</v>
      </c>
      <c r="E101">
        <v>2567</v>
      </c>
    </row>
    <row r="102" spans="1:5" x14ac:dyDescent="0.3">
      <c r="A102">
        <v>98</v>
      </c>
      <c r="B102">
        <v>22121</v>
      </c>
      <c r="C102" t="s">
        <v>457</v>
      </c>
      <c r="D102">
        <v>86439</v>
      </c>
      <c r="E102">
        <v>2567</v>
      </c>
    </row>
    <row r="103" spans="1:5" x14ac:dyDescent="0.3">
      <c r="A103">
        <v>98</v>
      </c>
      <c r="B103">
        <v>221210</v>
      </c>
      <c r="C103" t="s">
        <v>457</v>
      </c>
      <c r="D103">
        <v>86439</v>
      </c>
      <c r="E103">
        <v>2567</v>
      </c>
    </row>
    <row r="104" spans="1:5" x14ac:dyDescent="0.3">
      <c r="A104">
        <v>98</v>
      </c>
      <c r="B104">
        <v>2213</v>
      </c>
      <c r="C104" t="s">
        <v>457</v>
      </c>
      <c r="D104">
        <v>42767</v>
      </c>
      <c r="E104">
        <v>4806</v>
      </c>
    </row>
    <row r="105" spans="1:5" x14ac:dyDescent="0.3">
      <c r="A105">
        <v>98</v>
      </c>
      <c r="B105">
        <v>22131</v>
      </c>
      <c r="C105" t="s">
        <v>457</v>
      </c>
      <c r="D105">
        <v>34771</v>
      </c>
      <c r="E105">
        <v>4017</v>
      </c>
    </row>
    <row r="106" spans="1:5" x14ac:dyDescent="0.3">
      <c r="A106">
        <v>98</v>
      </c>
      <c r="B106">
        <v>221310</v>
      </c>
      <c r="C106" t="s">
        <v>457</v>
      </c>
      <c r="D106">
        <v>34771</v>
      </c>
      <c r="E106">
        <v>4017</v>
      </c>
    </row>
    <row r="107" spans="1:5" x14ac:dyDescent="0.3">
      <c r="A107">
        <v>98</v>
      </c>
      <c r="B107">
        <v>22132</v>
      </c>
      <c r="C107" t="s">
        <v>457</v>
      </c>
      <c r="D107">
        <v>6171</v>
      </c>
      <c r="E107">
        <v>695</v>
      </c>
    </row>
    <row r="108" spans="1:5" x14ac:dyDescent="0.3">
      <c r="A108">
        <v>98</v>
      </c>
      <c r="B108">
        <v>221320</v>
      </c>
      <c r="C108" t="s">
        <v>457</v>
      </c>
      <c r="D108">
        <v>6171</v>
      </c>
      <c r="E108">
        <v>695</v>
      </c>
    </row>
    <row r="109" spans="1:5" x14ac:dyDescent="0.3">
      <c r="A109">
        <v>98</v>
      </c>
      <c r="B109">
        <v>22133</v>
      </c>
      <c r="C109" t="s">
        <v>457</v>
      </c>
      <c r="D109">
        <v>1825</v>
      </c>
      <c r="E109">
        <v>94</v>
      </c>
    </row>
    <row r="110" spans="1:5" x14ac:dyDescent="0.3">
      <c r="A110">
        <v>98</v>
      </c>
      <c r="B110">
        <v>221330</v>
      </c>
      <c r="C110" t="s">
        <v>457</v>
      </c>
      <c r="D110">
        <v>1825</v>
      </c>
      <c r="E110">
        <v>94</v>
      </c>
    </row>
    <row r="111" spans="1:5" x14ac:dyDescent="0.3">
      <c r="A111">
        <v>98</v>
      </c>
      <c r="B111" t="s">
        <v>178</v>
      </c>
      <c r="C111" t="s">
        <v>457</v>
      </c>
      <c r="D111">
        <v>6008286</v>
      </c>
      <c r="E111">
        <v>682390</v>
      </c>
    </row>
    <row r="112" spans="1:5" x14ac:dyDescent="0.3">
      <c r="A112">
        <v>98</v>
      </c>
      <c r="B112">
        <v>236</v>
      </c>
      <c r="C112" t="s">
        <v>457</v>
      </c>
      <c r="D112">
        <v>1251779</v>
      </c>
      <c r="E112">
        <v>206286</v>
      </c>
    </row>
    <row r="113" spans="1:5" x14ac:dyDescent="0.3">
      <c r="A113">
        <v>98</v>
      </c>
      <c r="B113">
        <v>2361</v>
      </c>
      <c r="C113" t="s">
        <v>457</v>
      </c>
      <c r="D113">
        <v>635339</v>
      </c>
      <c r="E113">
        <v>164519</v>
      </c>
    </row>
    <row r="114" spans="1:5" x14ac:dyDescent="0.3">
      <c r="A114">
        <v>98</v>
      </c>
      <c r="B114">
        <v>23611</v>
      </c>
      <c r="C114" t="s">
        <v>457</v>
      </c>
      <c r="D114">
        <v>635339</v>
      </c>
      <c r="E114">
        <v>164519</v>
      </c>
    </row>
    <row r="115" spans="1:5" x14ac:dyDescent="0.3">
      <c r="A115">
        <v>98</v>
      </c>
      <c r="B115">
        <v>236115</v>
      </c>
      <c r="C115" t="s">
        <v>457</v>
      </c>
      <c r="D115">
        <v>179383</v>
      </c>
      <c r="E115">
        <v>50262</v>
      </c>
    </row>
    <row r="116" spans="1:5" x14ac:dyDescent="0.3">
      <c r="A116">
        <v>98</v>
      </c>
      <c r="B116">
        <v>236116</v>
      </c>
      <c r="C116" t="s">
        <v>457</v>
      </c>
      <c r="D116">
        <v>33073</v>
      </c>
      <c r="E116">
        <v>2818</v>
      </c>
    </row>
    <row r="117" spans="1:5" x14ac:dyDescent="0.3">
      <c r="A117">
        <v>98</v>
      </c>
      <c r="B117">
        <v>236117</v>
      </c>
      <c r="C117" t="s">
        <v>457</v>
      </c>
      <c r="D117">
        <v>104116</v>
      </c>
      <c r="E117">
        <v>12878</v>
      </c>
    </row>
    <row r="118" spans="1:5" x14ac:dyDescent="0.3">
      <c r="A118">
        <v>98</v>
      </c>
      <c r="B118">
        <v>236118</v>
      </c>
      <c r="C118" t="s">
        <v>457</v>
      </c>
      <c r="D118">
        <v>318767</v>
      </c>
      <c r="E118">
        <v>98561</v>
      </c>
    </row>
    <row r="119" spans="1:5" x14ac:dyDescent="0.3">
      <c r="A119">
        <v>98</v>
      </c>
      <c r="B119">
        <v>2362</v>
      </c>
      <c r="C119" t="s">
        <v>457</v>
      </c>
      <c r="D119">
        <v>616440</v>
      </c>
      <c r="E119">
        <v>41767</v>
      </c>
    </row>
    <row r="120" spans="1:5" x14ac:dyDescent="0.3">
      <c r="A120">
        <v>98</v>
      </c>
      <c r="B120">
        <v>23621</v>
      </c>
      <c r="C120" t="s">
        <v>457</v>
      </c>
      <c r="D120">
        <v>88452</v>
      </c>
      <c r="E120">
        <v>3202</v>
      </c>
    </row>
    <row r="121" spans="1:5" x14ac:dyDescent="0.3">
      <c r="A121">
        <v>98</v>
      </c>
      <c r="B121">
        <v>236210</v>
      </c>
      <c r="C121" t="s">
        <v>457</v>
      </c>
      <c r="D121">
        <v>88452</v>
      </c>
      <c r="E121">
        <v>3202</v>
      </c>
    </row>
    <row r="122" spans="1:5" x14ac:dyDescent="0.3">
      <c r="A122">
        <v>98</v>
      </c>
      <c r="B122">
        <v>23622</v>
      </c>
      <c r="C122" t="s">
        <v>457</v>
      </c>
      <c r="D122">
        <v>527988</v>
      </c>
      <c r="E122">
        <v>38565</v>
      </c>
    </row>
    <row r="123" spans="1:5" x14ac:dyDescent="0.3">
      <c r="A123">
        <v>98</v>
      </c>
      <c r="B123">
        <v>236220</v>
      </c>
      <c r="C123" t="s">
        <v>457</v>
      </c>
      <c r="D123">
        <v>527988</v>
      </c>
      <c r="E123">
        <v>38565</v>
      </c>
    </row>
    <row r="124" spans="1:5" x14ac:dyDescent="0.3">
      <c r="A124">
        <v>98</v>
      </c>
      <c r="B124">
        <v>237</v>
      </c>
      <c r="C124" t="s">
        <v>457</v>
      </c>
      <c r="D124">
        <v>921511</v>
      </c>
      <c r="E124">
        <v>38959</v>
      </c>
    </row>
    <row r="125" spans="1:5" x14ac:dyDescent="0.3">
      <c r="A125">
        <v>98</v>
      </c>
      <c r="B125">
        <v>2371</v>
      </c>
      <c r="C125" t="s">
        <v>457</v>
      </c>
      <c r="D125">
        <v>548788</v>
      </c>
      <c r="E125">
        <v>19585</v>
      </c>
    </row>
    <row r="126" spans="1:5" x14ac:dyDescent="0.3">
      <c r="A126">
        <v>98</v>
      </c>
      <c r="B126">
        <v>23711</v>
      </c>
      <c r="C126" t="s">
        <v>457</v>
      </c>
      <c r="D126">
        <v>158990</v>
      </c>
      <c r="E126">
        <v>11017</v>
      </c>
    </row>
    <row r="127" spans="1:5" x14ac:dyDescent="0.3">
      <c r="A127">
        <v>98</v>
      </c>
      <c r="B127">
        <v>237110</v>
      </c>
      <c r="C127" t="s">
        <v>457</v>
      </c>
      <c r="D127">
        <v>158990</v>
      </c>
      <c r="E127">
        <v>11017</v>
      </c>
    </row>
    <row r="128" spans="1:5" x14ac:dyDescent="0.3">
      <c r="A128">
        <v>98</v>
      </c>
      <c r="B128">
        <v>23712</v>
      </c>
      <c r="C128" t="s">
        <v>457</v>
      </c>
      <c r="D128">
        <v>178328</v>
      </c>
      <c r="E128">
        <v>2166</v>
      </c>
    </row>
    <row r="129" spans="1:5" x14ac:dyDescent="0.3">
      <c r="A129">
        <v>98</v>
      </c>
      <c r="B129">
        <v>237120</v>
      </c>
      <c r="C129" t="s">
        <v>457</v>
      </c>
      <c r="D129">
        <v>178328</v>
      </c>
      <c r="E129">
        <v>2166</v>
      </c>
    </row>
    <row r="130" spans="1:5" x14ac:dyDescent="0.3">
      <c r="A130">
        <v>98</v>
      </c>
      <c r="B130">
        <v>23713</v>
      </c>
      <c r="C130" t="s">
        <v>457</v>
      </c>
      <c r="D130">
        <v>211470</v>
      </c>
      <c r="E130">
        <v>6402</v>
      </c>
    </row>
    <row r="131" spans="1:5" x14ac:dyDescent="0.3">
      <c r="A131">
        <v>98</v>
      </c>
      <c r="B131">
        <v>237130</v>
      </c>
      <c r="C131" t="s">
        <v>457</v>
      </c>
      <c r="D131">
        <v>211470</v>
      </c>
      <c r="E131">
        <v>6402</v>
      </c>
    </row>
    <row r="132" spans="1:5" x14ac:dyDescent="0.3">
      <c r="A132">
        <v>98</v>
      </c>
      <c r="B132">
        <v>2372</v>
      </c>
      <c r="C132" t="s">
        <v>457</v>
      </c>
      <c r="D132">
        <v>25188</v>
      </c>
      <c r="E132">
        <v>5239</v>
      </c>
    </row>
    <row r="133" spans="1:5" x14ac:dyDescent="0.3">
      <c r="A133">
        <v>98</v>
      </c>
      <c r="B133">
        <v>23721</v>
      </c>
      <c r="C133" t="s">
        <v>457</v>
      </c>
      <c r="D133">
        <v>25188</v>
      </c>
      <c r="E133">
        <v>5239</v>
      </c>
    </row>
    <row r="134" spans="1:5" x14ac:dyDescent="0.3">
      <c r="A134">
        <v>98</v>
      </c>
      <c r="B134">
        <v>237210</v>
      </c>
      <c r="C134" t="s">
        <v>457</v>
      </c>
      <c r="D134">
        <v>25188</v>
      </c>
      <c r="E134">
        <v>5239</v>
      </c>
    </row>
    <row r="135" spans="1:5" x14ac:dyDescent="0.3">
      <c r="A135">
        <v>98</v>
      </c>
      <c r="B135">
        <v>2373</v>
      </c>
      <c r="C135" t="s">
        <v>457</v>
      </c>
      <c r="D135">
        <v>260735</v>
      </c>
      <c r="E135">
        <v>9804</v>
      </c>
    </row>
    <row r="136" spans="1:5" x14ac:dyDescent="0.3">
      <c r="A136">
        <v>98</v>
      </c>
      <c r="B136">
        <v>23731</v>
      </c>
      <c r="C136" t="s">
        <v>457</v>
      </c>
      <c r="D136">
        <v>260735</v>
      </c>
      <c r="E136">
        <v>9804</v>
      </c>
    </row>
    <row r="137" spans="1:5" x14ac:dyDescent="0.3">
      <c r="A137">
        <v>98</v>
      </c>
      <c r="B137">
        <v>237310</v>
      </c>
      <c r="C137" t="s">
        <v>457</v>
      </c>
      <c r="D137">
        <v>260735</v>
      </c>
      <c r="E137">
        <v>9804</v>
      </c>
    </row>
    <row r="138" spans="1:5" x14ac:dyDescent="0.3">
      <c r="A138">
        <v>98</v>
      </c>
      <c r="B138">
        <v>2379</v>
      </c>
      <c r="C138" t="s">
        <v>457</v>
      </c>
      <c r="D138">
        <v>86800</v>
      </c>
      <c r="E138">
        <v>4331</v>
      </c>
    </row>
    <row r="139" spans="1:5" x14ac:dyDescent="0.3">
      <c r="A139">
        <v>98</v>
      </c>
      <c r="B139">
        <v>23799</v>
      </c>
      <c r="C139" t="s">
        <v>457</v>
      </c>
      <c r="D139">
        <v>86800</v>
      </c>
      <c r="E139">
        <v>4331</v>
      </c>
    </row>
    <row r="140" spans="1:5" x14ac:dyDescent="0.3">
      <c r="A140">
        <v>98</v>
      </c>
      <c r="B140">
        <v>237990</v>
      </c>
      <c r="C140" t="s">
        <v>457</v>
      </c>
      <c r="D140">
        <v>86800</v>
      </c>
      <c r="E140">
        <v>4331</v>
      </c>
    </row>
    <row r="141" spans="1:5" x14ac:dyDescent="0.3">
      <c r="A141">
        <v>98</v>
      </c>
      <c r="B141">
        <v>238</v>
      </c>
      <c r="C141" t="s">
        <v>457</v>
      </c>
      <c r="D141">
        <v>3834996</v>
      </c>
      <c r="E141">
        <v>437145</v>
      </c>
    </row>
    <row r="142" spans="1:5" x14ac:dyDescent="0.3">
      <c r="A142">
        <v>98</v>
      </c>
      <c r="B142">
        <v>2381</v>
      </c>
      <c r="C142" t="s">
        <v>457</v>
      </c>
      <c r="D142">
        <v>758816</v>
      </c>
      <c r="E142">
        <v>87703</v>
      </c>
    </row>
    <row r="143" spans="1:5" x14ac:dyDescent="0.3">
      <c r="A143">
        <v>98</v>
      </c>
      <c r="B143">
        <v>23811</v>
      </c>
      <c r="C143" t="s">
        <v>457</v>
      </c>
      <c r="D143">
        <v>197958</v>
      </c>
      <c r="E143">
        <v>19120</v>
      </c>
    </row>
    <row r="144" spans="1:5" x14ac:dyDescent="0.3">
      <c r="A144">
        <v>98</v>
      </c>
      <c r="B144">
        <v>238110</v>
      </c>
      <c r="C144" t="s">
        <v>457</v>
      </c>
      <c r="D144">
        <v>197958</v>
      </c>
      <c r="E144">
        <v>19120</v>
      </c>
    </row>
    <row r="145" spans="1:5" x14ac:dyDescent="0.3">
      <c r="A145">
        <v>98</v>
      </c>
      <c r="B145">
        <v>23812</v>
      </c>
      <c r="C145" t="s">
        <v>457</v>
      </c>
      <c r="D145">
        <v>68646</v>
      </c>
      <c r="E145">
        <v>3332</v>
      </c>
    </row>
    <row r="146" spans="1:5" x14ac:dyDescent="0.3">
      <c r="A146">
        <v>98</v>
      </c>
      <c r="B146">
        <v>238120</v>
      </c>
      <c r="C146" t="s">
        <v>457</v>
      </c>
      <c r="D146">
        <v>68646</v>
      </c>
      <c r="E146">
        <v>3332</v>
      </c>
    </row>
    <row r="147" spans="1:5" x14ac:dyDescent="0.3">
      <c r="A147">
        <v>98</v>
      </c>
      <c r="B147">
        <v>23813</v>
      </c>
      <c r="C147" t="s">
        <v>457</v>
      </c>
      <c r="D147">
        <v>70831</v>
      </c>
      <c r="E147">
        <v>10650</v>
      </c>
    </row>
    <row r="148" spans="1:5" x14ac:dyDescent="0.3">
      <c r="A148">
        <v>98</v>
      </c>
      <c r="B148">
        <v>238130</v>
      </c>
      <c r="C148" t="s">
        <v>457</v>
      </c>
      <c r="D148">
        <v>70831</v>
      </c>
      <c r="E148">
        <v>10650</v>
      </c>
    </row>
    <row r="149" spans="1:5" x14ac:dyDescent="0.3">
      <c r="A149">
        <v>98</v>
      </c>
      <c r="B149">
        <v>23814</v>
      </c>
      <c r="C149" t="s">
        <v>457</v>
      </c>
      <c r="D149">
        <v>129925</v>
      </c>
      <c r="E149">
        <v>18263</v>
      </c>
    </row>
    <row r="150" spans="1:5" x14ac:dyDescent="0.3">
      <c r="A150">
        <v>98</v>
      </c>
      <c r="B150">
        <v>238140</v>
      </c>
      <c r="C150" t="s">
        <v>457</v>
      </c>
      <c r="D150">
        <v>129925</v>
      </c>
      <c r="E150">
        <v>18263</v>
      </c>
    </row>
    <row r="151" spans="1:5" x14ac:dyDescent="0.3">
      <c r="A151">
        <v>98</v>
      </c>
      <c r="B151">
        <v>23815</v>
      </c>
      <c r="C151" t="s">
        <v>457</v>
      </c>
      <c r="D151">
        <v>52928</v>
      </c>
      <c r="E151">
        <v>5305</v>
      </c>
    </row>
    <row r="152" spans="1:5" x14ac:dyDescent="0.3">
      <c r="A152">
        <v>98</v>
      </c>
      <c r="B152">
        <v>238150</v>
      </c>
      <c r="C152" t="s">
        <v>457</v>
      </c>
      <c r="D152">
        <v>52928</v>
      </c>
      <c r="E152">
        <v>5305</v>
      </c>
    </row>
    <row r="153" spans="1:5" x14ac:dyDescent="0.3">
      <c r="A153">
        <v>98</v>
      </c>
      <c r="B153">
        <v>23816</v>
      </c>
      <c r="C153" t="s">
        <v>457</v>
      </c>
      <c r="D153">
        <v>158245</v>
      </c>
      <c r="E153">
        <v>18193</v>
      </c>
    </row>
    <row r="154" spans="1:5" x14ac:dyDescent="0.3">
      <c r="A154">
        <v>98</v>
      </c>
      <c r="B154">
        <v>238160</v>
      </c>
      <c r="C154" t="s">
        <v>457</v>
      </c>
      <c r="D154">
        <v>158245</v>
      </c>
      <c r="E154">
        <v>18193</v>
      </c>
    </row>
    <row r="155" spans="1:5" x14ac:dyDescent="0.3">
      <c r="A155">
        <v>98</v>
      </c>
      <c r="B155">
        <v>23817</v>
      </c>
      <c r="C155" t="s">
        <v>457</v>
      </c>
      <c r="D155">
        <v>30860</v>
      </c>
      <c r="E155">
        <v>7491</v>
      </c>
    </row>
    <row r="156" spans="1:5" x14ac:dyDescent="0.3">
      <c r="A156">
        <v>98</v>
      </c>
      <c r="B156">
        <v>238170</v>
      </c>
      <c r="C156" t="s">
        <v>457</v>
      </c>
      <c r="D156">
        <v>30860</v>
      </c>
      <c r="E156">
        <v>7491</v>
      </c>
    </row>
    <row r="157" spans="1:5" x14ac:dyDescent="0.3">
      <c r="A157">
        <v>98</v>
      </c>
      <c r="B157">
        <v>23819</v>
      </c>
      <c r="C157" t="s">
        <v>457</v>
      </c>
      <c r="D157">
        <v>49423</v>
      </c>
      <c r="E157">
        <v>5349</v>
      </c>
    </row>
    <row r="158" spans="1:5" x14ac:dyDescent="0.3">
      <c r="A158">
        <v>98</v>
      </c>
      <c r="B158">
        <v>238190</v>
      </c>
      <c r="C158" t="s">
        <v>457</v>
      </c>
      <c r="D158">
        <v>49423</v>
      </c>
      <c r="E158">
        <v>5349</v>
      </c>
    </row>
    <row r="159" spans="1:5" x14ac:dyDescent="0.3">
      <c r="A159">
        <v>98</v>
      </c>
      <c r="B159">
        <v>2382</v>
      </c>
      <c r="C159" t="s">
        <v>457</v>
      </c>
      <c r="D159">
        <v>1824216</v>
      </c>
      <c r="E159">
        <v>176142</v>
      </c>
    </row>
    <row r="160" spans="1:5" x14ac:dyDescent="0.3">
      <c r="A160">
        <v>98</v>
      </c>
      <c r="B160">
        <v>23821</v>
      </c>
      <c r="C160" t="s">
        <v>457</v>
      </c>
      <c r="D160">
        <v>762242</v>
      </c>
      <c r="E160">
        <v>71848</v>
      </c>
    </row>
    <row r="161" spans="1:5" x14ac:dyDescent="0.3">
      <c r="A161">
        <v>98</v>
      </c>
      <c r="B161">
        <v>238210</v>
      </c>
      <c r="C161" t="s">
        <v>457</v>
      </c>
      <c r="D161">
        <v>762242</v>
      </c>
      <c r="E161">
        <v>71848</v>
      </c>
    </row>
    <row r="162" spans="1:5" x14ac:dyDescent="0.3">
      <c r="A162">
        <v>98</v>
      </c>
      <c r="B162">
        <v>23822</v>
      </c>
      <c r="C162" t="s">
        <v>457</v>
      </c>
      <c r="D162">
        <v>933870</v>
      </c>
      <c r="E162">
        <v>97181</v>
      </c>
    </row>
    <row r="163" spans="1:5" x14ac:dyDescent="0.3">
      <c r="A163">
        <v>98</v>
      </c>
      <c r="B163">
        <v>238220</v>
      </c>
      <c r="C163" t="s">
        <v>457</v>
      </c>
      <c r="D163">
        <v>933870</v>
      </c>
      <c r="E163">
        <v>97181</v>
      </c>
    </row>
    <row r="164" spans="1:5" x14ac:dyDescent="0.3">
      <c r="A164">
        <v>98</v>
      </c>
      <c r="B164">
        <v>23829</v>
      </c>
      <c r="C164" t="s">
        <v>457</v>
      </c>
      <c r="D164">
        <v>128104</v>
      </c>
      <c r="E164">
        <v>7113</v>
      </c>
    </row>
    <row r="165" spans="1:5" x14ac:dyDescent="0.3">
      <c r="A165">
        <v>98</v>
      </c>
      <c r="B165">
        <v>238290</v>
      </c>
      <c r="C165" t="s">
        <v>457</v>
      </c>
      <c r="D165">
        <v>128104</v>
      </c>
      <c r="E165">
        <v>7113</v>
      </c>
    </row>
    <row r="166" spans="1:5" x14ac:dyDescent="0.3">
      <c r="A166">
        <v>98</v>
      </c>
      <c r="B166">
        <v>2383</v>
      </c>
      <c r="C166" t="s">
        <v>457</v>
      </c>
      <c r="D166">
        <v>704933</v>
      </c>
      <c r="E166">
        <v>106961</v>
      </c>
    </row>
    <row r="167" spans="1:5" x14ac:dyDescent="0.3">
      <c r="A167">
        <v>98</v>
      </c>
      <c r="B167">
        <v>23831</v>
      </c>
      <c r="C167" t="s">
        <v>457</v>
      </c>
      <c r="D167">
        <v>215792</v>
      </c>
      <c r="E167">
        <v>17857</v>
      </c>
    </row>
    <row r="168" spans="1:5" x14ac:dyDescent="0.3">
      <c r="A168">
        <v>98</v>
      </c>
      <c r="B168">
        <v>238310</v>
      </c>
      <c r="C168" t="s">
        <v>457</v>
      </c>
      <c r="D168">
        <v>215792</v>
      </c>
      <c r="E168">
        <v>17857</v>
      </c>
    </row>
    <row r="169" spans="1:5" x14ac:dyDescent="0.3">
      <c r="A169">
        <v>98</v>
      </c>
      <c r="B169">
        <v>23832</v>
      </c>
      <c r="C169" t="s">
        <v>457</v>
      </c>
      <c r="D169">
        <v>183566</v>
      </c>
      <c r="E169">
        <v>31943</v>
      </c>
    </row>
    <row r="170" spans="1:5" x14ac:dyDescent="0.3">
      <c r="A170">
        <v>98</v>
      </c>
      <c r="B170">
        <v>238320</v>
      </c>
      <c r="C170" t="s">
        <v>457</v>
      </c>
      <c r="D170">
        <v>183566</v>
      </c>
      <c r="E170">
        <v>31943</v>
      </c>
    </row>
    <row r="171" spans="1:5" x14ac:dyDescent="0.3">
      <c r="A171">
        <v>98</v>
      </c>
      <c r="B171">
        <v>23833</v>
      </c>
      <c r="C171" t="s">
        <v>457</v>
      </c>
      <c r="D171">
        <v>68023</v>
      </c>
      <c r="E171">
        <v>14601</v>
      </c>
    </row>
    <row r="172" spans="1:5" x14ac:dyDescent="0.3">
      <c r="A172">
        <v>98</v>
      </c>
      <c r="B172">
        <v>238330</v>
      </c>
      <c r="C172" t="s">
        <v>457</v>
      </c>
      <c r="D172">
        <v>68023</v>
      </c>
      <c r="E172">
        <v>14601</v>
      </c>
    </row>
    <row r="173" spans="1:5" x14ac:dyDescent="0.3">
      <c r="A173">
        <v>98</v>
      </c>
      <c r="B173">
        <v>23834</v>
      </c>
      <c r="C173" t="s">
        <v>457</v>
      </c>
      <c r="D173">
        <v>50014</v>
      </c>
      <c r="E173">
        <v>9160</v>
      </c>
    </row>
    <row r="174" spans="1:5" x14ac:dyDescent="0.3">
      <c r="A174">
        <v>98</v>
      </c>
      <c r="B174">
        <v>238340</v>
      </c>
      <c r="C174" t="s">
        <v>457</v>
      </c>
      <c r="D174">
        <v>50014</v>
      </c>
      <c r="E174">
        <v>9160</v>
      </c>
    </row>
    <row r="175" spans="1:5" x14ac:dyDescent="0.3">
      <c r="A175">
        <v>98</v>
      </c>
      <c r="B175">
        <v>23835</v>
      </c>
      <c r="C175" t="s">
        <v>457</v>
      </c>
      <c r="D175">
        <v>125299</v>
      </c>
      <c r="E175">
        <v>26795</v>
      </c>
    </row>
    <row r="176" spans="1:5" x14ac:dyDescent="0.3">
      <c r="A176">
        <v>98</v>
      </c>
      <c r="B176">
        <v>238350</v>
      </c>
      <c r="C176" t="s">
        <v>457</v>
      </c>
      <c r="D176">
        <v>125299</v>
      </c>
      <c r="E176">
        <v>26795</v>
      </c>
    </row>
    <row r="177" spans="1:5" x14ac:dyDescent="0.3">
      <c r="A177">
        <v>98</v>
      </c>
      <c r="B177">
        <v>23839</v>
      </c>
      <c r="C177" t="s">
        <v>457</v>
      </c>
      <c r="D177">
        <v>62239</v>
      </c>
      <c r="E177">
        <v>6605</v>
      </c>
    </row>
    <row r="178" spans="1:5" x14ac:dyDescent="0.3">
      <c r="A178">
        <v>98</v>
      </c>
      <c r="B178">
        <v>238390</v>
      </c>
      <c r="C178" t="s">
        <v>457</v>
      </c>
      <c r="D178">
        <v>62239</v>
      </c>
      <c r="E178">
        <v>6605</v>
      </c>
    </row>
    <row r="179" spans="1:5" x14ac:dyDescent="0.3">
      <c r="A179">
        <v>98</v>
      </c>
      <c r="B179">
        <v>2389</v>
      </c>
      <c r="C179" t="s">
        <v>457</v>
      </c>
      <c r="D179">
        <v>547031</v>
      </c>
      <c r="E179">
        <v>66339</v>
      </c>
    </row>
    <row r="180" spans="1:5" x14ac:dyDescent="0.3">
      <c r="A180">
        <v>98</v>
      </c>
      <c r="B180">
        <v>23891</v>
      </c>
      <c r="C180" t="s">
        <v>457</v>
      </c>
      <c r="D180">
        <v>317613</v>
      </c>
      <c r="E180">
        <v>34413</v>
      </c>
    </row>
    <row r="181" spans="1:5" x14ac:dyDescent="0.3">
      <c r="A181">
        <v>98</v>
      </c>
      <c r="B181">
        <v>238910</v>
      </c>
      <c r="C181" t="s">
        <v>457</v>
      </c>
      <c r="D181">
        <v>317613</v>
      </c>
      <c r="E181">
        <v>34413</v>
      </c>
    </row>
    <row r="182" spans="1:5" x14ac:dyDescent="0.3">
      <c r="A182">
        <v>98</v>
      </c>
      <c r="B182">
        <v>23899</v>
      </c>
      <c r="C182" t="s">
        <v>457</v>
      </c>
      <c r="D182">
        <v>229418</v>
      </c>
      <c r="E182">
        <v>31926</v>
      </c>
    </row>
    <row r="183" spans="1:5" x14ac:dyDescent="0.3">
      <c r="A183">
        <v>98</v>
      </c>
      <c r="B183">
        <v>238990</v>
      </c>
      <c r="C183" t="s">
        <v>457</v>
      </c>
      <c r="D183">
        <v>229418</v>
      </c>
      <c r="E183">
        <v>31926</v>
      </c>
    </row>
    <row r="184" spans="1:5" x14ac:dyDescent="0.3">
      <c r="A184">
        <v>98</v>
      </c>
      <c r="B184" t="s">
        <v>179</v>
      </c>
      <c r="C184" t="s">
        <v>457</v>
      </c>
      <c r="D184">
        <v>11605501</v>
      </c>
      <c r="E184">
        <v>292825</v>
      </c>
    </row>
    <row r="185" spans="1:5" x14ac:dyDescent="0.3">
      <c r="A185">
        <v>98</v>
      </c>
      <c r="B185">
        <v>311</v>
      </c>
      <c r="C185" t="s">
        <v>457</v>
      </c>
      <c r="D185">
        <v>1485656</v>
      </c>
      <c r="E185">
        <v>26819</v>
      </c>
    </row>
    <row r="186" spans="1:5" x14ac:dyDescent="0.3">
      <c r="A186">
        <v>98</v>
      </c>
      <c r="B186">
        <v>3111</v>
      </c>
      <c r="C186" t="s">
        <v>457</v>
      </c>
      <c r="D186">
        <v>55178</v>
      </c>
      <c r="E186">
        <v>1774</v>
      </c>
    </row>
    <row r="187" spans="1:5" x14ac:dyDescent="0.3">
      <c r="A187">
        <v>98</v>
      </c>
      <c r="B187">
        <v>31111</v>
      </c>
      <c r="C187" t="s">
        <v>457</v>
      </c>
      <c r="D187">
        <v>55178</v>
      </c>
      <c r="E187">
        <v>1774</v>
      </c>
    </row>
    <row r="188" spans="1:5" x14ac:dyDescent="0.3">
      <c r="A188">
        <v>98</v>
      </c>
      <c r="B188">
        <v>311111</v>
      </c>
      <c r="C188" t="s">
        <v>457</v>
      </c>
      <c r="D188">
        <v>27151</v>
      </c>
      <c r="E188">
        <v>347</v>
      </c>
    </row>
    <row r="189" spans="1:5" x14ac:dyDescent="0.3">
      <c r="A189">
        <v>98</v>
      </c>
      <c r="B189">
        <v>311119</v>
      </c>
      <c r="C189" t="s">
        <v>457</v>
      </c>
      <c r="D189">
        <v>28027</v>
      </c>
      <c r="E189">
        <v>1427</v>
      </c>
    </row>
    <row r="190" spans="1:5" x14ac:dyDescent="0.3">
      <c r="A190">
        <v>98</v>
      </c>
      <c r="B190">
        <v>3112</v>
      </c>
      <c r="C190" t="s">
        <v>457</v>
      </c>
      <c r="D190">
        <v>57831</v>
      </c>
      <c r="E190">
        <v>858</v>
      </c>
    </row>
    <row r="191" spans="1:5" x14ac:dyDescent="0.3">
      <c r="A191">
        <v>98</v>
      </c>
      <c r="B191">
        <v>31121</v>
      </c>
      <c r="C191" t="s">
        <v>457</v>
      </c>
      <c r="D191">
        <v>20199</v>
      </c>
      <c r="E191">
        <v>427</v>
      </c>
    </row>
    <row r="192" spans="1:5" x14ac:dyDescent="0.3">
      <c r="A192">
        <v>98</v>
      </c>
      <c r="B192">
        <v>311211</v>
      </c>
      <c r="C192" t="s">
        <v>457</v>
      </c>
      <c r="D192">
        <v>14503</v>
      </c>
      <c r="E192">
        <v>306</v>
      </c>
    </row>
    <row r="193" spans="1:5" x14ac:dyDescent="0.3">
      <c r="A193">
        <v>98</v>
      </c>
      <c r="B193">
        <v>311212</v>
      </c>
      <c r="C193" t="s">
        <v>457</v>
      </c>
      <c r="D193">
        <v>4646</v>
      </c>
      <c r="E193">
        <v>82</v>
      </c>
    </row>
    <row r="194" spans="1:5" x14ac:dyDescent="0.3">
      <c r="A194">
        <v>98</v>
      </c>
      <c r="B194">
        <v>311213</v>
      </c>
      <c r="C194" t="s">
        <v>457</v>
      </c>
      <c r="D194">
        <v>1050</v>
      </c>
      <c r="E194">
        <v>39</v>
      </c>
    </row>
    <row r="195" spans="1:5" x14ac:dyDescent="0.3">
      <c r="A195">
        <v>98</v>
      </c>
      <c r="B195">
        <v>31122</v>
      </c>
      <c r="C195" t="s">
        <v>457</v>
      </c>
      <c r="D195">
        <v>23750</v>
      </c>
      <c r="E195">
        <v>355</v>
      </c>
    </row>
    <row r="196" spans="1:5" x14ac:dyDescent="0.3">
      <c r="A196">
        <v>98</v>
      </c>
      <c r="B196">
        <v>311221</v>
      </c>
      <c r="C196" t="s">
        <v>457</v>
      </c>
      <c r="D196">
        <v>6911</v>
      </c>
      <c r="E196">
        <v>66</v>
      </c>
    </row>
    <row r="197" spans="1:5" x14ac:dyDescent="0.3">
      <c r="A197">
        <v>98</v>
      </c>
      <c r="B197">
        <v>311224</v>
      </c>
      <c r="C197" t="s">
        <v>457</v>
      </c>
      <c r="D197">
        <v>8646</v>
      </c>
      <c r="E197">
        <v>162</v>
      </c>
    </row>
    <row r="198" spans="1:5" x14ac:dyDescent="0.3">
      <c r="A198">
        <v>98</v>
      </c>
      <c r="B198">
        <v>311225</v>
      </c>
      <c r="C198" t="s">
        <v>457</v>
      </c>
      <c r="D198">
        <v>8193</v>
      </c>
      <c r="E198">
        <v>127</v>
      </c>
    </row>
    <row r="199" spans="1:5" x14ac:dyDescent="0.3">
      <c r="A199">
        <v>98</v>
      </c>
      <c r="B199">
        <v>31123</v>
      </c>
      <c r="C199" t="s">
        <v>457</v>
      </c>
      <c r="D199">
        <v>13882</v>
      </c>
      <c r="E199">
        <v>76</v>
      </c>
    </row>
    <row r="200" spans="1:5" x14ac:dyDescent="0.3">
      <c r="A200">
        <v>98</v>
      </c>
      <c r="B200">
        <v>311230</v>
      </c>
      <c r="C200" t="s">
        <v>457</v>
      </c>
      <c r="D200">
        <v>13882</v>
      </c>
      <c r="E200">
        <v>76</v>
      </c>
    </row>
    <row r="201" spans="1:5" x14ac:dyDescent="0.3">
      <c r="A201">
        <v>98</v>
      </c>
      <c r="B201">
        <v>3113</v>
      </c>
      <c r="C201" t="s">
        <v>457</v>
      </c>
      <c r="D201">
        <v>75986</v>
      </c>
      <c r="E201">
        <v>1935</v>
      </c>
    </row>
    <row r="202" spans="1:5" x14ac:dyDescent="0.3">
      <c r="A202">
        <v>98</v>
      </c>
      <c r="B202">
        <v>31131</v>
      </c>
      <c r="C202" t="s">
        <v>457</v>
      </c>
      <c r="D202">
        <v>13459</v>
      </c>
      <c r="E202">
        <v>94</v>
      </c>
    </row>
    <row r="203" spans="1:5" x14ac:dyDescent="0.3">
      <c r="A203">
        <v>98</v>
      </c>
      <c r="B203">
        <v>311313</v>
      </c>
      <c r="C203" t="s">
        <v>457</v>
      </c>
      <c r="D203">
        <v>6662</v>
      </c>
      <c r="E203">
        <v>33</v>
      </c>
    </row>
    <row r="204" spans="1:5" x14ac:dyDescent="0.3">
      <c r="A204">
        <v>98</v>
      </c>
      <c r="B204">
        <v>311314</v>
      </c>
      <c r="C204" t="s">
        <v>457</v>
      </c>
      <c r="D204">
        <v>6797</v>
      </c>
      <c r="E204">
        <v>61</v>
      </c>
    </row>
    <row r="205" spans="1:5" x14ac:dyDescent="0.3">
      <c r="A205">
        <v>98</v>
      </c>
      <c r="B205">
        <v>31134</v>
      </c>
      <c r="C205" t="s">
        <v>457</v>
      </c>
      <c r="D205">
        <v>19541</v>
      </c>
      <c r="E205">
        <v>496</v>
      </c>
    </row>
    <row r="206" spans="1:5" x14ac:dyDescent="0.3">
      <c r="A206">
        <v>98</v>
      </c>
      <c r="B206">
        <v>311340</v>
      </c>
      <c r="C206" t="s">
        <v>457</v>
      </c>
      <c r="D206">
        <v>19541</v>
      </c>
      <c r="E206">
        <v>496</v>
      </c>
    </row>
    <row r="207" spans="1:5" x14ac:dyDescent="0.3">
      <c r="A207">
        <v>98</v>
      </c>
      <c r="B207">
        <v>31135</v>
      </c>
      <c r="C207" t="s">
        <v>457</v>
      </c>
      <c r="D207">
        <v>42986</v>
      </c>
      <c r="E207">
        <v>1345</v>
      </c>
    </row>
    <row r="208" spans="1:5" x14ac:dyDescent="0.3">
      <c r="A208">
        <v>98</v>
      </c>
      <c r="B208">
        <v>311351</v>
      </c>
      <c r="C208" t="s">
        <v>457</v>
      </c>
      <c r="D208">
        <v>7224</v>
      </c>
      <c r="E208">
        <v>205</v>
      </c>
    </row>
    <row r="209" spans="1:5" x14ac:dyDescent="0.3">
      <c r="A209">
        <v>98</v>
      </c>
      <c r="B209">
        <v>311352</v>
      </c>
      <c r="C209" t="s">
        <v>457</v>
      </c>
      <c r="D209">
        <v>35762</v>
      </c>
      <c r="E209">
        <v>1140</v>
      </c>
    </row>
    <row r="210" spans="1:5" x14ac:dyDescent="0.3">
      <c r="A210">
        <v>98</v>
      </c>
      <c r="B210">
        <v>3114</v>
      </c>
      <c r="C210" t="s">
        <v>457</v>
      </c>
      <c r="D210">
        <v>157408</v>
      </c>
      <c r="E210">
        <v>1835</v>
      </c>
    </row>
    <row r="211" spans="1:5" x14ac:dyDescent="0.3">
      <c r="A211">
        <v>98</v>
      </c>
      <c r="B211">
        <v>31141</v>
      </c>
      <c r="C211" t="s">
        <v>457</v>
      </c>
      <c r="D211">
        <v>85272</v>
      </c>
      <c r="E211">
        <v>679</v>
      </c>
    </row>
    <row r="212" spans="1:5" x14ac:dyDescent="0.3">
      <c r="A212">
        <v>98</v>
      </c>
      <c r="B212">
        <v>311411</v>
      </c>
      <c r="C212" t="s">
        <v>457</v>
      </c>
      <c r="D212">
        <v>30658</v>
      </c>
      <c r="E212">
        <v>216</v>
      </c>
    </row>
    <row r="213" spans="1:5" x14ac:dyDescent="0.3">
      <c r="A213">
        <v>98</v>
      </c>
      <c r="B213">
        <v>311412</v>
      </c>
      <c r="C213" t="s">
        <v>457</v>
      </c>
      <c r="D213">
        <v>54614</v>
      </c>
      <c r="E213">
        <v>463</v>
      </c>
    </row>
    <row r="214" spans="1:5" x14ac:dyDescent="0.3">
      <c r="A214">
        <v>98</v>
      </c>
      <c r="B214">
        <v>31142</v>
      </c>
      <c r="C214" t="s">
        <v>457</v>
      </c>
      <c r="D214">
        <v>72136</v>
      </c>
      <c r="E214">
        <v>1156</v>
      </c>
    </row>
    <row r="215" spans="1:5" x14ac:dyDescent="0.3">
      <c r="A215">
        <v>98</v>
      </c>
      <c r="B215">
        <v>311421</v>
      </c>
      <c r="C215" t="s">
        <v>457</v>
      </c>
      <c r="D215">
        <v>45257</v>
      </c>
      <c r="E215">
        <v>821</v>
      </c>
    </row>
    <row r="216" spans="1:5" x14ac:dyDescent="0.3">
      <c r="A216">
        <v>98</v>
      </c>
      <c r="B216">
        <v>311422</v>
      </c>
      <c r="C216" t="s">
        <v>457</v>
      </c>
      <c r="D216">
        <v>11807</v>
      </c>
      <c r="E216">
        <v>116</v>
      </c>
    </row>
    <row r="217" spans="1:5" x14ac:dyDescent="0.3">
      <c r="A217">
        <v>98</v>
      </c>
      <c r="B217">
        <v>311423</v>
      </c>
      <c r="C217" t="s">
        <v>457</v>
      </c>
      <c r="D217">
        <v>15072</v>
      </c>
      <c r="E217">
        <v>219</v>
      </c>
    </row>
    <row r="218" spans="1:5" x14ac:dyDescent="0.3">
      <c r="A218">
        <v>98</v>
      </c>
      <c r="B218">
        <v>3115</v>
      </c>
      <c r="C218" t="s">
        <v>457</v>
      </c>
      <c r="D218">
        <v>141246</v>
      </c>
      <c r="E218">
        <v>1720</v>
      </c>
    </row>
    <row r="219" spans="1:5" x14ac:dyDescent="0.3">
      <c r="A219">
        <v>98</v>
      </c>
      <c r="B219">
        <v>31151</v>
      </c>
      <c r="C219" t="s">
        <v>457</v>
      </c>
      <c r="D219">
        <v>120611</v>
      </c>
      <c r="E219">
        <v>1262</v>
      </c>
    </row>
    <row r="220" spans="1:5" x14ac:dyDescent="0.3">
      <c r="A220">
        <v>98</v>
      </c>
      <c r="B220">
        <v>311511</v>
      </c>
      <c r="C220" t="s">
        <v>457</v>
      </c>
      <c r="D220">
        <v>52001</v>
      </c>
      <c r="E220">
        <v>452</v>
      </c>
    </row>
    <row r="221" spans="1:5" x14ac:dyDescent="0.3">
      <c r="A221">
        <v>98</v>
      </c>
      <c r="B221">
        <v>311512</v>
      </c>
      <c r="C221" t="s">
        <v>457</v>
      </c>
      <c r="D221">
        <v>2943</v>
      </c>
      <c r="E221">
        <v>46</v>
      </c>
    </row>
    <row r="222" spans="1:5" x14ac:dyDescent="0.3">
      <c r="A222">
        <v>98</v>
      </c>
      <c r="B222">
        <v>311513</v>
      </c>
      <c r="C222" t="s">
        <v>457</v>
      </c>
      <c r="D222">
        <v>48449</v>
      </c>
      <c r="E222">
        <v>562</v>
      </c>
    </row>
    <row r="223" spans="1:5" x14ac:dyDescent="0.3">
      <c r="A223">
        <v>98</v>
      </c>
      <c r="B223">
        <v>311514</v>
      </c>
      <c r="C223" t="s">
        <v>457</v>
      </c>
      <c r="D223">
        <v>17218</v>
      </c>
      <c r="E223">
        <v>202</v>
      </c>
    </row>
    <row r="224" spans="1:5" x14ac:dyDescent="0.3">
      <c r="A224">
        <v>98</v>
      </c>
      <c r="B224">
        <v>31152</v>
      </c>
      <c r="C224" t="s">
        <v>457</v>
      </c>
      <c r="D224">
        <v>20635</v>
      </c>
      <c r="E224">
        <v>458</v>
      </c>
    </row>
    <row r="225" spans="1:5" x14ac:dyDescent="0.3">
      <c r="A225">
        <v>98</v>
      </c>
      <c r="B225">
        <v>311520</v>
      </c>
      <c r="C225" t="s">
        <v>457</v>
      </c>
      <c r="D225">
        <v>20635</v>
      </c>
      <c r="E225">
        <v>458</v>
      </c>
    </row>
    <row r="226" spans="1:5" x14ac:dyDescent="0.3">
      <c r="A226">
        <v>98</v>
      </c>
      <c r="B226">
        <v>3116</v>
      </c>
      <c r="C226" t="s">
        <v>457</v>
      </c>
      <c r="D226">
        <v>485885</v>
      </c>
      <c r="E226">
        <v>3593</v>
      </c>
    </row>
    <row r="227" spans="1:5" x14ac:dyDescent="0.3">
      <c r="A227">
        <v>98</v>
      </c>
      <c r="B227">
        <v>31161</v>
      </c>
      <c r="C227" t="s">
        <v>457</v>
      </c>
      <c r="D227">
        <v>485885</v>
      </c>
      <c r="E227">
        <v>3593</v>
      </c>
    </row>
    <row r="228" spans="1:5" x14ac:dyDescent="0.3">
      <c r="A228">
        <v>98</v>
      </c>
      <c r="B228">
        <v>311611</v>
      </c>
      <c r="C228" t="s">
        <v>457</v>
      </c>
      <c r="D228">
        <v>152594</v>
      </c>
      <c r="E228">
        <v>1474</v>
      </c>
    </row>
    <row r="229" spans="1:5" x14ac:dyDescent="0.3">
      <c r="A229">
        <v>98</v>
      </c>
      <c r="B229">
        <v>311612</v>
      </c>
      <c r="C229" t="s">
        <v>457</v>
      </c>
      <c r="D229">
        <v>98150</v>
      </c>
      <c r="E229">
        <v>1360</v>
      </c>
    </row>
    <row r="230" spans="1:5" x14ac:dyDescent="0.3">
      <c r="A230">
        <v>98</v>
      </c>
      <c r="B230">
        <v>311613</v>
      </c>
      <c r="C230" t="s">
        <v>457</v>
      </c>
      <c r="D230">
        <v>8868</v>
      </c>
      <c r="E230">
        <v>222</v>
      </c>
    </row>
    <row r="231" spans="1:5" x14ac:dyDescent="0.3">
      <c r="A231">
        <v>98</v>
      </c>
      <c r="B231">
        <v>311615</v>
      </c>
      <c r="C231" t="s">
        <v>457</v>
      </c>
      <c r="D231">
        <v>226273</v>
      </c>
      <c r="E231">
        <v>537</v>
      </c>
    </row>
    <row r="232" spans="1:5" x14ac:dyDescent="0.3">
      <c r="A232">
        <v>98</v>
      </c>
      <c r="B232">
        <v>3117</v>
      </c>
      <c r="C232" t="s">
        <v>457</v>
      </c>
      <c r="D232">
        <v>30708</v>
      </c>
      <c r="E232">
        <v>618</v>
      </c>
    </row>
    <row r="233" spans="1:5" x14ac:dyDescent="0.3">
      <c r="A233">
        <v>98</v>
      </c>
      <c r="B233">
        <v>31171</v>
      </c>
      <c r="C233" t="s">
        <v>457</v>
      </c>
      <c r="D233">
        <v>30708</v>
      </c>
      <c r="E233">
        <v>618</v>
      </c>
    </row>
    <row r="234" spans="1:5" x14ac:dyDescent="0.3">
      <c r="A234">
        <v>98</v>
      </c>
      <c r="B234">
        <v>311710</v>
      </c>
      <c r="C234" t="s">
        <v>457</v>
      </c>
      <c r="D234">
        <v>30708</v>
      </c>
      <c r="E234">
        <v>618</v>
      </c>
    </row>
    <row r="235" spans="1:5" x14ac:dyDescent="0.3">
      <c r="A235">
        <v>98</v>
      </c>
      <c r="B235">
        <v>3118</v>
      </c>
      <c r="C235" t="s">
        <v>457</v>
      </c>
      <c r="D235">
        <v>290839</v>
      </c>
      <c r="E235">
        <v>10797</v>
      </c>
    </row>
    <row r="236" spans="1:5" x14ac:dyDescent="0.3">
      <c r="A236">
        <v>98</v>
      </c>
      <c r="B236">
        <v>31181</v>
      </c>
      <c r="C236" t="s">
        <v>457</v>
      </c>
      <c r="D236">
        <v>210223</v>
      </c>
      <c r="E236">
        <v>9548</v>
      </c>
    </row>
    <row r="237" spans="1:5" x14ac:dyDescent="0.3">
      <c r="A237">
        <v>98</v>
      </c>
      <c r="B237">
        <v>311811</v>
      </c>
      <c r="C237" t="s">
        <v>457</v>
      </c>
      <c r="D237">
        <v>62415</v>
      </c>
      <c r="E237">
        <v>6421</v>
      </c>
    </row>
    <row r="238" spans="1:5" x14ac:dyDescent="0.3">
      <c r="A238">
        <v>98</v>
      </c>
      <c r="B238">
        <v>311812</v>
      </c>
      <c r="C238" t="s">
        <v>457</v>
      </c>
      <c r="D238">
        <v>125525</v>
      </c>
      <c r="E238">
        <v>2899</v>
      </c>
    </row>
    <row r="239" spans="1:5" x14ac:dyDescent="0.3">
      <c r="A239">
        <v>98</v>
      </c>
      <c r="B239">
        <v>311813</v>
      </c>
      <c r="C239" t="s">
        <v>457</v>
      </c>
      <c r="D239">
        <v>22283</v>
      </c>
      <c r="E239">
        <v>228</v>
      </c>
    </row>
    <row r="240" spans="1:5" x14ac:dyDescent="0.3">
      <c r="A240">
        <v>98</v>
      </c>
      <c r="B240">
        <v>31182</v>
      </c>
      <c r="C240" t="s">
        <v>457</v>
      </c>
      <c r="D240">
        <v>61082</v>
      </c>
      <c r="E240">
        <v>855</v>
      </c>
    </row>
    <row r="241" spans="1:5" x14ac:dyDescent="0.3">
      <c r="A241">
        <v>98</v>
      </c>
      <c r="B241">
        <v>311821</v>
      </c>
      <c r="C241" t="s">
        <v>457</v>
      </c>
      <c r="D241">
        <v>38248</v>
      </c>
      <c r="E241">
        <v>411</v>
      </c>
    </row>
    <row r="242" spans="1:5" x14ac:dyDescent="0.3">
      <c r="A242">
        <v>98</v>
      </c>
      <c r="B242">
        <v>311824</v>
      </c>
      <c r="C242" t="s">
        <v>457</v>
      </c>
      <c r="D242">
        <v>22834</v>
      </c>
      <c r="E242">
        <v>444</v>
      </c>
    </row>
    <row r="243" spans="1:5" x14ac:dyDescent="0.3">
      <c r="A243">
        <v>98</v>
      </c>
      <c r="B243">
        <v>31183</v>
      </c>
      <c r="C243" t="s">
        <v>457</v>
      </c>
      <c r="D243">
        <v>19534</v>
      </c>
      <c r="E243">
        <v>394</v>
      </c>
    </row>
    <row r="244" spans="1:5" x14ac:dyDescent="0.3">
      <c r="A244">
        <v>98</v>
      </c>
      <c r="B244">
        <v>311830</v>
      </c>
      <c r="C244" t="s">
        <v>457</v>
      </c>
      <c r="D244">
        <v>19534</v>
      </c>
      <c r="E244">
        <v>394</v>
      </c>
    </row>
    <row r="245" spans="1:5" x14ac:dyDescent="0.3">
      <c r="A245">
        <v>98</v>
      </c>
      <c r="B245">
        <v>3119</v>
      </c>
      <c r="C245" t="s">
        <v>457</v>
      </c>
      <c r="D245">
        <v>190575</v>
      </c>
      <c r="E245">
        <v>3689</v>
      </c>
    </row>
    <row r="246" spans="1:5" x14ac:dyDescent="0.3">
      <c r="A246">
        <v>98</v>
      </c>
      <c r="B246">
        <v>31191</v>
      </c>
      <c r="C246" t="s">
        <v>457</v>
      </c>
      <c r="D246">
        <v>55336</v>
      </c>
      <c r="E246">
        <v>665</v>
      </c>
    </row>
    <row r="247" spans="1:5" x14ac:dyDescent="0.3">
      <c r="A247">
        <v>98</v>
      </c>
      <c r="B247">
        <v>311911</v>
      </c>
      <c r="C247" t="s">
        <v>457</v>
      </c>
      <c r="D247">
        <v>18852</v>
      </c>
      <c r="E247">
        <v>268</v>
      </c>
    </row>
    <row r="248" spans="1:5" x14ac:dyDescent="0.3">
      <c r="A248">
        <v>98</v>
      </c>
      <c r="B248">
        <v>311919</v>
      </c>
      <c r="C248" t="s">
        <v>457</v>
      </c>
      <c r="D248">
        <v>36484</v>
      </c>
      <c r="E248">
        <v>397</v>
      </c>
    </row>
    <row r="249" spans="1:5" x14ac:dyDescent="0.3">
      <c r="A249">
        <v>98</v>
      </c>
      <c r="B249">
        <v>31192</v>
      </c>
      <c r="C249" t="s">
        <v>457</v>
      </c>
      <c r="D249">
        <v>18531</v>
      </c>
      <c r="E249">
        <v>640</v>
      </c>
    </row>
    <row r="250" spans="1:5" x14ac:dyDescent="0.3">
      <c r="A250">
        <v>98</v>
      </c>
      <c r="B250">
        <v>311920</v>
      </c>
      <c r="C250" t="s">
        <v>457</v>
      </c>
      <c r="D250">
        <v>18531</v>
      </c>
      <c r="E250">
        <v>640</v>
      </c>
    </row>
    <row r="251" spans="1:5" x14ac:dyDescent="0.3">
      <c r="A251">
        <v>98</v>
      </c>
      <c r="B251">
        <v>31193</v>
      </c>
      <c r="C251" t="s">
        <v>457</v>
      </c>
      <c r="D251">
        <v>7205</v>
      </c>
      <c r="E251">
        <v>161</v>
      </c>
    </row>
    <row r="252" spans="1:5" x14ac:dyDescent="0.3">
      <c r="A252">
        <v>98</v>
      </c>
      <c r="B252">
        <v>311930</v>
      </c>
      <c r="C252" t="s">
        <v>457</v>
      </c>
      <c r="D252">
        <v>7205</v>
      </c>
      <c r="E252">
        <v>161</v>
      </c>
    </row>
    <row r="253" spans="1:5" x14ac:dyDescent="0.3">
      <c r="A253">
        <v>98</v>
      </c>
      <c r="B253">
        <v>31194</v>
      </c>
      <c r="C253" t="s">
        <v>457</v>
      </c>
      <c r="D253">
        <v>33492</v>
      </c>
      <c r="E253">
        <v>768</v>
      </c>
    </row>
    <row r="254" spans="1:5" x14ac:dyDescent="0.3">
      <c r="A254">
        <v>98</v>
      </c>
      <c r="B254">
        <v>311941</v>
      </c>
      <c r="C254" t="s">
        <v>457</v>
      </c>
      <c r="D254">
        <v>15303</v>
      </c>
      <c r="E254">
        <v>380</v>
      </c>
    </row>
    <row r="255" spans="1:5" x14ac:dyDescent="0.3">
      <c r="A255">
        <v>98</v>
      </c>
      <c r="B255">
        <v>311942</v>
      </c>
      <c r="C255" t="s">
        <v>457</v>
      </c>
      <c r="D255">
        <v>18189</v>
      </c>
      <c r="E255">
        <v>388</v>
      </c>
    </row>
    <row r="256" spans="1:5" x14ac:dyDescent="0.3">
      <c r="A256">
        <v>98</v>
      </c>
      <c r="B256">
        <v>31199</v>
      </c>
      <c r="C256" t="s">
        <v>457</v>
      </c>
      <c r="D256">
        <v>76011</v>
      </c>
      <c r="E256">
        <v>1455</v>
      </c>
    </row>
    <row r="257" spans="1:5" x14ac:dyDescent="0.3">
      <c r="A257">
        <v>98</v>
      </c>
      <c r="B257">
        <v>311991</v>
      </c>
      <c r="C257" t="s">
        <v>457</v>
      </c>
      <c r="D257">
        <v>49964</v>
      </c>
      <c r="E257">
        <v>758</v>
      </c>
    </row>
    <row r="258" spans="1:5" x14ac:dyDescent="0.3">
      <c r="A258">
        <v>98</v>
      </c>
      <c r="B258">
        <v>311999</v>
      </c>
      <c r="C258" t="s">
        <v>457</v>
      </c>
      <c r="D258">
        <v>26047</v>
      </c>
      <c r="E258">
        <v>697</v>
      </c>
    </row>
    <row r="259" spans="1:5" x14ac:dyDescent="0.3">
      <c r="A259">
        <v>98</v>
      </c>
      <c r="B259">
        <v>312</v>
      </c>
      <c r="C259" t="s">
        <v>457</v>
      </c>
      <c r="D259">
        <v>184500</v>
      </c>
      <c r="E259">
        <v>8002</v>
      </c>
    </row>
    <row r="260" spans="1:5" x14ac:dyDescent="0.3">
      <c r="A260">
        <v>98</v>
      </c>
      <c r="B260">
        <v>3121</v>
      </c>
      <c r="C260" t="s">
        <v>457</v>
      </c>
      <c r="D260">
        <v>170628</v>
      </c>
      <c r="E260">
        <v>7842</v>
      </c>
    </row>
    <row r="261" spans="1:5" x14ac:dyDescent="0.3">
      <c r="A261">
        <v>98</v>
      </c>
      <c r="B261">
        <v>31211</v>
      </c>
      <c r="C261" t="s">
        <v>457</v>
      </c>
      <c r="D261">
        <v>67137</v>
      </c>
      <c r="E261">
        <v>1194</v>
      </c>
    </row>
    <row r="262" spans="1:5" x14ac:dyDescent="0.3">
      <c r="A262">
        <v>98</v>
      </c>
      <c r="B262">
        <v>312111</v>
      </c>
      <c r="C262" t="s">
        <v>457</v>
      </c>
      <c r="D262">
        <v>52514</v>
      </c>
      <c r="E262">
        <v>486</v>
      </c>
    </row>
    <row r="263" spans="1:5" x14ac:dyDescent="0.3">
      <c r="A263">
        <v>98</v>
      </c>
      <c r="B263">
        <v>312112</v>
      </c>
      <c r="C263" t="s">
        <v>457</v>
      </c>
      <c r="D263">
        <v>10312</v>
      </c>
      <c r="E263">
        <v>296</v>
      </c>
    </row>
    <row r="264" spans="1:5" x14ac:dyDescent="0.3">
      <c r="A264">
        <v>98</v>
      </c>
      <c r="B264">
        <v>312113</v>
      </c>
      <c r="C264" t="s">
        <v>457</v>
      </c>
      <c r="D264">
        <v>4311</v>
      </c>
      <c r="E264">
        <v>412</v>
      </c>
    </row>
    <row r="265" spans="1:5" x14ac:dyDescent="0.3">
      <c r="A265">
        <v>98</v>
      </c>
      <c r="B265">
        <v>31212</v>
      </c>
      <c r="C265" t="s">
        <v>457</v>
      </c>
      <c r="D265">
        <v>44563</v>
      </c>
      <c r="E265">
        <v>2342</v>
      </c>
    </row>
    <row r="266" spans="1:5" x14ac:dyDescent="0.3">
      <c r="A266">
        <v>98</v>
      </c>
      <c r="B266">
        <v>312120</v>
      </c>
      <c r="C266" t="s">
        <v>457</v>
      </c>
      <c r="D266">
        <v>44563</v>
      </c>
      <c r="E266">
        <v>2342</v>
      </c>
    </row>
    <row r="267" spans="1:5" x14ac:dyDescent="0.3">
      <c r="A267">
        <v>98</v>
      </c>
      <c r="B267">
        <v>31213</v>
      </c>
      <c r="C267" t="s">
        <v>457</v>
      </c>
      <c r="D267">
        <v>48566</v>
      </c>
      <c r="E267">
        <v>3567</v>
      </c>
    </row>
    <row r="268" spans="1:5" x14ac:dyDescent="0.3">
      <c r="A268">
        <v>98</v>
      </c>
      <c r="B268">
        <v>312130</v>
      </c>
      <c r="C268" t="s">
        <v>457</v>
      </c>
      <c r="D268">
        <v>48566</v>
      </c>
      <c r="E268">
        <v>3567</v>
      </c>
    </row>
    <row r="269" spans="1:5" x14ac:dyDescent="0.3">
      <c r="A269">
        <v>98</v>
      </c>
      <c r="B269">
        <v>31214</v>
      </c>
      <c r="C269" t="s">
        <v>457</v>
      </c>
      <c r="D269">
        <v>10362</v>
      </c>
      <c r="E269">
        <v>739</v>
      </c>
    </row>
    <row r="270" spans="1:5" x14ac:dyDescent="0.3">
      <c r="A270">
        <v>98</v>
      </c>
      <c r="B270">
        <v>312140</v>
      </c>
      <c r="C270" t="s">
        <v>457</v>
      </c>
      <c r="D270">
        <v>10362</v>
      </c>
      <c r="E270">
        <v>739</v>
      </c>
    </row>
    <row r="271" spans="1:5" x14ac:dyDescent="0.3">
      <c r="A271">
        <v>98</v>
      </c>
      <c r="B271">
        <v>3122</v>
      </c>
      <c r="C271" t="s">
        <v>457</v>
      </c>
      <c r="D271">
        <v>13872</v>
      </c>
      <c r="E271">
        <v>160</v>
      </c>
    </row>
    <row r="272" spans="1:5" x14ac:dyDescent="0.3">
      <c r="A272">
        <v>98</v>
      </c>
      <c r="B272">
        <v>31223</v>
      </c>
      <c r="C272" t="s">
        <v>457</v>
      </c>
      <c r="D272">
        <v>13872</v>
      </c>
      <c r="E272">
        <v>160</v>
      </c>
    </row>
    <row r="273" spans="1:5" x14ac:dyDescent="0.3">
      <c r="A273">
        <v>98</v>
      </c>
      <c r="B273">
        <v>312230</v>
      </c>
      <c r="C273" t="s">
        <v>457</v>
      </c>
      <c r="D273">
        <v>13872</v>
      </c>
      <c r="E273">
        <v>160</v>
      </c>
    </row>
    <row r="274" spans="1:5" x14ac:dyDescent="0.3">
      <c r="A274">
        <v>98</v>
      </c>
      <c r="B274">
        <v>313</v>
      </c>
      <c r="C274" t="s">
        <v>457</v>
      </c>
      <c r="D274">
        <v>103489</v>
      </c>
      <c r="E274">
        <v>2210</v>
      </c>
    </row>
    <row r="275" spans="1:5" x14ac:dyDescent="0.3">
      <c r="A275">
        <v>98</v>
      </c>
      <c r="B275">
        <v>3131</v>
      </c>
      <c r="C275" t="s">
        <v>457</v>
      </c>
      <c r="D275">
        <v>25126</v>
      </c>
      <c r="E275">
        <v>324</v>
      </c>
    </row>
    <row r="276" spans="1:5" x14ac:dyDescent="0.3">
      <c r="A276">
        <v>98</v>
      </c>
      <c r="B276">
        <v>31311</v>
      </c>
      <c r="C276" t="s">
        <v>457</v>
      </c>
      <c r="D276">
        <v>25126</v>
      </c>
      <c r="E276">
        <v>324</v>
      </c>
    </row>
    <row r="277" spans="1:5" x14ac:dyDescent="0.3">
      <c r="A277">
        <v>98</v>
      </c>
      <c r="B277">
        <v>313110</v>
      </c>
      <c r="C277" t="s">
        <v>457</v>
      </c>
      <c r="D277">
        <v>25126</v>
      </c>
      <c r="E277">
        <v>324</v>
      </c>
    </row>
    <row r="278" spans="1:5" x14ac:dyDescent="0.3">
      <c r="A278">
        <v>98</v>
      </c>
      <c r="B278">
        <v>3132</v>
      </c>
      <c r="C278" t="s">
        <v>457</v>
      </c>
      <c r="D278">
        <v>49278</v>
      </c>
      <c r="E278">
        <v>923</v>
      </c>
    </row>
    <row r="279" spans="1:5" x14ac:dyDescent="0.3">
      <c r="A279">
        <v>98</v>
      </c>
      <c r="B279">
        <v>31321</v>
      </c>
      <c r="C279" t="s">
        <v>457</v>
      </c>
      <c r="D279">
        <v>17416</v>
      </c>
      <c r="E279">
        <v>306</v>
      </c>
    </row>
    <row r="280" spans="1:5" x14ac:dyDescent="0.3">
      <c r="A280">
        <v>98</v>
      </c>
      <c r="B280">
        <v>313210</v>
      </c>
      <c r="C280" t="s">
        <v>457</v>
      </c>
      <c r="D280">
        <v>17416</v>
      </c>
      <c r="E280">
        <v>306</v>
      </c>
    </row>
    <row r="281" spans="1:5" x14ac:dyDescent="0.3">
      <c r="A281">
        <v>98</v>
      </c>
      <c r="B281">
        <v>31322</v>
      </c>
      <c r="C281" t="s">
        <v>457</v>
      </c>
      <c r="D281">
        <v>6254</v>
      </c>
      <c r="E281">
        <v>205</v>
      </c>
    </row>
    <row r="282" spans="1:5" x14ac:dyDescent="0.3">
      <c r="A282">
        <v>98</v>
      </c>
      <c r="B282">
        <v>313220</v>
      </c>
      <c r="C282" t="s">
        <v>457</v>
      </c>
      <c r="D282">
        <v>6254</v>
      </c>
      <c r="E282">
        <v>205</v>
      </c>
    </row>
    <row r="283" spans="1:5" x14ac:dyDescent="0.3">
      <c r="A283">
        <v>98</v>
      </c>
      <c r="B283">
        <v>31323</v>
      </c>
      <c r="C283" t="s">
        <v>457</v>
      </c>
      <c r="D283">
        <v>18387</v>
      </c>
      <c r="E283">
        <v>234</v>
      </c>
    </row>
    <row r="284" spans="1:5" x14ac:dyDescent="0.3">
      <c r="A284">
        <v>98</v>
      </c>
      <c r="B284">
        <v>313230</v>
      </c>
      <c r="C284" t="s">
        <v>457</v>
      </c>
      <c r="D284">
        <v>18387</v>
      </c>
      <c r="E284">
        <v>234</v>
      </c>
    </row>
    <row r="285" spans="1:5" x14ac:dyDescent="0.3">
      <c r="A285">
        <v>98</v>
      </c>
      <c r="B285">
        <v>31324</v>
      </c>
      <c r="C285" t="s">
        <v>457</v>
      </c>
      <c r="D285">
        <v>7221</v>
      </c>
      <c r="E285">
        <v>178</v>
      </c>
    </row>
    <row r="286" spans="1:5" x14ac:dyDescent="0.3">
      <c r="A286">
        <v>98</v>
      </c>
      <c r="B286">
        <v>313240</v>
      </c>
      <c r="C286" t="s">
        <v>457</v>
      </c>
      <c r="D286">
        <v>7221</v>
      </c>
      <c r="E286">
        <v>178</v>
      </c>
    </row>
    <row r="287" spans="1:5" x14ac:dyDescent="0.3">
      <c r="A287">
        <v>98</v>
      </c>
      <c r="B287">
        <v>3133</v>
      </c>
      <c r="C287" t="s">
        <v>457</v>
      </c>
      <c r="D287">
        <v>29085</v>
      </c>
      <c r="E287">
        <v>963</v>
      </c>
    </row>
    <row r="288" spans="1:5" x14ac:dyDescent="0.3">
      <c r="A288">
        <v>98</v>
      </c>
      <c r="B288">
        <v>31331</v>
      </c>
      <c r="C288" t="s">
        <v>457</v>
      </c>
      <c r="D288">
        <v>22401</v>
      </c>
      <c r="E288">
        <v>783</v>
      </c>
    </row>
    <row r="289" spans="1:5" x14ac:dyDescent="0.3">
      <c r="A289">
        <v>98</v>
      </c>
      <c r="B289">
        <v>313310</v>
      </c>
      <c r="C289" t="s">
        <v>457</v>
      </c>
      <c r="D289">
        <v>22401</v>
      </c>
      <c r="E289">
        <v>783</v>
      </c>
    </row>
    <row r="290" spans="1:5" x14ac:dyDescent="0.3">
      <c r="A290">
        <v>98</v>
      </c>
      <c r="B290">
        <v>31332</v>
      </c>
      <c r="C290" t="s">
        <v>457</v>
      </c>
      <c r="D290">
        <v>6684</v>
      </c>
      <c r="E290">
        <v>180</v>
      </c>
    </row>
    <row r="291" spans="1:5" x14ac:dyDescent="0.3">
      <c r="A291">
        <v>98</v>
      </c>
      <c r="B291">
        <v>313320</v>
      </c>
      <c r="C291" t="s">
        <v>457</v>
      </c>
      <c r="D291">
        <v>6684</v>
      </c>
      <c r="E291">
        <v>180</v>
      </c>
    </row>
    <row r="292" spans="1:5" x14ac:dyDescent="0.3">
      <c r="A292">
        <v>98</v>
      </c>
      <c r="B292">
        <v>314</v>
      </c>
      <c r="C292" t="s">
        <v>457</v>
      </c>
      <c r="D292">
        <v>114403</v>
      </c>
      <c r="E292">
        <v>6195</v>
      </c>
    </row>
    <row r="293" spans="1:5" x14ac:dyDescent="0.3">
      <c r="A293">
        <v>98</v>
      </c>
      <c r="B293">
        <v>3141</v>
      </c>
      <c r="C293" t="s">
        <v>457</v>
      </c>
      <c r="D293">
        <v>54011</v>
      </c>
      <c r="E293">
        <v>1813</v>
      </c>
    </row>
    <row r="294" spans="1:5" x14ac:dyDescent="0.3">
      <c r="A294">
        <v>98</v>
      </c>
      <c r="B294">
        <v>31411</v>
      </c>
      <c r="C294" t="s">
        <v>457</v>
      </c>
      <c r="D294">
        <v>30660</v>
      </c>
      <c r="E294">
        <v>271</v>
      </c>
    </row>
    <row r="295" spans="1:5" x14ac:dyDescent="0.3">
      <c r="A295">
        <v>98</v>
      </c>
      <c r="B295">
        <v>314110</v>
      </c>
      <c r="C295" t="s">
        <v>457</v>
      </c>
      <c r="D295">
        <v>30660</v>
      </c>
      <c r="E295">
        <v>271</v>
      </c>
    </row>
    <row r="296" spans="1:5" x14ac:dyDescent="0.3">
      <c r="A296">
        <v>98</v>
      </c>
      <c r="B296">
        <v>31412</v>
      </c>
      <c r="C296" t="s">
        <v>457</v>
      </c>
      <c r="D296">
        <v>23351</v>
      </c>
      <c r="E296">
        <v>1542</v>
      </c>
    </row>
    <row r="297" spans="1:5" x14ac:dyDescent="0.3">
      <c r="A297">
        <v>98</v>
      </c>
      <c r="B297">
        <v>314120</v>
      </c>
      <c r="C297" t="s">
        <v>457</v>
      </c>
      <c r="D297">
        <v>23351</v>
      </c>
      <c r="E297">
        <v>1542</v>
      </c>
    </row>
    <row r="298" spans="1:5" x14ac:dyDescent="0.3">
      <c r="A298">
        <v>98</v>
      </c>
      <c r="B298">
        <v>3149</v>
      </c>
      <c r="C298" t="s">
        <v>457</v>
      </c>
      <c r="D298">
        <v>60392</v>
      </c>
      <c r="E298">
        <v>4382</v>
      </c>
    </row>
    <row r="299" spans="1:5" x14ac:dyDescent="0.3">
      <c r="A299">
        <v>98</v>
      </c>
      <c r="B299">
        <v>31491</v>
      </c>
      <c r="C299" t="s">
        <v>457</v>
      </c>
      <c r="D299">
        <v>20873</v>
      </c>
      <c r="E299">
        <v>1537</v>
      </c>
    </row>
    <row r="300" spans="1:5" x14ac:dyDescent="0.3">
      <c r="A300">
        <v>98</v>
      </c>
      <c r="B300">
        <v>314910</v>
      </c>
      <c r="C300" t="s">
        <v>457</v>
      </c>
      <c r="D300">
        <v>20873</v>
      </c>
      <c r="E300">
        <v>1537</v>
      </c>
    </row>
    <row r="301" spans="1:5" x14ac:dyDescent="0.3">
      <c r="A301">
        <v>98</v>
      </c>
      <c r="B301">
        <v>31499</v>
      </c>
      <c r="C301" t="s">
        <v>457</v>
      </c>
      <c r="D301">
        <v>39519</v>
      </c>
      <c r="E301">
        <v>2845</v>
      </c>
    </row>
    <row r="302" spans="1:5" x14ac:dyDescent="0.3">
      <c r="A302">
        <v>98</v>
      </c>
      <c r="B302">
        <v>314994</v>
      </c>
      <c r="C302" t="s">
        <v>457</v>
      </c>
      <c r="D302">
        <v>5551</v>
      </c>
      <c r="E302">
        <v>134</v>
      </c>
    </row>
    <row r="303" spans="1:5" x14ac:dyDescent="0.3">
      <c r="A303">
        <v>98</v>
      </c>
      <c r="B303">
        <v>314999</v>
      </c>
      <c r="C303" t="s">
        <v>457</v>
      </c>
      <c r="D303">
        <v>33968</v>
      </c>
      <c r="E303">
        <v>2711</v>
      </c>
    </row>
    <row r="304" spans="1:5" x14ac:dyDescent="0.3">
      <c r="A304">
        <v>98</v>
      </c>
      <c r="B304">
        <v>315</v>
      </c>
      <c r="C304" t="s">
        <v>457</v>
      </c>
      <c r="D304">
        <v>103732</v>
      </c>
      <c r="E304">
        <v>7087</v>
      </c>
    </row>
    <row r="305" spans="1:5" x14ac:dyDescent="0.3">
      <c r="A305">
        <v>98</v>
      </c>
      <c r="B305">
        <v>3151</v>
      </c>
      <c r="C305" t="s">
        <v>457</v>
      </c>
      <c r="D305">
        <v>12568</v>
      </c>
      <c r="E305">
        <v>246</v>
      </c>
    </row>
    <row r="306" spans="1:5" x14ac:dyDescent="0.3">
      <c r="A306">
        <v>98</v>
      </c>
      <c r="B306">
        <v>31511</v>
      </c>
      <c r="C306" t="s">
        <v>457</v>
      </c>
      <c r="D306">
        <v>10022</v>
      </c>
      <c r="E306">
        <v>133</v>
      </c>
    </row>
    <row r="307" spans="1:5" x14ac:dyDescent="0.3">
      <c r="A307">
        <v>98</v>
      </c>
      <c r="B307">
        <v>315110</v>
      </c>
      <c r="C307" t="s">
        <v>457</v>
      </c>
      <c r="D307">
        <v>10022</v>
      </c>
      <c r="E307">
        <v>133</v>
      </c>
    </row>
    <row r="308" spans="1:5" x14ac:dyDescent="0.3">
      <c r="A308">
        <v>98</v>
      </c>
      <c r="B308">
        <v>31519</v>
      </c>
      <c r="C308" t="s">
        <v>457</v>
      </c>
      <c r="D308">
        <v>2546</v>
      </c>
      <c r="E308">
        <v>113</v>
      </c>
    </row>
    <row r="309" spans="1:5" x14ac:dyDescent="0.3">
      <c r="A309">
        <v>98</v>
      </c>
      <c r="B309">
        <v>315190</v>
      </c>
      <c r="C309" t="s">
        <v>457</v>
      </c>
      <c r="D309">
        <v>2546</v>
      </c>
      <c r="E309">
        <v>113</v>
      </c>
    </row>
    <row r="310" spans="1:5" x14ac:dyDescent="0.3">
      <c r="A310">
        <v>98</v>
      </c>
      <c r="B310">
        <v>3152</v>
      </c>
      <c r="C310" t="s">
        <v>457</v>
      </c>
      <c r="D310">
        <v>83849</v>
      </c>
      <c r="E310">
        <v>6210</v>
      </c>
    </row>
    <row r="311" spans="1:5" x14ac:dyDescent="0.3">
      <c r="A311">
        <v>98</v>
      </c>
      <c r="B311">
        <v>31521</v>
      </c>
      <c r="C311" t="s">
        <v>457</v>
      </c>
      <c r="D311">
        <v>39091</v>
      </c>
      <c r="E311">
        <v>4183</v>
      </c>
    </row>
    <row r="312" spans="1:5" x14ac:dyDescent="0.3">
      <c r="A312">
        <v>98</v>
      </c>
      <c r="B312">
        <v>315210</v>
      </c>
      <c r="C312" t="s">
        <v>457</v>
      </c>
      <c r="D312">
        <v>39091</v>
      </c>
      <c r="E312">
        <v>4183</v>
      </c>
    </row>
    <row r="313" spans="1:5" x14ac:dyDescent="0.3">
      <c r="A313">
        <v>98</v>
      </c>
      <c r="B313">
        <v>31522</v>
      </c>
      <c r="C313" t="s">
        <v>457</v>
      </c>
      <c r="D313">
        <v>12369</v>
      </c>
      <c r="E313">
        <v>478</v>
      </c>
    </row>
    <row r="314" spans="1:5" x14ac:dyDescent="0.3">
      <c r="A314">
        <v>98</v>
      </c>
      <c r="B314">
        <v>315220</v>
      </c>
      <c r="C314" t="s">
        <v>457</v>
      </c>
      <c r="D314">
        <v>12369</v>
      </c>
      <c r="E314">
        <v>478</v>
      </c>
    </row>
    <row r="315" spans="1:5" x14ac:dyDescent="0.3">
      <c r="A315">
        <v>98</v>
      </c>
      <c r="B315">
        <v>31524</v>
      </c>
      <c r="C315" t="s">
        <v>457</v>
      </c>
      <c r="D315">
        <v>24176</v>
      </c>
      <c r="E315">
        <v>1106</v>
      </c>
    </row>
    <row r="316" spans="1:5" x14ac:dyDescent="0.3">
      <c r="A316">
        <v>98</v>
      </c>
      <c r="B316">
        <v>315240</v>
      </c>
      <c r="C316" t="s">
        <v>457</v>
      </c>
      <c r="D316">
        <v>24176</v>
      </c>
      <c r="E316">
        <v>1106</v>
      </c>
    </row>
    <row r="317" spans="1:5" x14ac:dyDescent="0.3">
      <c r="A317">
        <v>98</v>
      </c>
      <c r="B317">
        <v>31528</v>
      </c>
      <c r="C317" t="s">
        <v>457</v>
      </c>
      <c r="D317">
        <v>8213</v>
      </c>
      <c r="E317">
        <v>443</v>
      </c>
    </row>
    <row r="318" spans="1:5" x14ac:dyDescent="0.3">
      <c r="A318">
        <v>98</v>
      </c>
      <c r="B318">
        <v>315280</v>
      </c>
      <c r="C318" t="s">
        <v>457</v>
      </c>
      <c r="D318">
        <v>8213</v>
      </c>
      <c r="E318">
        <v>443</v>
      </c>
    </row>
    <row r="319" spans="1:5" x14ac:dyDescent="0.3">
      <c r="A319">
        <v>98</v>
      </c>
      <c r="B319">
        <v>3159</v>
      </c>
      <c r="C319" t="s">
        <v>457</v>
      </c>
      <c r="D319">
        <v>7315</v>
      </c>
      <c r="E319">
        <v>631</v>
      </c>
    </row>
    <row r="320" spans="1:5" x14ac:dyDescent="0.3">
      <c r="A320">
        <v>98</v>
      </c>
      <c r="B320">
        <v>31599</v>
      </c>
      <c r="C320" t="s">
        <v>457</v>
      </c>
      <c r="D320">
        <v>7315</v>
      </c>
      <c r="E320">
        <v>631</v>
      </c>
    </row>
    <row r="321" spans="1:5" x14ac:dyDescent="0.3">
      <c r="A321">
        <v>98</v>
      </c>
      <c r="B321">
        <v>315990</v>
      </c>
      <c r="C321" t="s">
        <v>457</v>
      </c>
      <c r="D321">
        <v>7315</v>
      </c>
      <c r="E321">
        <v>631</v>
      </c>
    </row>
    <row r="322" spans="1:5" x14ac:dyDescent="0.3">
      <c r="A322">
        <v>98</v>
      </c>
      <c r="B322">
        <v>316</v>
      </c>
      <c r="C322" t="s">
        <v>457</v>
      </c>
      <c r="D322">
        <v>26226</v>
      </c>
      <c r="E322">
        <v>1180</v>
      </c>
    </row>
    <row r="323" spans="1:5" x14ac:dyDescent="0.3">
      <c r="A323">
        <v>98</v>
      </c>
      <c r="B323">
        <v>3161</v>
      </c>
      <c r="C323" t="s">
        <v>457</v>
      </c>
      <c r="D323">
        <v>3689</v>
      </c>
      <c r="E323">
        <v>202</v>
      </c>
    </row>
    <row r="324" spans="1:5" x14ac:dyDescent="0.3">
      <c r="A324">
        <v>98</v>
      </c>
      <c r="B324">
        <v>31611</v>
      </c>
      <c r="C324" t="s">
        <v>457</v>
      </c>
      <c r="D324">
        <v>3689</v>
      </c>
      <c r="E324">
        <v>202</v>
      </c>
    </row>
    <row r="325" spans="1:5" x14ac:dyDescent="0.3">
      <c r="A325">
        <v>98</v>
      </c>
      <c r="B325">
        <v>316110</v>
      </c>
      <c r="C325" t="s">
        <v>457</v>
      </c>
      <c r="D325">
        <v>3689</v>
      </c>
      <c r="E325">
        <v>202</v>
      </c>
    </row>
    <row r="326" spans="1:5" x14ac:dyDescent="0.3">
      <c r="A326">
        <v>98</v>
      </c>
      <c r="B326">
        <v>3162</v>
      </c>
      <c r="C326" t="s">
        <v>457</v>
      </c>
      <c r="D326">
        <v>11808</v>
      </c>
      <c r="E326">
        <v>236</v>
      </c>
    </row>
    <row r="327" spans="1:5" x14ac:dyDescent="0.3">
      <c r="A327">
        <v>98</v>
      </c>
      <c r="B327">
        <v>31621</v>
      </c>
      <c r="C327" t="s">
        <v>457</v>
      </c>
      <c r="D327">
        <v>11808</v>
      </c>
      <c r="E327">
        <v>236</v>
      </c>
    </row>
    <row r="328" spans="1:5" x14ac:dyDescent="0.3">
      <c r="A328">
        <v>98</v>
      </c>
      <c r="B328">
        <v>316210</v>
      </c>
      <c r="C328" t="s">
        <v>457</v>
      </c>
      <c r="D328">
        <v>11808</v>
      </c>
      <c r="E328">
        <v>236</v>
      </c>
    </row>
    <row r="329" spans="1:5" x14ac:dyDescent="0.3">
      <c r="A329">
        <v>98</v>
      </c>
      <c r="B329">
        <v>3169</v>
      </c>
      <c r="C329" t="s">
        <v>457</v>
      </c>
      <c r="D329">
        <v>10729</v>
      </c>
      <c r="E329">
        <v>742</v>
      </c>
    </row>
    <row r="330" spans="1:5" x14ac:dyDescent="0.3">
      <c r="A330">
        <v>98</v>
      </c>
      <c r="B330">
        <v>31699</v>
      </c>
      <c r="C330" t="s">
        <v>457</v>
      </c>
      <c r="D330">
        <v>10729</v>
      </c>
      <c r="E330">
        <v>742</v>
      </c>
    </row>
    <row r="331" spans="1:5" x14ac:dyDescent="0.3">
      <c r="A331">
        <v>98</v>
      </c>
      <c r="B331">
        <v>316992</v>
      </c>
      <c r="C331" t="s">
        <v>457</v>
      </c>
      <c r="D331">
        <v>1428</v>
      </c>
      <c r="E331">
        <v>101</v>
      </c>
    </row>
    <row r="332" spans="1:5" x14ac:dyDescent="0.3">
      <c r="A332">
        <v>98</v>
      </c>
      <c r="B332">
        <v>316998</v>
      </c>
      <c r="C332" t="s">
        <v>457</v>
      </c>
      <c r="D332">
        <v>9301</v>
      </c>
      <c r="E332">
        <v>641</v>
      </c>
    </row>
    <row r="333" spans="1:5" x14ac:dyDescent="0.3">
      <c r="A333">
        <v>98</v>
      </c>
      <c r="B333">
        <v>321</v>
      </c>
      <c r="C333" t="s">
        <v>457</v>
      </c>
      <c r="D333">
        <v>378474</v>
      </c>
      <c r="E333">
        <v>14071</v>
      </c>
    </row>
    <row r="334" spans="1:5" x14ac:dyDescent="0.3">
      <c r="A334">
        <v>98</v>
      </c>
      <c r="B334">
        <v>3211</v>
      </c>
      <c r="C334" t="s">
        <v>457</v>
      </c>
      <c r="D334">
        <v>84127</v>
      </c>
      <c r="E334">
        <v>3165</v>
      </c>
    </row>
    <row r="335" spans="1:5" x14ac:dyDescent="0.3">
      <c r="A335">
        <v>98</v>
      </c>
      <c r="B335">
        <v>32111</v>
      </c>
      <c r="C335" t="s">
        <v>457</v>
      </c>
      <c r="D335">
        <v>84127</v>
      </c>
      <c r="E335">
        <v>3165</v>
      </c>
    </row>
    <row r="336" spans="1:5" x14ac:dyDescent="0.3">
      <c r="A336">
        <v>98</v>
      </c>
      <c r="B336">
        <v>321113</v>
      </c>
      <c r="C336" t="s">
        <v>457</v>
      </c>
      <c r="D336">
        <v>73804</v>
      </c>
      <c r="E336">
        <v>2759</v>
      </c>
    </row>
    <row r="337" spans="1:5" x14ac:dyDescent="0.3">
      <c r="A337">
        <v>98</v>
      </c>
      <c r="B337">
        <v>321114</v>
      </c>
      <c r="C337" t="s">
        <v>457</v>
      </c>
      <c r="D337">
        <v>10323</v>
      </c>
      <c r="E337">
        <v>406</v>
      </c>
    </row>
    <row r="338" spans="1:5" x14ac:dyDescent="0.3">
      <c r="A338">
        <v>98</v>
      </c>
      <c r="B338">
        <v>3212</v>
      </c>
      <c r="C338" t="s">
        <v>457</v>
      </c>
      <c r="D338">
        <v>69787</v>
      </c>
      <c r="E338">
        <v>1407</v>
      </c>
    </row>
    <row r="339" spans="1:5" x14ac:dyDescent="0.3">
      <c r="A339">
        <v>98</v>
      </c>
      <c r="B339">
        <v>32121</v>
      </c>
      <c r="C339" t="s">
        <v>457</v>
      </c>
      <c r="D339">
        <v>69787</v>
      </c>
      <c r="E339">
        <v>1407</v>
      </c>
    </row>
    <row r="340" spans="1:5" x14ac:dyDescent="0.3">
      <c r="A340">
        <v>98</v>
      </c>
      <c r="B340">
        <v>321211</v>
      </c>
      <c r="C340" t="s">
        <v>457</v>
      </c>
      <c r="D340">
        <v>12803</v>
      </c>
      <c r="E340">
        <v>243</v>
      </c>
    </row>
    <row r="341" spans="1:5" x14ac:dyDescent="0.3">
      <c r="A341">
        <v>98</v>
      </c>
      <c r="B341">
        <v>321212</v>
      </c>
      <c r="C341" t="s">
        <v>457</v>
      </c>
      <c r="D341">
        <v>14401</v>
      </c>
      <c r="E341">
        <v>101</v>
      </c>
    </row>
    <row r="342" spans="1:5" x14ac:dyDescent="0.3">
      <c r="A342">
        <v>98</v>
      </c>
      <c r="B342">
        <v>321213</v>
      </c>
      <c r="C342" t="s">
        <v>457</v>
      </c>
      <c r="D342">
        <v>4079</v>
      </c>
      <c r="E342">
        <v>110</v>
      </c>
    </row>
    <row r="343" spans="1:5" x14ac:dyDescent="0.3">
      <c r="A343">
        <v>98</v>
      </c>
      <c r="B343">
        <v>321214</v>
      </c>
      <c r="C343" t="s">
        <v>457</v>
      </c>
      <c r="D343">
        <v>23478</v>
      </c>
      <c r="E343">
        <v>748</v>
      </c>
    </row>
    <row r="344" spans="1:5" x14ac:dyDescent="0.3">
      <c r="A344">
        <v>98</v>
      </c>
      <c r="B344">
        <v>321219</v>
      </c>
      <c r="C344" t="s">
        <v>457</v>
      </c>
      <c r="D344">
        <v>15026</v>
      </c>
      <c r="E344">
        <v>205</v>
      </c>
    </row>
    <row r="345" spans="1:5" x14ac:dyDescent="0.3">
      <c r="A345">
        <v>98</v>
      </c>
      <c r="B345">
        <v>3219</v>
      </c>
      <c r="C345" t="s">
        <v>457</v>
      </c>
      <c r="D345">
        <v>224560</v>
      </c>
      <c r="E345">
        <v>9499</v>
      </c>
    </row>
    <row r="346" spans="1:5" x14ac:dyDescent="0.3">
      <c r="A346">
        <v>98</v>
      </c>
      <c r="B346">
        <v>32191</v>
      </c>
      <c r="C346" t="s">
        <v>457</v>
      </c>
      <c r="D346">
        <v>107598</v>
      </c>
      <c r="E346">
        <v>3537</v>
      </c>
    </row>
    <row r="347" spans="1:5" x14ac:dyDescent="0.3">
      <c r="A347">
        <v>98</v>
      </c>
      <c r="B347">
        <v>321911</v>
      </c>
      <c r="C347" t="s">
        <v>457</v>
      </c>
      <c r="D347">
        <v>52095</v>
      </c>
      <c r="E347">
        <v>1109</v>
      </c>
    </row>
    <row r="348" spans="1:5" x14ac:dyDescent="0.3">
      <c r="A348">
        <v>98</v>
      </c>
      <c r="B348">
        <v>321912</v>
      </c>
      <c r="C348" t="s">
        <v>457</v>
      </c>
      <c r="D348">
        <v>25432</v>
      </c>
      <c r="E348">
        <v>922</v>
      </c>
    </row>
    <row r="349" spans="1:5" x14ac:dyDescent="0.3">
      <c r="A349">
        <v>98</v>
      </c>
      <c r="B349">
        <v>321918</v>
      </c>
      <c r="C349" t="s">
        <v>457</v>
      </c>
      <c r="D349">
        <v>30071</v>
      </c>
      <c r="E349">
        <v>1506</v>
      </c>
    </row>
    <row r="350" spans="1:5" x14ac:dyDescent="0.3">
      <c r="A350">
        <v>98</v>
      </c>
      <c r="B350">
        <v>32192</v>
      </c>
      <c r="C350" t="s">
        <v>457</v>
      </c>
      <c r="D350">
        <v>53072</v>
      </c>
      <c r="E350">
        <v>2659</v>
      </c>
    </row>
    <row r="351" spans="1:5" x14ac:dyDescent="0.3">
      <c r="A351">
        <v>98</v>
      </c>
      <c r="B351">
        <v>321920</v>
      </c>
      <c r="C351" t="s">
        <v>457</v>
      </c>
      <c r="D351">
        <v>53072</v>
      </c>
      <c r="E351">
        <v>2659</v>
      </c>
    </row>
    <row r="352" spans="1:5" x14ac:dyDescent="0.3">
      <c r="A352">
        <v>98</v>
      </c>
      <c r="B352">
        <v>32199</v>
      </c>
      <c r="C352" t="s">
        <v>457</v>
      </c>
      <c r="D352">
        <v>63890</v>
      </c>
      <c r="E352">
        <v>3303</v>
      </c>
    </row>
    <row r="353" spans="1:5" x14ac:dyDescent="0.3">
      <c r="A353">
        <v>98</v>
      </c>
      <c r="B353">
        <v>321991</v>
      </c>
      <c r="C353" t="s">
        <v>457</v>
      </c>
      <c r="D353">
        <v>22593</v>
      </c>
      <c r="E353">
        <v>274</v>
      </c>
    </row>
    <row r="354" spans="1:5" x14ac:dyDescent="0.3">
      <c r="A354">
        <v>98</v>
      </c>
      <c r="B354">
        <v>321992</v>
      </c>
      <c r="C354" t="s">
        <v>457</v>
      </c>
      <c r="D354">
        <v>13138</v>
      </c>
      <c r="E354">
        <v>591</v>
      </c>
    </row>
    <row r="355" spans="1:5" x14ac:dyDescent="0.3">
      <c r="A355">
        <v>98</v>
      </c>
      <c r="B355">
        <v>321999</v>
      </c>
      <c r="C355" t="s">
        <v>457</v>
      </c>
      <c r="D355">
        <v>28159</v>
      </c>
      <c r="E355">
        <v>2438</v>
      </c>
    </row>
    <row r="356" spans="1:5" x14ac:dyDescent="0.3">
      <c r="A356">
        <v>98</v>
      </c>
      <c r="B356">
        <v>322</v>
      </c>
      <c r="C356" t="s">
        <v>457</v>
      </c>
      <c r="D356">
        <v>351043</v>
      </c>
      <c r="E356">
        <v>4217</v>
      </c>
    </row>
    <row r="357" spans="1:5" x14ac:dyDescent="0.3">
      <c r="A357">
        <v>98</v>
      </c>
      <c r="B357">
        <v>3221</v>
      </c>
      <c r="C357" t="s">
        <v>457</v>
      </c>
      <c r="D357">
        <v>105709</v>
      </c>
      <c r="E357">
        <v>460</v>
      </c>
    </row>
    <row r="358" spans="1:5" x14ac:dyDescent="0.3">
      <c r="A358">
        <v>98</v>
      </c>
      <c r="B358">
        <v>32211</v>
      </c>
      <c r="C358" t="s">
        <v>457</v>
      </c>
      <c r="D358">
        <v>8655</v>
      </c>
      <c r="E358">
        <v>50</v>
      </c>
    </row>
    <row r="359" spans="1:5" x14ac:dyDescent="0.3">
      <c r="A359">
        <v>98</v>
      </c>
      <c r="B359">
        <v>322110</v>
      </c>
      <c r="C359" t="s">
        <v>457</v>
      </c>
      <c r="D359">
        <v>8655</v>
      </c>
      <c r="E359">
        <v>50</v>
      </c>
    </row>
    <row r="360" spans="1:5" x14ac:dyDescent="0.3">
      <c r="A360">
        <v>98</v>
      </c>
      <c r="B360">
        <v>32212</v>
      </c>
      <c r="C360" t="s">
        <v>457</v>
      </c>
      <c r="D360">
        <v>60946</v>
      </c>
      <c r="E360">
        <v>236</v>
      </c>
    </row>
    <row r="361" spans="1:5" x14ac:dyDescent="0.3">
      <c r="A361">
        <v>98</v>
      </c>
      <c r="B361">
        <v>322121</v>
      </c>
      <c r="C361" t="s">
        <v>457</v>
      </c>
      <c r="D361">
        <v>58742</v>
      </c>
      <c r="E361">
        <v>222</v>
      </c>
    </row>
    <row r="362" spans="1:5" x14ac:dyDescent="0.3">
      <c r="A362">
        <v>98</v>
      </c>
      <c r="B362">
        <v>322122</v>
      </c>
      <c r="C362" t="s">
        <v>457</v>
      </c>
      <c r="D362">
        <v>2204</v>
      </c>
      <c r="E362">
        <v>14</v>
      </c>
    </row>
    <row r="363" spans="1:5" x14ac:dyDescent="0.3">
      <c r="A363">
        <v>98</v>
      </c>
      <c r="B363">
        <v>32213</v>
      </c>
      <c r="C363" t="s">
        <v>457</v>
      </c>
      <c r="D363">
        <v>36108</v>
      </c>
      <c r="E363">
        <v>174</v>
      </c>
    </row>
    <row r="364" spans="1:5" x14ac:dyDescent="0.3">
      <c r="A364">
        <v>98</v>
      </c>
      <c r="B364">
        <v>322130</v>
      </c>
      <c r="C364" t="s">
        <v>457</v>
      </c>
      <c r="D364">
        <v>36108</v>
      </c>
      <c r="E364">
        <v>174</v>
      </c>
    </row>
    <row r="365" spans="1:5" x14ac:dyDescent="0.3">
      <c r="A365">
        <v>98</v>
      </c>
      <c r="B365">
        <v>3222</v>
      </c>
      <c r="C365" t="s">
        <v>457</v>
      </c>
      <c r="D365">
        <v>245334</v>
      </c>
      <c r="E365">
        <v>3757</v>
      </c>
    </row>
    <row r="366" spans="1:5" x14ac:dyDescent="0.3">
      <c r="A366">
        <v>98</v>
      </c>
      <c r="B366">
        <v>32221</v>
      </c>
      <c r="C366" t="s">
        <v>457</v>
      </c>
      <c r="D366">
        <v>144200</v>
      </c>
      <c r="E366">
        <v>2035</v>
      </c>
    </row>
    <row r="367" spans="1:5" x14ac:dyDescent="0.3">
      <c r="A367">
        <v>98</v>
      </c>
      <c r="B367">
        <v>322211</v>
      </c>
      <c r="C367" t="s">
        <v>457</v>
      </c>
      <c r="D367">
        <v>81495</v>
      </c>
      <c r="E367">
        <v>1236</v>
      </c>
    </row>
    <row r="368" spans="1:5" x14ac:dyDescent="0.3">
      <c r="A368">
        <v>98</v>
      </c>
      <c r="B368">
        <v>322212</v>
      </c>
      <c r="C368" t="s">
        <v>457</v>
      </c>
      <c r="D368">
        <v>40442</v>
      </c>
      <c r="E368">
        <v>472</v>
      </c>
    </row>
    <row r="369" spans="1:5" x14ac:dyDescent="0.3">
      <c r="A369">
        <v>98</v>
      </c>
      <c r="B369">
        <v>322219</v>
      </c>
      <c r="C369" t="s">
        <v>457</v>
      </c>
      <c r="D369">
        <v>22263</v>
      </c>
      <c r="E369">
        <v>327</v>
      </c>
    </row>
    <row r="370" spans="1:5" x14ac:dyDescent="0.3">
      <c r="A370">
        <v>98</v>
      </c>
      <c r="B370">
        <v>32222</v>
      </c>
      <c r="C370" t="s">
        <v>457</v>
      </c>
      <c r="D370">
        <v>49582</v>
      </c>
      <c r="E370">
        <v>758</v>
      </c>
    </row>
    <row r="371" spans="1:5" x14ac:dyDescent="0.3">
      <c r="A371">
        <v>98</v>
      </c>
      <c r="B371">
        <v>322220</v>
      </c>
      <c r="C371" t="s">
        <v>457</v>
      </c>
      <c r="D371">
        <v>49582</v>
      </c>
      <c r="E371">
        <v>758</v>
      </c>
    </row>
    <row r="372" spans="1:5" x14ac:dyDescent="0.3">
      <c r="A372">
        <v>98</v>
      </c>
      <c r="B372">
        <v>32223</v>
      </c>
      <c r="C372" t="s">
        <v>457</v>
      </c>
      <c r="D372">
        <v>18705</v>
      </c>
      <c r="E372">
        <v>417</v>
      </c>
    </row>
    <row r="373" spans="1:5" x14ac:dyDescent="0.3">
      <c r="A373">
        <v>98</v>
      </c>
      <c r="B373">
        <v>322230</v>
      </c>
      <c r="C373" t="s">
        <v>457</v>
      </c>
      <c r="D373">
        <v>18705</v>
      </c>
      <c r="E373">
        <v>417</v>
      </c>
    </row>
    <row r="374" spans="1:5" x14ac:dyDescent="0.3">
      <c r="A374">
        <v>98</v>
      </c>
      <c r="B374">
        <v>32229</v>
      </c>
      <c r="C374" t="s">
        <v>457</v>
      </c>
      <c r="D374">
        <v>32847</v>
      </c>
      <c r="E374">
        <v>547</v>
      </c>
    </row>
    <row r="375" spans="1:5" x14ac:dyDescent="0.3">
      <c r="A375">
        <v>98</v>
      </c>
      <c r="B375">
        <v>322291</v>
      </c>
      <c r="C375" t="s">
        <v>457</v>
      </c>
      <c r="D375">
        <v>18174</v>
      </c>
      <c r="E375">
        <v>141</v>
      </c>
    </row>
    <row r="376" spans="1:5" x14ac:dyDescent="0.3">
      <c r="A376">
        <v>98</v>
      </c>
      <c r="B376">
        <v>322299</v>
      </c>
      <c r="C376" t="s">
        <v>457</v>
      </c>
      <c r="D376">
        <v>14673</v>
      </c>
      <c r="E376">
        <v>406</v>
      </c>
    </row>
    <row r="377" spans="1:5" x14ac:dyDescent="0.3">
      <c r="A377">
        <v>98</v>
      </c>
      <c r="B377">
        <v>323</v>
      </c>
      <c r="C377" t="s">
        <v>457</v>
      </c>
      <c r="D377">
        <v>447618</v>
      </c>
      <c r="E377">
        <v>25688</v>
      </c>
    </row>
    <row r="378" spans="1:5" x14ac:dyDescent="0.3">
      <c r="A378">
        <v>98</v>
      </c>
      <c r="B378">
        <v>3231</v>
      </c>
      <c r="C378" t="s">
        <v>457</v>
      </c>
      <c r="D378">
        <v>447618</v>
      </c>
      <c r="E378">
        <v>25688</v>
      </c>
    </row>
    <row r="379" spans="1:5" x14ac:dyDescent="0.3">
      <c r="A379">
        <v>98</v>
      </c>
      <c r="B379">
        <v>32311</v>
      </c>
      <c r="C379" t="s">
        <v>457</v>
      </c>
      <c r="D379">
        <v>421240</v>
      </c>
      <c r="E379">
        <v>24090</v>
      </c>
    </row>
    <row r="380" spans="1:5" x14ac:dyDescent="0.3">
      <c r="A380">
        <v>98</v>
      </c>
      <c r="B380">
        <v>323111</v>
      </c>
      <c r="C380" t="s">
        <v>457</v>
      </c>
      <c r="D380">
        <v>338612</v>
      </c>
      <c r="E380">
        <v>18687</v>
      </c>
    </row>
    <row r="381" spans="1:5" x14ac:dyDescent="0.3">
      <c r="A381">
        <v>98</v>
      </c>
      <c r="B381">
        <v>323113</v>
      </c>
      <c r="C381" t="s">
        <v>457</v>
      </c>
      <c r="D381">
        <v>61011</v>
      </c>
      <c r="E381">
        <v>4956</v>
      </c>
    </row>
    <row r="382" spans="1:5" x14ac:dyDescent="0.3">
      <c r="A382">
        <v>98</v>
      </c>
      <c r="B382">
        <v>323117</v>
      </c>
      <c r="C382" t="s">
        <v>457</v>
      </c>
      <c r="D382">
        <v>21617</v>
      </c>
      <c r="E382">
        <v>447</v>
      </c>
    </row>
    <row r="383" spans="1:5" x14ac:dyDescent="0.3">
      <c r="A383">
        <v>98</v>
      </c>
      <c r="B383">
        <v>32312</v>
      </c>
      <c r="C383" t="s">
        <v>457</v>
      </c>
      <c r="D383">
        <v>26378</v>
      </c>
      <c r="E383">
        <v>1598</v>
      </c>
    </row>
    <row r="384" spans="1:5" x14ac:dyDescent="0.3">
      <c r="A384">
        <v>98</v>
      </c>
      <c r="B384">
        <v>323120</v>
      </c>
      <c r="C384" t="s">
        <v>457</v>
      </c>
      <c r="D384">
        <v>26378</v>
      </c>
      <c r="E384">
        <v>1598</v>
      </c>
    </row>
    <row r="385" spans="1:5" x14ac:dyDescent="0.3">
      <c r="A385">
        <v>98</v>
      </c>
      <c r="B385">
        <v>324</v>
      </c>
      <c r="C385" t="s">
        <v>457</v>
      </c>
      <c r="D385">
        <v>102479</v>
      </c>
      <c r="E385">
        <v>2133</v>
      </c>
    </row>
    <row r="386" spans="1:5" x14ac:dyDescent="0.3">
      <c r="A386">
        <v>98</v>
      </c>
      <c r="B386">
        <v>3241</v>
      </c>
      <c r="C386" t="s">
        <v>457</v>
      </c>
      <c r="D386">
        <v>102479</v>
      </c>
      <c r="E386">
        <v>2133</v>
      </c>
    </row>
    <row r="387" spans="1:5" x14ac:dyDescent="0.3">
      <c r="A387">
        <v>98</v>
      </c>
      <c r="B387">
        <v>32411</v>
      </c>
      <c r="C387" t="s">
        <v>457</v>
      </c>
      <c r="D387">
        <v>63973</v>
      </c>
      <c r="E387">
        <v>194</v>
      </c>
    </row>
    <row r="388" spans="1:5" x14ac:dyDescent="0.3">
      <c r="A388">
        <v>98</v>
      </c>
      <c r="B388">
        <v>324110</v>
      </c>
      <c r="C388" t="s">
        <v>457</v>
      </c>
      <c r="D388">
        <v>63973</v>
      </c>
      <c r="E388">
        <v>194</v>
      </c>
    </row>
    <row r="389" spans="1:5" x14ac:dyDescent="0.3">
      <c r="A389">
        <v>98</v>
      </c>
      <c r="B389">
        <v>32412</v>
      </c>
      <c r="C389" t="s">
        <v>457</v>
      </c>
      <c r="D389">
        <v>23492</v>
      </c>
      <c r="E389">
        <v>1542</v>
      </c>
    </row>
    <row r="390" spans="1:5" x14ac:dyDescent="0.3">
      <c r="A390">
        <v>98</v>
      </c>
      <c r="B390">
        <v>324121</v>
      </c>
      <c r="C390" t="s">
        <v>457</v>
      </c>
      <c r="D390">
        <v>14328</v>
      </c>
      <c r="E390">
        <v>1332</v>
      </c>
    </row>
    <row r="391" spans="1:5" x14ac:dyDescent="0.3">
      <c r="A391">
        <v>98</v>
      </c>
      <c r="B391">
        <v>324122</v>
      </c>
      <c r="C391" t="s">
        <v>457</v>
      </c>
      <c r="D391">
        <v>9164</v>
      </c>
      <c r="E391">
        <v>210</v>
      </c>
    </row>
    <row r="392" spans="1:5" x14ac:dyDescent="0.3">
      <c r="A392">
        <v>98</v>
      </c>
      <c r="B392">
        <v>32419</v>
      </c>
      <c r="C392" t="s">
        <v>457</v>
      </c>
      <c r="D392">
        <v>15014</v>
      </c>
      <c r="E392">
        <v>397</v>
      </c>
    </row>
    <row r="393" spans="1:5" x14ac:dyDescent="0.3">
      <c r="A393">
        <v>98</v>
      </c>
      <c r="B393">
        <v>324191</v>
      </c>
      <c r="C393" t="s">
        <v>457</v>
      </c>
      <c r="D393">
        <v>11779</v>
      </c>
      <c r="E393">
        <v>301</v>
      </c>
    </row>
    <row r="394" spans="1:5" x14ac:dyDescent="0.3">
      <c r="A394">
        <v>98</v>
      </c>
      <c r="B394">
        <v>324199</v>
      </c>
      <c r="C394" t="s">
        <v>457</v>
      </c>
      <c r="D394">
        <v>3235</v>
      </c>
      <c r="E394">
        <v>96</v>
      </c>
    </row>
    <row r="395" spans="1:5" x14ac:dyDescent="0.3">
      <c r="A395">
        <v>98</v>
      </c>
      <c r="B395">
        <v>325</v>
      </c>
      <c r="C395" t="s">
        <v>457</v>
      </c>
      <c r="D395">
        <v>758795</v>
      </c>
      <c r="E395">
        <v>13182</v>
      </c>
    </row>
    <row r="396" spans="1:5" x14ac:dyDescent="0.3">
      <c r="A396">
        <v>98</v>
      </c>
      <c r="B396">
        <v>3251</v>
      </c>
      <c r="C396" t="s">
        <v>457</v>
      </c>
      <c r="D396">
        <v>160234</v>
      </c>
      <c r="E396">
        <v>2415</v>
      </c>
    </row>
    <row r="397" spans="1:5" x14ac:dyDescent="0.3">
      <c r="A397">
        <v>98</v>
      </c>
      <c r="B397">
        <v>32511</v>
      </c>
      <c r="C397" t="s">
        <v>457</v>
      </c>
      <c r="D397">
        <v>9185</v>
      </c>
      <c r="E397">
        <v>62</v>
      </c>
    </row>
    <row r="398" spans="1:5" x14ac:dyDescent="0.3">
      <c r="A398">
        <v>98</v>
      </c>
      <c r="B398">
        <v>325110</v>
      </c>
      <c r="C398" t="s">
        <v>457</v>
      </c>
      <c r="D398">
        <v>9185</v>
      </c>
      <c r="E398">
        <v>62</v>
      </c>
    </row>
    <row r="399" spans="1:5" x14ac:dyDescent="0.3">
      <c r="A399">
        <v>98</v>
      </c>
      <c r="B399">
        <v>32512</v>
      </c>
      <c r="C399" t="s">
        <v>457</v>
      </c>
      <c r="D399">
        <v>14200</v>
      </c>
      <c r="E399">
        <v>440</v>
      </c>
    </row>
    <row r="400" spans="1:5" x14ac:dyDescent="0.3">
      <c r="A400">
        <v>98</v>
      </c>
      <c r="B400">
        <v>325120</v>
      </c>
      <c r="C400" t="s">
        <v>457</v>
      </c>
      <c r="D400">
        <v>14200</v>
      </c>
      <c r="E400">
        <v>440</v>
      </c>
    </row>
    <row r="401" spans="1:5" x14ac:dyDescent="0.3">
      <c r="A401">
        <v>98</v>
      </c>
      <c r="B401">
        <v>32513</v>
      </c>
      <c r="C401" t="s">
        <v>457</v>
      </c>
      <c r="D401">
        <v>9085</v>
      </c>
      <c r="E401">
        <v>152</v>
      </c>
    </row>
    <row r="402" spans="1:5" x14ac:dyDescent="0.3">
      <c r="A402">
        <v>98</v>
      </c>
      <c r="B402">
        <v>325130</v>
      </c>
      <c r="C402" t="s">
        <v>457</v>
      </c>
      <c r="D402">
        <v>9085</v>
      </c>
      <c r="E402">
        <v>152</v>
      </c>
    </row>
    <row r="403" spans="1:5" x14ac:dyDescent="0.3">
      <c r="A403">
        <v>98</v>
      </c>
      <c r="B403">
        <v>32518</v>
      </c>
      <c r="C403" t="s">
        <v>457</v>
      </c>
      <c r="D403">
        <v>38506</v>
      </c>
      <c r="E403">
        <v>658</v>
      </c>
    </row>
    <row r="404" spans="1:5" x14ac:dyDescent="0.3">
      <c r="A404">
        <v>98</v>
      </c>
      <c r="B404">
        <v>325180</v>
      </c>
      <c r="C404" t="s">
        <v>457</v>
      </c>
      <c r="D404">
        <v>38506</v>
      </c>
      <c r="E404">
        <v>658</v>
      </c>
    </row>
    <row r="405" spans="1:5" x14ac:dyDescent="0.3">
      <c r="A405">
        <v>98</v>
      </c>
      <c r="B405">
        <v>32519</v>
      </c>
      <c r="C405" t="s">
        <v>457</v>
      </c>
      <c r="D405">
        <v>89258</v>
      </c>
      <c r="E405">
        <v>1103</v>
      </c>
    </row>
    <row r="406" spans="1:5" x14ac:dyDescent="0.3">
      <c r="A406">
        <v>98</v>
      </c>
      <c r="B406">
        <v>325193</v>
      </c>
      <c r="C406" t="s">
        <v>457</v>
      </c>
      <c r="D406">
        <v>11204</v>
      </c>
      <c r="E406">
        <v>224</v>
      </c>
    </row>
    <row r="407" spans="1:5" x14ac:dyDescent="0.3">
      <c r="A407">
        <v>98</v>
      </c>
      <c r="B407">
        <v>325194</v>
      </c>
      <c r="C407" t="s">
        <v>457</v>
      </c>
      <c r="D407">
        <v>6599</v>
      </c>
      <c r="E407">
        <v>83</v>
      </c>
    </row>
    <row r="408" spans="1:5" x14ac:dyDescent="0.3">
      <c r="A408">
        <v>98</v>
      </c>
      <c r="B408">
        <v>325199</v>
      </c>
      <c r="C408" t="s">
        <v>457</v>
      </c>
      <c r="D408">
        <v>71455</v>
      </c>
      <c r="E408">
        <v>796</v>
      </c>
    </row>
    <row r="409" spans="1:5" x14ac:dyDescent="0.3">
      <c r="A409">
        <v>98</v>
      </c>
      <c r="B409">
        <v>3252</v>
      </c>
      <c r="C409" t="s">
        <v>457</v>
      </c>
      <c r="D409">
        <v>93499</v>
      </c>
      <c r="E409">
        <v>1414</v>
      </c>
    </row>
    <row r="410" spans="1:5" x14ac:dyDescent="0.3">
      <c r="A410">
        <v>98</v>
      </c>
      <c r="B410">
        <v>32521</v>
      </c>
      <c r="C410" t="s">
        <v>457</v>
      </c>
      <c r="D410">
        <v>79878</v>
      </c>
      <c r="E410">
        <v>1288</v>
      </c>
    </row>
    <row r="411" spans="1:5" x14ac:dyDescent="0.3">
      <c r="A411">
        <v>98</v>
      </c>
      <c r="B411">
        <v>325211</v>
      </c>
      <c r="C411" t="s">
        <v>457</v>
      </c>
      <c r="D411">
        <v>71251</v>
      </c>
      <c r="E411">
        <v>1135</v>
      </c>
    </row>
    <row r="412" spans="1:5" x14ac:dyDescent="0.3">
      <c r="A412">
        <v>98</v>
      </c>
      <c r="B412">
        <v>325212</v>
      </c>
      <c r="C412" t="s">
        <v>457</v>
      </c>
      <c r="D412">
        <v>8627</v>
      </c>
      <c r="E412">
        <v>153</v>
      </c>
    </row>
    <row r="413" spans="1:5" x14ac:dyDescent="0.3">
      <c r="A413">
        <v>98</v>
      </c>
      <c r="B413">
        <v>32522</v>
      </c>
      <c r="C413" t="s">
        <v>457</v>
      </c>
      <c r="D413">
        <v>13621</v>
      </c>
      <c r="E413">
        <v>126</v>
      </c>
    </row>
    <row r="414" spans="1:5" x14ac:dyDescent="0.3">
      <c r="A414">
        <v>98</v>
      </c>
      <c r="B414">
        <v>325220</v>
      </c>
      <c r="C414" t="s">
        <v>457</v>
      </c>
      <c r="D414">
        <v>13621</v>
      </c>
      <c r="E414">
        <v>126</v>
      </c>
    </row>
    <row r="415" spans="1:5" x14ac:dyDescent="0.3">
      <c r="A415">
        <v>98</v>
      </c>
      <c r="B415">
        <v>3253</v>
      </c>
      <c r="C415" t="s">
        <v>457</v>
      </c>
      <c r="D415">
        <v>28849</v>
      </c>
      <c r="E415">
        <v>928</v>
      </c>
    </row>
    <row r="416" spans="1:5" x14ac:dyDescent="0.3">
      <c r="A416">
        <v>98</v>
      </c>
      <c r="B416">
        <v>32531</v>
      </c>
      <c r="C416" t="s">
        <v>457</v>
      </c>
      <c r="D416">
        <v>19133</v>
      </c>
      <c r="E416">
        <v>711</v>
      </c>
    </row>
    <row r="417" spans="1:5" x14ac:dyDescent="0.3">
      <c r="A417">
        <v>98</v>
      </c>
      <c r="B417">
        <v>325311</v>
      </c>
      <c r="C417" t="s">
        <v>457</v>
      </c>
      <c r="D417">
        <v>5928</v>
      </c>
      <c r="E417">
        <v>193</v>
      </c>
    </row>
    <row r="418" spans="1:5" x14ac:dyDescent="0.3">
      <c r="A418">
        <v>98</v>
      </c>
      <c r="B418">
        <v>325312</v>
      </c>
      <c r="C418" t="s">
        <v>457</v>
      </c>
      <c r="D418">
        <v>5125</v>
      </c>
      <c r="E418">
        <v>71</v>
      </c>
    </row>
    <row r="419" spans="1:5" x14ac:dyDescent="0.3">
      <c r="A419">
        <v>98</v>
      </c>
      <c r="B419">
        <v>325314</v>
      </c>
      <c r="C419" t="s">
        <v>457</v>
      </c>
      <c r="D419">
        <v>8080</v>
      </c>
      <c r="E419">
        <v>447</v>
      </c>
    </row>
    <row r="420" spans="1:5" x14ac:dyDescent="0.3">
      <c r="A420">
        <v>98</v>
      </c>
      <c r="B420">
        <v>32532</v>
      </c>
      <c r="C420" t="s">
        <v>457</v>
      </c>
      <c r="D420">
        <v>9716</v>
      </c>
      <c r="E420">
        <v>217</v>
      </c>
    </row>
    <row r="421" spans="1:5" x14ac:dyDescent="0.3">
      <c r="A421">
        <v>98</v>
      </c>
      <c r="B421">
        <v>325320</v>
      </c>
      <c r="C421" t="s">
        <v>457</v>
      </c>
      <c r="D421">
        <v>9716</v>
      </c>
      <c r="E421">
        <v>217</v>
      </c>
    </row>
    <row r="422" spans="1:5" x14ac:dyDescent="0.3">
      <c r="A422">
        <v>98</v>
      </c>
      <c r="B422">
        <v>3254</v>
      </c>
      <c r="C422" t="s">
        <v>457</v>
      </c>
      <c r="D422">
        <v>242329</v>
      </c>
      <c r="E422">
        <v>2280</v>
      </c>
    </row>
    <row r="423" spans="1:5" x14ac:dyDescent="0.3">
      <c r="A423">
        <v>98</v>
      </c>
      <c r="B423">
        <v>32541</v>
      </c>
      <c r="C423" t="s">
        <v>457</v>
      </c>
      <c r="D423">
        <v>242329</v>
      </c>
      <c r="E423">
        <v>2280</v>
      </c>
    </row>
    <row r="424" spans="1:5" x14ac:dyDescent="0.3">
      <c r="A424">
        <v>98</v>
      </c>
      <c r="B424">
        <v>325411</v>
      </c>
      <c r="C424" t="s">
        <v>457</v>
      </c>
      <c r="D424">
        <v>28950</v>
      </c>
      <c r="E424">
        <v>461</v>
      </c>
    </row>
    <row r="425" spans="1:5" x14ac:dyDescent="0.3">
      <c r="A425">
        <v>98</v>
      </c>
      <c r="B425">
        <v>325412</v>
      </c>
      <c r="C425" t="s">
        <v>457</v>
      </c>
      <c r="D425">
        <v>146113</v>
      </c>
      <c r="E425">
        <v>1290</v>
      </c>
    </row>
    <row r="426" spans="1:5" x14ac:dyDescent="0.3">
      <c r="A426">
        <v>98</v>
      </c>
      <c r="B426">
        <v>325413</v>
      </c>
      <c r="C426" t="s">
        <v>457</v>
      </c>
      <c r="D426">
        <v>25818</v>
      </c>
      <c r="E426">
        <v>234</v>
      </c>
    </row>
    <row r="427" spans="1:5" x14ac:dyDescent="0.3">
      <c r="A427">
        <v>98</v>
      </c>
      <c r="B427">
        <v>325414</v>
      </c>
      <c r="C427" t="s">
        <v>457</v>
      </c>
      <c r="D427">
        <v>41448</v>
      </c>
      <c r="E427">
        <v>295</v>
      </c>
    </row>
    <row r="428" spans="1:5" x14ac:dyDescent="0.3">
      <c r="A428">
        <v>98</v>
      </c>
      <c r="B428">
        <v>3255</v>
      </c>
      <c r="C428" t="s">
        <v>457</v>
      </c>
      <c r="D428">
        <v>58910</v>
      </c>
      <c r="E428">
        <v>1701</v>
      </c>
    </row>
    <row r="429" spans="1:5" x14ac:dyDescent="0.3">
      <c r="A429">
        <v>98</v>
      </c>
      <c r="B429">
        <v>32551</v>
      </c>
      <c r="C429" t="s">
        <v>457</v>
      </c>
      <c r="D429">
        <v>37176</v>
      </c>
      <c r="E429">
        <v>1163</v>
      </c>
    </row>
    <row r="430" spans="1:5" x14ac:dyDescent="0.3">
      <c r="A430">
        <v>98</v>
      </c>
      <c r="B430">
        <v>325510</v>
      </c>
      <c r="C430" t="s">
        <v>457</v>
      </c>
      <c r="D430">
        <v>37176</v>
      </c>
      <c r="E430">
        <v>1163</v>
      </c>
    </row>
    <row r="431" spans="1:5" x14ac:dyDescent="0.3">
      <c r="A431">
        <v>98</v>
      </c>
      <c r="B431">
        <v>32552</v>
      </c>
      <c r="C431" t="s">
        <v>457</v>
      </c>
      <c r="D431">
        <v>21734</v>
      </c>
      <c r="E431">
        <v>538</v>
      </c>
    </row>
    <row r="432" spans="1:5" x14ac:dyDescent="0.3">
      <c r="A432">
        <v>98</v>
      </c>
      <c r="B432">
        <v>325520</v>
      </c>
      <c r="C432" t="s">
        <v>457</v>
      </c>
      <c r="D432">
        <v>21734</v>
      </c>
      <c r="E432">
        <v>538</v>
      </c>
    </row>
    <row r="433" spans="1:5" x14ac:dyDescent="0.3">
      <c r="A433">
        <v>98</v>
      </c>
      <c r="B433">
        <v>3256</v>
      </c>
      <c r="C433" t="s">
        <v>457</v>
      </c>
      <c r="D433">
        <v>95560</v>
      </c>
      <c r="E433">
        <v>2177</v>
      </c>
    </row>
    <row r="434" spans="1:5" x14ac:dyDescent="0.3">
      <c r="A434">
        <v>98</v>
      </c>
      <c r="B434">
        <v>32561</v>
      </c>
      <c r="C434" t="s">
        <v>457</v>
      </c>
      <c r="D434">
        <v>44789</v>
      </c>
      <c r="E434">
        <v>1248</v>
      </c>
    </row>
    <row r="435" spans="1:5" x14ac:dyDescent="0.3">
      <c r="A435">
        <v>98</v>
      </c>
      <c r="B435">
        <v>325611</v>
      </c>
      <c r="C435" t="s">
        <v>457</v>
      </c>
      <c r="D435">
        <v>23253</v>
      </c>
      <c r="E435">
        <v>633</v>
      </c>
    </row>
    <row r="436" spans="1:5" x14ac:dyDescent="0.3">
      <c r="A436">
        <v>98</v>
      </c>
      <c r="B436">
        <v>325612</v>
      </c>
      <c r="C436" t="s">
        <v>457</v>
      </c>
      <c r="D436">
        <v>15775</v>
      </c>
      <c r="E436">
        <v>481</v>
      </c>
    </row>
    <row r="437" spans="1:5" x14ac:dyDescent="0.3">
      <c r="A437">
        <v>98</v>
      </c>
      <c r="B437">
        <v>325613</v>
      </c>
      <c r="C437" t="s">
        <v>457</v>
      </c>
      <c r="D437">
        <v>5761</v>
      </c>
      <c r="E437">
        <v>134</v>
      </c>
    </row>
    <row r="438" spans="1:5" x14ac:dyDescent="0.3">
      <c r="A438">
        <v>98</v>
      </c>
      <c r="B438">
        <v>32562</v>
      </c>
      <c r="C438" t="s">
        <v>457</v>
      </c>
      <c r="D438">
        <v>50771</v>
      </c>
      <c r="E438">
        <v>929</v>
      </c>
    </row>
    <row r="439" spans="1:5" x14ac:dyDescent="0.3">
      <c r="A439">
        <v>98</v>
      </c>
      <c r="B439">
        <v>325620</v>
      </c>
      <c r="C439" t="s">
        <v>457</v>
      </c>
      <c r="D439">
        <v>50771</v>
      </c>
      <c r="E439">
        <v>929</v>
      </c>
    </row>
    <row r="440" spans="1:5" x14ac:dyDescent="0.3">
      <c r="A440">
        <v>98</v>
      </c>
      <c r="B440">
        <v>3259</v>
      </c>
      <c r="C440" t="s">
        <v>457</v>
      </c>
      <c r="D440">
        <v>79414</v>
      </c>
      <c r="E440">
        <v>2267</v>
      </c>
    </row>
    <row r="441" spans="1:5" x14ac:dyDescent="0.3">
      <c r="A441">
        <v>98</v>
      </c>
      <c r="B441">
        <v>32591</v>
      </c>
      <c r="C441" t="s">
        <v>457</v>
      </c>
      <c r="D441">
        <v>10444</v>
      </c>
      <c r="E441">
        <v>375</v>
      </c>
    </row>
    <row r="442" spans="1:5" x14ac:dyDescent="0.3">
      <c r="A442">
        <v>98</v>
      </c>
      <c r="B442">
        <v>325910</v>
      </c>
      <c r="C442" t="s">
        <v>457</v>
      </c>
      <c r="D442">
        <v>10444</v>
      </c>
      <c r="E442">
        <v>375</v>
      </c>
    </row>
    <row r="443" spans="1:5" x14ac:dyDescent="0.3">
      <c r="A443">
        <v>98</v>
      </c>
      <c r="B443">
        <v>32592</v>
      </c>
      <c r="C443" t="s">
        <v>457</v>
      </c>
      <c r="D443">
        <v>5905</v>
      </c>
      <c r="E443">
        <v>87</v>
      </c>
    </row>
    <row r="444" spans="1:5" x14ac:dyDescent="0.3">
      <c r="A444">
        <v>98</v>
      </c>
      <c r="B444">
        <v>325920</v>
      </c>
      <c r="C444" t="s">
        <v>457</v>
      </c>
      <c r="D444">
        <v>5905</v>
      </c>
      <c r="E444">
        <v>87</v>
      </c>
    </row>
    <row r="445" spans="1:5" x14ac:dyDescent="0.3">
      <c r="A445">
        <v>98</v>
      </c>
      <c r="B445">
        <v>32599</v>
      </c>
      <c r="C445" t="s">
        <v>457</v>
      </c>
      <c r="D445">
        <v>63065</v>
      </c>
      <c r="E445">
        <v>1805</v>
      </c>
    </row>
    <row r="446" spans="1:5" x14ac:dyDescent="0.3">
      <c r="A446">
        <v>98</v>
      </c>
      <c r="B446">
        <v>325991</v>
      </c>
      <c r="C446" t="s">
        <v>457</v>
      </c>
      <c r="D446">
        <v>18699</v>
      </c>
      <c r="E446">
        <v>432</v>
      </c>
    </row>
    <row r="447" spans="1:5" x14ac:dyDescent="0.3">
      <c r="A447">
        <v>98</v>
      </c>
      <c r="B447">
        <v>325992</v>
      </c>
      <c r="C447" t="s">
        <v>457</v>
      </c>
      <c r="D447">
        <v>11002</v>
      </c>
      <c r="E447">
        <v>268</v>
      </c>
    </row>
    <row r="448" spans="1:5" x14ac:dyDescent="0.3">
      <c r="A448">
        <v>98</v>
      </c>
      <c r="B448">
        <v>325998</v>
      </c>
      <c r="C448" t="s">
        <v>457</v>
      </c>
      <c r="D448">
        <v>33364</v>
      </c>
      <c r="E448">
        <v>1105</v>
      </c>
    </row>
    <row r="449" spans="1:5" x14ac:dyDescent="0.3">
      <c r="A449">
        <v>98</v>
      </c>
      <c r="B449">
        <v>326</v>
      </c>
      <c r="C449" t="s">
        <v>457</v>
      </c>
      <c r="D449">
        <v>739708</v>
      </c>
      <c r="E449">
        <v>12276</v>
      </c>
    </row>
    <row r="450" spans="1:5" x14ac:dyDescent="0.3">
      <c r="A450">
        <v>98</v>
      </c>
      <c r="B450">
        <v>3261</v>
      </c>
      <c r="C450" t="s">
        <v>457</v>
      </c>
      <c r="D450">
        <v>608903</v>
      </c>
      <c r="E450">
        <v>10427</v>
      </c>
    </row>
    <row r="451" spans="1:5" x14ac:dyDescent="0.3">
      <c r="A451">
        <v>98</v>
      </c>
      <c r="B451">
        <v>32611</v>
      </c>
      <c r="C451" t="s">
        <v>457</v>
      </c>
      <c r="D451">
        <v>100228</v>
      </c>
      <c r="E451">
        <v>1289</v>
      </c>
    </row>
    <row r="452" spans="1:5" x14ac:dyDescent="0.3">
      <c r="A452">
        <v>98</v>
      </c>
      <c r="B452">
        <v>326111</v>
      </c>
      <c r="C452" t="s">
        <v>457</v>
      </c>
      <c r="D452">
        <v>29028</v>
      </c>
      <c r="E452">
        <v>335</v>
      </c>
    </row>
    <row r="453" spans="1:5" x14ac:dyDescent="0.3">
      <c r="A453">
        <v>98</v>
      </c>
      <c r="B453">
        <v>326112</v>
      </c>
      <c r="C453" t="s">
        <v>457</v>
      </c>
      <c r="D453">
        <v>31908</v>
      </c>
      <c r="E453">
        <v>394</v>
      </c>
    </row>
    <row r="454" spans="1:5" x14ac:dyDescent="0.3">
      <c r="A454">
        <v>98</v>
      </c>
      <c r="B454">
        <v>326113</v>
      </c>
      <c r="C454" t="s">
        <v>457</v>
      </c>
      <c r="D454">
        <v>39292</v>
      </c>
      <c r="E454">
        <v>560</v>
      </c>
    </row>
    <row r="455" spans="1:5" x14ac:dyDescent="0.3">
      <c r="A455">
        <v>98</v>
      </c>
      <c r="B455">
        <v>32612</v>
      </c>
      <c r="C455" t="s">
        <v>457</v>
      </c>
      <c r="D455">
        <v>42345</v>
      </c>
      <c r="E455">
        <v>878</v>
      </c>
    </row>
    <row r="456" spans="1:5" x14ac:dyDescent="0.3">
      <c r="A456">
        <v>98</v>
      </c>
      <c r="B456">
        <v>326121</v>
      </c>
      <c r="C456" t="s">
        <v>457</v>
      </c>
      <c r="D456">
        <v>19562</v>
      </c>
      <c r="E456">
        <v>397</v>
      </c>
    </row>
    <row r="457" spans="1:5" x14ac:dyDescent="0.3">
      <c r="A457">
        <v>98</v>
      </c>
      <c r="B457">
        <v>326122</v>
      </c>
      <c r="C457" t="s">
        <v>457</v>
      </c>
      <c r="D457">
        <v>22783</v>
      </c>
      <c r="E457">
        <v>481</v>
      </c>
    </row>
    <row r="458" spans="1:5" x14ac:dyDescent="0.3">
      <c r="A458">
        <v>98</v>
      </c>
      <c r="B458">
        <v>32613</v>
      </c>
      <c r="C458" t="s">
        <v>457</v>
      </c>
      <c r="D458">
        <v>11675</v>
      </c>
      <c r="E458">
        <v>239</v>
      </c>
    </row>
    <row r="459" spans="1:5" x14ac:dyDescent="0.3">
      <c r="A459">
        <v>98</v>
      </c>
      <c r="B459">
        <v>326130</v>
      </c>
      <c r="C459" t="s">
        <v>457</v>
      </c>
      <c r="D459">
        <v>11675</v>
      </c>
      <c r="E459">
        <v>239</v>
      </c>
    </row>
    <row r="460" spans="1:5" x14ac:dyDescent="0.3">
      <c r="A460">
        <v>98</v>
      </c>
      <c r="B460">
        <v>32614</v>
      </c>
      <c r="C460" t="s">
        <v>457</v>
      </c>
      <c r="D460">
        <v>23797</v>
      </c>
      <c r="E460">
        <v>412</v>
      </c>
    </row>
    <row r="461" spans="1:5" x14ac:dyDescent="0.3">
      <c r="A461">
        <v>98</v>
      </c>
      <c r="B461">
        <v>326140</v>
      </c>
      <c r="C461" t="s">
        <v>457</v>
      </c>
      <c r="D461">
        <v>23797</v>
      </c>
      <c r="E461">
        <v>412</v>
      </c>
    </row>
    <row r="462" spans="1:5" x14ac:dyDescent="0.3">
      <c r="A462">
        <v>98</v>
      </c>
      <c r="B462">
        <v>32615</v>
      </c>
      <c r="C462" t="s">
        <v>457</v>
      </c>
      <c r="D462">
        <v>30450</v>
      </c>
      <c r="E462">
        <v>654</v>
      </c>
    </row>
    <row r="463" spans="1:5" x14ac:dyDescent="0.3">
      <c r="A463">
        <v>98</v>
      </c>
      <c r="B463">
        <v>326150</v>
      </c>
      <c r="C463" t="s">
        <v>457</v>
      </c>
      <c r="D463">
        <v>30450</v>
      </c>
      <c r="E463">
        <v>654</v>
      </c>
    </row>
    <row r="464" spans="1:5" x14ac:dyDescent="0.3">
      <c r="A464">
        <v>98</v>
      </c>
      <c r="B464">
        <v>32616</v>
      </c>
      <c r="C464" t="s">
        <v>457</v>
      </c>
      <c r="D464">
        <v>30812</v>
      </c>
      <c r="E464">
        <v>452</v>
      </c>
    </row>
    <row r="465" spans="1:5" x14ac:dyDescent="0.3">
      <c r="A465">
        <v>98</v>
      </c>
      <c r="B465">
        <v>326160</v>
      </c>
      <c r="C465" t="s">
        <v>457</v>
      </c>
      <c r="D465">
        <v>30812</v>
      </c>
      <c r="E465">
        <v>452</v>
      </c>
    </row>
    <row r="466" spans="1:5" x14ac:dyDescent="0.3">
      <c r="A466">
        <v>98</v>
      </c>
      <c r="B466">
        <v>32619</v>
      </c>
      <c r="C466" t="s">
        <v>457</v>
      </c>
      <c r="D466">
        <v>369596</v>
      </c>
      <c r="E466">
        <v>6503</v>
      </c>
    </row>
    <row r="467" spans="1:5" x14ac:dyDescent="0.3">
      <c r="A467">
        <v>98</v>
      </c>
      <c r="B467">
        <v>326191</v>
      </c>
      <c r="C467" t="s">
        <v>457</v>
      </c>
      <c r="D467">
        <v>16354</v>
      </c>
      <c r="E467">
        <v>375</v>
      </c>
    </row>
    <row r="468" spans="1:5" x14ac:dyDescent="0.3">
      <c r="A468">
        <v>98</v>
      </c>
      <c r="B468">
        <v>326199</v>
      </c>
      <c r="C468" t="s">
        <v>457</v>
      </c>
      <c r="D468">
        <v>353242</v>
      </c>
      <c r="E468">
        <v>6128</v>
      </c>
    </row>
    <row r="469" spans="1:5" x14ac:dyDescent="0.3">
      <c r="A469">
        <v>98</v>
      </c>
      <c r="B469">
        <v>3262</v>
      </c>
      <c r="C469" t="s">
        <v>457</v>
      </c>
      <c r="D469">
        <v>130805</v>
      </c>
      <c r="E469">
        <v>1849</v>
      </c>
    </row>
    <row r="470" spans="1:5" x14ac:dyDescent="0.3">
      <c r="A470">
        <v>98</v>
      </c>
      <c r="B470">
        <v>32621</v>
      </c>
      <c r="C470" t="s">
        <v>457</v>
      </c>
      <c r="D470">
        <v>50739</v>
      </c>
      <c r="E470">
        <v>508</v>
      </c>
    </row>
    <row r="471" spans="1:5" x14ac:dyDescent="0.3">
      <c r="A471">
        <v>98</v>
      </c>
      <c r="B471">
        <v>326211</v>
      </c>
      <c r="C471" t="s">
        <v>457</v>
      </c>
      <c r="D471">
        <v>44179</v>
      </c>
      <c r="E471">
        <v>116</v>
      </c>
    </row>
    <row r="472" spans="1:5" x14ac:dyDescent="0.3">
      <c r="A472">
        <v>98</v>
      </c>
      <c r="B472">
        <v>326212</v>
      </c>
      <c r="C472" t="s">
        <v>457</v>
      </c>
      <c r="D472">
        <v>6560</v>
      </c>
      <c r="E472">
        <v>392</v>
      </c>
    </row>
    <row r="473" spans="1:5" x14ac:dyDescent="0.3">
      <c r="A473">
        <v>98</v>
      </c>
      <c r="B473">
        <v>32622</v>
      </c>
      <c r="C473" t="s">
        <v>457</v>
      </c>
      <c r="D473">
        <v>18766</v>
      </c>
      <c r="E473">
        <v>260</v>
      </c>
    </row>
    <row r="474" spans="1:5" x14ac:dyDescent="0.3">
      <c r="A474">
        <v>98</v>
      </c>
      <c r="B474">
        <v>326220</v>
      </c>
      <c r="C474" t="s">
        <v>457</v>
      </c>
      <c r="D474">
        <v>18766</v>
      </c>
      <c r="E474">
        <v>260</v>
      </c>
    </row>
    <row r="475" spans="1:5" x14ac:dyDescent="0.3">
      <c r="A475">
        <v>98</v>
      </c>
      <c r="B475">
        <v>32629</v>
      </c>
      <c r="C475" t="s">
        <v>457</v>
      </c>
      <c r="D475">
        <v>61300</v>
      </c>
      <c r="E475">
        <v>1081</v>
      </c>
    </row>
    <row r="476" spans="1:5" x14ac:dyDescent="0.3">
      <c r="A476">
        <v>98</v>
      </c>
      <c r="B476">
        <v>326291</v>
      </c>
      <c r="C476" t="s">
        <v>457</v>
      </c>
      <c r="D476">
        <v>31026</v>
      </c>
      <c r="E476">
        <v>430</v>
      </c>
    </row>
    <row r="477" spans="1:5" x14ac:dyDescent="0.3">
      <c r="A477">
        <v>98</v>
      </c>
      <c r="B477">
        <v>326299</v>
      </c>
      <c r="C477" t="s">
        <v>457</v>
      </c>
      <c r="D477">
        <v>30274</v>
      </c>
      <c r="E477">
        <v>651</v>
      </c>
    </row>
    <row r="478" spans="1:5" x14ac:dyDescent="0.3">
      <c r="A478">
        <v>98</v>
      </c>
      <c r="B478">
        <v>327</v>
      </c>
      <c r="C478" t="s">
        <v>457</v>
      </c>
      <c r="D478">
        <v>369859</v>
      </c>
      <c r="E478">
        <v>14731</v>
      </c>
    </row>
    <row r="479" spans="1:5" x14ac:dyDescent="0.3">
      <c r="A479">
        <v>98</v>
      </c>
      <c r="B479">
        <v>3271</v>
      </c>
      <c r="C479" t="s">
        <v>457</v>
      </c>
      <c r="D479">
        <v>33632</v>
      </c>
      <c r="E479">
        <v>1145</v>
      </c>
    </row>
    <row r="480" spans="1:5" x14ac:dyDescent="0.3">
      <c r="A480">
        <v>98</v>
      </c>
      <c r="B480">
        <v>32711</v>
      </c>
      <c r="C480" t="s">
        <v>457</v>
      </c>
      <c r="D480">
        <v>12719</v>
      </c>
      <c r="E480">
        <v>597</v>
      </c>
    </row>
    <row r="481" spans="1:5" x14ac:dyDescent="0.3">
      <c r="A481">
        <v>98</v>
      </c>
      <c r="B481">
        <v>327110</v>
      </c>
      <c r="C481" t="s">
        <v>457</v>
      </c>
      <c r="D481">
        <v>12719</v>
      </c>
      <c r="E481">
        <v>597</v>
      </c>
    </row>
    <row r="482" spans="1:5" x14ac:dyDescent="0.3">
      <c r="A482">
        <v>98</v>
      </c>
      <c r="B482">
        <v>32712</v>
      </c>
      <c r="C482" t="s">
        <v>457</v>
      </c>
      <c r="D482">
        <v>20913</v>
      </c>
      <c r="E482">
        <v>548</v>
      </c>
    </row>
    <row r="483" spans="1:5" x14ac:dyDescent="0.3">
      <c r="A483">
        <v>98</v>
      </c>
      <c r="B483">
        <v>327120</v>
      </c>
      <c r="C483" t="s">
        <v>457</v>
      </c>
      <c r="D483">
        <v>20913</v>
      </c>
      <c r="E483">
        <v>548</v>
      </c>
    </row>
    <row r="484" spans="1:5" x14ac:dyDescent="0.3">
      <c r="A484">
        <v>98</v>
      </c>
      <c r="B484">
        <v>3272</v>
      </c>
      <c r="C484" t="s">
        <v>457</v>
      </c>
      <c r="D484">
        <v>86628</v>
      </c>
      <c r="E484">
        <v>1719</v>
      </c>
    </row>
    <row r="485" spans="1:5" x14ac:dyDescent="0.3">
      <c r="A485">
        <v>98</v>
      </c>
      <c r="B485">
        <v>32721</v>
      </c>
      <c r="C485" t="s">
        <v>457</v>
      </c>
      <c r="D485">
        <v>86628</v>
      </c>
      <c r="E485">
        <v>1719</v>
      </c>
    </row>
    <row r="486" spans="1:5" x14ac:dyDescent="0.3">
      <c r="A486">
        <v>98</v>
      </c>
      <c r="B486">
        <v>327211</v>
      </c>
      <c r="C486" t="s">
        <v>457</v>
      </c>
      <c r="D486">
        <v>9152</v>
      </c>
      <c r="E486">
        <v>94</v>
      </c>
    </row>
    <row r="487" spans="1:5" x14ac:dyDescent="0.3">
      <c r="A487">
        <v>98</v>
      </c>
      <c r="B487">
        <v>327212</v>
      </c>
      <c r="C487" t="s">
        <v>457</v>
      </c>
      <c r="D487">
        <v>13915</v>
      </c>
      <c r="E487">
        <v>404</v>
      </c>
    </row>
    <row r="488" spans="1:5" x14ac:dyDescent="0.3">
      <c r="A488">
        <v>98</v>
      </c>
      <c r="B488">
        <v>327213</v>
      </c>
      <c r="C488" t="s">
        <v>457</v>
      </c>
      <c r="D488">
        <v>14770</v>
      </c>
      <c r="E488">
        <v>87</v>
      </c>
    </row>
    <row r="489" spans="1:5" x14ac:dyDescent="0.3">
      <c r="A489">
        <v>98</v>
      </c>
      <c r="B489">
        <v>327215</v>
      </c>
      <c r="C489" t="s">
        <v>457</v>
      </c>
      <c r="D489">
        <v>48791</v>
      </c>
      <c r="E489">
        <v>1134</v>
      </c>
    </row>
    <row r="490" spans="1:5" x14ac:dyDescent="0.3">
      <c r="A490">
        <v>98</v>
      </c>
      <c r="B490">
        <v>3273</v>
      </c>
      <c r="C490" t="s">
        <v>457</v>
      </c>
      <c r="D490">
        <v>161239</v>
      </c>
      <c r="E490">
        <v>8452</v>
      </c>
    </row>
    <row r="491" spans="1:5" x14ac:dyDescent="0.3">
      <c r="A491">
        <v>98</v>
      </c>
      <c r="B491">
        <v>32731</v>
      </c>
      <c r="C491" t="s">
        <v>457</v>
      </c>
      <c r="D491">
        <v>12884</v>
      </c>
      <c r="E491">
        <v>233</v>
      </c>
    </row>
    <row r="492" spans="1:5" x14ac:dyDescent="0.3">
      <c r="A492">
        <v>98</v>
      </c>
      <c r="B492">
        <v>327310</v>
      </c>
      <c r="C492" t="s">
        <v>457</v>
      </c>
      <c r="D492">
        <v>12884</v>
      </c>
      <c r="E492">
        <v>233</v>
      </c>
    </row>
    <row r="493" spans="1:5" x14ac:dyDescent="0.3">
      <c r="A493">
        <v>98</v>
      </c>
      <c r="B493">
        <v>32732</v>
      </c>
      <c r="C493" t="s">
        <v>457</v>
      </c>
      <c r="D493">
        <v>72119</v>
      </c>
      <c r="E493">
        <v>5292</v>
      </c>
    </row>
    <row r="494" spans="1:5" x14ac:dyDescent="0.3">
      <c r="A494">
        <v>98</v>
      </c>
      <c r="B494">
        <v>327320</v>
      </c>
      <c r="C494" t="s">
        <v>457</v>
      </c>
      <c r="D494">
        <v>72119</v>
      </c>
      <c r="E494">
        <v>5292</v>
      </c>
    </row>
    <row r="495" spans="1:5" x14ac:dyDescent="0.3">
      <c r="A495">
        <v>98</v>
      </c>
      <c r="B495">
        <v>32733</v>
      </c>
      <c r="C495" t="s">
        <v>457</v>
      </c>
      <c r="D495">
        <v>24511</v>
      </c>
      <c r="E495">
        <v>1052</v>
      </c>
    </row>
    <row r="496" spans="1:5" x14ac:dyDescent="0.3">
      <c r="A496">
        <v>98</v>
      </c>
      <c r="B496">
        <v>327331</v>
      </c>
      <c r="C496" t="s">
        <v>457</v>
      </c>
      <c r="D496">
        <v>15475</v>
      </c>
      <c r="E496">
        <v>730</v>
      </c>
    </row>
    <row r="497" spans="1:5" x14ac:dyDescent="0.3">
      <c r="A497">
        <v>98</v>
      </c>
      <c r="B497">
        <v>327332</v>
      </c>
      <c r="C497" t="s">
        <v>457</v>
      </c>
      <c r="D497">
        <v>9036</v>
      </c>
      <c r="E497">
        <v>322</v>
      </c>
    </row>
    <row r="498" spans="1:5" x14ac:dyDescent="0.3">
      <c r="A498">
        <v>98</v>
      </c>
      <c r="B498">
        <v>32739</v>
      </c>
      <c r="C498" t="s">
        <v>457</v>
      </c>
      <c r="D498">
        <v>51725</v>
      </c>
      <c r="E498">
        <v>1875</v>
      </c>
    </row>
    <row r="499" spans="1:5" x14ac:dyDescent="0.3">
      <c r="A499">
        <v>98</v>
      </c>
      <c r="B499">
        <v>327390</v>
      </c>
      <c r="C499" t="s">
        <v>457</v>
      </c>
      <c r="D499">
        <v>51725</v>
      </c>
      <c r="E499">
        <v>1875</v>
      </c>
    </row>
    <row r="500" spans="1:5" x14ac:dyDescent="0.3">
      <c r="A500">
        <v>98</v>
      </c>
      <c r="B500">
        <v>3274</v>
      </c>
      <c r="C500" t="s">
        <v>457</v>
      </c>
      <c r="D500">
        <v>13443</v>
      </c>
      <c r="E500">
        <v>316</v>
      </c>
    </row>
    <row r="501" spans="1:5" x14ac:dyDescent="0.3">
      <c r="A501">
        <v>98</v>
      </c>
      <c r="B501">
        <v>32741</v>
      </c>
      <c r="C501" t="s">
        <v>457</v>
      </c>
      <c r="D501">
        <v>4595</v>
      </c>
      <c r="E501">
        <v>97</v>
      </c>
    </row>
    <row r="502" spans="1:5" x14ac:dyDescent="0.3">
      <c r="A502">
        <v>98</v>
      </c>
      <c r="B502">
        <v>327410</v>
      </c>
      <c r="C502" t="s">
        <v>457</v>
      </c>
      <c r="D502">
        <v>4595</v>
      </c>
      <c r="E502">
        <v>97</v>
      </c>
    </row>
    <row r="503" spans="1:5" x14ac:dyDescent="0.3">
      <c r="A503">
        <v>98</v>
      </c>
      <c r="B503">
        <v>32742</v>
      </c>
      <c r="C503" t="s">
        <v>457</v>
      </c>
      <c r="D503">
        <v>8848</v>
      </c>
      <c r="E503">
        <v>219</v>
      </c>
    </row>
    <row r="504" spans="1:5" x14ac:dyDescent="0.3">
      <c r="A504">
        <v>98</v>
      </c>
      <c r="B504">
        <v>327420</v>
      </c>
      <c r="C504" t="s">
        <v>457</v>
      </c>
      <c r="D504">
        <v>8848</v>
      </c>
      <c r="E504">
        <v>219</v>
      </c>
    </row>
    <row r="505" spans="1:5" x14ac:dyDescent="0.3">
      <c r="A505">
        <v>98</v>
      </c>
      <c r="B505">
        <v>3279</v>
      </c>
      <c r="C505" t="s">
        <v>457</v>
      </c>
      <c r="D505">
        <v>74917</v>
      </c>
      <c r="E505">
        <v>3099</v>
      </c>
    </row>
    <row r="506" spans="1:5" x14ac:dyDescent="0.3">
      <c r="A506">
        <v>98</v>
      </c>
      <c r="B506">
        <v>32791</v>
      </c>
      <c r="C506" t="s">
        <v>457</v>
      </c>
      <c r="D506">
        <v>13436</v>
      </c>
      <c r="E506">
        <v>301</v>
      </c>
    </row>
    <row r="507" spans="1:5" x14ac:dyDescent="0.3">
      <c r="A507">
        <v>98</v>
      </c>
      <c r="B507">
        <v>327910</v>
      </c>
      <c r="C507" t="s">
        <v>457</v>
      </c>
      <c r="D507">
        <v>13436</v>
      </c>
      <c r="E507">
        <v>301</v>
      </c>
    </row>
    <row r="508" spans="1:5" x14ac:dyDescent="0.3">
      <c r="A508">
        <v>98</v>
      </c>
      <c r="B508">
        <v>32799</v>
      </c>
      <c r="C508" t="s">
        <v>457</v>
      </c>
      <c r="D508">
        <v>61481</v>
      </c>
      <c r="E508">
        <v>2798</v>
      </c>
    </row>
    <row r="509" spans="1:5" x14ac:dyDescent="0.3">
      <c r="A509">
        <v>98</v>
      </c>
      <c r="B509">
        <v>327991</v>
      </c>
      <c r="C509" t="s">
        <v>457</v>
      </c>
      <c r="D509">
        <v>28250</v>
      </c>
      <c r="E509">
        <v>1833</v>
      </c>
    </row>
    <row r="510" spans="1:5" x14ac:dyDescent="0.3">
      <c r="A510">
        <v>98</v>
      </c>
      <c r="B510">
        <v>327992</v>
      </c>
      <c r="C510" t="s">
        <v>457</v>
      </c>
      <c r="D510">
        <v>7282</v>
      </c>
      <c r="E510">
        <v>231</v>
      </c>
    </row>
    <row r="511" spans="1:5" x14ac:dyDescent="0.3">
      <c r="A511">
        <v>98</v>
      </c>
      <c r="B511">
        <v>327993</v>
      </c>
      <c r="C511" t="s">
        <v>457</v>
      </c>
      <c r="D511">
        <v>15087</v>
      </c>
      <c r="E511">
        <v>287</v>
      </c>
    </row>
    <row r="512" spans="1:5" x14ac:dyDescent="0.3">
      <c r="A512">
        <v>98</v>
      </c>
      <c r="B512">
        <v>327999</v>
      </c>
      <c r="C512" t="s">
        <v>457</v>
      </c>
      <c r="D512">
        <v>10862</v>
      </c>
      <c r="E512">
        <v>447</v>
      </c>
    </row>
    <row r="513" spans="1:5" x14ac:dyDescent="0.3">
      <c r="A513">
        <v>98</v>
      </c>
      <c r="B513">
        <v>331</v>
      </c>
      <c r="C513" t="s">
        <v>457</v>
      </c>
      <c r="D513">
        <v>398566</v>
      </c>
      <c r="E513">
        <v>4533</v>
      </c>
    </row>
    <row r="514" spans="1:5" x14ac:dyDescent="0.3">
      <c r="A514">
        <v>98</v>
      </c>
      <c r="B514">
        <v>3311</v>
      </c>
      <c r="C514" t="s">
        <v>457</v>
      </c>
      <c r="D514">
        <v>103853</v>
      </c>
      <c r="E514">
        <v>603</v>
      </c>
    </row>
    <row r="515" spans="1:5" x14ac:dyDescent="0.3">
      <c r="A515">
        <v>98</v>
      </c>
      <c r="B515">
        <v>33111</v>
      </c>
      <c r="C515" t="s">
        <v>457</v>
      </c>
      <c r="D515">
        <v>103853</v>
      </c>
      <c r="E515">
        <v>603</v>
      </c>
    </row>
    <row r="516" spans="1:5" x14ac:dyDescent="0.3">
      <c r="A516">
        <v>98</v>
      </c>
      <c r="B516">
        <v>331110</v>
      </c>
      <c r="C516" t="s">
        <v>457</v>
      </c>
      <c r="D516">
        <v>103853</v>
      </c>
      <c r="E516">
        <v>603</v>
      </c>
    </row>
    <row r="517" spans="1:5" x14ac:dyDescent="0.3">
      <c r="A517">
        <v>98</v>
      </c>
      <c r="B517">
        <v>3312</v>
      </c>
      <c r="C517" t="s">
        <v>457</v>
      </c>
      <c r="D517">
        <v>48684</v>
      </c>
      <c r="E517">
        <v>667</v>
      </c>
    </row>
    <row r="518" spans="1:5" x14ac:dyDescent="0.3">
      <c r="A518">
        <v>98</v>
      </c>
      <c r="B518">
        <v>33121</v>
      </c>
      <c r="C518" t="s">
        <v>457</v>
      </c>
      <c r="D518">
        <v>25080</v>
      </c>
      <c r="E518">
        <v>247</v>
      </c>
    </row>
    <row r="519" spans="1:5" x14ac:dyDescent="0.3">
      <c r="A519">
        <v>98</v>
      </c>
      <c r="B519">
        <v>331210</v>
      </c>
      <c r="C519" t="s">
        <v>457</v>
      </c>
      <c r="D519">
        <v>25080</v>
      </c>
      <c r="E519">
        <v>247</v>
      </c>
    </row>
    <row r="520" spans="1:5" x14ac:dyDescent="0.3">
      <c r="A520">
        <v>98</v>
      </c>
      <c r="B520">
        <v>33122</v>
      </c>
      <c r="C520" t="s">
        <v>457</v>
      </c>
      <c r="D520">
        <v>23604</v>
      </c>
      <c r="E520">
        <v>420</v>
      </c>
    </row>
    <row r="521" spans="1:5" x14ac:dyDescent="0.3">
      <c r="A521">
        <v>98</v>
      </c>
      <c r="B521">
        <v>331221</v>
      </c>
      <c r="C521" t="s">
        <v>457</v>
      </c>
      <c r="D521">
        <v>8501</v>
      </c>
      <c r="E521">
        <v>176</v>
      </c>
    </row>
    <row r="522" spans="1:5" x14ac:dyDescent="0.3">
      <c r="A522">
        <v>98</v>
      </c>
      <c r="B522">
        <v>331222</v>
      </c>
      <c r="C522" t="s">
        <v>457</v>
      </c>
      <c r="D522">
        <v>15103</v>
      </c>
      <c r="E522">
        <v>244</v>
      </c>
    </row>
    <row r="523" spans="1:5" x14ac:dyDescent="0.3">
      <c r="A523">
        <v>98</v>
      </c>
      <c r="B523">
        <v>3313</v>
      </c>
      <c r="C523" t="s">
        <v>457</v>
      </c>
      <c r="D523">
        <v>58785</v>
      </c>
      <c r="E523">
        <v>529</v>
      </c>
    </row>
    <row r="524" spans="1:5" x14ac:dyDescent="0.3">
      <c r="A524">
        <v>98</v>
      </c>
      <c r="B524">
        <v>33131</v>
      </c>
      <c r="C524" t="s">
        <v>457</v>
      </c>
      <c r="D524">
        <v>58785</v>
      </c>
      <c r="E524">
        <v>529</v>
      </c>
    </row>
    <row r="525" spans="1:5" x14ac:dyDescent="0.3">
      <c r="A525">
        <v>98</v>
      </c>
      <c r="B525">
        <v>331313</v>
      </c>
      <c r="C525" t="s">
        <v>457</v>
      </c>
      <c r="D525">
        <v>7892</v>
      </c>
      <c r="E525">
        <v>76</v>
      </c>
    </row>
    <row r="526" spans="1:5" x14ac:dyDescent="0.3">
      <c r="A526">
        <v>98</v>
      </c>
      <c r="B526">
        <v>331314</v>
      </c>
      <c r="C526" t="s">
        <v>457</v>
      </c>
      <c r="D526">
        <v>6605</v>
      </c>
      <c r="E526">
        <v>106</v>
      </c>
    </row>
    <row r="527" spans="1:5" x14ac:dyDescent="0.3">
      <c r="A527">
        <v>98</v>
      </c>
      <c r="B527">
        <v>331315</v>
      </c>
      <c r="C527" t="s">
        <v>457</v>
      </c>
      <c r="D527">
        <v>18750</v>
      </c>
      <c r="E527">
        <v>104</v>
      </c>
    </row>
    <row r="528" spans="1:5" x14ac:dyDescent="0.3">
      <c r="A528">
        <v>98</v>
      </c>
      <c r="B528">
        <v>331318</v>
      </c>
      <c r="C528" t="s">
        <v>457</v>
      </c>
      <c r="D528">
        <v>25538</v>
      </c>
      <c r="E528">
        <v>243</v>
      </c>
    </row>
    <row r="529" spans="1:5" x14ac:dyDescent="0.3">
      <c r="A529">
        <v>98</v>
      </c>
      <c r="B529">
        <v>3314</v>
      </c>
      <c r="C529" t="s">
        <v>457</v>
      </c>
      <c r="D529">
        <v>60732</v>
      </c>
      <c r="E529">
        <v>964</v>
      </c>
    </row>
    <row r="530" spans="1:5" x14ac:dyDescent="0.3">
      <c r="A530">
        <v>98</v>
      </c>
      <c r="B530">
        <v>33141</v>
      </c>
      <c r="C530" t="s">
        <v>457</v>
      </c>
      <c r="D530">
        <v>9532</v>
      </c>
      <c r="E530">
        <v>173</v>
      </c>
    </row>
    <row r="531" spans="1:5" x14ac:dyDescent="0.3">
      <c r="A531">
        <v>98</v>
      </c>
      <c r="B531">
        <v>331410</v>
      </c>
      <c r="C531" t="s">
        <v>457</v>
      </c>
      <c r="D531">
        <v>9532</v>
      </c>
      <c r="E531">
        <v>173</v>
      </c>
    </row>
    <row r="532" spans="1:5" x14ac:dyDescent="0.3">
      <c r="A532">
        <v>98</v>
      </c>
      <c r="B532">
        <v>33142</v>
      </c>
      <c r="C532" t="s">
        <v>457</v>
      </c>
      <c r="D532">
        <v>23430</v>
      </c>
      <c r="E532">
        <v>254</v>
      </c>
    </row>
    <row r="533" spans="1:5" x14ac:dyDescent="0.3">
      <c r="A533">
        <v>98</v>
      </c>
      <c r="B533">
        <v>331420</v>
      </c>
      <c r="C533" t="s">
        <v>457</v>
      </c>
      <c r="D533">
        <v>23430</v>
      </c>
      <c r="E533">
        <v>254</v>
      </c>
    </row>
    <row r="534" spans="1:5" x14ac:dyDescent="0.3">
      <c r="A534">
        <v>98</v>
      </c>
      <c r="B534">
        <v>33149</v>
      </c>
      <c r="C534" t="s">
        <v>457</v>
      </c>
      <c r="D534">
        <v>27770</v>
      </c>
      <c r="E534">
        <v>537</v>
      </c>
    </row>
    <row r="535" spans="1:5" x14ac:dyDescent="0.3">
      <c r="A535">
        <v>98</v>
      </c>
      <c r="B535">
        <v>331491</v>
      </c>
      <c r="C535" t="s">
        <v>457</v>
      </c>
      <c r="D535">
        <v>17755</v>
      </c>
      <c r="E535">
        <v>294</v>
      </c>
    </row>
    <row r="536" spans="1:5" x14ac:dyDescent="0.3">
      <c r="A536">
        <v>98</v>
      </c>
      <c r="B536">
        <v>331492</v>
      </c>
      <c r="C536" t="s">
        <v>457</v>
      </c>
      <c r="D536">
        <v>10015</v>
      </c>
      <c r="E536">
        <v>243</v>
      </c>
    </row>
    <row r="537" spans="1:5" x14ac:dyDescent="0.3">
      <c r="A537">
        <v>98</v>
      </c>
      <c r="B537">
        <v>3315</v>
      </c>
      <c r="C537" t="s">
        <v>457</v>
      </c>
      <c r="D537">
        <v>126512</v>
      </c>
      <c r="E537">
        <v>1770</v>
      </c>
    </row>
    <row r="538" spans="1:5" x14ac:dyDescent="0.3">
      <c r="A538">
        <v>98</v>
      </c>
      <c r="B538">
        <v>33151</v>
      </c>
      <c r="C538" t="s">
        <v>457</v>
      </c>
      <c r="D538">
        <v>66785</v>
      </c>
      <c r="E538">
        <v>709</v>
      </c>
    </row>
    <row r="539" spans="1:5" x14ac:dyDescent="0.3">
      <c r="A539">
        <v>98</v>
      </c>
      <c r="B539">
        <v>331511</v>
      </c>
      <c r="C539" t="s">
        <v>457</v>
      </c>
      <c r="D539">
        <v>36467</v>
      </c>
      <c r="E539">
        <v>387</v>
      </c>
    </row>
    <row r="540" spans="1:5" x14ac:dyDescent="0.3">
      <c r="A540">
        <v>98</v>
      </c>
      <c r="B540">
        <v>331512</v>
      </c>
      <c r="C540" t="s">
        <v>457</v>
      </c>
      <c r="D540">
        <v>14206</v>
      </c>
      <c r="E540">
        <v>118</v>
      </c>
    </row>
    <row r="541" spans="1:5" x14ac:dyDescent="0.3">
      <c r="A541">
        <v>98</v>
      </c>
      <c r="B541">
        <v>331513</v>
      </c>
      <c r="C541" t="s">
        <v>457</v>
      </c>
      <c r="D541">
        <v>16112</v>
      </c>
      <c r="E541">
        <v>204</v>
      </c>
    </row>
    <row r="542" spans="1:5" x14ac:dyDescent="0.3">
      <c r="A542">
        <v>98</v>
      </c>
      <c r="B542">
        <v>33152</v>
      </c>
      <c r="C542" t="s">
        <v>457</v>
      </c>
      <c r="D542">
        <v>59727</v>
      </c>
      <c r="E542">
        <v>1061</v>
      </c>
    </row>
    <row r="543" spans="1:5" x14ac:dyDescent="0.3">
      <c r="A543">
        <v>98</v>
      </c>
      <c r="B543">
        <v>331523</v>
      </c>
      <c r="C543" t="s">
        <v>457</v>
      </c>
      <c r="D543">
        <v>34763</v>
      </c>
      <c r="E543">
        <v>430</v>
      </c>
    </row>
    <row r="544" spans="1:5" x14ac:dyDescent="0.3">
      <c r="A544">
        <v>98</v>
      </c>
      <c r="B544">
        <v>331524</v>
      </c>
      <c r="C544" t="s">
        <v>457</v>
      </c>
      <c r="D544">
        <v>15473</v>
      </c>
      <c r="E544">
        <v>344</v>
      </c>
    </row>
    <row r="545" spans="1:5" x14ac:dyDescent="0.3">
      <c r="A545">
        <v>98</v>
      </c>
      <c r="B545">
        <v>331529</v>
      </c>
      <c r="C545" t="s">
        <v>457</v>
      </c>
      <c r="D545">
        <v>9491</v>
      </c>
      <c r="E545">
        <v>287</v>
      </c>
    </row>
    <row r="546" spans="1:5" x14ac:dyDescent="0.3">
      <c r="A546">
        <v>98</v>
      </c>
      <c r="B546">
        <v>332</v>
      </c>
      <c r="C546" t="s">
        <v>457</v>
      </c>
      <c r="D546">
        <v>1446767</v>
      </c>
      <c r="E546">
        <v>54767</v>
      </c>
    </row>
    <row r="547" spans="1:5" x14ac:dyDescent="0.3">
      <c r="A547">
        <v>98</v>
      </c>
      <c r="B547">
        <v>3321</v>
      </c>
      <c r="C547" t="s">
        <v>457</v>
      </c>
      <c r="D547">
        <v>117236</v>
      </c>
      <c r="E547">
        <v>2467</v>
      </c>
    </row>
    <row r="548" spans="1:5" x14ac:dyDescent="0.3">
      <c r="A548">
        <v>98</v>
      </c>
      <c r="B548">
        <v>33211</v>
      </c>
      <c r="C548" t="s">
        <v>457</v>
      </c>
      <c r="D548">
        <v>117236</v>
      </c>
      <c r="E548">
        <v>2467</v>
      </c>
    </row>
    <row r="549" spans="1:5" x14ac:dyDescent="0.3">
      <c r="A549">
        <v>98</v>
      </c>
      <c r="B549">
        <v>332111</v>
      </c>
      <c r="C549" t="s">
        <v>457</v>
      </c>
      <c r="D549">
        <v>23278</v>
      </c>
      <c r="E549">
        <v>384</v>
      </c>
    </row>
    <row r="550" spans="1:5" x14ac:dyDescent="0.3">
      <c r="A550">
        <v>98</v>
      </c>
      <c r="B550">
        <v>332112</v>
      </c>
      <c r="C550" t="s">
        <v>457</v>
      </c>
      <c r="D550">
        <v>7941</v>
      </c>
      <c r="E550">
        <v>63</v>
      </c>
    </row>
    <row r="551" spans="1:5" x14ac:dyDescent="0.3">
      <c r="A551">
        <v>98</v>
      </c>
      <c r="B551">
        <v>332114</v>
      </c>
      <c r="C551" t="s">
        <v>457</v>
      </c>
      <c r="D551">
        <v>23538</v>
      </c>
      <c r="E551">
        <v>476</v>
      </c>
    </row>
    <row r="552" spans="1:5" x14ac:dyDescent="0.3">
      <c r="A552">
        <v>98</v>
      </c>
      <c r="B552">
        <v>332117</v>
      </c>
      <c r="C552" t="s">
        <v>457</v>
      </c>
      <c r="D552">
        <v>8776</v>
      </c>
      <c r="E552">
        <v>125</v>
      </c>
    </row>
    <row r="553" spans="1:5" x14ac:dyDescent="0.3">
      <c r="A553">
        <v>98</v>
      </c>
      <c r="B553">
        <v>332119</v>
      </c>
      <c r="C553" t="s">
        <v>457</v>
      </c>
      <c r="D553">
        <v>53703</v>
      </c>
      <c r="E553">
        <v>1419</v>
      </c>
    </row>
    <row r="554" spans="1:5" x14ac:dyDescent="0.3">
      <c r="A554">
        <v>98</v>
      </c>
      <c r="B554">
        <v>3322</v>
      </c>
      <c r="C554" t="s">
        <v>457</v>
      </c>
      <c r="D554">
        <v>37025</v>
      </c>
      <c r="E554">
        <v>1194</v>
      </c>
    </row>
    <row r="555" spans="1:5" x14ac:dyDescent="0.3">
      <c r="A555">
        <v>98</v>
      </c>
      <c r="B555">
        <v>33221</v>
      </c>
      <c r="C555" t="s">
        <v>457</v>
      </c>
      <c r="D555">
        <v>37025</v>
      </c>
      <c r="E555">
        <v>1194</v>
      </c>
    </row>
    <row r="556" spans="1:5" x14ac:dyDescent="0.3">
      <c r="A556">
        <v>98</v>
      </c>
      <c r="B556">
        <v>332215</v>
      </c>
      <c r="C556" t="s">
        <v>457</v>
      </c>
      <c r="D556">
        <v>7200</v>
      </c>
      <c r="E556">
        <v>214</v>
      </c>
    </row>
    <row r="557" spans="1:5" x14ac:dyDescent="0.3">
      <c r="A557">
        <v>98</v>
      </c>
      <c r="B557">
        <v>332216</v>
      </c>
      <c r="C557" t="s">
        <v>457</v>
      </c>
      <c r="D557">
        <v>29825</v>
      </c>
      <c r="E557">
        <v>980</v>
      </c>
    </row>
    <row r="558" spans="1:5" x14ac:dyDescent="0.3">
      <c r="A558">
        <v>98</v>
      </c>
      <c r="B558">
        <v>3323</v>
      </c>
      <c r="C558" t="s">
        <v>457</v>
      </c>
      <c r="D558">
        <v>341844</v>
      </c>
      <c r="E558">
        <v>12309</v>
      </c>
    </row>
    <row r="559" spans="1:5" x14ac:dyDescent="0.3">
      <c r="A559">
        <v>98</v>
      </c>
      <c r="B559">
        <v>33231</v>
      </c>
      <c r="C559" t="s">
        <v>457</v>
      </c>
      <c r="D559">
        <v>156551</v>
      </c>
      <c r="E559">
        <v>5006</v>
      </c>
    </row>
    <row r="560" spans="1:5" x14ac:dyDescent="0.3">
      <c r="A560">
        <v>98</v>
      </c>
      <c r="B560">
        <v>332311</v>
      </c>
      <c r="C560" t="s">
        <v>457</v>
      </c>
      <c r="D560">
        <v>26341</v>
      </c>
      <c r="E560">
        <v>679</v>
      </c>
    </row>
    <row r="561" spans="1:5" x14ac:dyDescent="0.3">
      <c r="A561">
        <v>98</v>
      </c>
      <c r="B561">
        <v>332312</v>
      </c>
      <c r="C561" t="s">
        <v>457</v>
      </c>
      <c r="D561">
        <v>95644</v>
      </c>
      <c r="E561">
        <v>3059</v>
      </c>
    </row>
    <row r="562" spans="1:5" x14ac:dyDescent="0.3">
      <c r="A562">
        <v>98</v>
      </c>
      <c r="B562">
        <v>332313</v>
      </c>
      <c r="C562" t="s">
        <v>457</v>
      </c>
      <c r="D562">
        <v>34566</v>
      </c>
      <c r="E562">
        <v>1268</v>
      </c>
    </row>
    <row r="563" spans="1:5" x14ac:dyDescent="0.3">
      <c r="A563">
        <v>98</v>
      </c>
      <c r="B563">
        <v>33232</v>
      </c>
      <c r="C563" t="s">
        <v>457</v>
      </c>
      <c r="D563">
        <v>185293</v>
      </c>
      <c r="E563">
        <v>7303</v>
      </c>
    </row>
    <row r="564" spans="1:5" x14ac:dyDescent="0.3">
      <c r="A564">
        <v>98</v>
      </c>
      <c r="B564">
        <v>332321</v>
      </c>
      <c r="C564" t="s">
        <v>457</v>
      </c>
      <c r="D564">
        <v>49441</v>
      </c>
      <c r="E564">
        <v>1035</v>
      </c>
    </row>
    <row r="565" spans="1:5" x14ac:dyDescent="0.3">
      <c r="A565">
        <v>98</v>
      </c>
      <c r="B565">
        <v>332322</v>
      </c>
      <c r="C565" t="s">
        <v>457</v>
      </c>
      <c r="D565">
        <v>102442</v>
      </c>
      <c r="E565">
        <v>4006</v>
      </c>
    </row>
    <row r="566" spans="1:5" x14ac:dyDescent="0.3">
      <c r="A566">
        <v>98</v>
      </c>
      <c r="B566">
        <v>332323</v>
      </c>
      <c r="C566" t="s">
        <v>457</v>
      </c>
      <c r="D566">
        <v>33410</v>
      </c>
      <c r="E566">
        <v>2262</v>
      </c>
    </row>
    <row r="567" spans="1:5" x14ac:dyDescent="0.3">
      <c r="A567">
        <v>98</v>
      </c>
      <c r="B567">
        <v>3324</v>
      </c>
      <c r="C567" t="s">
        <v>457</v>
      </c>
      <c r="D567">
        <v>93021</v>
      </c>
      <c r="E567">
        <v>1575</v>
      </c>
    </row>
    <row r="568" spans="1:5" x14ac:dyDescent="0.3">
      <c r="A568">
        <v>98</v>
      </c>
      <c r="B568">
        <v>33241</v>
      </c>
      <c r="C568" t="s">
        <v>457</v>
      </c>
      <c r="D568">
        <v>26506</v>
      </c>
      <c r="E568">
        <v>310</v>
      </c>
    </row>
    <row r="569" spans="1:5" x14ac:dyDescent="0.3">
      <c r="A569">
        <v>98</v>
      </c>
      <c r="B569">
        <v>332410</v>
      </c>
      <c r="C569" t="s">
        <v>457</v>
      </c>
      <c r="D569">
        <v>26506</v>
      </c>
      <c r="E569">
        <v>310</v>
      </c>
    </row>
    <row r="570" spans="1:5" x14ac:dyDescent="0.3">
      <c r="A570">
        <v>98</v>
      </c>
      <c r="B570">
        <v>33242</v>
      </c>
      <c r="C570" t="s">
        <v>457</v>
      </c>
      <c r="D570">
        <v>37462</v>
      </c>
      <c r="E570">
        <v>767</v>
      </c>
    </row>
    <row r="571" spans="1:5" x14ac:dyDescent="0.3">
      <c r="A571">
        <v>98</v>
      </c>
      <c r="B571">
        <v>332420</v>
      </c>
      <c r="C571" t="s">
        <v>457</v>
      </c>
      <c r="D571">
        <v>37462</v>
      </c>
      <c r="E571">
        <v>767</v>
      </c>
    </row>
    <row r="572" spans="1:5" x14ac:dyDescent="0.3">
      <c r="A572">
        <v>98</v>
      </c>
      <c r="B572">
        <v>33243</v>
      </c>
      <c r="C572" t="s">
        <v>457</v>
      </c>
      <c r="D572">
        <v>29053</v>
      </c>
      <c r="E572">
        <v>498</v>
      </c>
    </row>
    <row r="573" spans="1:5" x14ac:dyDescent="0.3">
      <c r="A573">
        <v>98</v>
      </c>
      <c r="B573">
        <v>332431</v>
      </c>
      <c r="C573" t="s">
        <v>457</v>
      </c>
      <c r="D573">
        <v>16724</v>
      </c>
      <c r="E573">
        <v>169</v>
      </c>
    </row>
    <row r="574" spans="1:5" x14ac:dyDescent="0.3">
      <c r="A574">
        <v>98</v>
      </c>
      <c r="B574">
        <v>332439</v>
      </c>
      <c r="C574" t="s">
        <v>457</v>
      </c>
      <c r="D574">
        <v>12329</v>
      </c>
      <c r="E574">
        <v>329</v>
      </c>
    </row>
    <row r="575" spans="1:5" x14ac:dyDescent="0.3">
      <c r="A575">
        <v>98</v>
      </c>
      <c r="B575">
        <v>3325</v>
      </c>
      <c r="C575" t="s">
        <v>457</v>
      </c>
      <c r="D575">
        <v>28103</v>
      </c>
      <c r="E575">
        <v>599</v>
      </c>
    </row>
    <row r="576" spans="1:5" x14ac:dyDescent="0.3">
      <c r="A576">
        <v>98</v>
      </c>
      <c r="B576">
        <v>33251</v>
      </c>
      <c r="C576" t="s">
        <v>457</v>
      </c>
      <c r="D576">
        <v>28103</v>
      </c>
      <c r="E576">
        <v>599</v>
      </c>
    </row>
    <row r="577" spans="1:5" x14ac:dyDescent="0.3">
      <c r="A577">
        <v>98</v>
      </c>
      <c r="B577">
        <v>332510</v>
      </c>
      <c r="C577" t="s">
        <v>457</v>
      </c>
      <c r="D577">
        <v>28103</v>
      </c>
      <c r="E577">
        <v>599</v>
      </c>
    </row>
    <row r="578" spans="1:5" x14ac:dyDescent="0.3">
      <c r="A578">
        <v>98</v>
      </c>
      <c r="B578">
        <v>3326</v>
      </c>
      <c r="C578" t="s">
        <v>457</v>
      </c>
      <c r="D578">
        <v>38989</v>
      </c>
      <c r="E578">
        <v>1196</v>
      </c>
    </row>
    <row r="579" spans="1:5" x14ac:dyDescent="0.3">
      <c r="A579">
        <v>98</v>
      </c>
      <c r="B579">
        <v>33261</v>
      </c>
      <c r="C579" t="s">
        <v>457</v>
      </c>
      <c r="D579">
        <v>38989</v>
      </c>
      <c r="E579">
        <v>1196</v>
      </c>
    </row>
    <row r="580" spans="1:5" x14ac:dyDescent="0.3">
      <c r="A580">
        <v>98</v>
      </c>
      <c r="B580">
        <v>332613</v>
      </c>
      <c r="C580" t="s">
        <v>457</v>
      </c>
      <c r="D580">
        <v>16444</v>
      </c>
      <c r="E580">
        <v>387</v>
      </c>
    </row>
    <row r="581" spans="1:5" x14ac:dyDescent="0.3">
      <c r="A581">
        <v>98</v>
      </c>
      <c r="B581">
        <v>332618</v>
      </c>
      <c r="C581" t="s">
        <v>457</v>
      </c>
      <c r="D581">
        <v>22545</v>
      </c>
      <c r="E581">
        <v>809</v>
      </c>
    </row>
    <row r="582" spans="1:5" x14ac:dyDescent="0.3">
      <c r="A582">
        <v>98</v>
      </c>
      <c r="B582">
        <v>3327</v>
      </c>
      <c r="C582" t="s">
        <v>457</v>
      </c>
      <c r="D582">
        <v>390015</v>
      </c>
      <c r="E582">
        <v>23083</v>
      </c>
    </row>
    <row r="583" spans="1:5" x14ac:dyDescent="0.3">
      <c r="A583">
        <v>98</v>
      </c>
      <c r="B583">
        <v>33271</v>
      </c>
      <c r="C583" t="s">
        <v>457</v>
      </c>
      <c r="D583">
        <v>250016</v>
      </c>
      <c r="E583">
        <v>18804</v>
      </c>
    </row>
    <row r="584" spans="1:5" x14ac:dyDescent="0.3">
      <c r="A584">
        <v>98</v>
      </c>
      <c r="B584">
        <v>332710</v>
      </c>
      <c r="C584" t="s">
        <v>457</v>
      </c>
      <c r="D584">
        <v>250016</v>
      </c>
      <c r="E584">
        <v>18804</v>
      </c>
    </row>
    <row r="585" spans="1:5" x14ac:dyDescent="0.3">
      <c r="A585">
        <v>98</v>
      </c>
      <c r="B585">
        <v>33272</v>
      </c>
      <c r="C585" t="s">
        <v>457</v>
      </c>
      <c r="D585">
        <v>139999</v>
      </c>
      <c r="E585">
        <v>4279</v>
      </c>
    </row>
    <row r="586" spans="1:5" x14ac:dyDescent="0.3">
      <c r="A586">
        <v>98</v>
      </c>
      <c r="B586">
        <v>332721</v>
      </c>
      <c r="C586" t="s">
        <v>457</v>
      </c>
      <c r="D586">
        <v>103594</v>
      </c>
      <c r="E586">
        <v>3507</v>
      </c>
    </row>
    <row r="587" spans="1:5" x14ac:dyDescent="0.3">
      <c r="A587">
        <v>98</v>
      </c>
      <c r="B587">
        <v>332722</v>
      </c>
      <c r="C587" t="s">
        <v>457</v>
      </c>
      <c r="D587">
        <v>36405</v>
      </c>
      <c r="E587">
        <v>772</v>
      </c>
    </row>
    <row r="588" spans="1:5" x14ac:dyDescent="0.3">
      <c r="A588">
        <v>98</v>
      </c>
      <c r="B588">
        <v>3328</v>
      </c>
      <c r="C588" t="s">
        <v>457</v>
      </c>
      <c r="D588">
        <v>130152</v>
      </c>
      <c r="E588">
        <v>5732</v>
      </c>
    </row>
    <row r="589" spans="1:5" x14ac:dyDescent="0.3">
      <c r="A589">
        <v>98</v>
      </c>
      <c r="B589">
        <v>33281</v>
      </c>
      <c r="C589" t="s">
        <v>457</v>
      </c>
      <c r="D589">
        <v>130152</v>
      </c>
      <c r="E589">
        <v>5732</v>
      </c>
    </row>
    <row r="590" spans="1:5" x14ac:dyDescent="0.3">
      <c r="A590">
        <v>98</v>
      </c>
      <c r="B590">
        <v>332811</v>
      </c>
      <c r="C590" t="s">
        <v>457</v>
      </c>
      <c r="D590">
        <v>23002</v>
      </c>
      <c r="E590">
        <v>809</v>
      </c>
    </row>
    <row r="591" spans="1:5" x14ac:dyDescent="0.3">
      <c r="A591">
        <v>98</v>
      </c>
      <c r="B591">
        <v>332812</v>
      </c>
      <c r="C591" t="s">
        <v>457</v>
      </c>
      <c r="D591">
        <v>53938</v>
      </c>
      <c r="E591">
        <v>2591</v>
      </c>
    </row>
    <row r="592" spans="1:5" x14ac:dyDescent="0.3">
      <c r="A592">
        <v>98</v>
      </c>
      <c r="B592">
        <v>332813</v>
      </c>
      <c r="C592" t="s">
        <v>457</v>
      </c>
      <c r="D592">
        <v>53212</v>
      </c>
      <c r="E592">
        <v>2332</v>
      </c>
    </row>
    <row r="593" spans="1:5" x14ac:dyDescent="0.3">
      <c r="A593">
        <v>98</v>
      </c>
      <c r="B593">
        <v>3329</v>
      </c>
      <c r="C593" t="s">
        <v>457</v>
      </c>
      <c r="D593">
        <v>270382</v>
      </c>
      <c r="E593">
        <v>6612</v>
      </c>
    </row>
    <row r="594" spans="1:5" x14ac:dyDescent="0.3">
      <c r="A594">
        <v>98</v>
      </c>
      <c r="B594">
        <v>33291</v>
      </c>
      <c r="C594" t="s">
        <v>457</v>
      </c>
      <c r="D594">
        <v>99273</v>
      </c>
      <c r="E594">
        <v>1259</v>
      </c>
    </row>
    <row r="595" spans="1:5" x14ac:dyDescent="0.3">
      <c r="A595">
        <v>98</v>
      </c>
      <c r="B595">
        <v>332911</v>
      </c>
      <c r="C595" t="s">
        <v>457</v>
      </c>
      <c r="D595">
        <v>39808</v>
      </c>
      <c r="E595">
        <v>519</v>
      </c>
    </row>
    <row r="596" spans="1:5" x14ac:dyDescent="0.3">
      <c r="A596">
        <v>98</v>
      </c>
      <c r="B596">
        <v>332912</v>
      </c>
      <c r="C596" t="s">
        <v>457</v>
      </c>
      <c r="D596">
        <v>35768</v>
      </c>
      <c r="E596">
        <v>369</v>
      </c>
    </row>
    <row r="597" spans="1:5" x14ac:dyDescent="0.3">
      <c r="A597">
        <v>98</v>
      </c>
      <c r="B597">
        <v>332913</v>
      </c>
      <c r="C597" t="s">
        <v>457</v>
      </c>
      <c r="D597">
        <v>7920</v>
      </c>
      <c r="E597">
        <v>122</v>
      </c>
    </row>
    <row r="598" spans="1:5" x14ac:dyDescent="0.3">
      <c r="A598">
        <v>98</v>
      </c>
      <c r="B598">
        <v>332919</v>
      </c>
      <c r="C598" t="s">
        <v>457</v>
      </c>
      <c r="D598">
        <v>15777</v>
      </c>
      <c r="E598">
        <v>249</v>
      </c>
    </row>
    <row r="599" spans="1:5" x14ac:dyDescent="0.3">
      <c r="A599">
        <v>98</v>
      </c>
      <c r="B599">
        <v>33299</v>
      </c>
      <c r="C599" t="s">
        <v>457</v>
      </c>
      <c r="D599">
        <v>171109</v>
      </c>
      <c r="E599">
        <v>5353</v>
      </c>
    </row>
    <row r="600" spans="1:5" x14ac:dyDescent="0.3">
      <c r="A600">
        <v>98</v>
      </c>
      <c r="B600">
        <v>332991</v>
      </c>
      <c r="C600" t="s">
        <v>457</v>
      </c>
      <c r="D600">
        <v>23460</v>
      </c>
      <c r="E600">
        <v>172</v>
      </c>
    </row>
    <row r="601" spans="1:5" x14ac:dyDescent="0.3">
      <c r="A601">
        <v>98</v>
      </c>
      <c r="B601">
        <v>332992</v>
      </c>
      <c r="C601" t="s">
        <v>457</v>
      </c>
      <c r="D601">
        <v>11688</v>
      </c>
      <c r="E601">
        <v>142</v>
      </c>
    </row>
    <row r="602" spans="1:5" x14ac:dyDescent="0.3">
      <c r="A602">
        <v>98</v>
      </c>
      <c r="B602">
        <v>332993</v>
      </c>
      <c r="C602" t="s">
        <v>457</v>
      </c>
      <c r="D602">
        <v>12327</v>
      </c>
      <c r="E602">
        <v>56</v>
      </c>
    </row>
    <row r="603" spans="1:5" x14ac:dyDescent="0.3">
      <c r="A603">
        <v>98</v>
      </c>
      <c r="B603">
        <v>332994</v>
      </c>
      <c r="C603" t="s">
        <v>457</v>
      </c>
      <c r="D603">
        <v>17987</v>
      </c>
      <c r="E603">
        <v>460</v>
      </c>
    </row>
    <row r="604" spans="1:5" x14ac:dyDescent="0.3">
      <c r="A604">
        <v>98</v>
      </c>
      <c r="B604">
        <v>332996</v>
      </c>
      <c r="C604" t="s">
        <v>457</v>
      </c>
      <c r="D604">
        <v>31982</v>
      </c>
      <c r="E604">
        <v>762</v>
      </c>
    </row>
    <row r="605" spans="1:5" x14ac:dyDescent="0.3">
      <c r="A605">
        <v>98</v>
      </c>
      <c r="B605">
        <v>332999</v>
      </c>
      <c r="C605" t="s">
        <v>457</v>
      </c>
      <c r="D605">
        <v>73665</v>
      </c>
      <c r="E605">
        <v>3761</v>
      </c>
    </row>
    <row r="606" spans="1:5" x14ac:dyDescent="0.3">
      <c r="A606">
        <v>98</v>
      </c>
      <c r="B606">
        <v>333</v>
      </c>
      <c r="C606" t="s">
        <v>457</v>
      </c>
      <c r="D606">
        <v>1078367</v>
      </c>
      <c r="E606">
        <v>23794</v>
      </c>
    </row>
    <row r="607" spans="1:5" x14ac:dyDescent="0.3">
      <c r="A607">
        <v>98</v>
      </c>
      <c r="B607">
        <v>3331</v>
      </c>
      <c r="C607" t="s">
        <v>457</v>
      </c>
      <c r="D607">
        <v>216228</v>
      </c>
      <c r="E607">
        <v>3094</v>
      </c>
    </row>
    <row r="608" spans="1:5" x14ac:dyDescent="0.3">
      <c r="A608">
        <v>98</v>
      </c>
      <c r="B608">
        <v>33311</v>
      </c>
      <c r="C608" t="s">
        <v>457</v>
      </c>
      <c r="D608">
        <v>83746</v>
      </c>
      <c r="E608">
        <v>1333</v>
      </c>
    </row>
    <row r="609" spans="1:5" x14ac:dyDescent="0.3">
      <c r="A609">
        <v>98</v>
      </c>
      <c r="B609">
        <v>333111</v>
      </c>
      <c r="C609" t="s">
        <v>457</v>
      </c>
      <c r="D609">
        <v>67222</v>
      </c>
      <c r="E609">
        <v>1174</v>
      </c>
    </row>
    <row r="610" spans="1:5" x14ac:dyDescent="0.3">
      <c r="A610">
        <v>98</v>
      </c>
      <c r="B610">
        <v>333112</v>
      </c>
      <c r="C610" t="s">
        <v>457</v>
      </c>
      <c r="D610">
        <v>16524</v>
      </c>
      <c r="E610">
        <v>159</v>
      </c>
    </row>
    <row r="611" spans="1:5" x14ac:dyDescent="0.3">
      <c r="A611">
        <v>98</v>
      </c>
      <c r="B611">
        <v>33312</v>
      </c>
      <c r="C611" t="s">
        <v>457</v>
      </c>
      <c r="D611">
        <v>62282</v>
      </c>
      <c r="E611">
        <v>745</v>
      </c>
    </row>
    <row r="612" spans="1:5" x14ac:dyDescent="0.3">
      <c r="A612">
        <v>98</v>
      </c>
      <c r="B612">
        <v>333120</v>
      </c>
      <c r="C612" t="s">
        <v>457</v>
      </c>
      <c r="D612">
        <v>62282</v>
      </c>
      <c r="E612">
        <v>745</v>
      </c>
    </row>
    <row r="613" spans="1:5" x14ac:dyDescent="0.3">
      <c r="A613">
        <v>98</v>
      </c>
      <c r="B613">
        <v>33313</v>
      </c>
      <c r="C613" t="s">
        <v>457</v>
      </c>
      <c r="D613">
        <v>70200</v>
      </c>
      <c r="E613">
        <v>1016</v>
      </c>
    </row>
    <row r="614" spans="1:5" x14ac:dyDescent="0.3">
      <c r="A614">
        <v>98</v>
      </c>
      <c r="B614">
        <v>333131</v>
      </c>
      <c r="C614" t="s">
        <v>457</v>
      </c>
      <c r="D614">
        <v>13619</v>
      </c>
      <c r="E614">
        <v>274</v>
      </c>
    </row>
    <row r="615" spans="1:5" x14ac:dyDescent="0.3">
      <c r="A615">
        <v>98</v>
      </c>
      <c r="B615">
        <v>333132</v>
      </c>
      <c r="C615" t="s">
        <v>457</v>
      </c>
      <c r="D615">
        <v>56581</v>
      </c>
      <c r="E615">
        <v>742</v>
      </c>
    </row>
    <row r="616" spans="1:5" x14ac:dyDescent="0.3">
      <c r="A616">
        <v>98</v>
      </c>
      <c r="B616">
        <v>3332</v>
      </c>
      <c r="C616" t="s">
        <v>457</v>
      </c>
      <c r="D616">
        <v>105368</v>
      </c>
      <c r="E616">
        <v>3262</v>
      </c>
    </row>
    <row r="617" spans="1:5" x14ac:dyDescent="0.3">
      <c r="A617">
        <v>98</v>
      </c>
      <c r="B617">
        <v>33324</v>
      </c>
      <c r="C617" t="s">
        <v>457</v>
      </c>
      <c r="D617">
        <v>105368</v>
      </c>
      <c r="E617">
        <v>3262</v>
      </c>
    </row>
    <row r="618" spans="1:5" x14ac:dyDescent="0.3">
      <c r="A618">
        <v>98</v>
      </c>
      <c r="B618">
        <v>333241</v>
      </c>
      <c r="C618" t="s">
        <v>457</v>
      </c>
      <c r="D618">
        <v>16123</v>
      </c>
      <c r="E618">
        <v>485</v>
      </c>
    </row>
    <row r="619" spans="1:5" x14ac:dyDescent="0.3">
      <c r="A619">
        <v>98</v>
      </c>
      <c r="B619">
        <v>333242</v>
      </c>
      <c r="C619" t="s">
        <v>457</v>
      </c>
      <c r="D619">
        <v>15534</v>
      </c>
      <c r="E619">
        <v>177</v>
      </c>
    </row>
    <row r="620" spans="1:5" x14ac:dyDescent="0.3">
      <c r="A620">
        <v>98</v>
      </c>
      <c r="B620">
        <v>333243</v>
      </c>
      <c r="C620" t="s">
        <v>457</v>
      </c>
      <c r="D620">
        <v>13684</v>
      </c>
      <c r="E620">
        <v>404</v>
      </c>
    </row>
    <row r="621" spans="1:5" x14ac:dyDescent="0.3">
      <c r="A621">
        <v>98</v>
      </c>
      <c r="B621">
        <v>333244</v>
      </c>
      <c r="C621" t="s">
        <v>457</v>
      </c>
      <c r="D621">
        <v>7345</v>
      </c>
      <c r="E621">
        <v>317</v>
      </c>
    </row>
    <row r="622" spans="1:5" x14ac:dyDescent="0.3">
      <c r="A622">
        <v>98</v>
      </c>
      <c r="B622">
        <v>333249</v>
      </c>
      <c r="C622" t="s">
        <v>457</v>
      </c>
      <c r="D622">
        <v>52682</v>
      </c>
      <c r="E622">
        <v>1879</v>
      </c>
    </row>
    <row r="623" spans="1:5" x14ac:dyDescent="0.3">
      <c r="A623">
        <v>98</v>
      </c>
      <c r="B623">
        <v>3333</v>
      </c>
      <c r="C623" t="s">
        <v>457</v>
      </c>
      <c r="D623">
        <v>77229</v>
      </c>
      <c r="E623">
        <v>2014</v>
      </c>
    </row>
    <row r="624" spans="1:5" x14ac:dyDescent="0.3">
      <c r="A624">
        <v>98</v>
      </c>
      <c r="B624">
        <v>33331</v>
      </c>
      <c r="C624" t="s">
        <v>457</v>
      </c>
      <c r="D624">
        <v>77229</v>
      </c>
      <c r="E624">
        <v>2014</v>
      </c>
    </row>
    <row r="625" spans="1:5" x14ac:dyDescent="0.3">
      <c r="A625">
        <v>98</v>
      </c>
      <c r="B625">
        <v>333314</v>
      </c>
      <c r="C625" t="s">
        <v>457</v>
      </c>
      <c r="D625">
        <v>15719</v>
      </c>
      <c r="E625">
        <v>430</v>
      </c>
    </row>
    <row r="626" spans="1:5" x14ac:dyDescent="0.3">
      <c r="A626">
        <v>98</v>
      </c>
      <c r="B626">
        <v>333316</v>
      </c>
      <c r="C626" t="s">
        <v>457</v>
      </c>
      <c r="D626">
        <v>4358</v>
      </c>
      <c r="E626">
        <v>216</v>
      </c>
    </row>
    <row r="627" spans="1:5" x14ac:dyDescent="0.3">
      <c r="A627">
        <v>98</v>
      </c>
      <c r="B627">
        <v>333318</v>
      </c>
      <c r="C627" t="s">
        <v>457</v>
      </c>
      <c r="D627">
        <v>57152</v>
      </c>
      <c r="E627">
        <v>1368</v>
      </c>
    </row>
    <row r="628" spans="1:5" x14ac:dyDescent="0.3">
      <c r="A628">
        <v>98</v>
      </c>
      <c r="B628">
        <v>3334</v>
      </c>
      <c r="C628" t="s">
        <v>457</v>
      </c>
      <c r="D628">
        <v>129001</v>
      </c>
      <c r="E628">
        <v>1776</v>
      </c>
    </row>
    <row r="629" spans="1:5" x14ac:dyDescent="0.3">
      <c r="A629">
        <v>98</v>
      </c>
      <c r="B629">
        <v>33341</v>
      </c>
      <c r="C629" t="s">
        <v>457</v>
      </c>
      <c r="D629">
        <v>129001</v>
      </c>
      <c r="E629">
        <v>1776</v>
      </c>
    </row>
    <row r="630" spans="1:5" x14ac:dyDescent="0.3">
      <c r="A630">
        <v>98</v>
      </c>
      <c r="B630">
        <v>333413</v>
      </c>
      <c r="C630" t="s">
        <v>457</v>
      </c>
      <c r="D630">
        <v>24406</v>
      </c>
      <c r="E630">
        <v>496</v>
      </c>
    </row>
    <row r="631" spans="1:5" x14ac:dyDescent="0.3">
      <c r="A631">
        <v>98</v>
      </c>
      <c r="B631">
        <v>333414</v>
      </c>
      <c r="C631" t="s">
        <v>457</v>
      </c>
      <c r="D631">
        <v>16575</v>
      </c>
      <c r="E631">
        <v>419</v>
      </c>
    </row>
    <row r="632" spans="1:5" x14ac:dyDescent="0.3">
      <c r="A632">
        <v>98</v>
      </c>
      <c r="B632">
        <v>333415</v>
      </c>
      <c r="C632" t="s">
        <v>457</v>
      </c>
      <c r="D632">
        <v>88020</v>
      </c>
      <c r="E632">
        <v>861</v>
      </c>
    </row>
    <row r="633" spans="1:5" x14ac:dyDescent="0.3">
      <c r="A633">
        <v>98</v>
      </c>
      <c r="B633">
        <v>3335</v>
      </c>
      <c r="C633" t="s">
        <v>457</v>
      </c>
      <c r="D633">
        <v>148009</v>
      </c>
      <c r="E633">
        <v>6527</v>
      </c>
    </row>
    <row r="634" spans="1:5" x14ac:dyDescent="0.3">
      <c r="A634">
        <v>98</v>
      </c>
      <c r="B634">
        <v>33351</v>
      </c>
      <c r="C634" t="s">
        <v>457</v>
      </c>
      <c r="D634">
        <v>148009</v>
      </c>
      <c r="E634">
        <v>6527</v>
      </c>
    </row>
    <row r="635" spans="1:5" x14ac:dyDescent="0.3">
      <c r="A635">
        <v>98</v>
      </c>
      <c r="B635">
        <v>333511</v>
      </c>
      <c r="C635" t="s">
        <v>457</v>
      </c>
      <c r="D635">
        <v>35238</v>
      </c>
      <c r="E635">
        <v>1546</v>
      </c>
    </row>
    <row r="636" spans="1:5" x14ac:dyDescent="0.3">
      <c r="A636">
        <v>98</v>
      </c>
      <c r="B636">
        <v>333514</v>
      </c>
      <c r="C636" t="s">
        <v>457</v>
      </c>
      <c r="D636">
        <v>43871</v>
      </c>
      <c r="E636">
        <v>2339</v>
      </c>
    </row>
    <row r="637" spans="1:5" x14ac:dyDescent="0.3">
      <c r="A637">
        <v>98</v>
      </c>
      <c r="B637">
        <v>333515</v>
      </c>
      <c r="C637" t="s">
        <v>457</v>
      </c>
      <c r="D637">
        <v>28552</v>
      </c>
      <c r="E637">
        <v>1229</v>
      </c>
    </row>
    <row r="638" spans="1:5" x14ac:dyDescent="0.3">
      <c r="A638">
        <v>98</v>
      </c>
      <c r="B638">
        <v>333517</v>
      </c>
      <c r="C638" t="s">
        <v>457</v>
      </c>
      <c r="D638">
        <v>27919</v>
      </c>
      <c r="E638">
        <v>1053</v>
      </c>
    </row>
    <row r="639" spans="1:5" x14ac:dyDescent="0.3">
      <c r="A639">
        <v>98</v>
      </c>
      <c r="B639">
        <v>333519</v>
      </c>
      <c r="C639" t="s">
        <v>457</v>
      </c>
      <c r="D639">
        <v>12429</v>
      </c>
      <c r="E639">
        <v>360</v>
      </c>
    </row>
    <row r="640" spans="1:5" x14ac:dyDescent="0.3">
      <c r="A640">
        <v>98</v>
      </c>
      <c r="B640">
        <v>3336</v>
      </c>
      <c r="C640" t="s">
        <v>457</v>
      </c>
      <c r="D640">
        <v>103629</v>
      </c>
      <c r="E640">
        <v>1073</v>
      </c>
    </row>
    <row r="641" spans="1:5" x14ac:dyDescent="0.3">
      <c r="A641">
        <v>98</v>
      </c>
      <c r="B641">
        <v>33361</v>
      </c>
      <c r="C641" t="s">
        <v>457</v>
      </c>
      <c r="D641">
        <v>103629</v>
      </c>
      <c r="E641">
        <v>1073</v>
      </c>
    </row>
    <row r="642" spans="1:5" x14ac:dyDescent="0.3">
      <c r="A642">
        <v>98</v>
      </c>
      <c r="B642">
        <v>333611</v>
      </c>
      <c r="C642" t="s">
        <v>457</v>
      </c>
      <c r="D642">
        <v>34876</v>
      </c>
      <c r="E642">
        <v>266</v>
      </c>
    </row>
    <row r="643" spans="1:5" x14ac:dyDescent="0.3">
      <c r="A643">
        <v>98</v>
      </c>
      <c r="B643">
        <v>333612</v>
      </c>
      <c r="C643" t="s">
        <v>457</v>
      </c>
      <c r="D643">
        <v>14316</v>
      </c>
      <c r="E643">
        <v>237</v>
      </c>
    </row>
    <row r="644" spans="1:5" x14ac:dyDescent="0.3">
      <c r="A644">
        <v>98</v>
      </c>
      <c r="B644">
        <v>333613</v>
      </c>
      <c r="C644" t="s">
        <v>457</v>
      </c>
      <c r="D644">
        <v>15395</v>
      </c>
      <c r="E644">
        <v>252</v>
      </c>
    </row>
    <row r="645" spans="1:5" x14ac:dyDescent="0.3">
      <c r="A645">
        <v>98</v>
      </c>
      <c r="B645">
        <v>333618</v>
      </c>
      <c r="C645" t="s">
        <v>457</v>
      </c>
      <c r="D645">
        <v>39042</v>
      </c>
      <c r="E645">
        <v>318</v>
      </c>
    </row>
    <row r="646" spans="1:5" x14ac:dyDescent="0.3">
      <c r="A646">
        <v>98</v>
      </c>
      <c r="B646">
        <v>3339</v>
      </c>
      <c r="C646" t="s">
        <v>457</v>
      </c>
      <c r="D646">
        <v>298903</v>
      </c>
      <c r="E646">
        <v>6048</v>
      </c>
    </row>
    <row r="647" spans="1:5" x14ac:dyDescent="0.3">
      <c r="A647">
        <v>98</v>
      </c>
      <c r="B647">
        <v>33391</v>
      </c>
      <c r="C647" t="s">
        <v>457</v>
      </c>
      <c r="D647">
        <v>63813</v>
      </c>
      <c r="E647">
        <v>897</v>
      </c>
    </row>
    <row r="648" spans="1:5" x14ac:dyDescent="0.3">
      <c r="A648">
        <v>98</v>
      </c>
      <c r="B648">
        <v>333911</v>
      </c>
      <c r="C648" t="s">
        <v>457</v>
      </c>
      <c r="D648">
        <v>36561</v>
      </c>
      <c r="E648">
        <v>543</v>
      </c>
    </row>
    <row r="649" spans="1:5" x14ac:dyDescent="0.3">
      <c r="A649">
        <v>98</v>
      </c>
      <c r="B649">
        <v>333912</v>
      </c>
      <c r="C649" t="s">
        <v>457</v>
      </c>
      <c r="D649">
        <v>23631</v>
      </c>
      <c r="E649">
        <v>317</v>
      </c>
    </row>
    <row r="650" spans="1:5" x14ac:dyDescent="0.3">
      <c r="A650">
        <v>98</v>
      </c>
      <c r="B650">
        <v>333913</v>
      </c>
      <c r="C650" t="s">
        <v>457</v>
      </c>
      <c r="D650">
        <v>3621</v>
      </c>
      <c r="E650">
        <v>37</v>
      </c>
    </row>
    <row r="651" spans="1:5" x14ac:dyDescent="0.3">
      <c r="A651">
        <v>98</v>
      </c>
      <c r="B651">
        <v>33392</v>
      </c>
      <c r="C651" t="s">
        <v>457</v>
      </c>
      <c r="D651">
        <v>87679</v>
      </c>
      <c r="E651">
        <v>1599</v>
      </c>
    </row>
    <row r="652" spans="1:5" x14ac:dyDescent="0.3">
      <c r="A652">
        <v>98</v>
      </c>
      <c r="B652">
        <v>333921</v>
      </c>
      <c r="C652" t="s">
        <v>457</v>
      </c>
      <c r="D652">
        <v>7323</v>
      </c>
      <c r="E652">
        <v>166</v>
      </c>
    </row>
    <row r="653" spans="1:5" x14ac:dyDescent="0.3">
      <c r="A653">
        <v>98</v>
      </c>
      <c r="B653">
        <v>333922</v>
      </c>
      <c r="C653" t="s">
        <v>457</v>
      </c>
      <c r="D653">
        <v>36287</v>
      </c>
      <c r="E653">
        <v>799</v>
      </c>
    </row>
    <row r="654" spans="1:5" x14ac:dyDescent="0.3">
      <c r="A654">
        <v>98</v>
      </c>
      <c r="B654">
        <v>333923</v>
      </c>
      <c r="C654" t="s">
        <v>457</v>
      </c>
      <c r="D654">
        <v>19567</v>
      </c>
      <c r="E654">
        <v>307</v>
      </c>
    </row>
    <row r="655" spans="1:5" x14ac:dyDescent="0.3">
      <c r="A655">
        <v>98</v>
      </c>
      <c r="B655">
        <v>333924</v>
      </c>
      <c r="C655" t="s">
        <v>457</v>
      </c>
      <c r="D655">
        <v>24502</v>
      </c>
      <c r="E655">
        <v>327</v>
      </c>
    </row>
    <row r="656" spans="1:5" x14ac:dyDescent="0.3">
      <c r="A656">
        <v>98</v>
      </c>
      <c r="B656">
        <v>33399</v>
      </c>
      <c r="C656" t="s">
        <v>457</v>
      </c>
      <c r="D656">
        <v>147411</v>
      </c>
      <c r="E656">
        <v>3552</v>
      </c>
    </row>
    <row r="657" spans="1:5" x14ac:dyDescent="0.3">
      <c r="A657">
        <v>98</v>
      </c>
      <c r="B657">
        <v>333991</v>
      </c>
      <c r="C657" t="s">
        <v>457</v>
      </c>
      <c r="D657">
        <v>7971</v>
      </c>
      <c r="E657">
        <v>148</v>
      </c>
    </row>
    <row r="658" spans="1:5" x14ac:dyDescent="0.3">
      <c r="A658">
        <v>98</v>
      </c>
      <c r="B658">
        <v>333992</v>
      </c>
      <c r="C658" t="s">
        <v>457</v>
      </c>
      <c r="D658">
        <v>15975</v>
      </c>
      <c r="E658">
        <v>378</v>
      </c>
    </row>
    <row r="659" spans="1:5" x14ac:dyDescent="0.3">
      <c r="A659">
        <v>98</v>
      </c>
      <c r="B659">
        <v>333993</v>
      </c>
      <c r="C659" t="s">
        <v>457</v>
      </c>
      <c r="D659">
        <v>20276</v>
      </c>
      <c r="E659">
        <v>549</v>
      </c>
    </row>
    <row r="660" spans="1:5" x14ac:dyDescent="0.3">
      <c r="A660">
        <v>98</v>
      </c>
      <c r="B660">
        <v>333994</v>
      </c>
      <c r="C660" t="s">
        <v>457</v>
      </c>
      <c r="D660">
        <v>11594</v>
      </c>
      <c r="E660">
        <v>350</v>
      </c>
    </row>
    <row r="661" spans="1:5" x14ac:dyDescent="0.3">
      <c r="A661">
        <v>98</v>
      </c>
      <c r="B661">
        <v>333995</v>
      </c>
      <c r="C661" t="s">
        <v>457</v>
      </c>
      <c r="D661">
        <v>24940</v>
      </c>
      <c r="E661">
        <v>324</v>
      </c>
    </row>
    <row r="662" spans="1:5" x14ac:dyDescent="0.3">
      <c r="A662">
        <v>98</v>
      </c>
      <c r="B662">
        <v>333996</v>
      </c>
      <c r="C662" t="s">
        <v>457</v>
      </c>
      <c r="D662">
        <v>10388</v>
      </c>
      <c r="E662">
        <v>152</v>
      </c>
    </row>
    <row r="663" spans="1:5" x14ac:dyDescent="0.3">
      <c r="A663">
        <v>98</v>
      </c>
      <c r="B663">
        <v>333997</v>
      </c>
      <c r="C663" t="s">
        <v>457</v>
      </c>
      <c r="D663">
        <v>3297</v>
      </c>
      <c r="E663">
        <v>83</v>
      </c>
    </row>
    <row r="664" spans="1:5" x14ac:dyDescent="0.3">
      <c r="A664">
        <v>98</v>
      </c>
      <c r="B664">
        <v>333999</v>
      </c>
      <c r="C664" t="s">
        <v>457</v>
      </c>
      <c r="D664">
        <v>52970</v>
      </c>
      <c r="E664">
        <v>1568</v>
      </c>
    </row>
    <row r="665" spans="1:5" x14ac:dyDescent="0.3">
      <c r="A665">
        <v>98</v>
      </c>
      <c r="B665">
        <v>334</v>
      </c>
      <c r="C665" t="s">
        <v>457</v>
      </c>
      <c r="D665">
        <v>795694</v>
      </c>
      <c r="E665">
        <v>12677</v>
      </c>
    </row>
    <row r="666" spans="1:5" x14ac:dyDescent="0.3">
      <c r="A666">
        <v>98</v>
      </c>
      <c r="B666">
        <v>3341</v>
      </c>
      <c r="C666" t="s">
        <v>457</v>
      </c>
      <c r="D666">
        <v>42245</v>
      </c>
      <c r="E666">
        <v>1091</v>
      </c>
    </row>
    <row r="667" spans="1:5" x14ac:dyDescent="0.3">
      <c r="A667">
        <v>98</v>
      </c>
      <c r="B667">
        <v>33411</v>
      </c>
      <c r="C667" t="s">
        <v>457</v>
      </c>
      <c r="D667">
        <v>42245</v>
      </c>
      <c r="E667">
        <v>1091</v>
      </c>
    </row>
    <row r="668" spans="1:5" x14ac:dyDescent="0.3">
      <c r="A668">
        <v>98</v>
      </c>
      <c r="B668">
        <v>334111</v>
      </c>
      <c r="C668" t="s">
        <v>457</v>
      </c>
      <c r="D668">
        <v>12788</v>
      </c>
      <c r="E668">
        <v>395</v>
      </c>
    </row>
    <row r="669" spans="1:5" x14ac:dyDescent="0.3">
      <c r="A669">
        <v>98</v>
      </c>
      <c r="B669">
        <v>334112</v>
      </c>
      <c r="C669" t="s">
        <v>457</v>
      </c>
      <c r="D669">
        <v>8592</v>
      </c>
      <c r="E669">
        <v>97</v>
      </c>
    </row>
    <row r="670" spans="1:5" x14ac:dyDescent="0.3">
      <c r="A670">
        <v>98</v>
      </c>
      <c r="B670">
        <v>334118</v>
      </c>
      <c r="C670" t="s">
        <v>457</v>
      </c>
      <c r="D670">
        <v>20865</v>
      </c>
      <c r="E670">
        <v>599</v>
      </c>
    </row>
    <row r="671" spans="1:5" x14ac:dyDescent="0.3">
      <c r="A671">
        <v>98</v>
      </c>
      <c r="B671">
        <v>3342</v>
      </c>
      <c r="C671" t="s">
        <v>457</v>
      </c>
      <c r="D671">
        <v>92978</v>
      </c>
      <c r="E671">
        <v>1369</v>
      </c>
    </row>
    <row r="672" spans="1:5" x14ac:dyDescent="0.3">
      <c r="A672">
        <v>98</v>
      </c>
      <c r="B672">
        <v>33421</v>
      </c>
      <c r="C672" t="s">
        <v>457</v>
      </c>
      <c r="D672">
        <v>11732</v>
      </c>
      <c r="E672">
        <v>255</v>
      </c>
    </row>
    <row r="673" spans="1:5" x14ac:dyDescent="0.3">
      <c r="A673">
        <v>98</v>
      </c>
      <c r="B673">
        <v>334210</v>
      </c>
      <c r="C673" t="s">
        <v>457</v>
      </c>
      <c r="D673">
        <v>11732</v>
      </c>
      <c r="E673">
        <v>255</v>
      </c>
    </row>
    <row r="674" spans="1:5" x14ac:dyDescent="0.3">
      <c r="A674">
        <v>98</v>
      </c>
      <c r="B674">
        <v>33422</v>
      </c>
      <c r="C674" t="s">
        <v>457</v>
      </c>
      <c r="D674">
        <v>68027</v>
      </c>
      <c r="E674">
        <v>760</v>
      </c>
    </row>
    <row r="675" spans="1:5" x14ac:dyDescent="0.3">
      <c r="A675">
        <v>98</v>
      </c>
      <c r="B675">
        <v>334220</v>
      </c>
      <c r="C675" t="s">
        <v>457</v>
      </c>
      <c r="D675">
        <v>68027</v>
      </c>
      <c r="E675">
        <v>760</v>
      </c>
    </row>
    <row r="676" spans="1:5" x14ac:dyDescent="0.3">
      <c r="A676">
        <v>98</v>
      </c>
      <c r="B676">
        <v>33429</v>
      </c>
      <c r="C676" t="s">
        <v>457</v>
      </c>
      <c r="D676">
        <v>13219</v>
      </c>
      <c r="E676">
        <v>354</v>
      </c>
    </row>
    <row r="677" spans="1:5" x14ac:dyDescent="0.3">
      <c r="A677">
        <v>98</v>
      </c>
      <c r="B677">
        <v>334290</v>
      </c>
      <c r="C677" t="s">
        <v>457</v>
      </c>
      <c r="D677">
        <v>13219</v>
      </c>
      <c r="E677">
        <v>354</v>
      </c>
    </row>
    <row r="678" spans="1:5" x14ac:dyDescent="0.3">
      <c r="A678">
        <v>98</v>
      </c>
      <c r="B678">
        <v>3343</v>
      </c>
      <c r="C678" t="s">
        <v>457</v>
      </c>
      <c r="D678">
        <v>9265</v>
      </c>
      <c r="E678">
        <v>486</v>
      </c>
    </row>
    <row r="679" spans="1:5" x14ac:dyDescent="0.3">
      <c r="A679">
        <v>98</v>
      </c>
      <c r="B679">
        <v>33431</v>
      </c>
      <c r="C679" t="s">
        <v>457</v>
      </c>
      <c r="D679">
        <v>9265</v>
      </c>
      <c r="E679">
        <v>486</v>
      </c>
    </row>
    <row r="680" spans="1:5" x14ac:dyDescent="0.3">
      <c r="A680">
        <v>98</v>
      </c>
      <c r="B680">
        <v>334310</v>
      </c>
      <c r="C680" t="s">
        <v>457</v>
      </c>
      <c r="D680">
        <v>9265</v>
      </c>
      <c r="E680">
        <v>486</v>
      </c>
    </row>
    <row r="681" spans="1:5" x14ac:dyDescent="0.3">
      <c r="A681">
        <v>98</v>
      </c>
      <c r="B681">
        <v>3344</v>
      </c>
      <c r="C681" t="s">
        <v>457</v>
      </c>
      <c r="D681">
        <v>258620</v>
      </c>
      <c r="E681">
        <v>3979</v>
      </c>
    </row>
    <row r="682" spans="1:5" x14ac:dyDescent="0.3">
      <c r="A682">
        <v>98</v>
      </c>
      <c r="B682">
        <v>33441</v>
      </c>
      <c r="C682" t="s">
        <v>457</v>
      </c>
      <c r="D682">
        <v>258620</v>
      </c>
      <c r="E682">
        <v>3979</v>
      </c>
    </row>
    <row r="683" spans="1:5" x14ac:dyDescent="0.3">
      <c r="A683">
        <v>98</v>
      </c>
      <c r="B683">
        <v>334412</v>
      </c>
      <c r="C683" t="s">
        <v>457</v>
      </c>
      <c r="D683">
        <v>23623</v>
      </c>
      <c r="E683">
        <v>514</v>
      </c>
    </row>
    <row r="684" spans="1:5" x14ac:dyDescent="0.3">
      <c r="A684">
        <v>98</v>
      </c>
      <c r="B684">
        <v>334413</v>
      </c>
      <c r="C684" t="s">
        <v>457</v>
      </c>
      <c r="D684">
        <v>94964</v>
      </c>
      <c r="E684">
        <v>864</v>
      </c>
    </row>
    <row r="685" spans="1:5" x14ac:dyDescent="0.3">
      <c r="A685">
        <v>98</v>
      </c>
      <c r="B685">
        <v>334416</v>
      </c>
      <c r="C685" t="s">
        <v>457</v>
      </c>
      <c r="D685">
        <v>18309</v>
      </c>
      <c r="E685">
        <v>386</v>
      </c>
    </row>
    <row r="686" spans="1:5" x14ac:dyDescent="0.3">
      <c r="A686">
        <v>98</v>
      </c>
      <c r="B686">
        <v>334417</v>
      </c>
      <c r="C686" t="s">
        <v>457</v>
      </c>
      <c r="D686">
        <v>19392</v>
      </c>
      <c r="E686">
        <v>216</v>
      </c>
    </row>
    <row r="687" spans="1:5" x14ac:dyDescent="0.3">
      <c r="A687">
        <v>98</v>
      </c>
      <c r="B687">
        <v>334418</v>
      </c>
      <c r="C687" t="s">
        <v>457</v>
      </c>
      <c r="D687">
        <v>54244</v>
      </c>
      <c r="E687">
        <v>880</v>
      </c>
    </row>
    <row r="688" spans="1:5" x14ac:dyDescent="0.3">
      <c r="A688">
        <v>98</v>
      </c>
      <c r="B688">
        <v>334419</v>
      </c>
      <c r="C688" t="s">
        <v>457</v>
      </c>
      <c r="D688">
        <v>48088</v>
      </c>
      <c r="E688">
        <v>1119</v>
      </c>
    </row>
    <row r="689" spans="1:5" x14ac:dyDescent="0.3">
      <c r="A689">
        <v>98</v>
      </c>
      <c r="B689">
        <v>3345</v>
      </c>
      <c r="C689" t="s">
        <v>457</v>
      </c>
      <c r="D689">
        <v>382955</v>
      </c>
      <c r="E689">
        <v>5231</v>
      </c>
    </row>
    <row r="690" spans="1:5" x14ac:dyDescent="0.3">
      <c r="A690">
        <v>98</v>
      </c>
      <c r="B690">
        <v>33451</v>
      </c>
      <c r="C690" t="s">
        <v>457</v>
      </c>
      <c r="D690">
        <v>382955</v>
      </c>
      <c r="E690">
        <v>5231</v>
      </c>
    </row>
    <row r="691" spans="1:5" x14ac:dyDescent="0.3">
      <c r="A691">
        <v>98</v>
      </c>
      <c r="B691">
        <v>334510</v>
      </c>
      <c r="C691" t="s">
        <v>457</v>
      </c>
      <c r="D691">
        <v>66489</v>
      </c>
      <c r="E691">
        <v>770</v>
      </c>
    </row>
    <row r="692" spans="1:5" x14ac:dyDescent="0.3">
      <c r="A692">
        <v>98</v>
      </c>
      <c r="B692">
        <v>334511</v>
      </c>
      <c r="C692" t="s">
        <v>457</v>
      </c>
      <c r="D692">
        <v>123936</v>
      </c>
      <c r="E692">
        <v>554</v>
      </c>
    </row>
    <row r="693" spans="1:5" x14ac:dyDescent="0.3">
      <c r="A693">
        <v>98</v>
      </c>
      <c r="B693">
        <v>334512</v>
      </c>
      <c r="C693" t="s">
        <v>457</v>
      </c>
      <c r="D693">
        <v>10996</v>
      </c>
      <c r="E693">
        <v>282</v>
      </c>
    </row>
    <row r="694" spans="1:5" x14ac:dyDescent="0.3">
      <c r="A694">
        <v>98</v>
      </c>
      <c r="B694">
        <v>334513</v>
      </c>
      <c r="C694" t="s">
        <v>457</v>
      </c>
      <c r="D694">
        <v>37814</v>
      </c>
      <c r="E694">
        <v>845</v>
      </c>
    </row>
    <row r="695" spans="1:5" x14ac:dyDescent="0.3">
      <c r="A695">
        <v>98</v>
      </c>
      <c r="B695">
        <v>334514</v>
      </c>
      <c r="C695" t="s">
        <v>457</v>
      </c>
      <c r="D695">
        <v>15594</v>
      </c>
      <c r="E695">
        <v>201</v>
      </c>
    </row>
    <row r="696" spans="1:5" x14ac:dyDescent="0.3">
      <c r="A696">
        <v>98</v>
      </c>
      <c r="B696">
        <v>334515</v>
      </c>
      <c r="C696" t="s">
        <v>457</v>
      </c>
      <c r="D696">
        <v>32333</v>
      </c>
      <c r="E696">
        <v>813</v>
      </c>
    </row>
    <row r="697" spans="1:5" x14ac:dyDescent="0.3">
      <c r="A697">
        <v>98</v>
      </c>
      <c r="B697">
        <v>334516</v>
      </c>
      <c r="C697" t="s">
        <v>457</v>
      </c>
      <c r="D697">
        <v>43356</v>
      </c>
      <c r="E697">
        <v>683</v>
      </c>
    </row>
    <row r="698" spans="1:5" x14ac:dyDescent="0.3">
      <c r="A698">
        <v>98</v>
      </c>
      <c r="B698">
        <v>334517</v>
      </c>
      <c r="C698" t="s">
        <v>457</v>
      </c>
      <c r="D698">
        <v>14461</v>
      </c>
      <c r="E698">
        <v>157</v>
      </c>
    </row>
    <row r="699" spans="1:5" x14ac:dyDescent="0.3">
      <c r="A699">
        <v>98</v>
      </c>
      <c r="B699">
        <v>334519</v>
      </c>
      <c r="C699" t="s">
        <v>457</v>
      </c>
      <c r="D699">
        <v>37976</v>
      </c>
      <c r="E699">
        <v>926</v>
      </c>
    </row>
    <row r="700" spans="1:5" x14ac:dyDescent="0.3">
      <c r="A700">
        <v>98</v>
      </c>
      <c r="B700">
        <v>3346</v>
      </c>
      <c r="C700" t="s">
        <v>457</v>
      </c>
      <c r="D700">
        <v>9631</v>
      </c>
      <c r="E700">
        <v>521</v>
      </c>
    </row>
    <row r="701" spans="1:5" x14ac:dyDescent="0.3">
      <c r="A701">
        <v>98</v>
      </c>
      <c r="B701">
        <v>33461</v>
      </c>
      <c r="C701" t="s">
        <v>457</v>
      </c>
      <c r="D701">
        <v>9631</v>
      </c>
      <c r="E701">
        <v>521</v>
      </c>
    </row>
    <row r="702" spans="1:5" x14ac:dyDescent="0.3">
      <c r="A702">
        <v>98</v>
      </c>
      <c r="B702">
        <v>334613</v>
      </c>
      <c r="C702" t="s">
        <v>457</v>
      </c>
      <c r="D702">
        <v>1017</v>
      </c>
      <c r="E702">
        <v>80</v>
      </c>
    </row>
    <row r="703" spans="1:5" x14ac:dyDescent="0.3">
      <c r="A703">
        <v>98</v>
      </c>
      <c r="B703">
        <v>334614</v>
      </c>
      <c r="C703" t="s">
        <v>457</v>
      </c>
      <c r="D703">
        <v>8614</v>
      </c>
      <c r="E703">
        <v>441</v>
      </c>
    </row>
    <row r="704" spans="1:5" x14ac:dyDescent="0.3">
      <c r="A704">
        <v>98</v>
      </c>
      <c r="B704">
        <v>335</v>
      </c>
      <c r="C704" t="s">
        <v>457</v>
      </c>
      <c r="D704">
        <v>344735</v>
      </c>
      <c r="E704">
        <v>5671</v>
      </c>
    </row>
    <row r="705" spans="1:5" x14ac:dyDescent="0.3">
      <c r="A705">
        <v>98</v>
      </c>
      <c r="B705">
        <v>3351</v>
      </c>
      <c r="C705" t="s">
        <v>457</v>
      </c>
      <c r="D705">
        <v>43036</v>
      </c>
      <c r="E705">
        <v>1104</v>
      </c>
    </row>
    <row r="706" spans="1:5" x14ac:dyDescent="0.3">
      <c r="A706">
        <v>98</v>
      </c>
      <c r="B706">
        <v>33511</v>
      </c>
      <c r="C706" t="s">
        <v>457</v>
      </c>
      <c r="D706">
        <v>4508</v>
      </c>
      <c r="E706">
        <v>79</v>
      </c>
    </row>
    <row r="707" spans="1:5" x14ac:dyDescent="0.3">
      <c r="A707">
        <v>98</v>
      </c>
      <c r="B707">
        <v>335110</v>
      </c>
      <c r="C707" t="s">
        <v>457</v>
      </c>
      <c r="D707">
        <v>4508</v>
      </c>
      <c r="E707">
        <v>79</v>
      </c>
    </row>
    <row r="708" spans="1:5" x14ac:dyDescent="0.3">
      <c r="A708">
        <v>98</v>
      </c>
      <c r="B708">
        <v>33512</v>
      </c>
      <c r="C708" t="s">
        <v>457</v>
      </c>
      <c r="D708">
        <v>38528</v>
      </c>
      <c r="E708">
        <v>1025</v>
      </c>
    </row>
    <row r="709" spans="1:5" x14ac:dyDescent="0.3">
      <c r="A709">
        <v>98</v>
      </c>
      <c r="B709">
        <v>335121</v>
      </c>
      <c r="C709" t="s">
        <v>457</v>
      </c>
      <c r="D709">
        <v>7126</v>
      </c>
      <c r="E709">
        <v>317</v>
      </c>
    </row>
    <row r="710" spans="1:5" x14ac:dyDescent="0.3">
      <c r="A710">
        <v>98</v>
      </c>
      <c r="B710">
        <v>335122</v>
      </c>
      <c r="C710" t="s">
        <v>457</v>
      </c>
      <c r="D710">
        <v>18759</v>
      </c>
      <c r="E710">
        <v>436</v>
      </c>
    </row>
    <row r="711" spans="1:5" x14ac:dyDescent="0.3">
      <c r="A711">
        <v>98</v>
      </c>
      <c r="B711">
        <v>335129</v>
      </c>
      <c r="C711" t="s">
        <v>457</v>
      </c>
      <c r="D711">
        <v>12643</v>
      </c>
      <c r="E711">
        <v>272</v>
      </c>
    </row>
    <row r="712" spans="1:5" x14ac:dyDescent="0.3">
      <c r="A712">
        <v>98</v>
      </c>
      <c r="B712">
        <v>3352</v>
      </c>
      <c r="C712" t="s">
        <v>457</v>
      </c>
      <c r="D712">
        <v>47536</v>
      </c>
      <c r="E712">
        <v>303</v>
      </c>
    </row>
    <row r="713" spans="1:5" x14ac:dyDescent="0.3">
      <c r="A713">
        <v>98</v>
      </c>
      <c r="B713">
        <v>33521</v>
      </c>
      <c r="C713" t="s">
        <v>457</v>
      </c>
      <c r="D713">
        <v>10261</v>
      </c>
      <c r="E713">
        <v>146</v>
      </c>
    </row>
    <row r="714" spans="1:5" x14ac:dyDescent="0.3">
      <c r="A714">
        <v>98</v>
      </c>
      <c r="B714">
        <v>335210</v>
      </c>
      <c r="C714" t="s">
        <v>457</v>
      </c>
      <c r="D714">
        <v>10261</v>
      </c>
      <c r="E714">
        <v>146</v>
      </c>
    </row>
    <row r="715" spans="1:5" x14ac:dyDescent="0.3">
      <c r="A715">
        <v>98</v>
      </c>
      <c r="B715">
        <v>33522</v>
      </c>
      <c r="C715" t="s">
        <v>457</v>
      </c>
      <c r="D715">
        <v>37275</v>
      </c>
      <c r="E715">
        <v>157</v>
      </c>
    </row>
    <row r="716" spans="1:5" x14ac:dyDescent="0.3">
      <c r="A716">
        <v>98</v>
      </c>
      <c r="B716">
        <v>335221</v>
      </c>
      <c r="C716" t="s">
        <v>457</v>
      </c>
      <c r="D716">
        <v>12307</v>
      </c>
      <c r="E716">
        <v>95</v>
      </c>
    </row>
    <row r="717" spans="1:5" x14ac:dyDescent="0.3">
      <c r="A717">
        <v>98</v>
      </c>
      <c r="B717">
        <v>335222</v>
      </c>
      <c r="C717" t="s">
        <v>457</v>
      </c>
      <c r="D717">
        <v>8414</v>
      </c>
      <c r="E717">
        <v>29</v>
      </c>
    </row>
    <row r="718" spans="1:5" x14ac:dyDescent="0.3">
      <c r="A718">
        <v>98</v>
      </c>
      <c r="B718">
        <v>335224</v>
      </c>
      <c r="C718" t="s">
        <v>457</v>
      </c>
      <c r="D718">
        <v>0</v>
      </c>
      <c r="E718">
        <v>6</v>
      </c>
    </row>
    <row r="719" spans="1:5" x14ac:dyDescent="0.3">
      <c r="A719">
        <v>98</v>
      </c>
      <c r="B719">
        <v>335228</v>
      </c>
      <c r="C719" t="s">
        <v>457</v>
      </c>
      <c r="D719">
        <v>9622</v>
      </c>
      <c r="E719">
        <v>27</v>
      </c>
    </row>
    <row r="720" spans="1:5" x14ac:dyDescent="0.3">
      <c r="A720">
        <v>98</v>
      </c>
      <c r="B720">
        <v>3353</v>
      </c>
      <c r="C720" t="s">
        <v>457</v>
      </c>
      <c r="D720">
        <v>120584</v>
      </c>
      <c r="E720">
        <v>2124</v>
      </c>
    </row>
    <row r="721" spans="1:5" x14ac:dyDescent="0.3">
      <c r="A721">
        <v>98</v>
      </c>
      <c r="B721">
        <v>33531</v>
      </c>
      <c r="C721" t="s">
        <v>457</v>
      </c>
      <c r="D721">
        <v>120584</v>
      </c>
      <c r="E721">
        <v>2124</v>
      </c>
    </row>
    <row r="722" spans="1:5" x14ac:dyDescent="0.3">
      <c r="A722">
        <v>98</v>
      </c>
      <c r="B722">
        <v>335311</v>
      </c>
      <c r="C722" t="s">
        <v>457</v>
      </c>
      <c r="D722">
        <v>19289</v>
      </c>
      <c r="E722">
        <v>246</v>
      </c>
    </row>
    <row r="723" spans="1:5" x14ac:dyDescent="0.3">
      <c r="A723">
        <v>98</v>
      </c>
      <c r="B723">
        <v>335312</v>
      </c>
      <c r="C723" t="s">
        <v>457</v>
      </c>
      <c r="D723">
        <v>31956</v>
      </c>
      <c r="E723">
        <v>459</v>
      </c>
    </row>
    <row r="724" spans="1:5" x14ac:dyDescent="0.3">
      <c r="A724">
        <v>98</v>
      </c>
      <c r="B724">
        <v>335313</v>
      </c>
      <c r="C724" t="s">
        <v>457</v>
      </c>
      <c r="D724">
        <v>34123</v>
      </c>
      <c r="E724">
        <v>519</v>
      </c>
    </row>
    <row r="725" spans="1:5" x14ac:dyDescent="0.3">
      <c r="A725">
        <v>98</v>
      </c>
      <c r="B725">
        <v>335314</v>
      </c>
      <c r="C725" t="s">
        <v>457</v>
      </c>
      <c r="D725">
        <v>35216</v>
      </c>
      <c r="E725">
        <v>900</v>
      </c>
    </row>
    <row r="726" spans="1:5" x14ac:dyDescent="0.3">
      <c r="A726">
        <v>98</v>
      </c>
      <c r="B726">
        <v>3359</v>
      </c>
      <c r="C726" t="s">
        <v>457</v>
      </c>
      <c r="D726">
        <v>133579</v>
      </c>
      <c r="E726">
        <v>2140</v>
      </c>
    </row>
    <row r="727" spans="1:5" x14ac:dyDescent="0.3">
      <c r="A727">
        <v>98</v>
      </c>
      <c r="B727">
        <v>33591</v>
      </c>
      <c r="C727" t="s">
        <v>457</v>
      </c>
      <c r="D727">
        <v>26069</v>
      </c>
      <c r="E727">
        <v>208</v>
      </c>
    </row>
    <row r="728" spans="1:5" x14ac:dyDescent="0.3">
      <c r="A728">
        <v>98</v>
      </c>
      <c r="B728">
        <v>335911</v>
      </c>
      <c r="C728" t="s">
        <v>457</v>
      </c>
      <c r="D728">
        <v>19708</v>
      </c>
      <c r="E728">
        <v>135</v>
      </c>
    </row>
    <row r="729" spans="1:5" x14ac:dyDescent="0.3">
      <c r="A729">
        <v>98</v>
      </c>
      <c r="B729">
        <v>335912</v>
      </c>
      <c r="C729" t="s">
        <v>457</v>
      </c>
      <c r="D729">
        <v>6361</v>
      </c>
      <c r="E729">
        <v>73</v>
      </c>
    </row>
    <row r="730" spans="1:5" x14ac:dyDescent="0.3">
      <c r="A730">
        <v>98</v>
      </c>
      <c r="B730">
        <v>33592</v>
      </c>
      <c r="C730" t="s">
        <v>457</v>
      </c>
      <c r="D730">
        <v>27014</v>
      </c>
      <c r="E730">
        <v>366</v>
      </c>
    </row>
    <row r="731" spans="1:5" x14ac:dyDescent="0.3">
      <c r="A731">
        <v>98</v>
      </c>
      <c r="B731">
        <v>335921</v>
      </c>
      <c r="C731" t="s">
        <v>457</v>
      </c>
      <c r="D731">
        <v>5134</v>
      </c>
      <c r="E731">
        <v>94</v>
      </c>
    </row>
    <row r="732" spans="1:5" x14ac:dyDescent="0.3">
      <c r="A732">
        <v>98</v>
      </c>
      <c r="B732">
        <v>335929</v>
      </c>
      <c r="C732" t="s">
        <v>457</v>
      </c>
      <c r="D732">
        <v>21880</v>
      </c>
      <c r="E732">
        <v>272</v>
      </c>
    </row>
    <row r="733" spans="1:5" x14ac:dyDescent="0.3">
      <c r="A733">
        <v>98</v>
      </c>
      <c r="B733">
        <v>33593</v>
      </c>
      <c r="C733" t="s">
        <v>457</v>
      </c>
      <c r="D733">
        <v>41734</v>
      </c>
      <c r="E733">
        <v>565</v>
      </c>
    </row>
    <row r="734" spans="1:5" x14ac:dyDescent="0.3">
      <c r="A734">
        <v>98</v>
      </c>
      <c r="B734">
        <v>335931</v>
      </c>
      <c r="C734" t="s">
        <v>457</v>
      </c>
      <c r="D734">
        <v>26754</v>
      </c>
      <c r="E734">
        <v>405</v>
      </c>
    </row>
    <row r="735" spans="1:5" x14ac:dyDescent="0.3">
      <c r="A735">
        <v>98</v>
      </c>
      <c r="B735">
        <v>335932</v>
      </c>
      <c r="C735" t="s">
        <v>457</v>
      </c>
      <c r="D735">
        <v>14980</v>
      </c>
      <c r="E735">
        <v>160</v>
      </c>
    </row>
    <row r="736" spans="1:5" x14ac:dyDescent="0.3">
      <c r="A736">
        <v>98</v>
      </c>
      <c r="B736">
        <v>33599</v>
      </c>
      <c r="C736" t="s">
        <v>457</v>
      </c>
      <c r="D736">
        <v>38762</v>
      </c>
      <c r="E736">
        <v>1001</v>
      </c>
    </row>
    <row r="737" spans="1:5" x14ac:dyDescent="0.3">
      <c r="A737">
        <v>98</v>
      </c>
      <c r="B737">
        <v>335991</v>
      </c>
      <c r="C737" t="s">
        <v>457</v>
      </c>
      <c r="D737">
        <v>8854</v>
      </c>
      <c r="E737">
        <v>153</v>
      </c>
    </row>
    <row r="738" spans="1:5" x14ac:dyDescent="0.3">
      <c r="A738">
        <v>98</v>
      </c>
      <c r="B738">
        <v>335999</v>
      </c>
      <c r="C738" t="s">
        <v>457</v>
      </c>
      <c r="D738">
        <v>29908</v>
      </c>
      <c r="E738">
        <v>848</v>
      </c>
    </row>
    <row r="739" spans="1:5" x14ac:dyDescent="0.3">
      <c r="A739">
        <v>98</v>
      </c>
      <c r="B739">
        <v>336</v>
      </c>
      <c r="C739" t="s">
        <v>457</v>
      </c>
      <c r="D739">
        <v>1477611</v>
      </c>
      <c r="E739">
        <v>11880</v>
      </c>
    </row>
    <row r="740" spans="1:5" x14ac:dyDescent="0.3">
      <c r="A740">
        <v>98</v>
      </c>
      <c r="B740">
        <v>3361</v>
      </c>
      <c r="C740" t="s">
        <v>457</v>
      </c>
      <c r="D740">
        <v>187311</v>
      </c>
      <c r="E740">
        <v>340</v>
      </c>
    </row>
    <row r="741" spans="1:5" x14ac:dyDescent="0.3">
      <c r="A741">
        <v>98</v>
      </c>
      <c r="B741">
        <v>33611</v>
      </c>
      <c r="C741" t="s">
        <v>457</v>
      </c>
      <c r="D741">
        <v>155775</v>
      </c>
      <c r="E741">
        <v>260</v>
      </c>
    </row>
    <row r="742" spans="1:5" x14ac:dyDescent="0.3">
      <c r="A742">
        <v>98</v>
      </c>
      <c r="B742">
        <v>336111</v>
      </c>
      <c r="C742" t="s">
        <v>457</v>
      </c>
      <c r="D742">
        <v>79198</v>
      </c>
      <c r="E742">
        <v>188</v>
      </c>
    </row>
    <row r="743" spans="1:5" x14ac:dyDescent="0.3">
      <c r="A743">
        <v>98</v>
      </c>
      <c r="B743">
        <v>336112</v>
      </c>
      <c r="C743" t="s">
        <v>457</v>
      </c>
      <c r="D743">
        <v>76577</v>
      </c>
      <c r="E743">
        <v>72</v>
      </c>
    </row>
    <row r="744" spans="1:5" x14ac:dyDescent="0.3">
      <c r="A744">
        <v>98</v>
      </c>
      <c r="B744">
        <v>33612</v>
      </c>
      <c r="C744" t="s">
        <v>457</v>
      </c>
      <c r="D744">
        <v>31536</v>
      </c>
      <c r="E744">
        <v>80</v>
      </c>
    </row>
    <row r="745" spans="1:5" x14ac:dyDescent="0.3">
      <c r="A745">
        <v>98</v>
      </c>
      <c r="B745">
        <v>336120</v>
      </c>
      <c r="C745" t="s">
        <v>457</v>
      </c>
      <c r="D745">
        <v>31536</v>
      </c>
      <c r="E745">
        <v>80</v>
      </c>
    </row>
    <row r="746" spans="1:5" x14ac:dyDescent="0.3">
      <c r="A746">
        <v>98</v>
      </c>
      <c r="B746">
        <v>3362</v>
      </c>
      <c r="C746" t="s">
        <v>457</v>
      </c>
      <c r="D746">
        <v>136864</v>
      </c>
      <c r="E746">
        <v>1917</v>
      </c>
    </row>
    <row r="747" spans="1:5" x14ac:dyDescent="0.3">
      <c r="A747">
        <v>98</v>
      </c>
      <c r="B747">
        <v>33621</v>
      </c>
      <c r="C747" t="s">
        <v>457</v>
      </c>
      <c r="D747">
        <v>136864</v>
      </c>
      <c r="E747">
        <v>1917</v>
      </c>
    </row>
    <row r="748" spans="1:5" x14ac:dyDescent="0.3">
      <c r="A748">
        <v>98</v>
      </c>
      <c r="B748">
        <v>336211</v>
      </c>
      <c r="C748" t="s">
        <v>457</v>
      </c>
      <c r="D748">
        <v>43970</v>
      </c>
      <c r="E748">
        <v>747</v>
      </c>
    </row>
    <row r="749" spans="1:5" x14ac:dyDescent="0.3">
      <c r="A749">
        <v>98</v>
      </c>
      <c r="B749">
        <v>336212</v>
      </c>
      <c r="C749" t="s">
        <v>457</v>
      </c>
      <c r="D749">
        <v>34210</v>
      </c>
      <c r="E749">
        <v>426</v>
      </c>
    </row>
    <row r="750" spans="1:5" x14ac:dyDescent="0.3">
      <c r="A750">
        <v>98</v>
      </c>
      <c r="B750">
        <v>336213</v>
      </c>
      <c r="C750" t="s">
        <v>457</v>
      </c>
      <c r="D750">
        <v>10306</v>
      </c>
      <c r="E750">
        <v>54</v>
      </c>
    </row>
    <row r="751" spans="1:5" x14ac:dyDescent="0.3">
      <c r="A751">
        <v>98</v>
      </c>
      <c r="B751">
        <v>336214</v>
      </c>
      <c r="C751" t="s">
        <v>457</v>
      </c>
      <c r="D751">
        <v>48378</v>
      </c>
      <c r="E751">
        <v>690</v>
      </c>
    </row>
    <row r="752" spans="1:5" x14ac:dyDescent="0.3">
      <c r="A752">
        <v>98</v>
      </c>
      <c r="B752">
        <v>3363</v>
      </c>
      <c r="C752" t="s">
        <v>457</v>
      </c>
      <c r="D752">
        <v>541462</v>
      </c>
      <c r="E752">
        <v>5088</v>
      </c>
    </row>
    <row r="753" spans="1:5" x14ac:dyDescent="0.3">
      <c r="A753">
        <v>98</v>
      </c>
      <c r="B753">
        <v>33631</v>
      </c>
      <c r="C753" t="s">
        <v>457</v>
      </c>
      <c r="D753">
        <v>56808</v>
      </c>
      <c r="E753">
        <v>858</v>
      </c>
    </row>
    <row r="754" spans="1:5" x14ac:dyDescent="0.3">
      <c r="A754">
        <v>98</v>
      </c>
      <c r="B754">
        <v>336310</v>
      </c>
      <c r="C754" t="s">
        <v>457</v>
      </c>
      <c r="D754">
        <v>56808</v>
      </c>
      <c r="E754">
        <v>858</v>
      </c>
    </row>
    <row r="755" spans="1:5" x14ac:dyDescent="0.3">
      <c r="A755">
        <v>98</v>
      </c>
      <c r="B755">
        <v>33632</v>
      </c>
      <c r="C755" t="s">
        <v>457</v>
      </c>
      <c r="D755">
        <v>60616</v>
      </c>
      <c r="E755">
        <v>672</v>
      </c>
    </row>
    <row r="756" spans="1:5" x14ac:dyDescent="0.3">
      <c r="A756">
        <v>98</v>
      </c>
      <c r="B756">
        <v>336320</v>
      </c>
      <c r="C756" t="s">
        <v>457</v>
      </c>
      <c r="D756">
        <v>60616</v>
      </c>
      <c r="E756">
        <v>672</v>
      </c>
    </row>
    <row r="757" spans="1:5" x14ac:dyDescent="0.3">
      <c r="A757">
        <v>98</v>
      </c>
      <c r="B757">
        <v>33633</v>
      </c>
      <c r="C757" t="s">
        <v>457</v>
      </c>
      <c r="D757">
        <v>36254</v>
      </c>
      <c r="E757">
        <v>258</v>
      </c>
    </row>
    <row r="758" spans="1:5" x14ac:dyDescent="0.3">
      <c r="A758">
        <v>98</v>
      </c>
      <c r="B758">
        <v>336330</v>
      </c>
      <c r="C758" t="s">
        <v>457</v>
      </c>
      <c r="D758">
        <v>36254</v>
      </c>
      <c r="E758">
        <v>258</v>
      </c>
    </row>
    <row r="759" spans="1:5" x14ac:dyDescent="0.3">
      <c r="A759">
        <v>98</v>
      </c>
      <c r="B759">
        <v>33634</v>
      </c>
      <c r="C759" t="s">
        <v>457</v>
      </c>
      <c r="D759">
        <v>21723</v>
      </c>
      <c r="E759">
        <v>187</v>
      </c>
    </row>
    <row r="760" spans="1:5" x14ac:dyDescent="0.3">
      <c r="A760">
        <v>98</v>
      </c>
      <c r="B760">
        <v>336340</v>
      </c>
      <c r="C760" t="s">
        <v>457</v>
      </c>
      <c r="D760">
        <v>21723</v>
      </c>
      <c r="E760">
        <v>187</v>
      </c>
    </row>
    <row r="761" spans="1:5" x14ac:dyDescent="0.3">
      <c r="A761">
        <v>98</v>
      </c>
      <c r="B761">
        <v>33635</v>
      </c>
      <c r="C761" t="s">
        <v>457</v>
      </c>
      <c r="D761">
        <v>67842</v>
      </c>
      <c r="E761">
        <v>483</v>
      </c>
    </row>
    <row r="762" spans="1:5" x14ac:dyDescent="0.3">
      <c r="A762">
        <v>98</v>
      </c>
      <c r="B762">
        <v>336350</v>
      </c>
      <c r="C762" t="s">
        <v>457</v>
      </c>
      <c r="D762">
        <v>67842</v>
      </c>
      <c r="E762">
        <v>483</v>
      </c>
    </row>
    <row r="763" spans="1:5" x14ac:dyDescent="0.3">
      <c r="A763">
        <v>98</v>
      </c>
      <c r="B763">
        <v>33636</v>
      </c>
      <c r="C763" t="s">
        <v>457</v>
      </c>
      <c r="D763">
        <v>63526</v>
      </c>
      <c r="E763">
        <v>408</v>
      </c>
    </row>
    <row r="764" spans="1:5" x14ac:dyDescent="0.3">
      <c r="A764">
        <v>98</v>
      </c>
      <c r="B764">
        <v>336360</v>
      </c>
      <c r="C764" t="s">
        <v>457</v>
      </c>
      <c r="D764">
        <v>63526</v>
      </c>
      <c r="E764">
        <v>408</v>
      </c>
    </row>
    <row r="765" spans="1:5" x14ac:dyDescent="0.3">
      <c r="A765">
        <v>98</v>
      </c>
      <c r="B765">
        <v>33637</v>
      </c>
      <c r="C765" t="s">
        <v>457</v>
      </c>
      <c r="D765">
        <v>97719</v>
      </c>
      <c r="E765">
        <v>776</v>
      </c>
    </row>
    <row r="766" spans="1:5" x14ac:dyDescent="0.3">
      <c r="A766">
        <v>98</v>
      </c>
      <c r="B766">
        <v>336370</v>
      </c>
      <c r="C766" t="s">
        <v>457</v>
      </c>
      <c r="D766">
        <v>97719</v>
      </c>
      <c r="E766">
        <v>776</v>
      </c>
    </row>
    <row r="767" spans="1:5" x14ac:dyDescent="0.3">
      <c r="A767">
        <v>98</v>
      </c>
      <c r="B767">
        <v>33639</v>
      </c>
      <c r="C767" t="s">
        <v>457</v>
      </c>
      <c r="D767">
        <v>136974</v>
      </c>
      <c r="E767">
        <v>1446</v>
      </c>
    </row>
    <row r="768" spans="1:5" x14ac:dyDescent="0.3">
      <c r="A768">
        <v>98</v>
      </c>
      <c r="B768">
        <v>336390</v>
      </c>
      <c r="C768" t="s">
        <v>457</v>
      </c>
      <c r="D768">
        <v>136974</v>
      </c>
      <c r="E768">
        <v>1446</v>
      </c>
    </row>
    <row r="769" spans="1:5" x14ac:dyDescent="0.3">
      <c r="A769">
        <v>98</v>
      </c>
      <c r="B769">
        <v>3364</v>
      </c>
      <c r="C769" t="s">
        <v>457</v>
      </c>
      <c r="D769">
        <v>404321</v>
      </c>
      <c r="E769">
        <v>1811</v>
      </c>
    </row>
    <row r="770" spans="1:5" x14ac:dyDescent="0.3">
      <c r="A770">
        <v>98</v>
      </c>
      <c r="B770">
        <v>33641</v>
      </c>
      <c r="C770" t="s">
        <v>457</v>
      </c>
      <c r="D770">
        <v>404321</v>
      </c>
      <c r="E770">
        <v>1811</v>
      </c>
    </row>
    <row r="771" spans="1:5" x14ac:dyDescent="0.3">
      <c r="A771">
        <v>98</v>
      </c>
      <c r="B771">
        <v>336411</v>
      </c>
      <c r="C771" t="s">
        <v>457</v>
      </c>
      <c r="D771">
        <v>174312</v>
      </c>
      <c r="E771">
        <v>321</v>
      </c>
    </row>
    <row r="772" spans="1:5" x14ac:dyDescent="0.3">
      <c r="A772">
        <v>98</v>
      </c>
      <c r="B772">
        <v>336412</v>
      </c>
      <c r="C772" t="s">
        <v>457</v>
      </c>
      <c r="D772">
        <v>63337</v>
      </c>
      <c r="E772">
        <v>460</v>
      </c>
    </row>
    <row r="773" spans="1:5" x14ac:dyDescent="0.3">
      <c r="A773">
        <v>98</v>
      </c>
      <c r="B773">
        <v>336413</v>
      </c>
      <c r="C773" t="s">
        <v>457</v>
      </c>
      <c r="D773">
        <v>111596</v>
      </c>
      <c r="E773">
        <v>918</v>
      </c>
    </row>
    <row r="774" spans="1:5" x14ac:dyDescent="0.3">
      <c r="A774">
        <v>98</v>
      </c>
      <c r="B774">
        <v>336414</v>
      </c>
      <c r="C774" t="s">
        <v>457</v>
      </c>
      <c r="D774">
        <v>39642</v>
      </c>
      <c r="E774">
        <v>36</v>
      </c>
    </row>
    <row r="775" spans="1:5" x14ac:dyDescent="0.3">
      <c r="A775">
        <v>98</v>
      </c>
      <c r="B775">
        <v>336415</v>
      </c>
      <c r="C775" t="s">
        <v>457</v>
      </c>
      <c r="D775">
        <v>11289</v>
      </c>
      <c r="E775">
        <v>29</v>
      </c>
    </row>
    <row r="776" spans="1:5" x14ac:dyDescent="0.3">
      <c r="A776">
        <v>98</v>
      </c>
      <c r="B776">
        <v>336419</v>
      </c>
      <c r="C776" t="s">
        <v>457</v>
      </c>
      <c r="D776">
        <v>4145</v>
      </c>
      <c r="E776">
        <v>47</v>
      </c>
    </row>
    <row r="777" spans="1:5" x14ac:dyDescent="0.3">
      <c r="A777">
        <v>98</v>
      </c>
      <c r="B777">
        <v>3365</v>
      </c>
      <c r="C777" t="s">
        <v>457</v>
      </c>
      <c r="D777">
        <v>32745</v>
      </c>
      <c r="E777">
        <v>243</v>
      </c>
    </row>
    <row r="778" spans="1:5" x14ac:dyDescent="0.3">
      <c r="A778">
        <v>98</v>
      </c>
      <c r="B778">
        <v>33651</v>
      </c>
      <c r="C778" t="s">
        <v>457</v>
      </c>
      <c r="D778">
        <v>32745</v>
      </c>
      <c r="E778">
        <v>243</v>
      </c>
    </row>
    <row r="779" spans="1:5" x14ac:dyDescent="0.3">
      <c r="A779">
        <v>98</v>
      </c>
      <c r="B779">
        <v>336510</v>
      </c>
      <c r="C779" t="s">
        <v>457</v>
      </c>
      <c r="D779">
        <v>32745</v>
      </c>
      <c r="E779">
        <v>243</v>
      </c>
    </row>
    <row r="780" spans="1:5" x14ac:dyDescent="0.3">
      <c r="A780">
        <v>98</v>
      </c>
      <c r="B780">
        <v>3366</v>
      </c>
      <c r="C780" t="s">
        <v>457</v>
      </c>
      <c r="D780">
        <v>143287</v>
      </c>
      <c r="E780">
        <v>1541</v>
      </c>
    </row>
    <row r="781" spans="1:5" x14ac:dyDescent="0.3">
      <c r="A781">
        <v>98</v>
      </c>
      <c r="B781">
        <v>33661</v>
      </c>
      <c r="C781" t="s">
        <v>457</v>
      </c>
      <c r="D781">
        <v>143287</v>
      </c>
      <c r="E781">
        <v>1541</v>
      </c>
    </row>
    <row r="782" spans="1:5" x14ac:dyDescent="0.3">
      <c r="A782">
        <v>98</v>
      </c>
      <c r="B782">
        <v>336611</v>
      </c>
      <c r="C782" t="s">
        <v>457</v>
      </c>
      <c r="D782">
        <v>107500</v>
      </c>
      <c r="E782">
        <v>674</v>
      </c>
    </row>
    <row r="783" spans="1:5" x14ac:dyDescent="0.3">
      <c r="A783">
        <v>98</v>
      </c>
      <c r="B783">
        <v>336612</v>
      </c>
      <c r="C783" t="s">
        <v>457</v>
      </c>
      <c r="D783">
        <v>35787</v>
      </c>
      <c r="E783">
        <v>867</v>
      </c>
    </row>
    <row r="784" spans="1:5" x14ac:dyDescent="0.3">
      <c r="A784">
        <v>98</v>
      </c>
      <c r="B784">
        <v>3369</v>
      </c>
      <c r="C784" t="s">
        <v>457</v>
      </c>
      <c r="D784">
        <v>31621</v>
      </c>
      <c r="E784">
        <v>940</v>
      </c>
    </row>
    <row r="785" spans="1:5" x14ac:dyDescent="0.3">
      <c r="A785">
        <v>98</v>
      </c>
      <c r="B785">
        <v>33699</v>
      </c>
      <c r="C785" t="s">
        <v>457</v>
      </c>
      <c r="D785">
        <v>31621</v>
      </c>
      <c r="E785">
        <v>940</v>
      </c>
    </row>
    <row r="786" spans="1:5" x14ac:dyDescent="0.3">
      <c r="A786">
        <v>98</v>
      </c>
      <c r="B786">
        <v>336991</v>
      </c>
      <c r="C786" t="s">
        <v>457</v>
      </c>
      <c r="D786">
        <v>11899</v>
      </c>
      <c r="E786">
        <v>452</v>
      </c>
    </row>
    <row r="787" spans="1:5" x14ac:dyDescent="0.3">
      <c r="A787">
        <v>98</v>
      </c>
      <c r="B787">
        <v>336992</v>
      </c>
      <c r="C787" t="s">
        <v>457</v>
      </c>
      <c r="D787">
        <v>6047</v>
      </c>
      <c r="E787">
        <v>63</v>
      </c>
    </row>
    <row r="788" spans="1:5" x14ac:dyDescent="0.3">
      <c r="A788">
        <v>98</v>
      </c>
      <c r="B788">
        <v>336999</v>
      </c>
      <c r="C788" t="s">
        <v>457</v>
      </c>
      <c r="D788">
        <v>13675</v>
      </c>
      <c r="E788">
        <v>425</v>
      </c>
    </row>
    <row r="789" spans="1:5" x14ac:dyDescent="0.3">
      <c r="A789">
        <v>98</v>
      </c>
      <c r="B789">
        <v>337</v>
      </c>
      <c r="C789" t="s">
        <v>457</v>
      </c>
      <c r="D789">
        <v>359121</v>
      </c>
      <c r="E789">
        <v>15098</v>
      </c>
    </row>
    <row r="790" spans="1:5" x14ac:dyDescent="0.3">
      <c r="A790">
        <v>98</v>
      </c>
      <c r="B790">
        <v>3371</v>
      </c>
      <c r="C790" t="s">
        <v>457</v>
      </c>
      <c r="D790">
        <v>217701</v>
      </c>
      <c r="E790">
        <v>10759</v>
      </c>
    </row>
    <row r="791" spans="1:5" x14ac:dyDescent="0.3">
      <c r="A791">
        <v>98</v>
      </c>
      <c r="B791">
        <v>33711</v>
      </c>
      <c r="C791" t="s">
        <v>457</v>
      </c>
      <c r="D791">
        <v>89432</v>
      </c>
      <c r="E791">
        <v>6323</v>
      </c>
    </row>
    <row r="792" spans="1:5" x14ac:dyDescent="0.3">
      <c r="A792">
        <v>98</v>
      </c>
      <c r="B792">
        <v>337110</v>
      </c>
      <c r="C792" t="s">
        <v>457</v>
      </c>
      <c r="D792">
        <v>89432</v>
      </c>
      <c r="E792">
        <v>6323</v>
      </c>
    </row>
    <row r="793" spans="1:5" x14ac:dyDescent="0.3">
      <c r="A793">
        <v>98</v>
      </c>
      <c r="B793">
        <v>33712</v>
      </c>
      <c r="C793" t="s">
        <v>457</v>
      </c>
      <c r="D793">
        <v>128269</v>
      </c>
      <c r="E793">
        <v>4436</v>
      </c>
    </row>
    <row r="794" spans="1:5" x14ac:dyDescent="0.3">
      <c r="A794">
        <v>98</v>
      </c>
      <c r="B794">
        <v>337121</v>
      </c>
      <c r="C794" t="s">
        <v>457</v>
      </c>
      <c r="D794">
        <v>61093</v>
      </c>
      <c r="E794">
        <v>1086</v>
      </c>
    </row>
    <row r="795" spans="1:5" x14ac:dyDescent="0.3">
      <c r="A795">
        <v>98</v>
      </c>
      <c r="B795">
        <v>337122</v>
      </c>
      <c r="C795" t="s">
        <v>457</v>
      </c>
      <c r="D795">
        <v>29561</v>
      </c>
      <c r="E795">
        <v>2206</v>
      </c>
    </row>
    <row r="796" spans="1:5" x14ac:dyDescent="0.3">
      <c r="A796">
        <v>98</v>
      </c>
      <c r="B796">
        <v>337124</v>
      </c>
      <c r="C796" t="s">
        <v>457</v>
      </c>
      <c r="D796">
        <v>9672</v>
      </c>
      <c r="E796">
        <v>292</v>
      </c>
    </row>
    <row r="797" spans="1:5" x14ac:dyDescent="0.3">
      <c r="A797">
        <v>98</v>
      </c>
      <c r="B797">
        <v>337125</v>
      </c>
      <c r="C797" t="s">
        <v>457</v>
      </c>
      <c r="D797">
        <v>3438</v>
      </c>
      <c r="E797">
        <v>198</v>
      </c>
    </row>
    <row r="798" spans="1:5" x14ac:dyDescent="0.3">
      <c r="A798">
        <v>98</v>
      </c>
      <c r="B798">
        <v>337127</v>
      </c>
      <c r="C798" t="s">
        <v>457</v>
      </c>
      <c r="D798">
        <v>24505</v>
      </c>
      <c r="E798">
        <v>654</v>
      </c>
    </row>
    <row r="799" spans="1:5" x14ac:dyDescent="0.3">
      <c r="A799">
        <v>98</v>
      </c>
      <c r="B799">
        <v>3372</v>
      </c>
      <c r="C799" t="s">
        <v>457</v>
      </c>
      <c r="D799">
        <v>109962</v>
      </c>
      <c r="E799">
        <v>3573</v>
      </c>
    </row>
    <row r="800" spans="1:5" x14ac:dyDescent="0.3">
      <c r="A800">
        <v>98</v>
      </c>
      <c r="B800">
        <v>33721</v>
      </c>
      <c r="C800" t="s">
        <v>457</v>
      </c>
      <c r="D800">
        <v>109962</v>
      </c>
      <c r="E800">
        <v>3573</v>
      </c>
    </row>
    <row r="801" spans="1:5" x14ac:dyDescent="0.3">
      <c r="A801">
        <v>98</v>
      </c>
      <c r="B801">
        <v>337211</v>
      </c>
      <c r="C801" t="s">
        <v>457</v>
      </c>
      <c r="D801">
        <v>14105</v>
      </c>
      <c r="E801">
        <v>359</v>
      </c>
    </row>
    <row r="802" spans="1:5" x14ac:dyDescent="0.3">
      <c r="A802">
        <v>98</v>
      </c>
      <c r="B802">
        <v>337212</v>
      </c>
      <c r="C802" t="s">
        <v>457</v>
      </c>
      <c r="D802">
        <v>38684</v>
      </c>
      <c r="E802">
        <v>1948</v>
      </c>
    </row>
    <row r="803" spans="1:5" x14ac:dyDescent="0.3">
      <c r="A803">
        <v>98</v>
      </c>
      <c r="B803">
        <v>337214</v>
      </c>
      <c r="C803" t="s">
        <v>457</v>
      </c>
      <c r="D803">
        <v>21767</v>
      </c>
      <c r="E803">
        <v>238</v>
      </c>
    </row>
    <row r="804" spans="1:5" x14ac:dyDescent="0.3">
      <c r="A804">
        <v>98</v>
      </c>
      <c r="B804">
        <v>337215</v>
      </c>
      <c r="C804" t="s">
        <v>457</v>
      </c>
      <c r="D804">
        <v>35406</v>
      </c>
      <c r="E804">
        <v>1028</v>
      </c>
    </row>
    <row r="805" spans="1:5" x14ac:dyDescent="0.3">
      <c r="A805">
        <v>98</v>
      </c>
      <c r="B805">
        <v>3379</v>
      </c>
      <c r="C805" t="s">
        <v>457</v>
      </c>
      <c r="D805">
        <v>31458</v>
      </c>
      <c r="E805">
        <v>766</v>
      </c>
    </row>
    <row r="806" spans="1:5" x14ac:dyDescent="0.3">
      <c r="A806">
        <v>98</v>
      </c>
      <c r="B806">
        <v>33791</v>
      </c>
      <c r="C806" t="s">
        <v>457</v>
      </c>
      <c r="D806">
        <v>20729</v>
      </c>
      <c r="E806">
        <v>420</v>
      </c>
    </row>
    <row r="807" spans="1:5" x14ac:dyDescent="0.3">
      <c r="A807">
        <v>98</v>
      </c>
      <c r="B807">
        <v>337910</v>
      </c>
      <c r="C807" t="s">
        <v>457</v>
      </c>
      <c r="D807">
        <v>20729</v>
      </c>
      <c r="E807">
        <v>420</v>
      </c>
    </row>
    <row r="808" spans="1:5" x14ac:dyDescent="0.3">
      <c r="A808">
        <v>98</v>
      </c>
      <c r="B808">
        <v>33792</v>
      </c>
      <c r="C808" t="s">
        <v>457</v>
      </c>
      <c r="D808">
        <v>10729</v>
      </c>
      <c r="E808">
        <v>346</v>
      </c>
    </row>
    <row r="809" spans="1:5" x14ac:dyDescent="0.3">
      <c r="A809">
        <v>98</v>
      </c>
      <c r="B809">
        <v>337920</v>
      </c>
      <c r="C809" t="s">
        <v>457</v>
      </c>
      <c r="D809">
        <v>10729</v>
      </c>
      <c r="E809">
        <v>346</v>
      </c>
    </row>
    <row r="810" spans="1:5" x14ac:dyDescent="0.3">
      <c r="A810">
        <v>98</v>
      </c>
      <c r="B810">
        <v>339</v>
      </c>
      <c r="C810" t="s">
        <v>457</v>
      </c>
      <c r="D810">
        <v>538658</v>
      </c>
      <c r="E810">
        <v>26614</v>
      </c>
    </row>
    <row r="811" spans="1:5" x14ac:dyDescent="0.3">
      <c r="A811">
        <v>98</v>
      </c>
      <c r="B811">
        <v>3391</v>
      </c>
      <c r="C811" t="s">
        <v>457</v>
      </c>
      <c r="D811">
        <v>277921</v>
      </c>
      <c r="E811">
        <v>10767</v>
      </c>
    </row>
    <row r="812" spans="1:5" x14ac:dyDescent="0.3">
      <c r="A812">
        <v>98</v>
      </c>
      <c r="B812">
        <v>33911</v>
      </c>
      <c r="C812" t="s">
        <v>457</v>
      </c>
      <c r="D812">
        <v>277921</v>
      </c>
      <c r="E812">
        <v>10767</v>
      </c>
    </row>
    <row r="813" spans="1:5" x14ac:dyDescent="0.3">
      <c r="A813">
        <v>98</v>
      </c>
      <c r="B813">
        <v>339112</v>
      </c>
      <c r="C813" t="s">
        <v>457</v>
      </c>
      <c r="D813">
        <v>102603</v>
      </c>
      <c r="E813">
        <v>1317</v>
      </c>
    </row>
    <row r="814" spans="1:5" x14ac:dyDescent="0.3">
      <c r="A814">
        <v>98</v>
      </c>
      <c r="B814">
        <v>339113</v>
      </c>
      <c r="C814" t="s">
        <v>457</v>
      </c>
      <c r="D814">
        <v>92813</v>
      </c>
      <c r="E814">
        <v>2001</v>
      </c>
    </row>
    <row r="815" spans="1:5" x14ac:dyDescent="0.3">
      <c r="A815">
        <v>98</v>
      </c>
      <c r="B815">
        <v>339114</v>
      </c>
      <c r="C815" t="s">
        <v>457</v>
      </c>
      <c r="D815">
        <v>15354</v>
      </c>
      <c r="E815">
        <v>679</v>
      </c>
    </row>
    <row r="816" spans="1:5" x14ac:dyDescent="0.3">
      <c r="A816">
        <v>98</v>
      </c>
      <c r="B816">
        <v>339115</v>
      </c>
      <c r="C816" t="s">
        <v>457</v>
      </c>
      <c r="D816">
        <v>24847</v>
      </c>
      <c r="E816">
        <v>546</v>
      </c>
    </row>
    <row r="817" spans="1:5" x14ac:dyDescent="0.3">
      <c r="A817">
        <v>98</v>
      </c>
      <c r="B817">
        <v>339116</v>
      </c>
      <c r="C817" t="s">
        <v>457</v>
      </c>
      <c r="D817">
        <v>42304</v>
      </c>
      <c r="E817">
        <v>6224</v>
      </c>
    </row>
    <row r="818" spans="1:5" x14ac:dyDescent="0.3">
      <c r="A818">
        <v>98</v>
      </c>
      <c r="B818">
        <v>3399</v>
      </c>
      <c r="C818" t="s">
        <v>457</v>
      </c>
      <c r="D818">
        <v>260737</v>
      </c>
      <c r="E818">
        <v>15847</v>
      </c>
    </row>
    <row r="819" spans="1:5" x14ac:dyDescent="0.3">
      <c r="A819">
        <v>98</v>
      </c>
      <c r="B819">
        <v>33991</v>
      </c>
      <c r="C819" t="s">
        <v>457</v>
      </c>
      <c r="D819">
        <v>25676</v>
      </c>
      <c r="E819">
        <v>2126</v>
      </c>
    </row>
    <row r="820" spans="1:5" x14ac:dyDescent="0.3">
      <c r="A820">
        <v>98</v>
      </c>
      <c r="B820">
        <v>339910</v>
      </c>
      <c r="C820" t="s">
        <v>457</v>
      </c>
      <c r="D820">
        <v>25676</v>
      </c>
      <c r="E820">
        <v>2126</v>
      </c>
    </row>
    <row r="821" spans="1:5" x14ac:dyDescent="0.3">
      <c r="A821">
        <v>98</v>
      </c>
      <c r="B821">
        <v>33992</v>
      </c>
      <c r="C821" t="s">
        <v>457</v>
      </c>
      <c r="D821">
        <v>37054</v>
      </c>
      <c r="E821">
        <v>1708</v>
      </c>
    </row>
    <row r="822" spans="1:5" x14ac:dyDescent="0.3">
      <c r="A822">
        <v>98</v>
      </c>
      <c r="B822">
        <v>339920</v>
      </c>
      <c r="C822" t="s">
        <v>457</v>
      </c>
      <c r="D822">
        <v>37054</v>
      </c>
      <c r="E822">
        <v>1708</v>
      </c>
    </row>
    <row r="823" spans="1:5" x14ac:dyDescent="0.3">
      <c r="A823">
        <v>98</v>
      </c>
      <c r="B823">
        <v>33993</v>
      </c>
      <c r="C823" t="s">
        <v>457</v>
      </c>
      <c r="D823">
        <v>6394</v>
      </c>
      <c r="E823">
        <v>572</v>
      </c>
    </row>
    <row r="824" spans="1:5" x14ac:dyDescent="0.3">
      <c r="A824">
        <v>98</v>
      </c>
      <c r="B824">
        <v>339930</v>
      </c>
      <c r="C824" t="s">
        <v>457</v>
      </c>
      <c r="D824">
        <v>6394</v>
      </c>
      <c r="E824">
        <v>572</v>
      </c>
    </row>
    <row r="825" spans="1:5" x14ac:dyDescent="0.3">
      <c r="A825">
        <v>98</v>
      </c>
      <c r="B825">
        <v>33994</v>
      </c>
      <c r="C825" t="s">
        <v>457</v>
      </c>
      <c r="D825">
        <v>11083</v>
      </c>
      <c r="E825">
        <v>493</v>
      </c>
    </row>
    <row r="826" spans="1:5" x14ac:dyDescent="0.3">
      <c r="A826">
        <v>98</v>
      </c>
      <c r="B826">
        <v>339940</v>
      </c>
      <c r="C826" t="s">
        <v>457</v>
      </c>
      <c r="D826">
        <v>11083</v>
      </c>
      <c r="E826">
        <v>493</v>
      </c>
    </row>
    <row r="827" spans="1:5" x14ac:dyDescent="0.3">
      <c r="A827">
        <v>98</v>
      </c>
      <c r="B827">
        <v>33995</v>
      </c>
      <c r="C827" t="s">
        <v>457</v>
      </c>
      <c r="D827">
        <v>73029</v>
      </c>
      <c r="E827">
        <v>5486</v>
      </c>
    </row>
    <row r="828" spans="1:5" x14ac:dyDescent="0.3">
      <c r="A828">
        <v>98</v>
      </c>
      <c r="B828">
        <v>339950</v>
      </c>
      <c r="C828" t="s">
        <v>457</v>
      </c>
      <c r="D828">
        <v>73029</v>
      </c>
      <c r="E828">
        <v>5486</v>
      </c>
    </row>
    <row r="829" spans="1:5" x14ac:dyDescent="0.3">
      <c r="A829">
        <v>98</v>
      </c>
      <c r="B829">
        <v>33999</v>
      </c>
      <c r="C829" t="s">
        <v>457</v>
      </c>
      <c r="D829">
        <v>107501</v>
      </c>
      <c r="E829">
        <v>5462</v>
      </c>
    </row>
    <row r="830" spans="1:5" x14ac:dyDescent="0.3">
      <c r="A830">
        <v>98</v>
      </c>
      <c r="B830">
        <v>339991</v>
      </c>
      <c r="C830" t="s">
        <v>457</v>
      </c>
      <c r="D830">
        <v>30051</v>
      </c>
      <c r="E830">
        <v>583</v>
      </c>
    </row>
    <row r="831" spans="1:5" x14ac:dyDescent="0.3">
      <c r="A831">
        <v>98</v>
      </c>
      <c r="B831">
        <v>339992</v>
      </c>
      <c r="C831" t="s">
        <v>457</v>
      </c>
      <c r="D831">
        <v>11703</v>
      </c>
      <c r="E831">
        <v>638</v>
      </c>
    </row>
    <row r="832" spans="1:5" x14ac:dyDescent="0.3">
      <c r="A832">
        <v>98</v>
      </c>
      <c r="B832">
        <v>339993</v>
      </c>
      <c r="C832" t="s">
        <v>457</v>
      </c>
      <c r="D832">
        <v>4142</v>
      </c>
      <c r="E832">
        <v>135</v>
      </c>
    </row>
    <row r="833" spans="1:5" x14ac:dyDescent="0.3">
      <c r="A833">
        <v>98</v>
      </c>
      <c r="B833">
        <v>339994</v>
      </c>
      <c r="C833" t="s">
        <v>457</v>
      </c>
      <c r="D833">
        <v>8953</v>
      </c>
      <c r="E833">
        <v>186</v>
      </c>
    </row>
    <row r="834" spans="1:5" x14ac:dyDescent="0.3">
      <c r="A834">
        <v>98</v>
      </c>
      <c r="B834">
        <v>339995</v>
      </c>
      <c r="C834" t="s">
        <v>457</v>
      </c>
      <c r="D834">
        <v>3686</v>
      </c>
      <c r="E834">
        <v>105</v>
      </c>
    </row>
    <row r="835" spans="1:5" x14ac:dyDescent="0.3">
      <c r="A835">
        <v>98</v>
      </c>
      <c r="B835">
        <v>339999</v>
      </c>
      <c r="C835" t="s">
        <v>457</v>
      </c>
      <c r="D835">
        <v>48966</v>
      </c>
      <c r="E835">
        <v>3815</v>
      </c>
    </row>
    <row r="836" spans="1:5" x14ac:dyDescent="0.3">
      <c r="A836">
        <v>98</v>
      </c>
      <c r="B836" t="s">
        <v>180</v>
      </c>
      <c r="C836" t="s">
        <v>457</v>
      </c>
      <c r="D836">
        <v>6076109</v>
      </c>
      <c r="E836">
        <v>413437</v>
      </c>
    </row>
    <row r="837" spans="1:5" x14ac:dyDescent="0.3">
      <c r="A837">
        <v>98</v>
      </c>
      <c r="B837">
        <v>423</v>
      </c>
      <c r="C837" t="s">
        <v>457</v>
      </c>
      <c r="D837">
        <v>3440564</v>
      </c>
      <c r="E837">
        <v>237494</v>
      </c>
    </row>
    <row r="838" spans="1:5" x14ac:dyDescent="0.3">
      <c r="A838">
        <v>98</v>
      </c>
      <c r="B838">
        <v>4231</v>
      </c>
      <c r="C838" t="s">
        <v>457</v>
      </c>
      <c r="D838">
        <v>389133</v>
      </c>
      <c r="E838">
        <v>24115</v>
      </c>
    </row>
    <row r="839" spans="1:5" x14ac:dyDescent="0.3">
      <c r="A839">
        <v>98</v>
      </c>
      <c r="B839">
        <v>42311</v>
      </c>
      <c r="C839" t="s">
        <v>457</v>
      </c>
      <c r="D839">
        <v>122579</v>
      </c>
      <c r="E839">
        <v>6357</v>
      </c>
    </row>
    <row r="840" spans="1:5" x14ac:dyDescent="0.3">
      <c r="A840">
        <v>98</v>
      </c>
      <c r="B840">
        <v>423110</v>
      </c>
      <c r="C840" t="s">
        <v>457</v>
      </c>
      <c r="D840">
        <v>122579</v>
      </c>
      <c r="E840">
        <v>6357</v>
      </c>
    </row>
    <row r="841" spans="1:5" x14ac:dyDescent="0.3">
      <c r="A841">
        <v>98</v>
      </c>
      <c r="B841">
        <v>42312</v>
      </c>
      <c r="C841" t="s">
        <v>457</v>
      </c>
      <c r="D841">
        <v>212231</v>
      </c>
      <c r="E841">
        <v>13422</v>
      </c>
    </row>
    <row r="842" spans="1:5" x14ac:dyDescent="0.3">
      <c r="A842">
        <v>98</v>
      </c>
      <c r="B842">
        <v>423120</v>
      </c>
      <c r="C842" t="s">
        <v>457</v>
      </c>
      <c r="D842">
        <v>212231</v>
      </c>
      <c r="E842">
        <v>13422</v>
      </c>
    </row>
    <row r="843" spans="1:5" x14ac:dyDescent="0.3">
      <c r="A843">
        <v>98</v>
      </c>
      <c r="B843">
        <v>42313</v>
      </c>
      <c r="C843" t="s">
        <v>457</v>
      </c>
      <c r="D843">
        <v>36283</v>
      </c>
      <c r="E843">
        <v>2635</v>
      </c>
    </row>
    <row r="844" spans="1:5" x14ac:dyDescent="0.3">
      <c r="A844">
        <v>98</v>
      </c>
      <c r="B844">
        <v>423130</v>
      </c>
      <c r="C844" t="s">
        <v>457</v>
      </c>
      <c r="D844">
        <v>36283</v>
      </c>
      <c r="E844">
        <v>2635</v>
      </c>
    </row>
    <row r="845" spans="1:5" x14ac:dyDescent="0.3">
      <c r="A845">
        <v>98</v>
      </c>
      <c r="B845">
        <v>42314</v>
      </c>
      <c r="C845" t="s">
        <v>457</v>
      </c>
      <c r="D845">
        <v>18040</v>
      </c>
      <c r="E845">
        <v>1701</v>
      </c>
    </row>
    <row r="846" spans="1:5" x14ac:dyDescent="0.3">
      <c r="A846">
        <v>98</v>
      </c>
      <c r="B846">
        <v>423140</v>
      </c>
      <c r="C846" t="s">
        <v>457</v>
      </c>
      <c r="D846">
        <v>18040</v>
      </c>
      <c r="E846">
        <v>1701</v>
      </c>
    </row>
    <row r="847" spans="1:5" x14ac:dyDescent="0.3">
      <c r="A847">
        <v>98</v>
      </c>
      <c r="B847">
        <v>4232</v>
      </c>
      <c r="C847" t="s">
        <v>457</v>
      </c>
      <c r="D847">
        <v>150512</v>
      </c>
      <c r="E847">
        <v>12069</v>
      </c>
    </row>
    <row r="848" spans="1:5" x14ac:dyDescent="0.3">
      <c r="A848">
        <v>98</v>
      </c>
      <c r="B848">
        <v>42321</v>
      </c>
      <c r="C848" t="s">
        <v>457</v>
      </c>
      <c r="D848">
        <v>65602</v>
      </c>
      <c r="E848">
        <v>5509</v>
      </c>
    </row>
    <row r="849" spans="1:5" x14ac:dyDescent="0.3">
      <c r="A849">
        <v>98</v>
      </c>
      <c r="B849">
        <v>423210</v>
      </c>
      <c r="C849" t="s">
        <v>457</v>
      </c>
      <c r="D849">
        <v>65602</v>
      </c>
      <c r="E849">
        <v>5509</v>
      </c>
    </row>
    <row r="850" spans="1:5" x14ac:dyDescent="0.3">
      <c r="A850">
        <v>98</v>
      </c>
      <c r="B850">
        <v>42322</v>
      </c>
      <c r="C850" t="s">
        <v>457</v>
      </c>
      <c r="D850">
        <v>84910</v>
      </c>
      <c r="E850">
        <v>6560</v>
      </c>
    </row>
    <row r="851" spans="1:5" x14ac:dyDescent="0.3">
      <c r="A851">
        <v>98</v>
      </c>
      <c r="B851">
        <v>423220</v>
      </c>
      <c r="C851" t="s">
        <v>457</v>
      </c>
      <c r="D851">
        <v>84910</v>
      </c>
      <c r="E851">
        <v>6560</v>
      </c>
    </row>
    <row r="852" spans="1:5" x14ac:dyDescent="0.3">
      <c r="A852">
        <v>98</v>
      </c>
      <c r="B852">
        <v>4233</v>
      </c>
      <c r="C852" t="s">
        <v>457</v>
      </c>
      <c r="D852">
        <v>216804</v>
      </c>
      <c r="E852">
        <v>16840</v>
      </c>
    </row>
    <row r="853" spans="1:5" x14ac:dyDescent="0.3">
      <c r="A853">
        <v>98</v>
      </c>
      <c r="B853">
        <v>42331</v>
      </c>
      <c r="C853" t="s">
        <v>457</v>
      </c>
      <c r="D853">
        <v>109491</v>
      </c>
      <c r="E853">
        <v>6887</v>
      </c>
    </row>
    <row r="854" spans="1:5" x14ac:dyDescent="0.3">
      <c r="A854">
        <v>98</v>
      </c>
      <c r="B854">
        <v>423310</v>
      </c>
      <c r="C854" t="s">
        <v>457</v>
      </c>
      <c r="D854">
        <v>109491</v>
      </c>
      <c r="E854">
        <v>6887</v>
      </c>
    </row>
    <row r="855" spans="1:5" x14ac:dyDescent="0.3">
      <c r="A855">
        <v>98</v>
      </c>
      <c r="B855">
        <v>42332</v>
      </c>
      <c r="C855" t="s">
        <v>457</v>
      </c>
      <c r="D855">
        <v>30453</v>
      </c>
      <c r="E855">
        <v>3471</v>
      </c>
    </row>
    <row r="856" spans="1:5" x14ac:dyDescent="0.3">
      <c r="A856">
        <v>98</v>
      </c>
      <c r="B856">
        <v>423320</v>
      </c>
      <c r="C856" t="s">
        <v>457</v>
      </c>
      <c r="D856">
        <v>30453</v>
      </c>
      <c r="E856">
        <v>3471</v>
      </c>
    </row>
    <row r="857" spans="1:5" x14ac:dyDescent="0.3">
      <c r="A857">
        <v>98</v>
      </c>
      <c r="B857">
        <v>42333</v>
      </c>
      <c r="C857" t="s">
        <v>457</v>
      </c>
      <c r="D857">
        <v>37660</v>
      </c>
      <c r="E857">
        <v>3173</v>
      </c>
    </row>
    <row r="858" spans="1:5" x14ac:dyDescent="0.3">
      <c r="A858">
        <v>98</v>
      </c>
      <c r="B858">
        <v>423330</v>
      </c>
      <c r="C858" t="s">
        <v>457</v>
      </c>
      <c r="D858">
        <v>37660</v>
      </c>
      <c r="E858">
        <v>3173</v>
      </c>
    </row>
    <row r="859" spans="1:5" x14ac:dyDescent="0.3">
      <c r="A859">
        <v>98</v>
      </c>
      <c r="B859">
        <v>42339</v>
      </c>
      <c r="C859" t="s">
        <v>457</v>
      </c>
      <c r="D859">
        <v>39200</v>
      </c>
      <c r="E859">
        <v>3309</v>
      </c>
    </row>
    <row r="860" spans="1:5" x14ac:dyDescent="0.3">
      <c r="A860">
        <v>98</v>
      </c>
      <c r="B860">
        <v>423390</v>
      </c>
      <c r="C860" t="s">
        <v>457</v>
      </c>
      <c r="D860">
        <v>39200</v>
      </c>
      <c r="E860">
        <v>3309</v>
      </c>
    </row>
    <row r="861" spans="1:5" x14ac:dyDescent="0.3">
      <c r="A861">
        <v>98</v>
      </c>
      <c r="B861">
        <v>4234</v>
      </c>
      <c r="C861" t="s">
        <v>457</v>
      </c>
      <c r="D861">
        <v>642753</v>
      </c>
      <c r="E861">
        <v>34136</v>
      </c>
    </row>
    <row r="862" spans="1:5" x14ac:dyDescent="0.3">
      <c r="A862">
        <v>98</v>
      </c>
      <c r="B862">
        <v>42341</v>
      </c>
      <c r="C862" t="s">
        <v>457</v>
      </c>
      <c r="D862">
        <v>15450</v>
      </c>
      <c r="E862">
        <v>872</v>
      </c>
    </row>
    <row r="863" spans="1:5" x14ac:dyDescent="0.3">
      <c r="A863">
        <v>98</v>
      </c>
      <c r="B863">
        <v>423410</v>
      </c>
      <c r="C863" t="s">
        <v>457</v>
      </c>
      <c r="D863">
        <v>15450</v>
      </c>
      <c r="E863">
        <v>872</v>
      </c>
    </row>
    <row r="864" spans="1:5" x14ac:dyDescent="0.3">
      <c r="A864">
        <v>98</v>
      </c>
      <c r="B864">
        <v>42342</v>
      </c>
      <c r="C864" t="s">
        <v>457</v>
      </c>
      <c r="D864">
        <v>120167</v>
      </c>
      <c r="E864">
        <v>7200</v>
      </c>
    </row>
    <row r="865" spans="1:5" x14ac:dyDescent="0.3">
      <c r="A865">
        <v>98</v>
      </c>
      <c r="B865">
        <v>423420</v>
      </c>
      <c r="C865" t="s">
        <v>457</v>
      </c>
      <c r="D865">
        <v>120167</v>
      </c>
      <c r="E865">
        <v>7200</v>
      </c>
    </row>
    <row r="866" spans="1:5" x14ac:dyDescent="0.3">
      <c r="A866">
        <v>98</v>
      </c>
      <c r="B866">
        <v>42343</v>
      </c>
      <c r="C866" t="s">
        <v>457</v>
      </c>
      <c r="D866">
        <v>193845</v>
      </c>
      <c r="E866">
        <v>8864</v>
      </c>
    </row>
    <row r="867" spans="1:5" x14ac:dyDescent="0.3">
      <c r="A867">
        <v>98</v>
      </c>
      <c r="B867">
        <v>423430</v>
      </c>
      <c r="C867" t="s">
        <v>457</v>
      </c>
      <c r="D867">
        <v>193845</v>
      </c>
      <c r="E867">
        <v>8864</v>
      </c>
    </row>
    <row r="868" spans="1:5" x14ac:dyDescent="0.3">
      <c r="A868">
        <v>98</v>
      </c>
      <c r="B868">
        <v>42344</v>
      </c>
      <c r="C868" t="s">
        <v>457</v>
      </c>
      <c r="D868">
        <v>47943</v>
      </c>
      <c r="E868">
        <v>4070</v>
      </c>
    </row>
    <row r="869" spans="1:5" x14ac:dyDescent="0.3">
      <c r="A869">
        <v>98</v>
      </c>
      <c r="B869">
        <v>423440</v>
      </c>
      <c r="C869" t="s">
        <v>457</v>
      </c>
      <c r="D869">
        <v>47943</v>
      </c>
      <c r="E869">
        <v>4070</v>
      </c>
    </row>
    <row r="870" spans="1:5" x14ac:dyDescent="0.3">
      <c r="A870">
        <v>98</v>
      </c>
      <c r="B870">
        <v>42345</v>
      </c>
      <c r="C870" t="s">
        <v>457</v>
      </c>
      <c r="D870">
        <v>207770</v>
      </c>
      <c r="E870">
        <v>9663</v>
      </c>
    </row>
    <row r="871" spans="1:5" x14ac:dyDescent="0.3">
      <c r="A871">
        <v>98</v>
      </c>
      <c r="B871">
        <v>423450</v>
      </c>
      <c r="C871" t="s">
        <v>457</v>
      </c>
      <c r="D871">
        <v>207770</v>
      </c>
      <c r="E871">
        <v>9663</v>
      </c>
    </row>
    <row r="872" spans="1:5" x14ac:dyDescent="0.3">
      <c r="A872">
        <v>98</v>
      </c>
      <c r="B872">
        <v>42346</v>
      </c>
      <c r="C872" t="s">
        <v>457</v>
      </c>
      <c r="D872">
        <v>22436</v>
      </c>
      <c r="E872">
        <v>1238</v>
      </c>
    </row>
    <row r="873" spans="1:5" x14ac:dyDescent="0.3">
      <c r="A873">
        <v>98</v>
      </c>
      <c r="B873">
        <v>423460</v>
      </c>
      <c r="C873" t="s">
        <v>457</v>
      </c>
      <c r="D873">
        <v>22436</v>
      </c>
      <c r="E873">
        <v>1238</v>
      </c>
    </row>
    <row r="874" spans="1:5" x14ac:dyDescent="0.3">
      <c r="A874">
        <v>98</v>
      </c>
      <c r="B874">
        <v>42349</v>
      </c>
      <c r="C874" t="s">
        <v>457</v>
      </c>
      <c r="D874">
        <v>35142</v>
      </c>
      <c r="E874">
        <v>2229</v>
      </c>
    </row>
    <row r="875" spans="1:5" x14ac:dyDescent="0.3">
      <c r="A875">
        <v>98</v>
      </c>
      <c r="B875">
        <v>423490</v>
      </c>
      <c r="C875" t="s">
        <v>457</v>
      </c>
      <c r="D875">
        <v>35142</v>
      </c>
      <c r="E875">
        <v>2229</v>
      </c>
    </row>
    <row r="876" spans="1:5" x14ac:dyDescent="0.3">
      <c r="A876">
        <v>98</v>
      </c>
      <c r="B876">
        <v>4235</v>
      </c>
      <c r="C876" t="s">
        <v>457</v>
      </c>
      <c r="D876">
        <v>156906</v>
      </c>
      <c r="E876">
        <v>9975</v>
      </c>
    </row>
    <row r="877" spans="1:5" x14ac:dyDescent="0.3">
      <c r="A877">
        <v>98</v>
      </c>
      <c r="B877">
        <v>42351</v>
      </c>
      <c r="C877" t="s">
        <v>457</v>
      </c>
      <c r="D877">
        <v>152904</v>
      </c>
      <c r="E877">
        <v>9576</v>
      </c>
    </row>
    <row r="878" spans="1:5" x14ac:dyDescent="0.3">
      <c r="A878">
        <v>98</v>
      </c>
      <c r="B878">
        <v>423510</v>
      </c>
      <c r="C878" t="s">
        <v>457</v>
      </c>
      <c r="D878">
        <v>152904</v>
      </c>
      <c r="E878">
        <v>9576</v>
      </c>
    </row>
    <row r="879" spans="1:5" x14ac:dyDescent="0.3">
      <c r="A879">
        <v>98</v>
      </c>
      <c r="B879">
        <v>42352</v>
      </c>
      <c r="C879" t="s">
        <v>457</v>
      </c>
      <c r="D879">
        <v>4002</v>
      </c>
      <c r="E879">
        <v>399</v>
      </c>
    </row>
    <row r="880" spans="1:5" x14ac:dyDescent="0.3">
      <c r="A880">
        <v>98</v>
      </c>
      <c r="B880">
        <v>423520</v>
      </c>
      <c r="C880" t="s">
        <v>457</v>
      </c>
      <c r="D880">
        <v>4002</v>
      </c>
      <c r="E880">
        <v>399</v>
      </c>
    </row>
    <row r="881" spans="1:5" x14ac:dyDescent="0.3">
      <c r="A881">
        <v>98</v>
      </c>
      <c r="B881">
        <v>4236</v>
      </c>
      <c r="C881" t="s">
        <v>457</v>
      </c>
      <c r="D881">
        <v>546721</v>
      </c>
      <c r="E881">
        <v>29230</v>
      </c>
    </row>
    <row r="882" spans="1:5" x14ac:dyDescent="0.3">
      <c r="A882">
        <v>98</v>
      </c>
      <c r="B882">
        <v>42361</v>
      </c>
      <c r="C882" t="s">
        <v>457</v>
      </c>
      <c r="D882">
        <v>209642</v>
      </c>
      <c r="E882">
        <v>14695</v>
      </c>
    </row>
    <row r="883" spans="1:5" x14ac:dyDescent="0.3">
      <c r="A883">
        <v>98</v>
      </c>
      <c r="B883">
        <v>423610</v>
      </c>
      <c r="C883" t="s">
        <v>457</v>
      </c>
      <c r="D883">
        <v>209642</v>
      </c>
      <c r="E883">
        <v>14695</v>
      </c>
    </row>
    <row r="884" spans="1:5" x14ac:dyDescent="0.3">
      <c r="A884">
        <v>98</v>
      </c>
      <c r="B884">
        <v>42362</v>
      </c>
      <c r="C884" t="s">
        <v>457</v>
      </c>
      <c r="D884">
        <v>49871</v>
      </c>
      <c r="E884">
        <v>2638</v>
      </c>
    </row>
    <row r="885" spans="1:5" x14ac:dyDescent="0.3">
      <c r="A885">
        <v>98</v>
      </c>
      <c r="B885">
        <v>423620</v>
      </c>
      <c r="C885" t="s">
        <v>457</v>
      </c>
      <c r="D885">
        <v>49871</v>
      </c>
      <c r="E885">
        <v>2638</v>
      </c>
    </row>
    <row r="886" spans="1:5" x14ac:dyDescent="0.3">
      <c r="A886">
        <v>98</v>
      </c>
      <c r="B886">
        <v>42369</v>
      </c>
      <c r="C886" t="s">
        <v>457</v>
      </c>
      <c r="D886">
        <v>287208</v>
      </c>
      <c r="E886">
        <v>11897</v>
      </c>
    </row>
    <row r="887" spans="1:5" x14ac:dyDescent="0.3">
      <c r="A887">
        <v>98</v>
      </c>
      <c r="B887">
        <v>423690</v>
      </c>
      <c r="C887" t="s">
        <v>457</v>
      </c>
      <c r="D887">
        <v>287208</v>
      </c>
      <c r="E887">
        <v>11897</v>
      </c>
    </row>
    <row r="888" spans="1:5" x14ac:dyDescent="0.3">
      <c r="A888">
        <v>98</v>
      </c>
      <c r="B888">
        <v>4237</v>
      </c>
      <c r="C888" t="s">
        <v>457</v>
      </c>
      <c r="D888">
        <v>235319</v>
      </c>
      <c r="E888">
        <v>19147</v>
      </c>
    </row>
    <row r="889" spans="1:5" x14ac:dyDescent="0.3">
      <c r="A889">
        <v>98</v>
      </c>
      <c r="B889">
        <v>42371</v>
      </c>
      <c r="C889" t="s">
        <v>457</v>
      </c>
      <c r="D889">
        <v>89341</v>
      </c>
      <c r="E889">
        <v>6222</v>
      </c>
    </row>
    <row r="890" spans="1:5" x14ac:dyDescent="0.3">
      <c r="A890">
        <v>98</v>
      </c>
      <c r="B890">
        <v>423710</v>
      </c>
      <c r="C890" t="s">
        <v>457</v>
      </c>
      <c r="D890">
        <v>89341</v>
      </c>
      <c r="E890">
        <v>6222</v>
      </c>
    </row>
    <row r="891" spans="1:5" x14ac:dyDescent="0.3">
      <c r="A891">
        <v>98</v>
      </c>
      <c r="B891">
        <v>42372</v>
      </c>
      <c r="C891" t="s">
        <v>457</v>
      </c>
      <c r="D891">
        <v>72663</v>
      </c>
      <c r="E891">
        <v>6019</v>
      </c>
    </row>
    <row r="892" spans="1:5" x14ac:dyDescent="0.3">
      <c r="A892">
        <v>98</v>
      </c>
      <c r="B892">
        <v>423720</v>
      </c>
      <c r="C892" t="s">
        <v>457</v>
      </c>
      <c r="D892">
        <v>72663</v>
      </c>
      <c r="E892">
        <v>6019</v>
      </c>
    </row>
    <row r="893" spans="1:5" x14ac:dyDescent="0.3">
      <c r="A893">
        <v>98</v>
      </c>
      <c r="B893">
        <v>42373</v>
      </c>
      <c r="C893" t="s">
        <v>457</v>
      </c>
      <c r="D893">
        <v>60001</v>
      </c>
      <c r="E893">
        <v>5571</v>
      </c>
    </row>
    <row r="894" spans="1:5" x14ac:dyDescent="0.3">
      <c r="A894">
        <v>98</v>
      </c>
      <c r="B894">
        <v>423730</v>
      </c>
      <c r="C894" t="s">
        <v>457</v>
      </c>
      <c r="D894">
        <v>60001</v>
      </c>
      <c r="E894">
        <v>5571</v>
      </c>
    </row>
    <row r="895" spans="1:5" x14ac:dyDescent="0.3">
      <c r="A895">
        <v>98</v>
      </c>
      <c r="B895">
        <v>42374</v>
      </c>
      <c r="C895" t="s">
        <v>457</v>
      </c>
      <c r="D895">
        <v>13314</v>
      </c>
      <c r="E895">
        <v>1335</v>
      </c>
    </row>
    <row r="896" spans="1:5" x14ac:dyDescent="0.3">
      <c r="A896">
        <v>98</v>
      </c>
      <c r="B896">
        <v>423740</v>
      </c>
      <c r="C896" t="s">
        <v>457</v>
      </c>
      <c r="D896">
        <v>13314</v>
      </c>
      <c r="E896">
        <v>1335</v>
      </c>
    </row>
    <row r="897" spans="1:5" x14ac:dyDescent="0.3">
      <c r="A897">
        <v>98</v>
      </c>
      <c r="B897">
        <v>4238</v>
      </c>
      <c r="C897" t="s">
        <v>457</v>
      </c>
      <c r="D897">
        <v>768555</v>
      </c>
      <c r="E897">
        <v>57638</v>
      </c>
    </row>
    <row r="898" spans="1:5" x14ac:dyDescent="0.3">
      <c r="A898">
        <v>98</v>
      </c>
      <c r="B898">
        <v>42381</v>
      </c>
      <c r="C898" t="s">
        <v>457</v>
      </c>
      <c r="D898">
        <v>92658</v>
      </c>
      <c r="E898">
        <v>4829</v>
      </c>
    </row>
    <row r="899" spans="1:5" x14ac:dyDescent="0.3">
      <c r="A899">
        <v>98</v>
      </c>
      <c r="B899">
        <v>423810</v>
      </c>
      <c r="C899" t="s">
        <v>457</v>
      </c>
      <c r="D899">
        <v>92658</v>
      </c>
      <c r="E899">
        <v>4829</v>
      </c>
    </row>
    <row r="900" spans="1:5" x14ac:dyDescent="0.3">
      <c r="A900">
        <v>98</v>
      </c>
      <c r="B900">
        <v>42382</v>
      </c>
      <c r="C900" t="s">
        <v>457</v>
      </c>
      <c r="D900">
        <v>109303</v>
      </c>
      <c r="E900">
        <v>7798</v>
      </c>
    </row>
    <row r="901" spans="1:5" x14ac:dyDescent="0.3">
      <c r="A901">
        <v>98</v>
      </c>
      <c r="B901">
        <v>423820</v>
      </c>
      <c r="C901" t="s">
        <v>457</v>
      </c>
      <c r="D901">
        <v>109303</v>
      </c>
      <c r="E901">
        <v>7798</v>
      </c>
    </row>
    <row r="902" spans="1:5" x14ac:dyDescent="0.3">
      <c r="A902">
        <v>98</v>
      </c>
      <c r="B902">
        <v>42383</v>
      </c>
      <c r="C902" t="s">
        <v>457</v>
      </c>
      <c r="D902">
        <v>387775</v>
      </c>
      <c r="E902">
        <v>29920</v>
      </c>
    </row>
    <row r="903" spans="1:5" x14ac:dyDescent="0.3">
      <c r="A903">
        <v>98</v>
      </c>
      <c r="B903">
        <v>423830</v>
      </c>
      <c r="C903" t="s">
        <v>457</v>
      </c>
      <c r="D903">
        <v>387775</v>
      </c>
      <c r="E903">
        <v>29920</v>
      </c>
    </row>
    <row r="904" spans="1:5" x14ac:dyDescent="0.3">
      <c r="A904">
        <v>98</v>
      </c>
      <c r="B904">
        <v>42384</v>
      </c>
      <c r="C904" t="s">
        <v>457</v>
      </c>
      <c r="D904">
        <v>94899</v>
      </c>
      <c r="E904">
        <v>8120</v>
      </c>
    </row>
    <row r="905" spans="1:5" x14ac:dyDescent="0.3">
      <c r="A905">
        <v>98</v>
      </c>
      <c r="B905">
        <v>423840</v>
      </c>
      <c r="C905" t="s">
        <v>457</v>
      </c>
      <c r="D905">
        <v>94899</v>
      </c>
      <c r="E905">
        <v>8120</v>
      </c>
    </row>
    <row r="906" spans="1:5" x14ac:dyDescent="0.3">
      <c r="A906">
        <v>98</v>
      </c>
      <c r="B906">
        <v>42385</v>
      </c>
      <c r="C906" t="s">
        <v>457</v>
      </c>
      <c r="D906">
        <v>47703</v>
      </c>
      <c r="E906">
        <v>4472</v>
      </c>
    </row>
    <row r="907" spans="1:5" x14ac:dyDescent="0.3">
      <c r="A907">
        <v>98</v>
      </c>
      <c r="B907">
        <v>423850</v>
      </c>
      <c r="C907" t="s">
        <v>457</v>
      </c>
      <c r="D907">
        <v>47703</v>
      </c>
      <c r="E907">
        <v>4472</v>
      </c>
    </row>
    <row r="908" spans="1:5" x14ac:dyDescent="0.3">
      <c r="A908">
        <v>98</v>
      </c>
      <c r="B908">
        <v>42386</v>
      </c>
      <c r="C908" t="s">
        <v>457</v>
      </c>
      <c r="D908">
        <v>36217</v>
      </c>
      <c r="E908">
        <v>2499</v>
      </c>
    </row>
    <row r="909" spans="1:5" x14ac:dyDescent="0.3">
      <c r="A909">
        <v>98</v>
      </c>
      <c r="B909">
        <v>423860</v>
      </c>
      <c r="C909" t="s">
        <v>457</v>
      </c>
      <c r="D909">
        <v>36217</v>
      </c>
      <c r="E909">
        <v>2499</v>
      </c>
    </row>
    <row r="910" spans="1:5" x14ac:dyDescent="0.3">
      <c r="A910">
        <v>98</v>
      </c>
      <c r="B910">
        <v>4239</v>
      </c>
      <c r="C910" t="s">
        <v>457</v>
      </c>
      <c r="D910">
        <v>333861</v>
      </c>
      <c r="E910">
        <v>34344</v>
      </c>
    </row>
    <row r="911" spans="1:5" x14ac:dyDescent="0.3">
      <c r="A911">
        <v>98</v>
      </c>
      <c r="B911">
        <v>42391</v>
      </c>
      <c r="C911" t="s">
        <v>457</v>
      </c>
      <c r="D911">
        <v>60038</v>
      </c>
      <c r="E911">
        <v>5912</v>
      </c>
    </row>
    <row r="912" spans="1:5" x14ac:dyDescent="0.3">
      <c r="A912">
        <v>98</v>
      </c>
      <c r="B912">
        <v>423910</v>
      </c>
      <c r="C912" t="s">
        <v>457</v>
      </c>
      <c r="D912">
        <v>60038</v>
      </c>
      <c r="E912">
        <v>5912</v>
      </c>
    </row>
    <row r="913" spans="1:5" x14ac:dyDescent="0.3">
      <c r="A913">
        <v>98</v>
      </c>
      <c r="B913">
        <v>42392</v>
      </c>
      <c r="C913" t="s">
        <v>457</v>
      </c>
      <c r="D913">
        <v>32214</v>
      </c>
      <c r="E913">
        <v>2127</v>
      </c>
    </row>
    <row r="914" spans="1:5" x14ac:dyDescent="0.3">
      <c r="A914">
        <v>98</v>
      </c>
      <c r="B914">
        <v>423920</v>
      </c>
      <c r="C914" t="s">
        <v>457</v>
      </c>
      <c r="D914">
        <v>32214</v>
      </c>
      <c r="E914">
        <v>2127</v>
      </c>
    </row>
    <row r="915" spans="1:5" x14ac:dyDescent="0.3">
      <c r="A915">
        <v>98</v>
      </c>
      <c r="B915">
        <v>42393</v>
      </c>
      <c r="C915" t="s">
        <v>457</v>
      </c>
      <c r="D915">
        <v>108047</v>
      </c>
      <c r="E915">
        <v>8669</v>
      </c>
    </row>
    <row r="916" spans="1:5" x14ac:dyDescent="0.3">
      <c r="A916">
        <v>98</v>
      </c>
      <c r="B916">
        <v>423930</v>
      </c>
      <c r="C916" t="s">
        <v>457</v>
      </c>
      <c r="D916">
        <v>108047</v>
      </c>
      <c r="E916">
        <v>8669</v>
      </c>
    </row>
    <row r="917" spans="1:5" x14ac:dyDescent="0.3">
      <c r="A917">
        <v>98</v>
      </c>
      <c r="B917">
        <v>42394</v>
      </c>
      <c r="C917" t="s">
        <v>457</v>
      </c>
      <c r="D917">
        <v>47274</v>
      </c>
      <c r="E917">
        <v>7536</v>
      </c>
    </row>
    <row r="918" spans="1:5" x14ac:dyDescent="0.3">
      <c r="A918">
        <v>98</v>
      </c>
      <c r="B918">
        <v>423940</v>
      </c>
      <c r="C918" t="s">
        <v>457</v>
      </c>
      <c r="D918">
        <v>47274</v>
      </c>
      <c r="E918">
        <v>7536</v>
      </c>
    </row>
    <row r="919" spans="1:5" x14ac:dyDescent="0.3">
      <c r="A919">
        <v>98</v>
      </c>
      <c r="B919">
        <v>42399</v>
      </c>
      <c r="C919" t="s">
        <v>457</v>
      </c>
      <c r="D919">
        <v>86288</v>
      </c>
      <c r="E919">
        <v>10100</v>
      </c>
    </row>
    <row r="920" spans="1:5" x14ac:dyDescent="0.3">
      <c r="A920">
        <v>98</v>
      </c>
      <c r="B920">
        <v>423990</v>
      </c>
      <c r="C920" t="s">
        <v>457</v>
      </c>
      <c r="D920">
        <v>86288</v>
      </c>
      <c r="E920">
        <v>10100</v>
      </c>
    </row>
    <row r="921" spans="1:5" x14ac:dyDescent="0.3">
      <c r="A921">
        <v>98</v>
      </c>
      <c r="B921">
        <v>424</v>
      </c>
      <c r="C921" t="s">
        <v>457</v>
      </c>
      <c r="D921">
        <v>2333872</v>
      </c>
      <c r="E921">
        <v>130436</v>
      </c>
    </row>
    <row r="922" spans="1:5" x14ac:dyDescent="0.3">
      <c r="A922">
        <v>98</v>
      </c>
      <c r="B922">
        <v>4241</v>
      </c>
      <c r="C922" t="s">
        <v>457</v>
      </c>
      <c r="D922">
        <v>147391</v>
      </c>
      <c r="E922">
        <v>10117</v>
      </c>
    </row>
    <row r="923" spans="1:5" x14ac:dyDescent="0.3">
      <c r="A923">
        <v>98</v>
      </c>
      <c r="B923">
        <v>42411</v>
      </c>
      <c r="C923" t="s">
        <v>457</v>
      </c>
      <c r="D923">
        <v>12080</v>
      </c>
      <c r="E923">
        <v>1003</v>
      </c>
    </row>
    <row r="924" spans="1:5" x14ac:dyDescent="0.3">
      <c r="A924">
        <v>98</v>
      </c>
      <c r="B924">
        <v>424110</v>
      </c>
      <c r="C924" t="s">
        <v>457</v>
      </c>
      <c r="D924">
        <v>12080</v>
      </c>
      <c r="E924">
        <v>1003</v>
      </c>
    </row>
    <row r="925" spans="1:5" x14ac:dyDescent="0.3">
      <c r="A925">
        <v>98</v>
      </c>
      <c r="B925">
        <v>42412</v>
      </c>
      <c r="C925" t="s">
        <v>457</v>
      </c>
      <c r="D925">
        <v>68546</v>
      </c>
      <c r="E925">
        <v>4621</v>
      </c>
    </row>
    <row r="926" spans="1:5" x14ac:dyDescent="0.3">
      <c r="A926">
        <v>98</v>
      </c>
      <c r="B926">
        <v>424120</v>
      </c>
      <c r="C926" t="s">
        <v>457</v>
      </c>
      <c r="D926">
        <v>68546</v>
      </c>
      <c r="E926">
        <v>4621</v>
      </c>
    </row>
    <row r="927" spans="1:5" x14ac:dyDescent="0.3">
      <c r="A927">
        <v>98</v>
      </c>
      <c r="B927">
        <v>42413</v>
      </c>
      <c r="C927" t="s">
        <v>457</v>
      </c>
      <c r="D927">
        <v>66765</v>
      </c>
      <c r="E927">
        <v>4493</v>
      </c>
    </row>
    <row r="928" spans="1:5" x14ac:dyDescent="0.3">
      <c r="A928">
        <v>98</v>
      </c>
      <c r="B928">
        <v>424130</v>
      </c>
      <c r="C928" t="s">
        <v>457</v>
      </c>
      <c r="D928">
        <v>66765</v>
      </c>
      <c r="E928">
        <v>4493</v>
      </c>
    </row>
    <row r="929" spans="1:5" x14ac:dyDescent="0.3">
      <c r="A929">
        <v>98</v>
      </c>
      <c r="B929">
        <v>4242</v>
      </c>
      <c r="C929" t="s">
        <v>457</v>
      </c>
      <c r="D929">
        <v>307211</v>
      </c>
      <c r="E929">
        <v>10129</v>
      </c>
    </row>
    <row r="930" spans="1:5" x14ac:dyDescent="0.3">
      <c r="A930">
        <v>98</v>
      </c>
      <c r="B930">
        <v>42421</v>
      </c>
      <c r="C930" t="s">
        <v>457</v>
      </c>
      <c r="D930">
        <v>307211</v>
      </c>
      <c r="E930">
        <v>10129</v>
      </c>
    </row>
    <row r="931" spans="1:5" x14ac:dyDescent="0.3">
      <c r="A931">
        <v>98</v>
      </c>
      <c r="B931">
        <v>424210</v>
      </c>
      <c r="C931" t="s">
        <v>457</v>
      </c>
      <c r="D931">
        <v>307211</v>
      </c>
      <c r="E931">
        <v>10129</v>
      </c>
    </row>
    <row r="932" spans="1:5" x14ac:dyDescent="0.3">
      <c r="A932">
        <v>98</v>
      </c>
      <c r="B932">
        <v>4243</v>
      </c>
      <c r="C932" t="s">
        <v>457</v>
      </c>
      <c r="D932">
        <v>200327</v>
      </c>
      <c r="E932">
        <v>16076</v>
      </c>
    </row>
    <row r="933" spans="1:5" x14ac:dyDescent="0.3">
      <c r="A933">
        <v>98</v>
      </c>
      <c r="B933">
        <v>42431</v>
      </c>
      <c r="C933" t="s">
        <v>457</v>
      </c>
      <c r="D933">
        <v>25396</v>
      </c>
      <c r="E933">
        <v>2992</v>
      </c>
    </row>
    <row r="934" spans="1:5" x14ac:dyDescent="0.3">
      <c r="A934">
        <v>98</v>
      </c>
      <c r="B934">
        <v>424310</v>
      </c>
      <c r="C934" t="s">
        <v>457</v>
      </c>
      <c r="D934">
        <v>25396</v>
      </c>
      <c r="E934">
        <v>2992</v>
      </c>
    </row>
    <row r="935" spans="1:5" x14ac:dyDescent="0.3">
      <c r="A935">
        <v>98</v>
      </c>
      <c r="B935">
        <v>42432</v>
      </c>
      <c r="C935" t="s">
        <v>457</v>
      </c>
      <c r="D935">
        <v>58552</v>
      </c>
      <c r="E935">
        <v>3569</v>
      </c>
    </row>
    <row r="936" spans="1:5" x14ac:dyDescent="0.3">
      <c r="A936">
        <v>98</v>
      </c>
      <c r="B936">
        <v>424320</v>
      </c>
      <c r="C936" t="s">
        <v>457</v>
      </c>
      <c r="D936">
        <v>58552</v>
      </c>
      <c r="E936">
        <v>3569</v>
      </c>
    </row>
    <row r="937" spans="1:5" x14ac:dyDescent="0.3">
      <c r="A937">
        <v>98</v>
      </c>
      <c r="B937">
        <v>42433</v>
      </c>
      <c r="C937" t="s">
        <v>457</v>
      </c>
      <c r="D937">
        <v>89501</v>
      </c>
      <c r="E937">
        <v>7904</v>
      </c>
    </row>
    <row r="938" spans="1:5" x14ac:dyDescent="0.3">
      <c r="A938">
        <v>98</v>
      </c>
      <c r="B938">
        <v>424330</v>
      </c>
      <c r="C938" t="s">
        <v>457</v>
      </c>
      <c r="D938">
        <v>89501</v>
      </c>
      <c r="E938">
        <v>7904</v>
      </c>
    </row>
    <row r="939" spans="1:5" x14ac:dyDescent="0.3">
      <c r="A939">
        <v>98</v>
      </c>
      <c r="B939">
        <v>42434</v>
      </c>
      <c r="C939" t="s">
        <v>457</v>
      </c>
      <c r="D939">
        <v>26878</v>
      </c>
      <c r="E939">
        <v>1611</v>
      </c>
    </row>
    <row r="940" spans="1:5" x14ac:dyDescent="0.3">
      <c r="A940">
        <v>98</v>
      </c>
      <c r="B940">
        <v>424340</v>
      </c>
      <c r="C940" t="s">
        <v>457</v>
      </c>
      <c r="D940">
        <v>26878</v>
      </c>
      <c r="E940">
        <v>1611</v>
      </c>
    </row>
    <row r="941" spans="1:5" x14ac:dyDescent="0.3">
      <c r="A941">
        <v>98</v>
      </c>
      <c r="B941">
        <v>4244</v>
      </c>
      <c r="C941" t="s">
        <v>457</v>
      </c>
      <c r="D941">
        <v>814648</v>
      </c>
      <c r="E941">
        <v>35337</v>
      </c>
    </row>
    <row r="942" spans="1:5" x14ac:dyDescent="0.3">
      <c r="A942">
        <v>98</v>
      </c>
      <c r="B942">
        <v>42441</v>
      </c>
      <c r="C942" t="s">
        <v>457</v>
      </c>
      <c r="D942">
        <v>142806</v>
      </c>
      <c r="E942">
        <v>2891</v>
      </c>
    </row>
    <row r="943" spans="1:5" x14ac:dyDescent="0.3">
      <c r="A943">
        <v>98</v>
      </c>
      <c r="B943">
        <v>424410</v>
      </c>
      <c r="C943" t="s">
        <v>457</v>
      </c>
      <c r="D943">
        <v>142806</v>
      </c>
      <c r="E943">
        <v>2891</v>
      </c>
    </row>
    <row r="944" spans="1:5" x14ac:dyDescent="0.3">
      <c r="A944">
        <v>98</v>
      </c>
      <c r="B944">
        <v>42442</v>
      </c>
      <c r="C944" t="s">
        <v>457</v>
      </c>
      <c r="D944">
        <v>86170</v>
      </c>
      <c r="E944">
        <v>3224</v>
      </c>
    </row>
    <row r="945" spans="1:5" x14ac:dyDescent="0.3">
      <c r="A945">
        <v>98</v>
      </c>
      <c r="B945">
        <v>424420</v>
      </c>
      <c r="C945" t="s">
        <v>457</v>
      </c>
      <c r="D945">
        <v>86170</v>
      </c>
      <c r="E945">
        <v>3224</v>
      </c>
    </row>
    <row r="946" spans="1:5" x14ac:dyDescent="0.3">
      <c r="A946">
        <v>98</v>
      </c>
      <c r="B946">
        <v>42443</v>
      </c>
      <c r="C946" t="s">
        <v>457</v>
      </c>
      <c r="D946">
        <v>43419</v>
      </c>
      <c r="E946">
        <v>2093</v>
      </c>
    </row>
    <row r="947" spans="1:5" x14ac:dyDescent="0.3">
      <c r="A947">
        <v>98</v>
      </c>
      <c r="B947">
        <v>424430</v>
      </c>
      <c r="C947" t="s">
        <v>457</v>
      </c>
      <c r="D947">
        <v>43419</v>
      </c>
      <c r="E947">
        <v>2093</v>
      </c>
    </row>
    <row r="948" spans="1:5" x14ac:dyDescent="0.3">
      <c r="A948">
        <v>98</v>
      </c>
      <c r="B948">
        <v>42444</v>
      </c>
      <c r="C948" t="s">
        <v>457</v>
      </c>
      <c r="D948">
        <v>10313</v>
      </c>
      <c r="E948">
        <v>454</v>
      </c>
    </row>
    <row r="949" spans="1:5" x14ac:dyDescent="0.3">
      <c r="A949">
        <v>98</v>
      </c>
      <c r="B949">
        <v>424440</v>
      </c>
      <c r="C949" t="s">
        <v>457</v>
      </c>
      <c r="D949">
        <v>10313</v>
      </c>
      <c r="E949">
        <v>454</v>
      </c>
    </row>
    <row r="950" spans="1:5" x14ac:dyDescent="0.3">
      <c r="A950">
        <v>98</v>
      </c>
      <c r="B950">
        <v>42445</v>
      </c>
      <c r="C950" t="s">
        <v>457</v>
      </c>
      <c r="D950">
        <v>47855</v>
      </c>
      <c r="E950">
        <v>3799</v>
      </c>
    </row>
    <row r="951" spans="1:5" x14ac:dyDescent="0.3">
      <c r="A951">
        <v>98</v>
      </c>
      <c r="B951">
        <v>424450</v>
      </c>
      <c r="C951" t="s">
        <v>457</v>
      </c>
      <c r="D951">
        <v>47855</v>
      </c>
      <c r="E951">
        <v>3799</v>
      </c>
    </row>
    <row r="952" spans="1:5" x14ac:dyDescent="0.3">
      <c r="A952">
        <v>98</v>
      </c>
      <c r="B952">
        <v>42446</v>
      </c>
      <c r="C952" t="s">
        <v>457</v>
      </c>
      <c r="D952">
        <v>22060</v>
      </c>
      <c r="E952">
        <v>2132</v>
      </c>
    </row>
    <row r="953" spans="1:5" x14ac:dyDescent="0.3">
      <c r="A953">
        <v>98</v>
      </c>
      <c r="B953">
        <v>424460</v>
      </c>
      <c r="C953" t="s">
        <v>457</v>
      </c>
      <c r="D953">
        <v>22060</v>
      </c>
      <c r="E953">
        <v>2132</v>
      </c>
    </row>
    <row r="954" spans="1:5" x14ac:dyDescent="0.3">
      <c r="A954">
        <v>98</v>
      </c>
      <c r="B954">
        <v>42447</v>
      </c>
      <c r="C954" t="s">
        <v>457</v>
      </c>
      <c r="D954">
        <v>45224</v>
      </c>
      <c r="E954">
        <v>2323</v>
      </c>
    </row>
    <row r="955" spans="1:5" x14ac:dyDescent="0.3">
      <c r="A955">
        <v>98</v>
      </c>
      <c r="B955">
        <v>424470</v>
      </c>
      <c r="C955" t="s">
        <v>457</v>
      </c>
      <c r="D955">
        <v>45224</v>
      </c>
      <c r="E955">
        <v>2323</v>
      </c>
    </row>
    <row r="956" spans="1:5" x14ac:dyDescent="0.3">
      <c r="A956">
        <v>98</v>
      </c>
      <c r="B956">
        <v>42448</v>
      </c>
      <c r="C956" t="s">
        <v>457</v>
      </c>
      <c r="D956">
        <v>107064</v>
      </c>
      <c r="E956">
        <v>4953</v>
      </c>
    </row>
    <row r="957" spans="1:5" x14ac:dyDescent="0.3">
      <c r="A957">
        <v>98</v>
      </c>
      <c r="B957">
        <v>424480</v>
      </c>
      <c r="C957" t="s">
        <v>457</v>
      </c>
      <c r="D957">
        <v>107064</v>
      </c>
      <c r="E957">
        <v>4953</v>
      </c>
    </row>
    <row r="958" spans="1:5" x14ac:dyDescent="0.3">
      <c r="A958">
        <v>98</v>
      </c>
      <c r="B958">
        <v>42449</v>
      </c>
      <c r="C958" t="s">
        <v>457</v>
      </c>
      <c r="D958">
        <v>309737</v>
      </c>
      <c r="E958">
        <v>13468</v>
      </c>
    </row>
    <row r="959" spans="1:5" x14ac:dyDescent="0.3">
      <c r="A959">
        <v>98</v>
      </c>
      <c r="B959">
        <v>424490</v>
      </c>
      <c r="C959" t="s">
        <v>457</v>
      </c>
      <c r="D959">
        <v>309737</v>
      </c>
      <c r="E959">
        <v>13468</v>
      </c>
    </row>
    <row r="960" spans="1:5" x14ac:dyDescent="0.3">
      <c r="A960">
        <v>98</v>
      </c>
      <c r="B960">
        <v>4245</v>
      </c>
      <c r="C960" t="s">
        <v>457</v>
      </c>
      <c r="D960">
        <v>64741</v>
      </c>
      <c r="E960">
        <v>6303</v>
      </c>
    </row>
    <row r="961" spans="1:5" x14ac:dyDescent="0.3">
      <c r="A961">
        <v>98</v>
      </c>
      <c r="B961">
        <v>42451</v>
      </c>
      <c r="C961" t="s">
        <v>457</v>
      </c>
      <c r="D961">
        <v>52174</v>
      </c>
      <c r="E961">
        <v>4839</v>
      </c>
    </row>
    <row r="962" spans="1:5" x14ac:dyDescent="0.3">
      <c r="A962">
        <v>98</v>
      </c>
      <c r="B962">
        <v>424510</v>
      </c>
      <c r="C962" t="s">
        <v>457</v>
      </c>
      <c r="D962">
        <v>52174</v>
      </c>
      <c r="E962">
        <v>4839</v>
      </c>
    </row>
    <row r="963" spans="1:5" x14ac:dyDescent="0.3">
      <c r="A963">
        <v>98</v>
      </c>
      <c r="B963">
        <v>42452</v>
      </c>
      <c r="C963" t="s">
        <v>457</v>
      </c>
      <c r="D963">
        <v>5975</v>
      </c>
      <c r="E963">
        <v>779</v>
      </c>
    </row>
    <row r="964" spans="1:5" x14ac:dyDescent="0.3">
      <c r="A964">
        <v>98</v>
      </c>
      <c r="B964">
        <v>424520</v>
      </c>
      <c r="C964" t="s">
        <v>457</v>
      </c>
      <c r="D964">
        <v>5975</v>
      </c>
      <c r="E964">
        <v>779</v>
      </c>
    </row>
    <row r="965" spans="1:5" x14ac:dyDescent="0.3">
      <c r="A965">
        <v>98</v>
      </c>
      <c r="B965">
        <v>42459</v>
      </c>
      <c r="C965" t="s">
        <v>457</v>
      </c>
      <c r="D965">
        <v>6592</v>
      </c>
      <c r="E965">
        <v>685</v>
      </c>
    </row>
    <row r="966" spans="1:5" x14ac:dyDescent="0.3">
      <c r="A966">
        <v>98</v>
      </c>
      <c r="B966">
        <v>424590</v>
      </c>
      <c r="C966" t="s">
        <v>457</v>
      </c>
      <c r="D966">
        <v>6592</v>
      </c>
      <c r="E966">
        <v>685</v>
      </c>
    </row>
    <row r="967" spans="1:5" x14ac:dyDescent="0.3">
      <c r="A967">
        <v>98</v>
      </c>
      <c r="B967">
        <v>4246</v>
      </c>
      <c r="C967" t="s">
        <v>457</v>
      </c>
      <c r="D967">
        <v>157913</v>
      </c>
      <c r="E967">
        <v>12500</v>
      </c>
    </row>
    <row r="968" spans="1:5" x14ac:dyDescent="0.3">
      <c r="A968">
        <v>98</v>
      </c>
      <c r="B968">
        <v>42461</v>
      </c>
      <c r="C968" t="s">
        <v>457</v>
      </c>
      <c r="D968">
        <v>33709</v>
      </c>
      <c r="E968">
        <v>2983</v>
      </c>
    </row>
    <row r="969" spans="1:5" x14ac:dyDescent="0.3">
      <c r="A969">
        <v>98</v>
      </c>
      <c r="B969">
        <v>424610</v>
      </c>
      <c r="C969" t="s">
        <v>457</v>
      </c>
      <c r="D969">
        <v>33709</v>
      </c>
      <c r="E969">
        <v>2983</v>
      </c>
    </row>
    <row r="970" spans="1:5" x14ac:dyDescent="0.3">
      <c r="A970">
        <v>98</v>
      </c>
      <c r="B970">
        <v>42469</v>
      </c>
      <c r="C970" t="s">
        <v>457</v>
      </c>
      <c r="D970">
        <v>124204</v>
      </c>
      <c r="E970">
        <v>9517</v>
      </c>
    </row>
    <row r="971" spans="1:5" x14ac:dyDescent="0.3">
      <c r="A971">
        <v>98</v>
      </c>
      <c r="B971">
        <v>424690</v>
      </c>
      <c r="C971" t="s">
        <v>457</v>
      </c>
      <c r="D971">
        <v>124204</v>
      </c>
      <c r="E971">
        <v>9517</v>
      </c>
    </row>
    <row r="972" spans="1:5" x14ac:dyDescent="0.3">
      <c r="A972">
        <v>98</v>
      </c>
      <c r="B972">
        <v>4247</v>
      </c>
      <c r="C972" t="s">
        <v>457</v>
      </c>
      <c r="D972">
        <v>103257</v>
      </c>
      <c r="E972">
        <v>6658</v>
      </c>
    </row>
    <row r="973" spans="1:5" x14ac:dyDescent="0.3">
      <c r="A973">
        <v>98</v>
      </c>
      <c r="B973">
        <v>42471</v>
      </c>
      <c r="C973" t="s">
        <v>457</v>
      </c>
      <c r="D973">
        <v>76381</v>
      </c>
      <c r="E973">
        <v>4455</v>
      </c>
    </row>
    <row r="974" spans="1:5" x14ac:dyDescent="0.3">
      <c r="A974">
        <v>98</v>
      </c>
      <c r="B974">
        <v>424710</v>
      </c>
      <c r="C974" t="s">
        <v>457</v>
      </c>
      <c r="D974">
        <v>76381</v>
      </c>
      <c r="E974">
        <v>4455</v>
      </c>
    </row>
    <row r="975" spans="1:5" x14ac:dyDescent="0.3">
      <c r="A975">
        <v>98</v>
      </c>
      <c r="B975">
        <v>42472</v>
      </c>
      <c r="C975" t="s">
        <v>457</v>
      </c>
      <c r="D975">
        <v>26876</v>
      </c>
      <c r="E975">
        <v>2203</v>
      </c>
    </row>
    <row r="976" spans="1:5" x14ac:dyDescent="0.3">
      <c r="A976">
        <v>98</v>
      </c>
      <c r="B976">
        <v>424720</v>
      </c>
      <c r="C976" t="s">
        <v>457</v>
      </c>
      <c r="D976">
        <v>26876</v>
      </c>
      <c r="E976">
        <v>2203</v>
      </c>
    </row>
    <row r="977" spans="1:5" x14ac:dyDescent="0.3">
      <c r="A977">
        <v>98</v>
      </c>
      <c r="B977">
        <v>4248</v>
      </c>
      <c r="C977" t="s">
        <v>457</v>
      </c>
      <c r="D977">
        <v>198131</v>
      </c>
      <c r="E977">
        <v>4481</v>
      </c>
    </row>
    <row r="978" spans="1:5" x14ac:dyDescent="0.3">
      <c r="A978">
        <v>98</v>
      </c>
      <c r="B978">
        <v>42481</v>
      </c>
      <c r="C978" t="s">
        <v>457</v>
      </c>
      <c r="D978">
        <v>112792</v>
      </c>
      <c r="E978">
        <v>1954</v>
      </c>
    </row>
    <row r="979" spans="1:5" x14ac:dyDescent="0.3">
      <c r="A979">
        <v>98</v>
      </c>
      <c r="B979">
        <v>424810</v>
      </c>
      <c r="C979" t="s">
        <v>457</v>
      </c>
      <c r="D979">
        <v>112792</v>
      </c>
      <c r="E979">
        <v>1954</v>
      </c>
    </row>
    <row r="980" spans="1:5" x14ac:dyDescent="0.3">
      <c r="A980">
        <v>98</v>
      </c>
      <c r="B980">
        <v>42482</v>
      </c>
      <c r="C980" t="s">
        <v>457</v>
      </c>
      <c r="D980">
        <v>85339</v>
      </c>
      <c r="E980">
        <v>2527</v>
      </c>
    </row>
    <row r="981" spans="1:5" x14ac:dyDescent="0.3">
      <c r="A981">
        <v>98</v>
      </c>
      <c r="B981">
        <v>424820</v>
      </c>
      <c r="C981" t="s">
        <v>457</v>
      </c>
      <c r="D981">
        <v>85339</v>
      </c>
      <c r="E981">
        <v>2527</v>
      </c>
    </row>
    <row r="982" spans="1:5" x14ac:dyDescent="0.3">
      <c r="A982">
        <v>98</v>
      </c>
      <c r="B982">
        <v>4249</v>
      </c>
      <c r="C982" t="s">
        <v>457</v>
      </c>
      <c r="D982">
        <v>340253</v>
      </c>
      <c r="E982">
        <v>28835</v>
      </c>
    </row>
    <row r="983" spans="1:5" x14ac:dyDescent="0.3">
      <c r="A983">
        <v>98</v>
      </c>
      <c r="B983">
        <v>42491</v>
      </c>
      <c r="C983" t="s">
        <v>457</v>
      </c>
      <c r="D983">
        <v>98346</v>
      </c>
      <c r="E983">
        <v>8846</v>
      </c>
    </row>
    <row r="984" spans="1:5" x14ac:dyDescent="0.3">
      <c r="A984">
        <v>98</v>
      </c>
      <c r="B984">
        <v>424910</v>
      </c>
      <c r="C984" t="s">
        <v>457</v>
      </c>
      <c r="D984">
        <v>98346</v>
      </c>
      <c r="E984">
        <v>8846</v>
      </c>
    </row>
    <row r="985" spans="1:5" x14ac:dyDescent="0.3">
      <c r="A985">
        <v>98</v>
      </c>
      <c r="B985">
        <v>42492</v>
      </c>
      <c r="C985" t="s">
        <v>457</v>
      </c>
      <c r="D985">
        <v>45799</v>
      </c>
      <c r="E985">
        <v>1859</v>
      </c>
    </row>
    <row r="986" spans="1:5" x14ac:dyDescent="0.3">
      <c r="A986">
        <v>98</v>
      </c>
      <c r="B986">
        <v>424920</v>
      </c>
      <c r="C986" t="s">
        <v>457</v>
      </c>
      <c r="D986">
        <v>45799</v>
      </c>
      <c r="E986">
        <v>1859</v>
      </c>
    </row>
    <row r="987" spans="1:5" x14ac:dyDescent="0.3">
      <c r="A987">
        <v>98</v>
      </c>
      <c r="B987">
        <v>42493</v>
      </c>
      <c r="C987" t="s">
        <v>457</v>
      </c>
      <c r="D987">
        <v>48121</v>
      </c>
      <c r="E987">
        <v>3378</v>
      </c>
    </row>
    <row r="988" spans="1:5" x14ac:dyDescent="0.3">
      <c r="A988">
        <v>98</v>
      </c>
      <c r="B988">
        <v>424930</v>
      </c>
      <c r="C988" t="s">
        <v>457</v>
      </c>
      <c r="D988">
        <v>48121</v>
      </c>
      <c r="E988">
        <v>3378</v>
      </c>
    </row>
    <row r="989" spans="1:5" x14ac:dyDescent="0.3">
      <c r="A989">
        <v>98</v>
      </c>
      <c r="B989">
        <v>42494</v>
      </c>
      <c r="C989" t="s">
        <v>457</v>
      </c>
      <c r="D989">
        <v>50753</v>
      </c>
      <c r="E989">
        <v>1485</v>
      </c>
    </row>
    <row r="990" spans="1:5" x14ac:dyDescent="0.3">
      <c r="A990">
        <v>98</v>
      </c>
      <c r="B990">
        <v>424940</v>
      </c>
      <c r="C990" t="s">
        <v>457</v>
      </c>
      <c r="D990">
        <v>50753</v>
      </c>
      <c r="E990">
        <v>1485</v>
      </c>
    </row>
    <row r="991" spans="1:5" x14ac:dyDescent="0.3">
      <c r="A991">
        <v>98</v>
      </c>
      <c r="B991">
        <v>42495</v>
      </c>
      <c r="C991" t="s">
        <v>457</v>
      </c>
      <c r="D991">
        <v>18864</v>
      </c>
      <c r="E991">
        <v>1892</v>
      </c>
    </row>
    <row r="992" spans="1:5" x14ac:dyDescent="0.3">
      <c r="A992">
        <v>98</v>
      </c>
      <c r="B992">
        <v>424950</v>
      </c>
      <c r="C992" t="s">
        <v>457</v>
      </c>
      <c r="D992">
        <v>18864</v>
      </c>
      <c r="E992">
        <v>1892</v>
      </c>
    </row>
    <row r="993" spans="1:5" x14ac:dyDescent="0.3">
      <c r="A993">
        <v>98</v>
      </c>
      <c r="B993">
        <v>42499</v>
      </c>
      <c r="C993" t="s">
        <v>457</v>
      </c>
      <c r="D993">
        <v>78370</v>
      </c>
      <c r="E993">
        <v>11375</v>
      </c>
    </row>
    <row r="994" spans="1:5" x14ac:dyDescent="0.3">
      <c r="A994">
        <v>98</v>
      </c>
      <c r="B994">
        <v>424990</v>
      </c>
      <c r="C994" t="s">
        <v>457</v>
      </c>
      <c r="D994">
        <v>78370</v>
      </c>
      <c r="E994">
        <v>11375</v>
      </c>
    </row>
    <row r="995" spans="1:5" x14ac:dyDescent="0.3">
      <c r="A995">
        <v>98</v>
      </c>
      <c r="B995">
        <v>425</v>
      </c>
      <c r="C995" t="s">
        <v>457</v>
      </c>
      <c r="D995">
        <v>301673</v>
      </c>
      <c r="E995">
        <v>45507</v>
      </c>
    </row>
    <row r="996" spans="1:5" x14ac:dyDescent="0.3">
      <c r="A996">
        <v>98</v>
      </c>
      <c r="B996">
        <v>4251</v>
      </c>
      <c r="C996" t="s">
        <v>457</v>
      </c>
      <c r="D996">
        <v>301673</v>
      </c>
      <c r="E996">
        <v>45507</v>
      </c>
    </row>
    <row r="997" spans="1:5" x14ac:dyDescent="0.3">
      <c r="A997">
        <v>98</v>
      </c>
      <c r="B997">
        <v>42511</v>
      </c>
      <c r="C997" t="s">
        <v>457</v>
      </c>
      <c r="D997">
        <v>2466</v>
      </c>
      <c r="E997">
        <v>498</v>
      </c>
    </row>
    <row r="998" spans="1:5" x14ac:dyDescent="0.3">
      <c r="A998">
        <v>98</v>
      </c>
      <c r="B998">
        <v>425110</v>
      </c>
      <c r="C998" t="s">
        <v>457</v>
      </c>
      <c r="D998">
        <v>2466</v>
      </c>
      <c r="E998">
        <v>498</v>
      </c>
    </row>
    <row r="999" spans="1:5" x14ac:dyDescent="0.3">
      <c r="A999">
        <v>98</v>
      </c>
      <c r="B999">
        <v>42512</v>
      </c>
      <c r="C999" t="s">
        <v>457</v>
      </c>
      <c r="D999">
        <v>299207</v>
      </c>
      <c r="E999">
        <v>45009</v>
      </c>
    </row>
    <row r="1000" spans="1:5" x14ac:dyDescent="0.3">
      <c r="A1000">
        <v>98</v>
      </c>
      <c r="B1000">
        <v>425120</v>
      </c>
      <c r="C1000" t="s">
        <v>457</v>
      </c>
      <c r="D1000">
        <v>299207</v>
      </c>
      <c r="E1000">
        <v>45009</v>
      </c>
    </row>
    <row r="1001" spans="1:5" x14ac:dyDescent="0.3">
      <c r="A1001">
        <v>98</v>
      </c>
      <c r="B1001" t="s">
        <v>181</v>
      </c>
      <c r="C1001" t="s">
        <v>457</v>
      </c>
      <c r="D1001">
        <v>15704167</v>
      </c>
      <c r="E1001">
        <v>1070209</v>
      </c>
    </row>
    <row r="1002" spans="1:5" x14ac:dyDescent="0.3">
      <c r="A1002">
        <v>98</v>
      </c>
      <c r="B1002">
        <v>441</v>
      </c>
      <c r="C1002" t="s">
        <v>457</v>
      </c>
      <c r="D1002">
        <v>1908309</v>
      </c>
      <c r="E1002">
        <v>118157</v>
      </c>
    </row>
    <row r="1003" spans="1:5" x14ac:dyDescent="0.3">
      <c r="A1003">
        <v>98</v>
      </c>
      <c r="B1003">
        <v>4411</v>
      </c>
      <c r="C1003" t="s">
        <v>457</v>
      </c>
      <c r="D1003">
        <v>1246850</v>
      </c>
      <c r="E1003">
        <v>46531</v>
      </c>
    </row>
    <row r="1004" spans="1:5" x14ac:dyDescent="0.3">
      <c r="A1004">
        <v>98</v>
      </c>
      <c r="B1004">
        <v>44111</v>
      </c>
      <c r="C1004" t="s">
        <v>457</v>
      </c>
      <c r="D1004">
        <v>1104795</v>
      </c>
      <c r="E1004">
        <v>21444</v>
      </c>
    </row>
    <row r="1005" spans="1:5" x14ac:dyDescent="0.3">
      <c r="A1005">
        <v>98</v>
      </c>
      <c r="B1005">
        <v>441110</v>
      </c>
      <c r="C1005" t="s">
        <v>457</v>
      </c>
      <c r="D1005">
        <v>1104795</v>
      </c>
      <c r="E1005">
        <v>21444</v>
      </c>
    </row>
    <row r="1006" spans="1:5" x14ac:dyDescent="0.3">
      <c r="A1006">
        <v>98</v>
      </c>
      <c r="B1006">
        <v>44112</v>
      </c>
      <c r="C1006" t="s">
        <v>457</v>
      </c>
      <c r="D1006">
        <v>142055</v>
      </c>
      <c r="E1006">
        <v>25087</v>
      </c>
    </row>
    <row r="1007" spans="1:5" x14ac:dyDescent="0.3">
      <c r="A1007">
        <v>98</v>
      </c>
      <c r="B1007">
        <v>441120</v>
      </c>
      <c r="C1007" t="s">
        <v>457</v>
      </c>
      <c r="D1007">
        <v>142055</v>
      </c>
      <c r="E1007">
        <v>25087</v>
      </c>
    </row>
    <row r="1008" spans="1:5" x14ac:dyDescent="0.3">
      <c r="A1008">
        <v>98</v>
      </c>
      <c r="B1008">
        <v>4412</v>
      </c>
      <c r="C1008" t="s">
        <v>457</v>
      </c>
      <c r="D1008">
        <v>138249</v>
      </c>
      <c r="E1008">
        <v>13788</v>
      </c>
    </row>
    <row r="1009" spans="1:5" x14ac:dyDescent="0.3">
      <c r="A1009">
        <v>98</v>
      </c>
      <c r="B1009">
        <v>44121</v>
      </c>
      <c r="C1009" t="s">
        <v>457</v>
      </c>
      <c r="D1009">
        <v>38615</v>
      </c>
      <c r="E1009">
        <v>2636</v>
      </c>
    </row>
    <row r="1010" spans="1:5" x14ac:dyDescent="0.3">
      <c r="A1010">
        <v>98</v>
      </c>
      <c r="B1010">
        <v>441210</v>
      </c>
      <c r="C1010" t="s">
        <v>457</v>
      </c>
      <c r="D1010">
        <v>38615</v>
      </c>
      <c r="E1010">
        <v>2636</v>
      </c>
    </row>
    <row r="1011" spans="1:5" x14ac:dyDescent="0.3">
      <c r="A1011">
        <v>98</v>
      </c>
      <c r="B1011">
        <v>44122</v>
      </c>
      <c r="C1011" t="s">
        <v>457</v>
      </c>
      <c r="D1011">
        <v>99634</v>
      </c>
      <c r="E1011">
        <v>11152</v>
      </c>
    </row>
    <row r="1012" spans="1:5" x14ac:dyDescent="0.3">
      <c r="A1012">
        <v>98</v>
      </c>
      <c r="B1012">
        <v>441222</v>
      </c>
      <c r="C1012" t="s">
        <v>457</v>
      </c>
      <c r="D1012">
        <v>31192</v>
      </c>
      <c r="E1012">
        <v>4363</v>
      </c>
    </row>
    <row r="1013" spans="1:5" x14ac:dyDescent="0.3">
      <c r="A1013">
        <v>98</v>
      </c>
      <c r="B1013">
        <v>441228</v>
      </c>
      <c r="C1013" t="s">
        <v>457</v>
      </c>
      <c r="D1013">
        <v>68442</v>
      </c>
      <c r="E1013">
        <v>6789</v>
      </c>
    </row>
    <row r="1014" spans="1:5" x14ac:dyDescent="0.3">
      <c r="A1014">
        <v>98</v>
      </c>
      <c r="B1014">
        <v>4413</v>
      </c>
      <c r="C1014" t="s">
        <v>457</v>
      </c>
      <c r="D1014">
        <v>523210</v>
      </c>
      <c r="E1014">
        <v>57838</v>
      </c>
    </row>
    <row r="1015" spans="1:5" x14ac:dyDescent="0.3">
      <c r="A1015">
        <v>98</v>
      </c>
      <c r="B1015">
        <v>44131</v>
      </c>
      <c r="C1015" t="s">
        <v>457</v>
      </c>
      <c r="D1015">
        <v>346599</v>
      </c>
      <c r="E1015">
        <v>37167</v>
      </c>
    </row>
    <row r="1016" spans="1:5" x14ac:dyDescent="0.3">
      <c r="A1016">
        <v>98</v>
      </c>
      <c r="B1016">
        <v>441310</v>
      </c>
      <c r="C1016" t="s">
        <v>457</v>
      </c>
      <c r="D1016">
        <v>346599</v>
      </c>
      <c r="E1016">
        <v>37167</v>
      </c>
    </row>
    <row r="1017" spans="1:5" x14ac:dyDescent="0.3">
      <c r="A1017">
        <v>98</v>
      </c>
      <c r="B1017">
        <v>44132</v>
      </c>
      <c r="C1017" t="s">
        <v>457</v>
      </c>
      <c r="D1017">
        <v>176611</v>
      </c>
      <c r="E1017">
        <v>20671</v>
      </c>
    </row>
    <row r="1018" spans="1:5" x14ac:dyDescent="0.3">
      <c r="A1018">
        <v>98</v>
      </c>
      <c r="B1018">
        <v>441320</v>
      </c>
      <c r="C1018" t="s">
        <v>457</v>
      </c>
      <c r="D1018">
        <v>176611</v>
      </c>
      <c r="E1018">
        <v>20671</v>
      </c>
    </row>
    <row r="1019" spans="1:5" x14ac:dyDescent="0.3">
      <c r="A1019">
        <v>98</v>
      </c>
      <c r="B1019">
        <v>442</v>
      </c>
      <c r="C1019" t="s">
        <v>457</v>
      </c>
      <c r="D1019">
        <v>445240</v>
      </c>
      <c r="E1019">
        <v>50336</v>
      </c>
    </row>
    <row r="1020" spans="1:5" x14ac:dyDescent="0.3">
      <c r="A1020">
        <v>98</v>
      </c>
      <c r="B1020">
        <v>4421</v>
      </c>
      <c r="C1020" t="s">
        <v>457</v>
      </c>
      <c r="D1020">
        <v>202327</v>
      </c>
      <c r="E1020">
        <v>23352</v>
      </c>
    </row>
    <row r="1021" spans="1:5" x14ac:dyDescent="0.3">
      <c r="A1021">
        <v>98</v>
      </c>
      <c r="B1021">
        <v>44211</v>
      </c>
      <c r="C1021" t="s">
        <v>457</v>
      </c>
      <c r="D1021">
        <v>202327</v>
      </c>
      <c r="E1021">
        <v>23352</v>
      </c>
    </row>
    <row r="1022" spans="1:5" x14ac:dyDescent="0.3">
      <c r="A1022">
        <v>98</v>
      </c>
      <c r="B1022">
        <v>442110</v>
      </c>
      <c r="C1022" t="s">
        <v>457</v>
      </c>
      <c r="D1022">
        <v>202327</v>
      </c>
      <c r="E1022">
        <v>23352</v>
      </c>
    </row>
    <row r="1023" spans="1:5" x14ac:dyDescent="0.3">
      <c r="A1023">
        <v>98</v>
      </c>
      <c r="B1023">
        <v>4422</v>
      </c>
      <c r="C1023" t="s">
        <v>457</v>
      </c>
      <c r="D1023">
        <v>242913</v>
      </c>
      <c r="E1023">
        <v>26984</v>
      </c>
    </row>
    <row r="1024" spans="1:5" x14ac:dyDescent="0.3">
      <c r="A1024">
        <v>98</v>
      </c>
      <c r="B1024">
        <v>44221</v>
      </c>
      <c r="C1024" t="s">
        <v>457</v>
      </c>
      <c r="D1024">
        <v>64760</v>
      </c>
      <c r="E1024">
        <v>10588</v>
      </c>
    </row>
    <row r="1025" spans="1:5" x14ac:dyDescent="0.3">
      <c r="A1025">
        <v>98</v>
      </c>
      <c r="B1025">
        <v>442210</v>
      </c>
      <c r="C1025" t="s">
        <v>457</v>
      </c>
      <c r="D1025">
        <v>64760</v>
      </c>
      <c r="E1025">
        <v>10588</v>
      </c>
    </row>
    <row r="1026" spans="1:5" x14ac:dyDescent="0.3">
      <c r="A1026">
        <v>98</v>
      </c>
      <c r="B1026">
        <v>44229</v>
      </c>
      <c r="C1026" t="s">
        <v>457</v>
      </c>
      <c r="D1026">
        <v>178153</v>
      </c>
      <c r="E1026">
        <v>16396</v>
      </c>
    </row>
    <row r="1027" spans="1:5" x14ac:dyDescent="0.3">
      <c r="A1027">
        <v>98</v>
      </c>
      <c r="B1027">
        <v>442291</v>
      </c>
      <c r="C1027" t="s">
        <v>457</v>
      </c>
      <c r="D1027">
        <v>6886</v>
      </c>
      <c r="E1027">
        <v>2195</v>
      </c>
    </row>
    <row r="1028" spans="1:5" x14ac:dyDescent="0.3">
      <c r="A1028">
        <v>98</v>
      </c>
      <c r="B1028">
        <v>442299</v>
      </c>
      <c r="C1028" t="s">
        <v>457</v>
      </c>
      <c r="D1028">
        <v>171267</v>
      </c>
      <c r="E1028">
        <v>14201</v>
      </c>
    </row>
    <row r="1029" spans="1:5" x14ac:dyDescent="0.3">
      <c r="A1029">
        <v>98</v>
      </c>
      <c r="B1029">
        <v>443</v>
      </c>
      <c r="C1029" t="s">
        <v>457</v>
      </c>
      <c r="D1029">
        <v>407409</v>
      </c>
      <c r="E1029">
        <v>46731</v>
      </c>
    </row>
    <row r="1030" spans="1:5" x14ac:dyDescent="0.3">
      <c r="A1030">
        <v>98</v>
      </c>
      <c r="B1030">
        <v>4431</v>
      </c>
      <c r="C1030" t="s">
        <v>457</v>
      </c>
      <c r="D1030">
        <v>407409</v>
      </c>
      <c r="E1030">
        <v>46731</v>
      </c>
    </row>
    <row r="1031" spans="1:5" x14ac:dyDescent="0.3">
      <c r="A1031">
        <v>98</v>
      </c>
      <c r="B1031">
        <v>44314</v>
      </c>
      <c r="C1031" t="s">
        <v>457</v>
      </c>
      <c r="D1031">
        <v>407409</v>
      </c>
      <c r="E1031">
        <v>46731</v>
      </c>
    </row>
    <row r="1032" spans="1:5" x14ac:dyDescent="0.3">
      <c r="A1032">
        <v>98</v>
      </c>
      <c r="B1032">
        <v>443141</v>
      </c>
      <c r="C1032" t="s">
        <v>457</v>
      </c>
      <c r="D1032">
        <v>60311</v>
      </c>
      <c r="E1032">
        <v>7588</v>
      </c>
    </row>
    <row r="1033" spans="1:5" x14ac:dyDescent="0.3">
      <c r="A1033">
        <v>98</v>
      </c>
      <c r="B1033">
        <v>443142</v>
      </c>
      <c r="C1033" t="s">
        <v>457</v>
      </c>
      <c r="D1033">
        <v>347098</v>
      </c>
      <c r="E1033">
        <v>39143</v>
      </c>
    </row>
    <row r="1034" spans="1:5" x14ac:dyDescent="0.3">
      <c r="A1034">
        <v>98</v>
      </c>
      <c r="B1034">
        <v>444</v>
      </c>
      <c r="C1034" t="s">
        <v>457</v>
      </c>
      <c r="D1034">
        <v>1280305</v>
      </c>
      <c r="E1034">
        <v>76565</v>
      </c>
    </row>
    <row r="1035" spans="1:5" x14ac:dyDescent="0.3">
      <c r="A1035">
        <v>98</v>
      </c>
      <c r="B1035">
        <v>4441</v>
      </c>
      <c r="C1035" t="s">
        <v>457</v>
      </c>
      <c r="D1035">
        <v>1131139</v>
      </c>
      <c r="E1035">
        <v>58882</v>
      </c>
    </row>
    <row r="1036" spans="1:5" x14ac:dyDescent="0.3">
      <c r="A1036">
        <v>98</v>
      </c>
      <c r="B1036">
        <v>44411</v>
      </c>
      <c r="C1036" t="s">
        <v>457</v>
      </c>
      <c r="D1036">
        <v>686103</v>
      </c>
      <c r="E1036">
        <v>6505</v>
      </c>
    </row>
    <row r="1037" spans="1:5" x14ac:dyDescent="0.3">
      <c r="A1037">
        <v>98</v>
      </c>
      <c r="B1037">
        <v>444110</v>
      </c>
      <c r="C1037" t="s">
        <v>457</v>
      </c>
      <c r="D1037">
        <v>686103</v>
      </c>
      <c r="E1037">
        <v>6505</v>
      </c>
    </row>
    <row r="1038" spans="1:5" x14ac:dyDescent="0.3">
      <c r="A1038">
        <v>98</v>
      </c>
      <c r="B1038">
        <v>44412</v>
      </c>
      <c r="C1038" t="s">
        <v>457</v>
      </c>
      <c r="D1038">
        <v>33133</v>
      </c>
      <c r="E1038">
        <v>6853</v>
      </c>
    </row>
    <row r="1039" spans="1:5" x14ac:dyDescent="0.3">
      <c r="A1039">
        <v>98</v>
      </c>
      <c r="B1039">
        <v>444120</v>
      </c>
      <c r="C1039" t="s">
        <v>457</v>
      </c>
      <c r="D1039">
        <v>33133</v>
      </c>
      <c r="E1039">
        <v>6853</v>
      </c>
    </row>
    <row r="1040" spans="1:5" x14ac:dyDescent="0.3">
      <c r="A1040">
        <v>98</v>
      </c>
      <c r="B1040">
        <v>44413</v>
      </c>
      <c r="C1040" t="s">
        <v>457</v>
      </c>
      <c r="D1040">
        <v>143195</v>
      </c>
      <c r="E1040">
        <v>15380</v>
      </c>
    </row>
    <row r="1041" spans="1:5" x14ac:dyDescent="0.3">
      <c r="A1041">
        <v>98</v>
      </c>
      <c r="B1041">
        <v>444130</v>
      </c>
      <c r="C1041" t="s">
        <v>457</v>
      </c>
      <c r="D1041">
        <v>143195</v>
      </c>
      <c r="E1041">
        <v>15380</v>
      </c>
    </row>
    <row r="1042" spans="1:5" x14ac:dyDescent="0.3">
      <c r="A1042">
        <v>98</v>
      </c>
      <c r="B1042">
        <v>44419</v>
      </c>
      <c r="C1042" t="s">
        <v>457</v>
      </c>
      <c r="D1042">
        <v>268708</v>
      </c>
      <c r="E1042">
        <v>30144</v>
      </c>
    </row>
    <row r="1043" spans="1:5" x14ac:dyDescent="0.3">
      <c r="A1043">
        <v>98</v>
      </c>
      <c r="B1043">
        <v>444190</v>
      </c>
      <c r="C1043" t="s">
        <v>457</v>
      </c>
      <c r="D1043">
        <v>268708</v>
      </c>
      <c r="E1043">
        <v>30144</v>
      </c>
    </row>
    <row r="1044" spans="1:5" x14ac:dyDescent="0.3">
      <c r="A1044">
        <v>98</v>
      </c>
      <c r="B1044">
        <v>4442</v>
      </c>
      <c r="C1044" t="s">
        <v>457</v>
      </c>
      <c r="D1044">
        <v>149166</v>
      </c>
      <c r="E1044">
        <v>17683</v>
      </c>
    </row>
    <row r="1045" spans="1:5" x14ac:dyDescent="0.3">
      <c r="A1045">
        <v>98</v>
      </c>
      <c r="B1045">
        <v>44421</v>
      </c>
      <c r="C1045" t="s">
        <v>457</v>
      </c>
      <c r="D1045">
        <v>25135</v>
      </c>
      <c r="E1045">
        <v>3776</v>
      </c>
    </row>
    <row r="1046" spans="1:5" x14ac:dyDescent="0.3">
      <c r="A1046">
        <v>98</v>
      </c>
      <c r="B1046">
        <v>444210</v>
      </c>
      <c r="C1046" t="s">
        <v>457</v>
      </c>
      <c r="D1046">
        <v>25135</v>
      </c>
      <c r="E1046">
        <v>3776</v>
      </c>
    </row>
    <row r="1047" spans="1:5" x14ac:dyDescent="0.3">
      <c r="A1047">
        <v>98</v>
      </c>
      <c r="B1047">
        <v>44422</v>
      </c>
      <c r="C1047" t="s">
        <v>457</v>
      </c>
      <c r="D1047">
        <v>124031</v>
      </c>
      <c r="E1047">
        <v>13907</v>
      </c>
    </row>
    <row r="1048" spans="1:5" x14ac:dyDescent="0.3">
      <c r="A1048">
        <v>98</v>
      </c>
      <c r="B1048">
        <v>444220</v>
      </c>
      <c r="C1048" t="s">
        <v>457</v>
      </c>
      <c r="D1048">
        <v>124031</v>
      </c>
      <c r="E1048">
        <v>13907</v>
      </c>
    </row>
    <row r="1049" spans="1:5" x14ac:dyDescent="0.3">
      <c r="A1049">
        <v>98</v>
      </c>
      <c r="B1049">
        <v>445</v>
      </c>
      <c r="C1049" t="s">
        <v>457</v>
      </c>
      <c r="D1049">
        <v>3129735</v>
      </c>
      <c r="E1049">
        <v>152504</v>
      </c>
    </row>
    <row r="1050" spans="1:5" x14ac:dyDescent="0.3">
      <c r="A1050">
        <v>98</v>
      </c>
      <c r="B1050">
        <v>4451</v>
      </c>
      <c r="C1050" t="s">
        <v>457</v>
      </c>
      <c r="D1050">
        <v>2800048</v>
      </c>
      <c r="E1050">
        <v>95514</v>
      </c>
    </row>
    <row r="1051" spans="1:5" x14ac:dyDescent="0.3">
      <c r="A1051">
        <v>98</v>
      </c>
      <c r="B1051">
        <v>44511</v>
      </c>
      <c r="C1051" t="s">
        <v>457</v>
      </c>
      <c r="D1051">
        <v>2666800</v>
      </c>
      <c r="E1051">
        <v>66284</v>
      </c>
    </row>
    <row r="1052" spans="1:5" x14ac:dyDescent="0.3">
      <c r="A1052">
        <v>98</v>
      </c>
      <c r="B1052">
        <v>445110</v>
      </c>
      <c r="C1052" t="s">
        <v>457</v>
      </c>
      <c r="D1052">
        <v>2666800</v>
      </c>
      <c r="E1052">
        <v>66284</v>
      </c>
    </row>
    <row r="1053" spans="1:5" x14ac:dyDescent="0.3">
      <c r="A1053">
        <v>98</v>
      </c>
      <c r="B1053">
        <v>44512</v>
      </c>
      <c r="C1053" t="s">
        <v>457</v>
      </c>
      <c r="D1053">
        <v>133248</v>
      </c>
      <c r="E1053">
        <v>29230</v>
      </c>
    </row>
    <row r="1054" spans="1:5" x14ac:dyDescent="0.3">
      <c r="A1054">
        <v>98</v>
      </c>
      <c r="B1054">
        <v>445120</v>
      </c>
      <c r="C1054" t="s">
        <v>457</v>
      </c>
      <c r="D1054">
        <v>133248</v>
      </c>
      <c r="E1054">
        <v>29230</v>
      </c>
    </row>
    <row r="1055" spans="1:5" x14ac:dyDescent="0.3">
      <c r="A1055">
        <v>98</v>
      </c>
      <c r="B1055">
        <v>4452</v>
      </c>
      <c r="C1055" t="s">
        <v>457</v>
      </c>
      <c r="D1055">
        <v>167348</v>
      </c>
      <c r="E1055">
        <v>23298</v>
      </c>
    </row>
    <row r="1056" spans="1:5" x14ac:dyDescent="0.3">
      <c r="A1056">
        <v>98</v>
      </c>
      <c r="B1056">
        <v>44521</v>
      </c>
      <c r="C1056" t="s">
        <v>457</v>
      </c>
      <c r="D1056">
        <v>39136</v>
      </c>
      <c r="E1056">
        <v>5295</v>
      </c>
    </row>
    <row r="1057" spans="1:5" x14ac:dyDescent="0.3">
      <c r="A1057">
        <v>98</v>
      </c>
      <c r="B1057">
        <v>445210</v>
      </c>
      <c r="C1057" t="s">
        <v>457</v>
      </c>
      <c r="D1057">
        <v>39136</v>
      </c>
      <c r="E1057">
        <v>5295</v>
      </c>
    </row>
    <row r="1058" spans="1:5" x14ac:dyDescent="0.3">
      <c r="A1058">
        <v>98</v>
      </c>
      <c r="B1058">
        <v>44522</v>
      </c>
      <c r="C1058" t="s">
        <v>457</v>
      </c>
      <c r="D1058">
        <v>11443</v>
      </c>
      <c r="E1058">
        <v>2059</v>
      </c>
    </row>
    <row r="1059" spans="1:5" x14ac:dyDescent="0.3">
      <c r="A1059">
        <v>98</v>
      </c>
      <c r="B1059">
        <v>445220</v>
      </c>
      <c r="C1059" t="s">
        <v>457</v>
      </c>
      <c r="D1059">
        <v>11443</v>
      </c>
      <c r="E1059">
        <v>2059</v>
      </c>
    </row>
    <row r="1060" spans="1:5" x14ac:dyDescent="0.3">
      <c r="A1060">
        <v>98</v>
      </c>
      <c r="B1060">
        <v>44523</v>
      </c>
      <c r="C1060" t="s">
        <v>457</v>
      </c>
      <c r="D1060">
        <v>20577</v>
      </c>
      <c r="E1060">
        <v>2792</v>
      </c>
    </row>
    <row r="1061" spans="1:5" x14ac:dyDescent="0.3">
      <c r="A1061">
        <v>98</v>
      </c>
      <c r="B1061">
        <v>445230</v>
      </c>
      <c r="C1061" t="s">
        <v>457</v>
      </c>
      <c r="D1061">
        <v>20577</v>
      </c>
      <c r="E1061">
        <v>2792</v>
      </c>
    </row>
    <row r="1062" spans="1:5" x14ac:dyDescent="0.3">
      <c r="A1062">
        <v>98</v>
      </c>
      <c r="B1062">
        <v>44529</v>
      </c>
      <c r="C1062" t="s">
        <v>457</v>
      </c>
      <c r="D1062">
        <v>96192</v>
      </c>
      <c r="E1062">
        <v>13152</v>
      </c>
    </row>
    <row r="1063" spans="1:5" x14ac:dyDescent="0.3">
      <c r="A1063">
        <v>98</v>
      </c>
      <c r="B1063">
        <v>445291</v>
      </c>
      <c r="C1063" t="s">
        <v>457</v>
      </c>
      <c r="D1063">
        <v>26012</v>
      </c>
      <c r="E1063">
        <v>3510</v>
      </c>
    </row>
    <row r="1064" spans="1:5" x14ac:dyDescent="0.3">
      <c r="A1064">
        <v>98</v>
      </c>
      <c r="B1064">
        <v>445292</v>
      </c>
      <c r="C1064" t="s">
        <v>457</v>
      </c>
      <c r="D1064">
        <v>23243</v>
      </c>
      <c r="E1064">
        <v>3280</v>
      </c>
    </row>
    <row r="1065" spans="1:5" x14ac:dyDescent="0.3">
      <c r="A1065">
        <v>98</v>
      </c>
      <c r="B1065">
        <v>445299</v>
      </c>
      <c r="C1065" t="s">
        <v>457</v>
      </c>
      <c r="D1065">
        <v>46937</v>
      </c>
      <c r="E1065">
        <v>6362</v>
      </c>
    </row>
    <row r="1066" spans="1:5" x14ac:dyDescent="0.3">
      <c r="A1066">
        <v>98</v>
      </c>
      <c r="B1066">
        <v>4453</v>
      </c>
      <c r="C1066" t="s">
        <v>457</v>
      </c>
      <c r="D1066">
        <v>162339</v>
      </c>
      <c r="E1066">
        <v>33692</v>
      </c>
    </row>
    <row r="1067" spans="1:5" x14ac:dyDescent="0.3">
      <c r="A1067">
        <v>98</v>
      </c>
      <c r="B1067">
        <v>44531</v>
      </c>
      <c r="C1067" t="s">
        <v>457</v>
      </c>
      <c r="D1067">
        <v>162339</v>
      </c>
      <c r="E1067">
        <v>33692</v>
      </c>
    </row>
    <row r="1068" spans="1:5" x14ac:dyDescent="0.3">
      <c r="A1068">
        <v>98</v>
      </c>
      <c r="B1068">
        <v>445310</v>
      </c>
      <c r="C1068" t="s">
        <v>457</v>
      </c>
      <c r="D1068">
        <v>162339</v>
      </c>
      <c r="E1068">
        <v>33692</v>
      </c>
    </row>
    <row r="1069" spans="1:5" x14ac:dyDescent="0.3">
      <c r="A1069">
        <v>98</v>
      </c>
      <c r="B1069">
        <v>446</v>
      </c>
      <c r="C1069" t="s">
        <v>457</v>
      </c>
      <c r="D1069">
        <v>1041147</v>
      </c>
      <c r="E1069">
        <v>92762</v>
      </c>
    </row>
    <row r="1070" spans="1:5" x14ac:dyDescent="0.3">
      <c r="A1070">
        <v>98</v>
      </c>
      <c r="B1070">
        <v>4461</v>
      </c>
      <c r="C1070" t="s">
        <v>457</v>
      </c>
      <c r="D1070">
        <v>1041147</v>
      </c>
      <c r="E1070">
        <v>92762</v>
      </c>
    </row>
    <row r="1071" spans="1:5" x14ac:dyDescent="0.3">
      <c r="A1071">
        <v>98</v>
      </c>
      <c r="B1071">
        <v>44611</v>
      </c>
      <c r="C1071" t="s">
        <v>457</v>
      </c>
      <c r="D1071">
        <v>712986</v>
      </c>
      <c r="E1071">
        <v>44130</v>
      </c>
    </row>
    <row r="1072" spans="1:5" x14ac:dyDescent="0.3">
      <c r="A1072">
        <v>98</v>
      </c>
      <c r="B1072">
        <v>446110</v>
      </c>
      <c r="C1072" t="s">
        <v>457</v>
      </c>
      <c r="D1072">
        <v>712986</v>
      </c>
      <c r="E1072">
        <v>44130</v>
      </c>
    </row>
    <row r="1073" spans="1:5" x14ac:dyDescent="0.3">
      <c r="A1073">
        <v>98</v>
      </c>
      <c r="B1073">
        <v>44612</v>
      </c>
      <c r="C1073" t="s">
        <v>457</v>
      </c>
      <c r="D1073">
        <v>139902</v>
      </c>
      <c r="E1073">
        <v>16345</v>
      </c>
    </row>
    <row r="1074" spans="1:5" x14ac:dyDescent="0.3">
      <c r="A1074">
        <v>98</v>
      </c>
      <c r="B1074">
        <v>446120</v>
      </c>
      <c r="C1074" t="s">
        <v>457</v>
      </c>
      <c r="D1074">
        <v>139902</v>
      </c>
      <c r="E1074">
        <v>16345</v>
      </c>
    </row>
    <row r="1075" spans="1:5" x14ac:dyDescent="0.3">
      <c r="A1075">
        <v>98</v>
      </c>
      <c r="B1075">
        <v>44613</v>
      </c>
      <c r="C1075" t="s">
        <v>457</v>
      </c>
      <c r="D1075">
        <v>78028</v>
      </c>
      <c r="E1075">
        <v>11875</v>
      </c>
    </row>
    <row r="1076" spans="1:5" x14ac:dyDescent="0.3">
      <c r="A1076">
        <v>98</v>
      </c>
      <c r="B1076">
        <v>446130</v>
      </c>
      <c r="C1076" t="s">
        <v>457</v>
      </c>
      <c r="D1076">
        <v>78028</v>
      </c>
      <c r="E1076">
        <v>11875</v>
      </c>
    </row>
    <row r="1077" spans="1:5" x14ac:dyDescent="0.3">
      <c r="A1077">
        <v>98</v>
      </c>
      <c r="B1077">
        <v>44619</v>
      </c>
      <c r="C1077" t="s">
        <v>457</v>
      </c>
      <c r="D1077">
        <v>110231</v>
      </c>
      <c r="E1077">
        <v>20412</v>
      </c>
    </row>
    <row r="1078" spans="1:5" x14ac:dyDescent="0.3">
      <c r="A1078">
        <v>98</v>
      </c>
      <c r="B1078">
        <v>446191</v>
      </c>
      <c r="C1078" t="s">
        <v>457</v>
      </c>
      <c r="D1078">
        <v>44614</v>
      </c>
      <c r="E1078">
        <v>10075</v>
      </c>
    </row>
    <row r="1079" spans="1:5" x14ac:dyDescent="0.3">
      <c r="A1079">
        <v>98</v>
      </c>
      <c r="B1079">
        <v>446199</v>
      </c>
      <c r="C1079" t="s">
        <v>457</v>
      </c>
      <c r="D1079">
        <v>65617</v>
      </c>
      <c r="E1079">
        <v>10337</v>
      </c>
    </row>
    <row r="1080" spans="1:5" x14ac:dyDescent="0.3">
      <c r="A1080">
        <v>98</v>
      </c>
      <c r="B1080">
        <v>447</v>
      </c>
      <c r="C1080" t="s">
        <v>457</v>
      </c>
      <c r="D1080">
        <v>921654</v>
      </c>
      <c r="E1080">
        <v>111604</v>
      </c>
    </row>
    <row r="1081" spans="1:5" x14ac:dyDescent="0.3">
      <c r="A1081">
        <v>98</v>
      </c>
      <c r="B1081">
        <v>4471</v>
      </c>
      <c r="C1081" t="s">
        <v>457</v>
      </c>
      <c r="D1081">
        <v>921654</v>
      </c>
      <c r="E1081">
        <v>111604</v>
      </c>
    </row>
    <row r="1082" spans="1:5" x14ac:dyDescent="0.3">
      <c r="A1082">
        <v>98</v>
      </c>
      <c r="B1082">
        <v>44711</v>
      </c>
      <c r="C1082" t="s">
        <v>457</v>
      </c>
      <c r="D1082">
        <v>774911</v>
      </c>
      <c r="E1082">
        <v>96970</v>
      </c>
    </row>
    <row r="1083" spans="1:5" x14ac:dyDescent="0.3">
      <c r="A1083">
        <v>98</v>
      </c>
      <c r="B1083">
        <v>447110</v>
      </c>
      <c r="C1083" t="s">
        <v>457</v>
      </c>
      <c r="D1083">
        <v>774911</v>
      </c>
      <c r="E1083">
        <v>96970</v>
      </c>
    </row>
    <row r="1084" spans="1:5" x14ac:dyDescent="0.3">
      <c r="A1084">
        <v>98</v>
      </c>
      <c r="B1084">
        <v>44719</v>
      </c>
      <c r="C1084" t="s">
        <v>457</v>
      </c>
      <c r="D1084">
        <v>146743</v>
      </c>
      <c r="E1084">
        <v>14634</v>
      </c>
    </row>
    <row r="1085" spans="1:5" x14ac:dyDescent="0.3">
      <c r="A1085">
        <v>98</v>
      </c>
      <c r="B1085">
        <v>447190</v>
      </c>
      <c r="C1085" t="s">
        <v>457</v>
      </c>
      <c r="D1085">
        <v>146743</v>
      </c>
      <c r="E1085">
        <v>14634</v>
      </c>
    </row>
    <row r="1086" spans="1:5" x14ac:dyDescent="0.3">
      <c r="A1086">
        <v>98</v>
      </c>
      <c r="B1086">
        <v>448</v>
      </c>
      <c r="C1086" t="s">
        <v>457</v>
      </c>
      <c r="D1086">
        <v>1711022</v>
      </c>
      <c r="E1086">
        <v>146694</v>
      </c>
    </row>
    <row r="1087" spans="1:5" x14ac:dyDescent="0.3">
      <c r="A1087">
        <v>98</v>
      </c>
      <c r="B1087">
        <v>4481</v>
      </c>
      <c r="C1087" t="s">
        <v>457</v>
      </c>
      <c r="D1087">
        <v>1347930</v>
      </c>
      <c r="E1087">
        <v>98485</v>
      </c>
    </row>
    <row r="1088" spans="1:5" x14ac:dyDescent="0.3">
      <c r="A1088">
        <v>98</v>
      </c>
      <c r="B1088">
        <v>44811</v>
      </c>
      <c r="C1088" t="s">
        <v>457</v>
      </c>
      <c r="D1088">
        <v>52602</v>
      </c>
      <c r="E1088">
        <v>6998</v>
      </c>
    </row>
    <row r="1089" spans="1:5" x14ac:dyDescent="0.3">
      <c r="A1089">
        <v>98</v>
      </c>
      <c r="B1089">
        <v>448110</v>
      </c>
      <c r="C1089" t="s">
        <v>457</v>
      </c>
      <c r="D1089">
        <v>52602</v>
      </c>
      <c r="E1089">
        <v>6998</v>
      </c>
    </row>
    <row r="1090" spans="1:5" x14ac:dyDescent="0.3">
      <c r="A1090">
        <v>98</v>
      </c>
      <c r="B1090">
        <v>44812</v>
      </c>
      <c r="C1090" t="s">
        <v>457</v>
      </c>
      <c r="D1090">
        <v>329962</v>
      </c>
      <c r="E1090">
        <v>35276</v>
      </c>
    </row>
    <row r="1091" spans="1:5" x14ac:dyDescent="0.3">
      <c r="A1091">
        <v>98</v>
      </c>
      <c r="B1091">
        <v>448120</v>
      </c>
      <c r="C1091" t="s">
        <v>457</v>
      </c>
      <c r="D1091">
        <v>329962</v>
      </c>
      <c r="E1091">
        <v>35276</v>
      </c>
    </row>
    <row r="1092" spans="1:5" x14ac:dyDescent="0.3">
      <c r="A1092">
        <v>98</v>
      </c>
      <c r="B1092">
        <v>44813</v>
      </c>
      <c r="C1092" t="s">
        <v>457</v>
      </c>
      <c r="D1092">
        <v>74286</v>
      </c>
      <c r="E1092">
        <v>7185</v>
      </c>
    </row>
    <row r="1093" spans="1:5" x14ac:dyDescent="0.3">
      <c r="A1093">
        <v>98</v>
      </c>
      <c r="B1093">
        <v>448130</v>
      </c>
      <c r="C1093" t="s">
        <v>457</v>
      </c>
      <c r="D1093">
        <v>74286</v>
      </c>
      <c r="E1093">
        <v>7185</v>
      </c>
    </row>
    <row r="1094" spans="1:5" x14ac:dyDescent="0.3">
      <c r="A1094">
        <v>98</v>
      </c>
      <c r="B1094">
        <v>44814</v>
      </c>
      <c r="C1094" t="s">
        <v>457</v>
      </c>
      <c r="D1094">
        <v>719814</v>
      </c>
      <c r="E1094">
        <v>28910</v>
      </c>
    </row>
    <row r="1095" spans="1:5" x14ac:dyDescent="0.3">
      <c r="A1095">
        <v>98</v>
      </c>
      <c r="B1095">
        <v>448140</v>
      </c>
      <c r="C1095" t="s">
        <v>457</v>
      </c>
      <c r="D1095">
        <v>719814</v>
      </c>
      <c r="E1095">
        <v>28910</v>
      </c>
    </row>
    <row r="1096" spans="1:5" x14ac:dyDescent="0.3">
      <c r="A1096">
        <v>98</v>
      </c>
      <c r="B1096">
        <v>44815</v>
      </c>
      <c r="C1096" t="s">
        <v>457</v>
      </c>
      <c r="D1096">
        <v>59473</v>
      </c>
      <c r="E1096">
        <v>8589</v>
      </c>
    </row>
    <row r="1097" spans="1:5" x14ac:dyDescent="0.3">
      <c r="A1097">
        <v>98</v>
      </c>
      <c r="B1097">
        <v>448150</v>
      </c>
      <c r="C1097" t="s">
        <v>457</v>
      </c>
      <c r="D1097">
        <v>59473</v>
      </c>
      <c r="E1097">
        <v>8589</v>
      </c>
    </row>
    <row r="1098" spans="1:5" x14ac:dyDescent="0.3">
      <c r="A1098">
        <v>98</v>
      </c>
      <c r="B1098">
        <v>44819</v>
      </c>
      <c r="C1098" t="s">
        <v>457</v>
      </c>
      <c r="D1098">
        <v>111793</v>
      </c>
      <c r="E1098">
        <v>11527</v>
      </c>
    </row>
    <row r="1099" spans="1:5" x14ac:dyDescent="0.3">
      <c r="A1099">
        <v>98</v>
      </c>
      <c r="B1099">
        <v>448190</v>
      </c>
      <c r="C1099" t="s">
        <v>457</v>
      </c>
      <c r="D1099">
        <v>111793</v>
      </c>
      <c r="E1099">
        <v>11527</v>
      </c>
    </row>
    <row r="1100" spans="1:5" x14ac:dyDescent="0.3">
      <c r="A1100">
        <v>98</v>
      </c>
      <c r="B1100">
        <v>4482</v>
      </c>
      <c r="C1100" t="s">
        <v>457</v>
      </c>
      <c r="D1100">
        <v>234087</v>
      </c>
      <c r="E1100">
        <v>25027</v>
      </c>
    </row>
    <row r="1101" spans="1:5" x14ac:dyDescent="0.3">
      <c r="A1101">
        <v>98</v>
      </c>
      <c r="B1101">
        <v>44821</v>
      </c>
      <c r="C1101" t="s">
        <v>457</v>
      </c>
      <c r="D1101">
        <v>234087</v>
      </c>
      <c r="E1101">
        <v>25027</v>
      </c>
    </row>
    <row r="1102" spans="1:5" x14ac:dyDescent="0.3">
      <c r="A1102">
        <v>98</v>
      </c>
      <c r="B1102">
        <v>448210</v>
      </c>
      <c r="C1102" t="s">
        <v>457</v>
      </c>
      <c r="D1102">
        <v>234087</v>
      </c>
      <c r="E1102">
        <v>25027</v>
      </c>
    </row>
    <row r="1103" spans="1:5" x14ac:dyDescent="0.3">
      <c r="A1103">
        <v>98</v>
      </c>
      <c r="B1103">
        <v>4483</v>
      </c>
      <c r="C1103" t="s">
        <v>457</v>
      </c>
      <c r="D1103">
        <v>129005</v>
      </c>
      <c r="E1103">
        <v>23182</v>
      </c>
    </row>
    <row r="1104" spans="1:5" x14ac:dyDescent="0.3">
      <c r="A1104">
        <v>98</v>
      </c>
      <c r="B1104">
        <v>44831</v>
      </c>
      <c r="C1104" t="s">
        <v>457</v>
      </c>
      <c r="D1104">
        <v>122728</v>
      </c>
      <c r="E1104">
        <v>22160</v>
      </c>
    </row>
    <row r="1105" spans="1:5" x14ac:dyDescent="0.3">
      <c r="A1105">
        <v>98</v>
      </c>
      <c r="B1105">
        <v>448310</v>
      </c>
      <c r="C1105" t="s">
        <v>457</v>
      </c>
      <c r="D1105">
        <v>122728</v>
      </c>
      <c r="E1105">
        <v>22160</v>
      </c>
    </row>
    <row r="1106" spans="1:5" x14ac:dyDescent="0.3">
      <c r="A1106">
        <v>98</v>
      </c>
      <c r="B1106">
        <v>44832</v>
      </c>
      <c r="C1106" t="s">
        <v>457</v>
      </c>
      <c r="D1106">
        <v>6277</v>
      </c>
      <c r="E1106">
        <v>1022</v>
      </c>
    </row>
    <row r="1107" spans="1:5" x14ac:dyDescent="0.3">
      <c r="A1107">
        <v>98</v>
      </c>
      <c r="B1107">
        <v>448320</v>
      </c>
      <c r="C1107" t="s">
        <v>457</v>
      </c>
      <c r="D1107">
        <v>6277</v>
      </c>
      <c r="E1107">
        <v>1022</v>
      </c>
    </row>
    <row r="1108" spans="1:5" x14ac:dyDescent="0.3">
      <c r="A1108">
        <v>98</v>
      </c>
      <c r="B1108">
        <v>451</v>
      </c>
      <c r="C1108" t="s">
        <v>457</v>
      </c>
      <c r="D1108">
        <v>579082</v>
      </c>
      <c r="E1108">
        <v>46195</v>
      </c>
    </row>
    <row r="1109" spans="1:5" x14ac:dyDescent="0.3">
      <c r="A1109">
        <v>98</v>
      </c>
      <c r="B1109">
        <v>4511</v>
      </c>
      <c r="C1109" t="s">
        <v>457</v>
      </c>
      <c r="D1109">
        <v>479406</v>
      </c>
      <c r="E1109">
        <v>38206</v>
      </c>
    </row>
    <row r="1110" spans="1:5" x14ac:dyDescent="0.3">
      <c r="A1110">
        <v>98</v>
      </c>
      <c r="B1110">
        <v>45111</v>
      </c>
      <c r="C1110" t="s">
        <v>457</v>
      </c>
      <c r="D1110">
        <v>270761</v>
      </c>
      <c r="E1110">
        <v>21890</v>
      </c>
    </row>
    <row r="1111" spans="1:5" x14ac:dyDescent="0.3">
      <c r="A1111">
        <v>98</v>
      </c>
      <c r="B1111">
        <v>451110</v>
      </c>
      <c r="C1111" t="s">
        <v>457</v>
      </c>
      <c r="D1111">
        <v>270761</v>
      </c>
      <c r="E1111">
        <v>21890</v>
      </c>
    </row>
    <row r="1112" spans="1:5" x14ac:dyDescent="0.3">
      <c r="A1112">
        <v>98</v>
      </c>
      <c r="B1112">
        <v>45112</v>
      </c>
      <c r="C1112" t="s">
        <v>457</v>
      </c>
      <c r="D1112">
        <v>140623</v>
      </c>
      <c r="E1112">
        <v>8078</v>
      </c>
    </row>
    <row r="1113" spans="1:5" x14ac:dyDescent="0.3">
      <c r="A1113">
        <v>98</v>
      </c>
      <c r="B1113">
        <v>451120</v>
      </c>
      <c r="C1113" t="s">
        <v>457</v>
      </c>
      <c r="D1113">
        <v>140623</v>
      </c>
      <c r="E1113">
        <v>8078</v>
      </c>
    </row>
    <row r="1114" spans="1:5" x14ac:dyDescent="0.3">
      <c r="A1114">
        <v>98</v>
      </c>
      <c r="B1114">
        <v>45113</v>
      </c>
      <c r="C1114" t="s">
        <v>457</v>
      </c>
      <c r="D1114">
        <v>39790</v>
      </c>
      <c r="E1114">
        <v>4558</v>
      </c>
    </row>
    <row r="1115" spans="1:5" x14ac:dyDescent="0.3">
      <c r="A1115">
        <v>98</v>
      </c>
      <c r="B1115">
        <v>451130</v>
      </c>
      <c r="C1115" t="s">
        <v>457</v>
      </c>
      <c r="D1115">
        <v>39790</v>
      </c>
      <c r="E1115">
        <v>4558</v>
      </c>
    </row>
    <row r="1116" spans="1:5" x14ac:dyDescent="0.3">
      <c r="A1116">
        <v>98</v>
      </c>
      <c r="B1116">
        <v>45114</v>
      </c>
      <c r="C1116" t="s">
        <v>457</v>
      </c>
      <c r="D1116">
        <v>28232</v>
      </c>
      <c r="E1116">
        <v>3680</v>
      </c>
    </row>
    <row r="1117" spans="1:5" x14ac:dyDescent="0.3">
      <c r="A1117">
        <v>98</v>
      </c>
      <c r="B1117">
        <v>451140</v>
      </c>
      <c r="C1117" t="s">
        <v>457</v>
      </c>
      <c r="D1117">
        <v>28232</v>
      </c>
      <c r="E1117">
        <v>3680</v>
      </c>
    </row>
    <row r="1118" spans="1:5" x14ac:dyDescent="0.3">
      <c r="A1118">
        <v>98</v>
      </c>
      <c r="B1118">
        <v>4512</v>
      </c>
      <c r="C1118" t="s">
        <v>457</v>
      </c>
      <c r="D1118">
        <v>99676</v>
      </c>
      <c r="E1118">
        <v>7989</v>
      </c>
    </row>
    <row r="1119" spans="1:5" x14ac:dyDescent="0.3">
      <c r="A1119">
        <v>98</v>
      </c>
      <c r="B1119">
        <v>45121</v>
      </c>
      <c r="C1119" t="s">
        <v>457</v>
      </c>
      <c r="D1119">
        <v>99676</v>
      </c>
      <c r="E1119">
        <v>7989</v>
      </c>
    </row>
    <row r="1120" spans="1:5" x14ac:dyDescent="0.3">
      <c r="A1120">
        <v>98</v>
      </c>
      <c r="B1120">
        <v>451211</v>
      </c>
      <c r="C1120" t="s">
        <v>457</v>
      </c>
      <c r="D1120">
        <v>90818</v>
      </c>
      <c r="E1120">
        <v>6870</v>
      </c>
    </row>
    <row r="1121" spans="1:5" x14ac:dyDescent="0.3">
      <c r="A1121">
        <v>98</v>
      </c>
      <c r="B1121">
        <v>451212</v>
      </c>
      <c r="C1121" t="s">
        <v>457</v>
      </c>
      <c r="D1121">
        <v>8858</v>
      </c>
      <c r="E1121">
        <v>1119</v>
      </c>
    </row>
    <row r="1122" spans="1:5" x14ac:dyDescent="0.3">
      <c r="A1122">
        <v>98</v>
      </c>
      <c r="B1122">
        <v>452</v>
      </c>
      <c r="C1122" t="s">
        <v>457</v>
      </c>
      <c r="D1122">
        <v>2902345</v>
      </c>
      <c r="E1122">
        <v>53022</v>
      </c>
    </row>
    <row r="1123" spans="1:5" x14ac:dyDescent="0.3">
      <c r="A1123">
        <v>98</v>
      </c>
      <c r="B1123">
        <v>4521</v>
      </c>
      <c r="C1123" t="s">
        <v>457</v>
      </c>
      <c r="D1123">
        <v>1016623</v>
      </c>
      <c r="E1123">
        <v>7885</v>
      </c>
    </row>
    <row r="1124" spans="1:5" x14ac:dyDescent="0.3">
      <c r="A1124">
        <v>98</v>
      </c>
      <c r="B1124">
        <v>45211</v>
      </c>
      <c r="C1124" t="s">
        <v>457</v>
      </c>
      <c r="D1124">
        <v>1016623</v>
      </c>
      <c r="E1124">
        <v>7885</v>
      </c>
    </row>
    <row r="1125" spans="1:5" x14ac:dyDescent="0.3">
      <c r="A1125">
        <v>98</v>
      </c>
      <c r="B1125">
        <v>452111</v>
      </c>
      <c r="C1125" t="s">
        <v>457</v>
      </c>
      <c r="D1125">
        <v>414880</v>
      </c>
      <c r="E1125">
        <v>3269</v>
      </c>
    </row>
    <row r="1126" spans="1:5" x14ac:dyDescent="0.3">
      <c r="A1126">
        <v>98</v>
      </c>
      <c r="B1126">
        <v>452112</v>
      </c>
      <c r="C1126" t="s">
        <v>457</v>
      </c>
      <c r="D1126">
        <v>601743</v>
      </c>
      <c r="E1126">
        <v>4616</v>
      </c>
    </row>
    <row r="1127" spans="1:5" x14ac:dyDescent="0.3">
      <c r="A1127">
        <v>98</v>
      </c>
      <c r="B1127">
        <v>4529</v>
      </c>
      <c r="C1127" t="s">
        <v>457</v>
      </c>
      <c r="D1127">
        <v>1885722</v>
      </c>
      <c r="E1127">
        <v>45137</v>
      </c>
    </row>
    <row r="1128" spans="1:5" x14ac:dyDescent="0.3">
      <c r="A1128">
        <v>98</v>
      </c>
      <c r="B1128">
        <v>45291</v>
      </c>
      <c r="C1128" t="s">
        <v>457</v>
      </c>
      <c r="D1128">
        <v>1501899</v>
      </c>
      <c r="E1128">
        <v>5585</v>
      </c>
    </row>
    <row r="1129" spans="1:5" x14ac:dyDescent="0.3">
      <c r="A1129">
        <v>98</v>
      </c>
      <c r="B1129">
        <v>452910</v>
      </c>
      <c r="C1129" t="s">
        <v>457</v>
      </c>
      <c r="D1129">
        <v>1501899</v>
      </c>
      <c r="E1129">
        <v>5585</v>
      </c>
    </row>
    <row r="1130" spans="1:5" x14ac:dyDescent="0.3">
      <c r="A1130">
        <v>98</v>
      </c>
      <c r="B1130">
        <v>45299</v>
      </c>
      <c r="C1130" t="s">
        <v>457</v>
      </c>
      <c r="D1130">
        <v>383823</v>
      </c>
      <c r="E1130">
        <v>39552</v>
      </c>
    </row>
    <row r="1131" spans="1:5" x14ac:dyDescent="0.3">
      <c r="A1131">
        <v>98</v>
      </c>
      <c r="B1131">
        <v>452990</v>
      </c>
      <c r="C1131" t="s">
        <v>457</v>
      </c>
      <c r="D1131">
        <v>383823</v>
      </c>
      <c r="E1131">
        <v>39552</v>
      </c>
    </row>
    <row r="1132" spans="1:5" x14ac:dyDescent="0.3">
      <c r="A1132">
        <v>98</v>
      </c>
      <c r="B1132">
        <v>453</v>
      </c>
      <c r="C1132" t="s">
        <v>457</v>
      </c>
      <c r="D1132">
        <v>757820</v>
      </c>
      <c r="E1132">
        <v>108510</v>
      </c>
    </row>
    <row r="1133" spans="1:5" x14ac:dyDescent="0.3">
      <c r="A1133">
        <v>98</v>
      </c>
      <c r="B1133">
        <v>4531</v>
      </c>
      <c r="C1133" t="s">
        <v>457</v>
      </c>
      <c r="D1133">
        <v>60076</v>
      </c>
      <c r="E1133">
        <v>13419</v>
      </c>
    </row>
    <row r="1134" spans="1:5" x14ac:dyDescent="0.3">
      <c r="A1134">
        <v>98</v>
      </c>
      <c r="B1134">
        <v>45311</v>
      </c>
      <c r="C1134" t="s">
        <v>457</v>
      </c>
      <c r="D1134">
        <v>60076</v>
      </c>
      <c r="E1134">
        <v>13419</v>
      </c>
    </row>
    <row r="1135" spans="1:5" x14ac:dyDescent="0.3">
      <c r="A1135">
        <v>98</v>
      </c>
      <c r="B1135">
        <v>453110</v>
      </c>
      <c r="C1135" t="s">
        <v>457</v>
      </c>
      <c r="D1135">
        <v>60076</v>
      </c>
      <c r="E1135">
        <v>13419</v>
      </c>
    </row>
    <row r="1136" spans="1:5" x14ac:dyDescent="0.3">
      <c r="A1136">
        <v>98</v>
      </c>
      <c r="B1136">
        <v>4532</v>
      </c>
      <c r="C1136" t="s">
        <v>457</v>
      </c>
      <c r="D1136">
        <v>230865</v>
      </c>
      <c r="E1136">
        <v>28847</v>
      </c>
    </row>
    <row r="1137" spans="1:5" x14ac:dyDescent="0.3">
      <c r="A1137">
        <v>98</v>
      </c>
      <c r="B1137">
        <v>45321</v>
      </c>
      <c r="C1137" t="s">
        <v>457</v>
      </c>
      <c r="D1137">
        <v>79755</v>
      </c>
      <c r="E1137">
        <v>6475</v>
      </c>
    </row>
    <row r="1138" spans="1:5" x14ac:dyDescent="0.3">
      <c r="A1138">
        <v>98</v>
      </c>
      <c r="B1138">
        <v>453210</v>
      </c>
      <c r="C1138" t="s">
        <v>457</v>
      </c>
      <c r="D1138">
        <v>79755</v>
      </c>
      <c r="E1138">
        <v>6475</v>
      </c>
    </row>
    <row r="1139" spans="1:5" x14ac:dyDescent="0.3">
      <c r="A1139">
        <v>98</v>
      </c>
      <c r="B1139">
        <v>45322</v>
      </c>
      <c r="C1139" t="s">
        <v>457</v>
      </c>
      <c r="D1139">
        <v>151110</v>
      </c>
      <c r="E1139">
        <v>22372</v>
      </c>
    </row>
    <row r="1140" spans="1:5" x14ac:dyDescent="0.3">
      <c r="A1140">
        <v>98</v>
      </c>
      <c r="B1140">
        <v>453220</v>
      </c>
      <c r="C1140" t="s">
        <v>457</v>
      </c>
      <c r="D1140">
        <v>151110</v>
      </c>
      <c r="E1140">
        <v>22372</v>
      </c>
    </row>
    <row r="1141" spans="1:5" x14ac:dyDescent="0.3">
      <c r="A1141">
        <v>98</v>
      </c>
      <c r="B1141">
        <v>4533</v>
      </c>
      <c r="C1141" t="s">
        <v>457</v>
      </c>
      <c r="D1141">
        <v>198309</v>
      </c>
      <c r="E1141">
        <v>20092</v>
      </c>
    </row>
    <row r="1142" spans="1:5" x14ac:dyDescent="0.3">
      <c r="A1142">
        <v>98</v>
      </c>
      <c r="B1142">
        <v>45331</v>
      </c>
      <c r="C1142" t="s">
        <v>457</v>
      </c>
      <c r="D1142">
        <v>198309</v>
      </c>
      <c r="E1142">
        <v>20092</v>
      </c>
    </row>
    <row r="1143" spans="1:5" x14ac:dyDescent="0.3">
      <c r="A1143">
        <v>98</v>
      </c>
      <c r="B1143">
        <v>453310</v>
      </c>
      <c r="C1143" t="s">
        <v>457</v>
      </c>
      <c r="D1143">
        <v>198309</v>
      </c>
      <c r="E1143">
        <v>20092</v>
      </c>
    </row>
    <row r="1144" spans="1:5" x14ac:dyDescent="0.3">
      <c r="A1144">
        <v>98</v>
      </c>
      <c r="B1144">
        <v>4539</v>
      </c>
      <c r="C1144" t="s">
        <v>457</v>
      </c>
      <c r="D1144">
        <v>268570</v>
      </c>
      <c r="E1144">
        <v>46152</v>
      </c>
    </row>
    <row r="1145" spans="1:5" x14ac:dyDescent="0.3">
      <c r="A1145">
        <v>98</v>
      </c>
      <c r="B1145">
        <v>45391</v>
      </c>
      <c r="C1145" t="s">
        <v>457</v>
      </c>
      <c r="D1145">
        <v>110639</v>
      </c>
      <c r="E1145">
        <v>9417</v>
      </c>
    </row>
    <row r="1146" spans="1:5" x14ac:dyDescent="0.3">
      <c r="A1146">
        <v>98</v>
      </c>
      <c r="B1146">
        <v>453910</v>
      </c>
      <c r="C1146" t="s">
        <v>457</v>
      </c>
      <c r="D1146">
        <v>110639</v>
      </c>
      <c r="E1146">
        <v>9417</v>
      </c>
    </row>
    <row r="1147" spans="1:5" x14ac:dyDescent="0.3">
      <c r="A1147">
        <v>98</v>
      </c>
      <c r="B1147">
        <v>45392</v>
      </c>
      <c r="C1147" t="s">
        <v>457</v>
      </c>
      <c r="D1147">
        <v>17160</v>
      </c>
      <c r="E1147">
        <v>5033</v>
      </c>
    </row>
    <row r="1148" spans="1:5" x14ac:dyDescent="0.3">
      <c r="A1148">
        <v>98</v>
      </c>
      <c r="B1148">
        <v>453920</v>
      </c>
      <c r="C1148" t="s">
        <v>457</v>
      </c>
      <c r="D1148">
        <v>17160</v>
      </c>
      <c r="E1148">
        <v>5033</v>
      </c>
    </row>
    <row r="1149" spans="1:5" x14ac:dyDescent="0.3">
      <c r="A1149">
        <v>98</v>
      </c>
      <c r="B1149">
        <v>45393</v>
      </c>
      <c r="C1149" t="s">
        <v>457</v>
      </c>
      <c r="D1149">
        <v>10245</v>
      </c>
      <c r="E1149">
        <v>2100</v>
      </c>
    </row>
    <row r="1150" spans="1:5" x14ac:dyDescent="0.3">
      <c r="A1150">
        <v>98</v>
      </c>
      <c r="B1150">
        <v>453930</v>
      </c>
      <c r="C1150" t="s">
        <v>457</v>
      </c>
      <c r="D1150">
        <v>10245</v>
      </c>
      <c r="E1150">
        <v>2100</v>
      </c>
    </row>
    <row r="1151" spans="1:5" x14ac:dyDescent="0.3">
      <c r="A1151">
        <v>98</v>
      </c>
      <c r="B1151">
        <v>45399</v>
      </c>
      <c r="C1151" t="s">
        <v>457</v>
      </c>
      <c r="D1151">
        <v>130526</v>
      </c>
      <c r="E1151">
        <v>29602</v>
      </c>
    </row>
    <row r="1152" spans="1:5" x14ac:dyDescent="0.3">
      <c r="A1152">
        <v>98</v>
      </c>
      <c r="B1152">
        <v>453991</v>
      </c>
      <c r="C1152" t="s">
        <v>457</v>
      </c>
      <c r="D1152">
        <v>42106</v>
      </c>
      <c r="E1152">
        <v>11140</v>
      </c>
    </row>
    <row r="1153" spans="1:5" x14ac:dyDescent="0.3">
      <c r="A1153">
        <v>98</v>
      </c>
      <c r="B1153">
        <v>453998</v>
      </c>
      <c r="C1153" t="s">
        <v>457</v>
      </c>
      <c r="D1153">
        <v>88420</v>
      </c>
      <c r="E1153">
        <v>18462</v>
      </c>
    </row>
    <row r="1154" spans="1:5" x14ac:dyDescent="0.3">
      <c r="A1154">
        <v>98</v>
      </c>
      <c r="B1154">
        <v>454</v>
      </c>
      <c r="C1154" t="s">
        <v>457</v>
      </c>
      <c r="D1154">
        <v>620099</v>
      </c>
      <c r="E1154">
        <v>67129</v>
      </c>
    </row>
    <row r="1155" spans="1:5" x14ac:dyDescent="0.3">
      <c r="A1155">
        <v>98</v>
      </c>
      <c r="B1155">
        <v>4541</v>
      </c>
      <c r="C1155" t="s">
        <v>457</v>
      </c>
      <c r="D1155">
        <v>413595</v>
      </c>
      <c r="E1155">
        <v>34565</v>
      </c>
    </row>
    <row r="1156" spans="1:5" x14ac:dyDescent="0.3">
      <c r="A1156">
        <v>98</v>
      </c>
      <c r="B1156">
        <v>45411</v>
      </c>
      <c r="C1156" t="s">
        <v>457</v>
      </c>
      <c r="D1156">
        <v>413595</v>
      </c>
      <c r="E1156">
        <v>34565</v>
      </c>
    </row>
    <row r="1157" spans="1:5" x14ac:dyDescent="0.3">
      <c r="A1157">
        <v>98</v>
      </c>
      <c r="B1157">
        <v>454111</v>
      </c>
      <c r="C1157" t="s">
        <v>457</v>
      </c>
      <c r="D1157">
        <v>226290</v>
      </c>
      <c r="E1157">
        <v>28427</v>
      </c>
    </row>
    <row r="1158" spans="1:5" x14ac:dyDescent="0.3">
      <c r="A1158">
        <v>98</v>
      </c>
      <c r="B1158">
        <v>454112</v>
      </c>
      <c r="C1158" t="s">
        <v>457</v>
      </c>
      <c r="D1158">
        <v>9560</v>
      </c>
      <c r="E1158">
        <v>449</v>
      </c>
    </row>
    <row r="1159" spans="1:5" x14ac:dyDescent="0.3">
      <c r="A1159">
        <v>98</v>
      </c>
      <c r="B1159">
        <v>454113</v>
      </c>
      <c r="C1159" t="s">
        <v>457</v>
      </c>
      <c r="D1159">
        <v>177745</v>
      </c>
      <c r="E1159">
        <v>5689</v>
      </c>
    </row>
    <row r="1160" spans="1:5" x14ac:dyDescent="0.3">
      <c r="A1160">
        <v>98</v>
      </c>
      <c r="B1160">
        <v>4542</v>
      </c>
      <c r="C1160" t="s">
        <v>457</v>
      </c>
      <c r="D1160">
        <v>34659</v>
      </c>
      <c r="E1160">
        <v>3796</v>
      </c>
    </row>
    <row r="1161" spans="1:5" x14ac:dyDescent="0.3">
      <c r="A1161">
        <v>98</v>
      </c>
      <c r="B1161">
        <v>45421</v>
      </c>
      <c r="C1161" t="s">
        <v>457</v>
      </c>
      <c r="D1161">
        <v>34659</v>
      </c>
      <c r="E1161">
        <v>3796</v>
      </c>
    </row>
    <row r="1162" spans="1:5" x14ac:dyDescent="0.3">
      <c r="A1162">
        <v>98</v>
      </c>
      <c r="B1162">
        <v>454210</v>
      </c>
      <c r="C1162" t="s">
        <v>457</v>
      </c>
      <c r="D1162">
        <v>34659</v>
      </c>
      <c r="E1162">
        <v>3796</v>
      </c>
    </row>
    <row r="1163" spans="1:5" x14ac:dyDescent="0.3">
      <c r="A1163">
        <v>98</v>
      </c>
      <c r="B1163">
        <v>4543</v>
      </c>
      <c r="C1163" t="s">
        <v>457</v>
      </c>
      <c r="D1163">
        <v>171845</v>
      </c>
      <c r="E1163">
        <v>28768</v>
      </c>
    </row>
    <row r="1164" spans="1:5" x14ac:dyDescent="0.3">
      <c r="A1164">
        <v>98</v>
      </c>
      <c r="B1164">
        <v>45431</v>
      </c>
      <c r="C1164" t="s">
        <v>457</v>
      </c>
      <c r="D1164">
        <v>72774</v>
      </c>
      <c r="E1164">
        <v>8341</v>
      </c>
    </row>
    <row r="1165" spans="1:5" x14ac:dyDescent="0.3">
      <c r="A1165">
        <v>98</v>
      </c>
      <c r="B1165">
        <v>454310</v>
      </c>
      <c r="C1165" t="s">
        <v>457</v>
      </c>
      <c r="D1165">
        <v>72774</v>
      </c>
      <c r="E1165">
        <v>8341</v>
      </c>
    </row>
    <row r="1166" spans="1:5" x14ac:dyDescent="0.3">
      <c r="A1166">
        <v>98</v>
      </c>
      <c r="B1166">
        <v>45439</v>
      </c>
      <c r="C1166" t="s">
        <v>457</v>
      </c>
      <c r="D1166">
        <v>99071</v>
      </c>
      <c r="E1166">
        <v>20427</v>
      </c>
    </row>
    <row r="1167" spans="1:5" x14ac:dyDescent="0.3">
      <c r="A1167">
        <v>98</v>
      </c>
      <c r="B1167">
        <v>454390</v>
      </c>
      <c r="C1167" t="s">
        <v>457</v>
      </c>
      <c r="D1167">
        <v>99071</v>
      </c>
      <c r="E1167">
        <v>20427</v>
      </c>
    </row>
    <row r="1168" spans="1:5" x14ac:dyDescent="0.3">
      <c r="A1168">
        <v>98</v>
      </c>
      <c r="B1168" t="s">
        <v>182</v>
      </c>
      <c r="C1168" t="s">
        <v>457</v>
      </c>
      <c r="D1168">
        <v>4616568</v>
      </c>
      <c r="E1168">
        <v>228382</v>
      </c>
    </row>
    <row r="1169" spans="1:5" x14ac:dyDescent="0.3">
      <c r="A1169">
        <v>98</v>
      </c>
      <c r="B1169">
        <v>481</v>
      </c>
      <c r="C1169" t="s">
        <v>457</v>
      </c>
      <c r="D1169">
        <v>453380</v>
      </c>
      <c r="E1169">
        <v>4877</v>
      </c>
    </row>
    <row r="1170" spans="1:5" x14ac:dyDescent="0.3">
      <c r="A1170">
        <v>98</v>
      </c>
      <c r="B1170">
        <v>4811</v>
      </c>
      <c r="C1170" t="s">
        <v>457</v>
      </c>
      <c r="D1170">
        <v>416239</v>
      </c>
      <c r="E1170">
        <v>2516</v>
      </c>
    </row>
    <row r="1171" spans="1:5" x14ac:dyDescent="0.3">
      <c r="A1171">
        <v>98</v>
      </c>
      <c r="B1171">
        <v>48111</v>
      </c>
      <c r="C1171" t="s">
        <v>457</v>
      </c>
      <c r="D1171">
        <v>416239</v>
      </c>
      <c r="E1171">
        <v>2516</v>
      </c>
    </row>
    <row r="1172" spans="1:5" x14ac:dyDescent="0.3">
      <c r="A1172">
        <v>98</v>
      </c>
      <c r="B1172">
        <v>481111</v>
      </c>
      <c r="C1172" t="s">
        <v>457</v>
      </c>
      <c r="D1172">
        <v>405561</v>
      </c>
      <c r="E1172">
        <v>2089</v>
      </c>
    </row>
    <row r="1173" spans="1:5" x14ac:dyDescent="0.3">
      <c r="A1173">
        <v>98</v>
      </c>
      <c r="B1173">
        <v>481112</v>
      </c>
      <c r="C1173" t="s">
        <v>457</v>
      </c>
      <c r="D1173">
        <v>10678</v>
      </c>
      <c r="E1173">
        <v>427</v>
      </c>
    </row>
    <row r="1174" spans="1:5" x14ac:dyDescent="0.3">
      <c r="A1174">
        <v>98</v>
      </c>
      <c r="B1174">
        <v>4812</v>
      </c>
      <c r="C1174" t="s">
        <v>457</v>
      </c>
      <c r="D1174">
        <v>37141</v>
      </c>
      <c r="E1174">
        <v>2361</v>
      </c>
    </row>
    <row r="1175" spans="1:5" x14ac:dyDescent="0.3">
      <c r="A1175">
        <v>98</v>
      </c>
      <c r="B1175">
        <v>48121</v>
      </c>
      <c r="C1175" t="s">
        <v>457</v>
      </c>
      <c r="D1175">
        <v>37141</v>
      </c>
      <c r="E1175">
        <v>2361</v>
      </c>
    </row>
    <row r="1176" spans="1:5" x14ac:dyDescent="0.3">
      <c r="A1176">
        <v>98</v>
      </c>
      <c r="B1176">
        <v>481211</v>
      </c>
      <c r="C1176" t="s">
        <v>457</v>
      </c>
      <c r="D1176">
        <v>27952</v>
      </c>
      <c r="E1176">
        <v>1564</v>
      </c>
    </row>
    <row r="1177" spans="1:5" x14ac:dyDescent="0.3">
      <c r="A1177">
        <v>98</v>
      </c>
      <c r="B1177">
        <v>481212</v>
      </c>
      <c r="C1177" t="s">
        <v>457</v>
      </c>
      <c r="D1177">
        <v>2916</v>
      </c>
      <c r="E1177">
        <v>191</v>
      </c>
    </row>
    <row r="1178" spans="1:5" x14ac:dyDescent="0.3">
      <c r="A1178">
        <v>98</v>
      </c>
      <c r="B1178">
        <v>481219</v>
      </c>
      <c r="C1178" t="s">
        <v>457</v>
      </c>
      <c r="D1178">
        <v>6273</v>
      </c>
      <c r="E1178">
        <v>606</v>
      </c>
    </row>
    <row r="1179" spans="1:5" x14ac:dyDescent="0.3">
      <c r="A1179">
        <v>98</v>
      </c>
      <c r="B1179">
        <v>483</v>
      </c>
      <c r="C1179" t="s">
        <v>457</v>
      </c>
      <c r="D1179">
        <v>67904</v>
      </c>
      <c r="E1179">
        <v>1710</v>
      </c>
    </row>
    <row r="1180" spans="1:5" x14ac:dyDescent="0.3">
      <c r="A1180">
        <v>98</v>
      </c>
      <c r="B1180">
        <v>4831</v>
      </c>
      <c r="C1180" t="s">
        <v>457</v>
      </c>
      <c r="D1180">
        <v>45282</v>
      </c>
      <c r="E1180">
        <v>1141</v>
      </c>
    </row>
    <row r="1181" spans="1:5" x14ac:dyDescent="0.3">
      <c r="A1181">
        <v>98</v>
      </c>
      <c r="B1181">
        <v>48311</v>
      </c>
      <c r="C1181" t="s">
        <v>457</v>
      </c>
      <c r="D1181">
        <v>45282</v>
      </c>
      <c r="E1181">
        <v>1141</v>
      </c>
    </row>
    <row r="1182" spans="1:5" x14ac:dyDescent="0.3">
      <c r="A1182">
        <v>98</v>
      </c>
      <c r="B1182">
        <v>483111</v>
      </c>
      <c r="C1182" t="s">
        <v>457</v>
      </c>
      <c r="D1182">
        <v>8014</v>
      </c>
      <c r="E1182">
        <v>350</v>
      </c>
    </row>
    <row r="1183" spans="1:5" x14ac:dyDescent="0.3">
      <c r="A1183">
        <v>98</v>
      </c>
      <c r="B1183">
        <v>483112</v>
      </c>
      <c r="C1183" t="s">
        <v>457</v>
      </c>
      <c r="D1183">
        <v>15157</v>
      </c>
      <c r="E1183">
        <v>61</v>
      </c>
    </row>
    <row r="1184" spans="1:5" x14ac:dyDescent="0.3">
      <c r="A1184">
        <v>98</v>
      </c>
      <c r="B1184">
        <v>483113</v>
      </c>
      <c r="C1184" t="s">
        <v>457</v>
      </c>
      <c r="D1184">
        <v>19983</v>
      </c>
      <c r="E1184">
        <v>593</v>
      </c>
    </row>
    <row r="1185" spans="1:5" x14ac:dyDescent="0.3">
      <c r="A1185">
        <v>98</v>
      </c>
      <c r="B1185">
        <v>483114</v>
      </c>
      <c r="C1185" t="s">
        <v>457</v>
      </c>
      <c r="D1185">
        <v>2128</v>
      </c>
      <c r="E1185">
        <v>137</v>
      </c>
    </row>
    <row r="1186" spans="1:5" x14ac:dyDescent="0.3">
      <c r="A1186">
        <v>98</v>
      </c>
      <c r="B1186">
        <v>4832</v>
      </c>
      <c r="C1186" t="s">
        <v>457</v>
      </c>
      <c r="D1186">
        <v>22622</v>
      </c>
      <c r="E1186">
        <v>569</v>
      </c>
    </row>
    <row r="1187" spans="1:5" x14ac:dyDescent="0.3">
      <c r="A1187">
        <v>98</v>
      </c>
      <c r="B1187">
        <v>48321</v>
      </c>
      <c r="C1187" t="s">
        <v>457</v>
      </c>
      <c r="D1187">
        <v>22622</v>
      </c>
      <c r="E1187">
        <v>569</v>
      </c>
    </row>
    <row r="1188" spans="1:5" x14ac:dyDescent="0.3">
      <c r="A1188">
        <v>98</v>
      </c>
      <c r="B1188">
        <v>483211</v>
      </c>
      <c r="C1188" t="s">
        <v>457</v>
      </c>
      <c r="D1188">
        <v>20337</v>
      </c>
      <c r="E1188">
        <v>359</v>
      </c>
    </row>
    <row r="1189" spans="1:5" x14ac:dyDescent="0.3">
      <c r="A1189">
        <v>98</v>
      </c>
      <c r="B1189">
        <v>483212</v>
      </c>
      <c r="C1189" t="s">
        <v>457</v>
      </c>
      <c r="D1189">
        <v>2285</v>
      </c>
      <c r="E1189">
        <v>210</v>
      </c>
    </row>
    <row r="1190" spans="1:5" x14ac:dyDescent="0.3">
      <c r="A1190">
        <v>98</v>
      </c>
      <c r="B1190">
        <v>484</v>
      </c>
      <c r="C1190" t="s">
        <v>457</v>
      </c>
      <c r="D1190">
        <v>1448631</v>
      </c>
      <c r="E1190">
        <v>121653</v>
      </c>
    </row>
    <row r="1191" spans="1:5" x14ac:dyDescent="0.3">
      <c r="A1191">
        <v>98</v>
      </c>
      <c r="B1191">
        <v>4841</v>
      </c>
      <c r="C1191" t="s">
        <v>457</v>
      </c>
      <c r="D1191">
        <v>955271</v>
      </c>
      <c r="E1191">
        <v>74098</v>
      </c>
    </row>
    <row r="1192" spans="1:5" x14ac:dyDescent="0.3">
      <c r="A1192">
        <v>98</v>
      </c>
      <c r="B1192">
        <v>48411</v>
      </c>
      <c r="C1192" t="s">
        <v>457</v>
      </c>
      <c r="D1192">
        <v>195944</v>
      </c>
      <c r="E1192">
        <v>29884</v>
      </c>
    </row>
    <row r="1193" spans="1:5" x14ac:dyDescent="0.3">
      <c r="A1193">
        <v>98</v>
      </c>
      <c r="B1193">
        <v>484110</v>
      </c>
      <c r="C1193" t="s">
        <v>457</v>
      </c>
      <c r="D1193">
        <v>195944</v>
      </c>
      <c r="E1193">
        <v>29884</v>
      </c>
    </row>
    <row r="1194" spans="1:5" x14ac:dyDescent="0.3">
      <c r="A1194">
        <v>98</v>
      </c>
      <c r="B1194">
        <v>48412</v>
      </c>
      <c r="C1194" t="s">
        <v>457</v>
      </c>
      <c r="D1194">
        <v>759327</v>
      </c>
      <c r="E1194">
        <v>44214</v>
      </c>
    </row>
    <row r="1195" spans="1:5" x14ac:dyDescent="0.3">
      <c r="A1195">
        <v>98</v>
      </c>
      <c r="B1195">
        <v>484121</v>
      </c>
      <c r="C1195" t="s">
        <v>457</v>
      </c>
      <c r="D1195">
        <v>492529</v>
      </c>
      <c r="E1195">
        <v>35554</v>
      </c>
    </row>
    <row r="1196" spans="1:5" x14ac:dyDescent="0.3">
      <c r="A1196">
        <v>98</v>
      </c>
      <c r="B1196">
        <v>484122</v>
      </c>
      <c r="C1196" t="s">
        <v>457</v>
      </c>
      <c r="D1196">
        <v>266798</v>
      </c>
      <c r="E1196">
        <v>8660</v>
      </c>
    </row>
    <row r="1197" spans="1:5" x14ac:dyDescent="0.3">
      <c r="A1197">
        <v>98</v>
      </c>
      <c r="B1197">
        <v>4842</v>
      </c>
      <c r="C1197" t="s">
        <v>457</v>
      </c>
      <c r="D1197">
        <v>493360</v>
      </c>
      <c r="E1197">
        <v>47555</v>
      </c>
    </row>
    <row r="1198" spans="1:5" x14ac:dyDescent="0.3">
      <c r="A1198">
        <v>98</v>
      </c>
      <c r="B1198">
        <v>48421</v>
      </c>
      <c r="C1198" t="s">
        <v>457</v>
      </c>
      <c r="D1198">
        <v>96881</v>
      </c>
      <c r="E1198">
        <v>7933</v>
      </c>
    </row>
    <row r="1199" spans="1:5" x14ac:dyDescent="0.3">
      <c r="A1199">
        <v>98</v>
      </c>
      <c r="B1199">
        <v>484210</v>
      </c>
      <c r="C1199" t="s">
        <v>457</v>
      </c>
      <c r="D1199">
        <v>96881</v>
      </c>
      <c r="E1199">
        <v>7933</v>
      </c>
    </row>
    <row r="1200" spans="1:5" x14ac:dyDescent="0.3">
      <c r="A1200">
        <v>98</v>
      </c>
      <c r="B1200">
        <v>48422</v>
      </c>
      <c r="C1200" t="s">
        <v>457</v>
      </c>
      <c r="D1200">
        <v>217117</v>
      </c>
      <c r="E1200">
        <v>29163</v>
      </c>
    </row>
    <row r="1201" spans="1:5" x14ac:dyDescent="0.3">
      <c r="A1201">
        <v>98</v>
      </c>
      <c r="B1201">
        <v>484220</v>
      </c>
      <c r="C1201" t="s">
        <v>457</v>
      </c>
      <c r="D1201">
        <v>217117</v>
      </c>
      <c r="E1201">
        <v>29163</v>
      </c>
    </row>
    <row r="1202" spans="1:5" x14ac:dyDescent="0.3">
      <c r="A1202">
        <v>98</v>
      </c>
      <c r="B1202">
        <v>48423</v>
      </c>
      <c r="C1202" t="s">
        <v>457</v>
      </c>
      <c r="D1202">
        <v>179362</v>
      </c>
      <c r="E1202">
        <v>10459</v>
      </c>
    </row>
    <row r="1203" spans="1:5" x14ac:dyDescent="0.3">
      <c r="A1203">
        <v>98</v>
      </c>
      <c r="B1203">
        <v>484230</v>
      </c>
      <c r="C1203" t="s">
        <v>457</v>
      </c>
      <c r="D1203">
        <v>179362</v>
      </c>
      <c r="E1203">
        <v>10459</v>
      </c>
    </row>
    <row r="1204" spans="1:5" x14ac:dyDescent="0.3">
      <c r="A1204">
        <v>98</v>
      </c>
      <c r="B1204">
        <v>485</v>
      </c>
      <c r="C1204" t="s">
        <v>457</v>
      </c>
      <c r="D1204">
        <v>492630</v>
      </c>
      <c r="E1204">
        <v>20249</v>
      </c>
    </row>
    <row r="1205" spans="1:5" x14ac:dyDescent="0.3">
      <c r="A1205">
        <v>98</v>
      </c>
      <c r="B1205">
        <v>4851</v>
      </c>
      <c r="C1205" t="s">
        <v>457</v>
      </c>
      <c r="D1205">
        <v>53531</v>
      </c>
      <c r="E1205">
        <v>794</v>
      </c>
    </row>
    <row r="1206" spans="1:5" x14ac:dyDescent="0.3">
      <c r="A1206">
        <v>98</v>
      </c>
      <c r="B1206">
        <v>48511</v>
      </c>
      <c r="C1206" t="s">
        <v>457</v>
      </c>
      <c r="D1206">
        <v>53531</v>
      </c>
      <c r="E1206">
        <v>794</v>
      </c>
    </row>
    <row r="1207" spans="1:5" x14ac:dyDescent="0.3">
      <c r="A1207">
        <v>98</v>
      </c>
      <c r="B1207">
        <v>485111</v>
      </c>
      <c r="C1207" t="s">
        <v>457</v>
      </c>
      <c r="D1207">
        <v>672</v>
      </c>
      <c r="E1207">
        <v>27</v>
      </c>
    </row>
    <row r="1208" spans="1:5" x14ac:dyDescent="0.3">
      <c r="A1208">
        <v>98</v>
      </c>
      <c r="B1208">
        <v>485112</v>
      </c>
      <c r="C1208" t="s">
        <v>457</v>
      </c>
      <c r="D1208">
        <v>3359</v>
      </c>
      <c r="E1208">
        <v>14</v>
      </c>
    </row>
    <row r="1209" spans="1:5" x14ac:dyDescent="0.3">
      <c r="A1209">
        <v>98</v>
      </c>
      <c r="B1209">
        <v>485113</v>
      </c>
      <c r="C1209" t="s">
        <v>457</v>
      </c>
      <c r="D1209">
        <v>47485</v>
      </c>
      <c r="E1209">
        <v>708</v>
      </c>
    </row>
    <row r="1210" spans="1:5" x14ac:dyDescent="0.3">
      <c r="A1210">
        <v>98</v>
      </c>
      <c r="B1210">
        <v>485119</v>
      </c>
      <c r="C1210" t="s">
        <v>457</v>
      </c>
      <c r="D1210">
        <v>2015</v>
      </c>
      <c r="E1210">
        <v>45</v>
      </c>
    </row>
    <row r="1211" spans="1:5" x14ac:dyDescent="0.3">
      <c r="A1211">
        <v>98</v>
      </c>
      <c r="B1211">
        <v>4852</v>
      </c>
      <c r="C1211" t="s">
        <v>457</v>
      </c>
      <c r="D1211">
        <v>12542</v>
      </c>
      <c r="E1211">
        <v>467</v>
      </c>
    </row>
    <row r="1212" spans="1:5" x14ac:dyDescent="0.3">
      <c r="A1212">
        <v>98</v>
      </c>
      <c r="B1212">
        <v>48521</v>
      </c>
      <c r="C1212" t="s">
        <v>457</v>
      </c>
      <c r="D1212">
        <v>12542</v>
      </c>
      <c r="E1212">
        <v>467</v>
      </c>
    </row>
    <row r="1213" spans="1:5" x14ac:dyDescent="0.3">
      <c r="A1213">
        <v>98</v>
      </c>
      <c r="B1213">
        <v>485210</v>
      </c>
      <c r="C1213" t="s">
        <v>457</v>
      </c>
      <c r="D1213">
        <v>12542</v>
      </c>
      <c r="E1213">
        <v>467</v>
      </c>
    </row>
    <row r="1214" spans="1:5" x14ac:dyDescent="0.3">
      <c r="A1214">
        <v>98</v>
      </c>
      <c r="B1214">
        <v>4853</v>
      </c>
      <c r="C1214" t="s">
        <v>457</v>
      </c>
      <c r="D1214">
        <v>77491</v>
      </c>
      <c r="E1214">
        <v>8553</v>
      </c>
    </row>
    <row r="1215" spans="1:5" x14ac:dyDescent="0.3">
      <c r="A1215">
        <v>98</v>
      </c>
      <c r="B1215">
        <v>48531</v>
      </c>
      <c r="C1215" t="s">
        <v>457</v>
      </c>
      <c r="D1215">
        <v>35063</v>
      </c>
      <c r="E1215">
        <v>3348</v>
      </c>
    </row>
    <row r="1216" spans="1:5" x14ac:dyDescent="0.3">
      <c r="A1216">
        <v>98</v>
      </c>
      <c r="B1216">
        <v>485310</v>
      </c>
      <c r="C1216" t="s">
        <v>457</v>
      </c>
      <c r="D1216">
        <v>35063</v>
      </c>
      <c r="E1216">
        <v>3348</v>
      </c>
    </row>
    <row r="1217" spans="1:5" x14ac:dyDescent="0.3">
      <c r="A1217">
        <v>98</v>
      </c>
      <c r="B1217">
        <v>48532</v>
      </c>
      <c r="C1217" t="s">
        <v>457</v>
      </c>
      <c r="D1217">
        <v>42428</v>
      </c>
      <c r="E1217">
        <v>5205</v>
      </c>
    </row>
    <row r="1218" spans="1:5" x14ac:dyDescent="0.3">
      <c r="A1218">
        <v>98</v>
      </c>
      <c r="B1218">
        <v>485320</v>
      </c>
      <c r="C1218" t="s">
        <v>457</v>
      </c>
      <c r="D1218">
        <v>42428</v>
      </c>
      <c r="E1218">
        <v>5205</v>
      </c>
    </row>
    <row r="1219" spans="1:5" x14ac:dyDescent="0.3">
      <c r="A1219">
        <v>98</v>
      </c>
      <c r="B1219">
        <v>4854</v>
      </c>
      <c r="C1219" t="s">
        <v>457</v>
      </c>
      <c r="D1219">
        <v>227094</v>
      </c>
      <c r="E1219">
        <v>4302</v>
      </c>
    </row>
    <row r="1220" spans="1:5" x14ac:dyDescent="0.3">
      <c r="A1220">
        <v>98</v>
      </c>
      <c r="B1220">
        <v>48541</v>
      </c>
      <c r="C1220" t="s">
        <v>457</v>
      </c>
      <c r="D1220">
        <v>227094</v>
      </c>
      <c r="E1220">
        <v>4302</v>
      </c>
    </row>
    <row r="1221" spans="1:5" x14ac:dyDescent="0.3">
      <c r="A1221">
        <v>98</v>
      </c>
      <c r="B1221">
        <v>485410</v>
      </c>
      <c r="C1221" t="s">
        <v>457</v>
      </c>
      <c r="D1221">
        <v>227094</v>
      </c>
      <c r="E1221">
        <v>4302</v>
      </c>
    </row>
    <row r="1222" spans="1:5" x14ac:dyDescent="0.3">
      <c r="A1222">
        <v>98</v>
      </c>
      <c r="B1222">
        <v>4855</v>
      </c>
      <c r="C1222" t="s">
        <v>457</v>
      </c>
      <c r="D1222">
        <v>34049</v>
      </c>
      <c r="E1222">
        <v>1315</v>
      </c>
    </row>
    <row r="1223" spans="1:5" x14ac:dyDescent="0.3">
      <c r="A1223">
        <v>98</v>
      </c>
      <c r="B1223">
        <v>48551</v>
      </c>
      <c r="C1223" t="s">
        <v>457</v>
      </c>
      <c r="D1223">
        <v>34049</v>
      </c>
      <c r="E1223">
        <v>1315</v>
      </c>
    </row>
    <row r="1224" spans="1:5" x14ac:dyDescent="0.3">
      <c r="A1224">
        <v>98</v>
      </c>
      <c r="B1224">
        <v>485510</v>
      </c>
      <c r="C1224" t="s">
        <v>457</v>
      </c>
      <c r="D1224">
        <v>34049</v>
      </c>
      <c r="E1224">
        <v>1315</v>
      </c>
    </row>
    <row r="1225" spans="1:5" x14ac:dyDescent="0.3">
      <c r="A1225">
        <v>98</v>
      </c>
      <c r="B1225">
        <v>4859</v>
      </c>
      <c r="C1225" t="s">
        <v>457</v>
      </c>
      <c r="D1225">
        <v>87923</v>
      </c>
      <c r="E1225">
        <v>4818</v>
      </c>
    </row>
    <row r="1226" spans="1:5" x14ac:dyDescent="0.3">
      <c r="A1226">
        <v>98</v>
      </c>
      <c r="B1226">
        <v>48599</v>
      </c>
      <c r="C1226" t="s">
        <v>457</v>
      </c>
      <c r="D1226">
        <v>87923</v>
      </c>
      <c r="E1226">
        <v>4818</v>
      </c>
    </row>
    <row r="1227" spans="1:5" x14ac:dyDescent="0.3">
      <c r="A1227">
        <v>98</v>
      </c>
      <c r="B1227">
        <v>485991</v>
      </c>
      <c r="C1227" t="s">
        <v>457</v>
      </c>
      <c r="D1227">
        <v>66634</v>
      </c>
      <c r="E1227">
        <v>3085</v>
      </c>
    </row>
    <row r="1228" spans="1:5" x14ac:dyDescent="0.3">
      <c r="A1228">
        <v>98</v>
      </c>
      <c r="B1228">
        <v>485999</v>
      </c>
      <c r="C1228" t="s">
        <v>457</v>
      </c>
      <c r="D1228">
        <v>21289</v>
      </c>
      <c r="E1228">
        <v>1733</v>
      </c>
    </row>
    <row r="1229" spans="1:5" x14ac:dyDescent="0.3">
      <c r="A1229">
        <v>98</v>
      </c>
      <c r="B1229">
        <v>486</v>
      </c>
      <c r="C1229" t="s">
        <v>457</v>
      </c>
      <c r="D1229">
        <v>52221</v>
      </c>
      <c r="E1229">
        <v>3671</v>
      </c>
    </row>
    <row r="1230" spans="1:5" x14ac:dyDescent="0.3">
      <c r="A1230">
        <v>98</v>
      </c>
      <c r="B1230">
        <v>4861</v>
      </c>
      <c r="C1230" t="s">
        <v>457</v>
      </c>
      <c r="D1230">
        <v>13937</v>
      </c>
      <c r="E1230">
        <v>796</v>
      </c>
    </row>
    <row r="1231" spans="1:5" x14ac:dyDescent="0.3">
      <c r="A1231">
        <v>98</v>
      </c>
      <c r="B1231">
        <v>48611</v>
      </c>
      <c r="C1231" t="s">
        <v>457</v>
      </c>
      <c r="D1231">
        <v>13937</v>
      </c>
      <c r="E1231">
        <v>796</v>
      </c>
    </row>
    <row r="1232" spans="1:5" x14ac:dyDescent="0.3">
      <c r="A1232">
        <v>98</v>
      </c>
      <c r="B1232">
        <v>486110</v>
      </c>
      <c r="C1232" t="s">
        <v>457</v>
      </c>
      <c r="D1232">
        <v>13937</v>
      </c>
      <c r="E1232">
        <v>796</v>
      </c>
    </row>
    <row r="1233" spans="1:5" x14ac:dyDescent="0.3">
      <c r="A1233">
        <v>98</v>
      </c>
      <c r="B1233">
        <v>4862</v>
      </c>
      <c r="C1233" t="s">
        <v>457</v>
      </c>
      <c r="D1233">
        <v>30258</v>
      </c>
      <c r="E1233">
        <v>2179</v>
      </c>
    </row>
    <row r="1234" spans="1:5" x14ac:dyDescent="0.3">
      <c r="A1234">
        <v>98</v>
      </c>
      <c r="B1234">
        <v>48621</v>
      </c>
      <c r="C1234" t="s">
        <v>457</v>
      </c>
      <c r="D1234">
        <v>30258</v>
      </c>
      <c r="E1234">
        <v>2179</v>
      </c>
    </row>
    <row r="1235" spans="1:5" x14ac:dyDescent="0.3">
      <c r="A1235">
        <v>98</v>
      </c>
      <c r="B1235">
        <v>486210</v>
      </c>
      <c r="C1235" t="s">
        <v>457</v>
      </c>
      <c r="D1235">
        <v>30258</v>
      </c>
      <c r="E1235">
        <v>2179</v>
      </c>
    </row>
    <row r="1236" spans="1:5" x14ac:dyDescent="0.3">
      <c r="A1236">
        <v>98</v>
      </c>
      <c r="B1236">
        <v>4869</v>
      </c>
      <c r="C1236" t="s">
        <v>457</v>
      </c>
      <c r="D1236">
        <v>8026</v>
      </c>
      <c r="E1236">
        <v>696</v>
      </c>
    </row>
    <row r="1237" spans="1:5" x14ac:dyDescent="0.3">
      <c r="A1237">
        <v>98</v>
      </c>
      <c r="B1237">
        <v>48691</v>
      </c>
      <c r="C1237" t="s">
        <v>457</v>
      </c>
      <c r="D1237">
        <v>7489</v>
      </c>
      <c r="E1237">
        <v>636</v>
      </c>
    </row>
    <row r="1238" spans="1:5" x14ac:dyDescent="0.3">
      <c r="A1238">
        <v>98</v>
      </c>
      <c r="B1238">
        <v>486910</v>
      </c>
      <c r="C1238" t="s">
        <v>457</v>
      </c>
      <c r="D1238">
        <v>7489</v>
      </c>
      <c r="E1238">
        <v>636</v>
      </c>
    </row>
    <row r="1239" spans="1:5" x14ac:dyDescent="0.3">
      <c r="A1239">
        <v>98</v>
      </c>
      <c r="B1239">
        <v>48699</v>
      </c>
      <c r="C1239" t="s">
        <v>457</v>
      </c>
      <c r="D1239">
        <v>537</v>
      </c>
      <c r="E1239">
        <v>60</v>
      </c>
    </row>
    <row r="1240" spans="1:5" x14ac:dyDescent="0.3">
      <c r="A1240">
        <v>98</v>
      </c>
      <c r="B1240">
        <v>486990</v>
      </c>
      <c r="C1240" t="s">
        <v>457</v>
      </c>
      <c r="D1240">
        <v>537</v>
      </c>
      <c r="E1240">
        <v>60</v>
      </c>
    </row>
    <row r="1241" spans="1:5" x14ac:dyDescent="0.3">
      <c r="A1241">
        <v>98</v>
      </c>
      <c r="B1241">
        <v>487</v>
      </c>
      <c r="C1241" t="s">
        <v>457</v>
      </c>
      <c r="D1241">
        <v>26488</v>
      </c>
      <c r="E1241">
        <v>2744</v>
      </c>
    </row>
    <row r="1242" spans="1:5" x14ac:dyDescent="0.3">
      <c r="A1242">
        <v>98</v>
      </c>
      <c r="B1242">
        <v>4871</v>
      </c>
      <c r="C1242" t="s">
        <v>457</v>
      </c>
      <c r="D1242">
        <v>11189</v>
      </c>
      <c r="E1242">
        <v>715</v>
      </c>
    </row>
    <row r="1243" spans="1:5" x14ac:dyDescent="0.3">
      <c r="A1243">
        <v>98</v>
      </c>
      <c r="B1243">
        <v>48711</v>
      </c>
      <c r="C1243" t="s">
        <v>457</v>
      </c>
      <c r="D1243">
        <v>11189</v>
      </c>
      <c r="E1243">
        <v>715</v>
      </c>
    </row>
    <row r="1244" spans="1:5" x14ac:dyDescent="0.3">
      <c r="A1244">
        <v>98</v>
      </c>
      <c r="B1244">
        <v>487110</v>
      </c>
      <c r="C1244" t="s">
        <v>457</v>
      </c>
      <c r="D1244">
        <v>11189</v>
      </c>
      <c r="E1244">
        <v>715</v>
      </c>
    </row>
    <row r="1245" spans="1:5" x14ac:dyDescent="0.3">
      <c r="A1245">
        <v>98</v>
      </c>
      <c r="B1245">
        <v>4872</v>
      </c>
      <c r="C1245" t="s">
        <v>457</v>
      </c>
      <c r="D1245">
        <v>13000</v>
      </c>
      <c r="E1245">
        <v>1803</v>
      </c>
    </row>
    <row r="1246" spans="1:5" x14ac:dyDescent="0.3">
      <c r="A1246">
        <v>98</v>
      </c>
      <c r="B1246">
        <v>48721</v>
      </c>
      <c r="C1246" t="s">
        <v>457</v>
      </c>
      <c r="D1246">
        <v>13000</v>
      </c>
      <c r="E1246">
        <v>1803</v>
      </c>
    </row>
    <row r="1247" spans="1:5" x14ac:dyDescent="0.3">
      <c r="A1247">
        <v>98</v>
      </c>
      <c r="B1247">
        <v>487210</v>
      </c>
      <c r="C1247" t="s">
        <v>457</v>
      </c>
      <c r="D1247">
        <v>13000</v>
      </c>
      <c r="E1247">
        <v>1803</v>
      </c>
    </row>
    <row r="1248" spans="1:5" x14ac:dyDescent="0.3">
      <c r="A1248">
        <v>98</v>
      </c>
      <c r="B1248">
        <v>4879</v>
      </c>
      <c r="C1248" t="s">
        <v>457</v>
      </c>
      <c r="D1248">
        <v>2299</v>
      </c>
      <c r="E1248">
        <v>226</v>
      </c>
    </row>
    <row r="1249" spans="1:5" x14ac:dyDescent="0.3">
      <c r="A1249">
        <v>98</v>
      </c>
      <c r="B1249">
        <v>48799</v>
      </c>
      <c r="C1249" t="s">
        <v>457</v>
      </c>
      <c r="D1249">
        <v>2299</v>
      </c>
      <c r="E1249">
        <v>226</v>
      </c>
    </row>
    <row r="1250" spans="1:5" x14ac:dyDescent="0.3">
      <c r="A1250">
        <v>98</v>
      </c>
      <c r="B1250">
        <v>487990</v>
      </c>
      <c r="C1250" t="s">
        <v>457</v>
      </c>
      <c r="D1250">
        <v>2299</v>
      </c>
      <c r="E1250">
        <v>226</v>
      </c>
    </row>
    <row r="1251" spans="1:5" x14ac:dyDescent="0.3">
      <c r="A1251">
        <v>98</v>
      </c>
      <c r="B1251">
        <v>488</v>
      </c>
      <c r="C1251" t="s">
        <v>457</v>
      </c>
      <c r="D1251">
        <v>674531</v>
      </c>
      <c r="E1251">
        <v>43495</v>
      </c>
    </row>
    <row r="1252" spans="1:5" x14ac:dyDescent="0.3">
      <c r="A1252">
        <v>98</v>
      </c>
      <c r="B1252">
        <v>4881</v>
      </c>
      <c r="C1252" t="s">
        <v>457</v>
      </c>
      <c r="D1252">
        <v>175009</v>
      </c>
      <c r="E1252">
        <v>5762</v>
      </c>
    </row>
    <row r="1253" spans="1:5" x14ac:dyDescent="0.3">
      <c r="A1253">
        <v>98</v>
      </c>
      <c r="B1253">
        <v>48811</v>
      </c>
      <c r="C1253" t="s">
        <v>457</v>
      </c>
      <c r="D1253">
        <v>94913</v>
      </c>
      <c r="E1253">
        <v>2076</v>
      </c>
    </row>
    <row r="1254" spans="1:5" x14ac:dyDescent="0.3">
      <c r="A1254">
        <v>98</v>
      </c>
      <c r="B1254">
        <v>488111</v>
      </c>
      <c r="C1254" t="s">
        <v>457</v>
      </c>
      <c r="D1254">
        <v>1434</v>
      </c>
      <c r="E1254">
        <v>191</v>
      </c>
    </row>
    <row r="1255" spans="1:5" x14ac:dyDescent="0.3">
      <c r="A1255">
        <v>98</v>
      </c>
      <c r="B1255">
        <v>488119</v>
      </c>
      <c r="C1255" t="s">
        <v>457</v>
      </c>
      <c r="D1255">
        <v>93479</v>
      </c>
      <c r="E1255">
        <v>1885</v>
      </c>
    </row>
    <row r="1256" spans="1:5" x14ac:dyDescent="0.3">
      <c r="A1256">
        <v>98</v>
      </c>
      <c r="B1256">
        <v>48819</v>
      </c>
      <c r="C1256" t="s">
        <v>457</v>
      </c>
      <c r="D1256">
        <v>80096</v>
      </c>
      <c r="E1256">
        <v>3686</v>
      </c>
    </row>
    <row r="1257" spans="1:5" x14ac:dyDescent="0.3">
      <c r="A1257">
        <v>98</v>
      </c>
      <c r="B1257">
        <v>488190</v>
      </c>
      <c r="C1257" t="s">
        <v>457</v>
      </c>
      <c r="D1257">
        <v>80096</v>
      </c>
      <c r="E1257">
        <v>3686</v>
      </c>
    </row>
    <row r="1258" spans="1:5" x14ac:dyDescent="0.3">
      <c r="A1258">
        <v>98</v>
      </c>
      <c r="B1258">
        <v>4882</v>
      </c>
      <c r="C1258" t="s">
        <v>457</v>
      </c>
      <c r="D1258">
        <v>39384</v>
      </c>
      <c r="E1258">
        <v>1403</v>
      </c>
    </row>
    <row r="1259" spans="1:5" x14ac:dyDescent="0.3">
      <c r="A1259">
        <v>98</v>
      </c>
      <c r="B1259">
        <v>48821</v>
      </c>
      <c r="C1259" t="s">
        <v>457</v>
      </c>
      <c r="D1259">
        <v>39384</v>
      </c>
      <c r="E1259">
        <v>1403</v>
      </c>
    </row>
    <row r="1260" spans="1:5" x14ac:dyDescent="0.3">
      <c r="A1260">
        <v>98</v>
      </c>
      <c r="B1260">
        <v>488210</v>
      </c>
      <c r="C1260" t="s">
        <v>457</v>
      </c>
      <c r="D1260">
        <v>39384</v>
      </c>
      <c r="E1260">
        <v>1403</v>
      </c>
    </row>
    <row r="1261" spans="1:5" x14ac:dyDescent="0.3">
      <c r="A1261">
        <v>98</v>
      </c>
      <c r="B1261">
        <v>4883</v>
      </c>
      <c r="C1261" t="s">
        <v>457</v>
      </c>
      <c r="D1261">
        <v>97354</v>
      </c>
      <c r="E1261">
        <v>2556</v>
      </c>
    </row>
    <row r="1262" spans="1:5" x14ac:dyDescent="0.3">
      <c r="A1262">
        <v>98</v>
      </c>
      <c r="B1262">
        <v>48831</v>
      </c>
      <c r="C1262" t="s">
        <v>457</v>
      </c>
      <c r="D1262">
        <v>7855</v>
      </c>
      <c r="E1262">
        <v>337</v>
      </c>
    </row>
    <row r="1263" spans="1:5" x14ac:dyDescent="0.3">
      <c r="A1263">
        <v>98</v>
      </c>
      <c r="B1263">
        <v>488310</v>
      </c>
      <c r="C1263" t="s">
        <v>457</v>
      </c>
      <c r="D1263">
        <v>7855</v>
      </c>
      <c r="E1263">
        <v>337</v>
      </c>
    </row>
    <row r="1264" spans="1:5" x14ac:dyDescent="0.3">
      <c r="A1264">
        <v>98</v>
      </c>
      <c r="B1264">
        <v>48832</v>
      </c>
      <c r="C1264" t="s">
        <v>457</v>
      </c>
      <c r="D1264">
        <v>66414</v>
      </c>
      <c r="E1264">
        <v>492</v>
      </c>
    </row>
    <row r="1265" spans="1:5" x14ac:dyDescent="0.3">
      <c r="A1265">
        <v>98</v>
      </c>
      <c r="B1265">
        <v>488320</v>
      </c>
      <c r="C1265" t="s">
        <v>457</v>
      </c>
      <c r="D1265">
        <v>66414</v>
      </c>
      <c r="E1265">
        <v>492</v>
      </c>
    </row>
    <row r="1266" spans="1:5" x14ac:dyDescent="0.3">
      <c r="A1266">
        <v>98</v>
      </c>
      <c r="B1266">
        <v>48833</v>
      </c>
      <c r="C1266" t="s">
        <v>457</v>
      </c>
      <c r="D1266">
        <v>11864</v>
      </c>
      <c r="E1266">
        <v>889</v>
      </c>
    </row>
    <row r="1267" spans="1:5" x14ac:dyDescent="0.3">
      <c r="A1267">
        <v>98</v>
      </c>
      <c r="B1267">
        <v>488330</v>
      </c>
      <c r="C1267" t="s">
        <v>457</v>
      </c>
      <c r="D1267">
        <v>11864</v>
      </c>
      <c r="E1267">
        <v>889</v>
      </c>
    </row>
    <row r="1268" spans="1:5" x14ac:dyDescent="0.3">
      <c r="A1268">
        <v>98</v>
      </c>
      <c r="B1268">
        <v>48839</v>
      </c>
      <c r="C1268" t="s">
        <v>457</v>
      </c>
      <c r="D1268">
        <v>11221</v>
      </c>
      <c r="E1268">
        <v>838</v>
      </c>
    </row>
    <row r="1269" spans="1:5" x14ac:dyDescent="0.3">
      <c r="A1269">
        <v>98</v>
      </c>
      <c r="B1269">
        <v>488390</v>
      </c>
      <c r="C1269" t="s">
        <v>457</v>
      </c>
      <c r="D1269">
        <v>11221</v>
      </c>
      <c r="E1269">
        <v>838</v>
      </c>
    </row>
    <row r="1270" spans="1:5" x14ac:dyDescent="0.3">
      <c r="A1270">
        <v>98</v>
      </c>
      <c r="B1270">
        <v>4884</v>
      </c>
      <c r="C1270" t="s">
        <v>457</v>
      </c>
      <c r="D1270">
        <v>91786</v>
      </c>
      <c r="E1270">
        <v>11497</v>
      </c>
    </row>
    <row r="1271" spans="1:5" x14ac:dyDescent="0.3">
      <c r="A1271">
        <v>98</v>
      </c>
      <c r="B1271">
        <v>48841</v>
      </c>
      <c r="C1271" t="s">
        <v>457</v>
      </c>
      <c r="D1271">
        <v>57615</v>
      </c>
      <c r="E1271">
        <v>8878</v>
      </c>
    </row>
    <row r="1272" spans="1:5" x14ac:dyDescent="0.3">
      <c r="A1272">
        <v>98</v>
      </c>
      <c r="B1272">
        <v>488410</v>
      </c>
      <c r="C1272" t="s">
        <v>457</v>
      </c>
      <c r="D1272">
        <v>57615</v>
      </c>
      <c r="E1272">
        <v>8878</v>
      </c>
    </row>
    <row r="1273" spans="1:5" x14ac:dyDescent="0.3">
      <c r="A1273">
        <v>98</v>
      </c>
      <c r="B1273">
        <v>48849</v>
      </c>
      <c r="C1273" t="s">
        <v>457</v>
      </c>
      <c r="D1273">
        <v>34171</v>
      </c>
      <c r="E1273">
        <v>2619</v>
      </c>
    </row>
    <row r="1274" spans="1:5" x14ac:dyDescent="0.3">
      <c r="A1274">
        <v>98</v>
      </c>
      <c r="B1274">
        <v>488490</v>
      </c>
      <c r="C1274" t="s">
        <v>457</v>
      </c>
      <c r="D1274">
        <v>34171</v>
      </c>
      <c r="E1274">
        <v>2619</v>
      </c>
    </row>
    <row r="1275" spans="1:5" x14ac:dyDescent="0.3">
      <c r="A1275">
        <v>98</v>
      </c>
      <c r="B1275">
        <v>4885</v>
      </c>
      <c r="C1275" t="s">
        <v>457</v>
      </c>
      <c r="D1275">
        <v>253880</v>
      </c>
      <c r="E1275">
        <v>20606</v>
      </c>
    </row>
    <row r="1276" spans="1:5" x14ac:dyDescent="0.3">
      <c r="A1276">
        <v>98</v>
      </c>
      <c r="B1276">
        <v>48851</v>
      </c>
      <c r="C1276" t="s">
        <v>457</v>
      </c>
      <c r="D1276">
        <v>253880</v>
      </c>
      <c r="E1276">
        <v>20606</v>
      </c>
    </row>
    <row r="1277" spans="1:5" x14ac:dyDescent="0.3">
      <c r="A1277">
        <v>98</v>
      </c>
      <c r="B1277">
        <v>488510</v>
      </c>
      <c r="C1277" t="s">
        <v>457</v>
      </c>
      <c r="D1277">
        <v>253880</v>
      </c>
      <c r="E1277">
        <v>20606</v>
      </c>
    </row>
    <row r="1278" spans="1:5" x14ac:dyDescent="0.3">
      <c r="A1278">
        <v>98</v>
      </c>
      <c r="B1278">
        <v>4889</v>
      </c>
      <c r="C1278" t="s">
        <v>457</v>
      </c>
      <c r="D1278">
        <v>17118</v>
      </c>
      <c r="E1278">
        <v>1671</v>
      </c>
    </row>
    <row r="1279" spans="1:5" x14ac:dyDescent="0.3">
      <c r="A1279">
        <v>98</v>
      </c>
      <c r="B1279">
        <v>48899</v>
      </c>
      <c r="C1279" t="s">
        <v>457</v>
      </c>
      <c r="D1279">
        <v>17118</v>
      </c>
      <c r="E1279">
        <v>1671</v>
      </c>
    </row>
    <row r="1280" spans="1:5" x14ac:dyDescent="0.3">
      <c r="A1280">
        <v>98</v>
      </c>
      <c r="B1280">
        <v>488991</v>
      </c>
      <c r="C1280" t="s">
        <v>457</v>
      </c>
      <c r="D1280">
        <v>15232</v>
      </c>
      <c r="E1280">
        <v>1280</v>
      </c>
    </row>
    <row r="1281" spans="1:5" x14ac:dyDescent="0.3">
      <c r="A1281">
        <v>98</v>
      </c>
      <c r="B1281">
        <v>488999</v>
      </c>
      <c r="C1281" t="s">
        <v>457</v>
      </c>
      <c r="D1281">
        <v>1886</v>
      </c>
      <c r="E1281">
        <v>391</v>
      </c>
    </row>
    <row r="1282" spans="1:5" x14ac:dyDescent="0.3">
      <c r="A1282">
        <v>98</v>
      </c>
      <c r="B1282">
        <v>492</v>
      </c>
      <c r="C1282" t="s">
        <v>457</v>
      </c>
      <c r="D1282">
        <v>591424</v>
      </c>
      <c r="E1282">
        <v>14853</v>
      </c>
    </row>
    <row r="1283" spans="1:5" x14ac:dyDescent="0.3">
      <c r="A1283">
        <v>98</v>
      </c>
      <c r="B1283">
        <v>4921</v>
      </c>
      <c r="C1283" t="s">
        <v>457</v>
      </c>
      <c r="D1283">
        <v>553235</v>
      </c>
      <c r="E1283">
        <v>10402</v>
      </c>
    </row>
    <row r="1284" spans="1:5" x14ac:dyDescent="0.3">
      <c r="A1284">
        <v>98</v>
      </c>
      <c r="B1284">
        <v>49211</v>
      </c>
      <c r="C1284" t="s">
        <v>457</v>
      </c>
      <c r="D1284">
        <v>553235</v>
      </c>
      <c r="E1284">
        <v>10402</v>
      </c>
    </row>
    <row r="1285" spans="1:5" x14ac:dyDescent="0.3">
      <c r="A1285">
        <v>98</v>
      </c>
      <c r="B1285">
        <v>492110</v>
      </c>
      <c r="C1285" t="s">
        <v>457</v>
      </c>
      <c r="D1285">
        <v>553235</v>
      </c>
      <c r="E1285">
        <v>10402</v>
      </c>
    </row>
    <row r="1286" spans="1:5" x14ac:dyDescent="0.3">
      <c r="A1286">
        <v>98</v>
      </c>
      <c r="B1286">
        <v>4922</v>
      </c>
      <c r="C1286" t="s">
        <v>457</v>
      </c>
      <c r="D1286">
        <v>38189</v>
      </c>
      <c r="E1286">
        <v>4451</v>
      </c>
    </row>
    <row r="1287" spans="1:5" x14ac:dyDescent="0.3">
      <c r="A1287">
        <v>98</v>
      </c>
      <c r="B1287">
        <v>49221</v>
      </c>
      <c r="C1287" t="s">
        <v>457</v>
      </c>
      <c r="D1287">
        <v>38189</v>
      </c>
      <c r="E1287">
        <v>4451</v>
      </c>
    </row>
    <row r="1288" spans="1:5" x14ac:dyDescent="0.3">
      <c r="A1288">
        <v>98</v>
      </c>
      <c r="B1288">
        <v>492210</v>
      </c>
      <c r="C1288" t="s">
        <v>457</v>
      </c>
      <c r="D1288">
        <v>38189</v>
      </c>
      <c r="E1288">
        <v>4451</v>
      </c>
    </row>
    <row r="1289" spans="1:5" x14ac:dyDescent="0.3">
      <c r="A1289">
        <v>98</v>
      </c>
      <c r="B1289">
        <v>493</v>
      </c>
      <c r="C1289" t="s">
        <v>457</v>
      </c>
      <c r="D1289">
        <v>809359</v>
      </c>
      <c r="E1289">
        <v>15130</v>
      </c>
    </row>
    <row r="1290" spans="1:5" x14ac:dyDescent="0.3">
      <c r="A1290">
        <v>98</v>
      </c>
      <c r="B1290">
        <v>4931</v>
      </c>
      <c r="C1290" t="s">
        <v>457</v>
      </c>
      <c r="D1290">
        <v>809359</v>
      </c>
      <c r="E1290">
        <v>15130</v>
      </c>
    </row>
    <row r="1291" spans="1:5" x14ac:dyDescent="0.3">
      <c r="A1291">
        <v>98</v>
      </c>
      <c r="B1291">
        <v>49311</v>
      </c>
      <c r="C1291" t="s">
        <v>457</v>
      </c>
      <c r="D1291">
        <v>692485</v>
      </c>
      <c r="E1291">
        <v>10818</v>
      </c>
    </row>
    <row r="1292" spans="1:5" x14ac:dyDescent="0.3">
      <c r="A1292">
        <v>98</v>
      </c>
      <c r="B1292">
        <v>493110</v>
      </c>
      <c r="C1292" t="s">
        <v>457</v>
      </c>
      <c r="D1292">
        <v>692485</v>
      </c>
      <c r="E1292">
        <v>10818</v>
      </c>
    </row>
    <row r="1293" spans="1:5" x14ac:dyDescent="0.3">
      <c r="A1293">
        <v>98</v>
      </c>
      <c r="B1293">
        <v>49312</v>
      </c>
      <c r="C1293" t="s">
        <v>457</v>
      </c>
      <c r="D1293">
        <v>48850</v>
      </c>
      <c r="E1293">
        <v>1232</v>
      </c>
    </row>
    <row r="1294" spans="1:5" x14ac:dyDescent="0.3">
      <c r="A1294">
        <v>98</v>
      </c>
      <c r="B1294">
        <v>493120</v>
      </c>
      <c r="C1294" t="s">
        <v>457</v>
      </c>
      <c r="D1294">
        <v>48850</v>
      </c>
      <c r="E1294">
        <v>1232</v>
      </c>
    </row>
    <row r="1295" spans="1:5" x14ac:dyDescent="0.3">
      <c r="A1295">
        <v>98</v>
      </c>
      <c r="B1295">
        <v>49313</v>
      </c>
      <c r="C1295" t="s">
        <v>457</v>
      </c>
      <c r="D1295">
        <v>7503</v>
      </c>
      <c r="E1295">
        <v>623</v>
      </c>
    </row>
    <row r="1296" spans="1:5" x14ac:dyDescent="0.3">
      <c r="A1296">
        <v>98</v>
      </c>
      <c r="B1296">
        <v>493130</v>
      </c>
      <c r="C1296" t="s">
        <v>457</v>
      </c>
      <c r="D1296">
        <v>7503</v>
      </c>
      <c r="E1296">
        <v>623</v>
      </c>
    </row>
    <row r="1297" spans="1:5" x14ac:dyDescent="0.3">
      <c r="A1297">
        <v>98</v>
      </c>
      <c r="B1297">
        <v>49319</v>
      </c>
      <c r="C1297" t="s">
        <v>457</v>
      </c>
      <c r="D1297">
        <v>60521</v>
      </c>
      <c r="E1297">
        <v>2457</v>
      </c>
    </row>
    <row r="1298" spans="1:5" x14ac:dyDescent="0.3">
      <c r="A1298">
        <v>98</v>
      </c>
      <c r="B1298">
        <v>493190</v>
      </c>
      <c r="C1298" t="s">
        <v>457</v>
      </c>
      <c r="D1298">
        <v>60521</v>
      </c>
      <c r="E1298">
        <v>2457</v>
      </c>
    </row>
    <row r="1299" spans="1:5" x14ac:dyDescent="0.3">
      <c r="A1299">
        <v>98</v>
      </c>
      <c r="B1299" t="s">
        <v>183</v>
      </c>
      <c r="C1299" t="s">
        <v>457</v>
      </c>
      <c r="D1299">
        <v>3394317</v>
      </c>
      <c r="E1299">
        <v>139508</v>
      </c>
    </row>
    <row r="1300" spans="1:5" x14ac:dyDescent="0.3">
      <c r="A1300">
        <v>98</v>
      </c>
      <c r="B1300">
        <v>511</v>
      </c>
      <c r="C1300" t="s">
        <v>457</v>
      </c>
      <c r="D1300">
        <v>877345</v>
      </c>
      <c r="E1300">
        <v>26859</v>
      </c>
    </row>
    <row r="1301" spans="1:5" x14ac:dyDescent="0.3">
      <c r="A1301">
        <v>98</v>
      </c>
      <c r="B1301">
        <v>5111</v>
      </c>
      <c r="C1301" t="s">
        <v>457</v>
      </c>
      <c r="D1301">
        <v>407500</v>
      </c>
      <c r="E1301">
        <v>17260</v>
      </c>
    </row>
    <row r="1302" spans="1:5" x14ac:dyDescent="0.3">
      <c r="A1302">
        <v>98</v>
      </c>
      <c r="B1302">
        <v>51111</v>
      </c>
      <c r="C1302" t="s">
        <v>457</v>
      </c>
      <c r="D1302">
        <v>194870</v>
      </c>
      <c r="E1302">
        <v>7165</v>
      </c>
    </row>
    <row r="1303" spans="1:5" x14ac:dyDescent="0.3">
      <c r="A1303">
        <v>98</v>
      </c>
      <c r="B1303">
        <v>511110</v>
      </c>
      <c r="C1303" t="s">
        <v>457</v>
      </c>
      <c r="D1303">
        <v>194870</v>
      </c>
      <c r="E1303">
        <v>7165</v>
      </c>
    </row>
    <row r="1304" spans="1:5" x14ac:dyDescent="0.3">
      <c r="A1304">
        <v>98</v>
      </c>
      <c r="B1304">
        <v>51112</v>
      </c>
      <c r="C1304" t="s">
        <v>457</v>
      </c>
      <c r="D1304">
        <v>105294</v>
      </c>
      <c r="E1304">
        <v>5840</v>
      </c>
    </row>
    <row r="1305" spans="1:5" x14ac:dyDescent="0.3">
      <c r="A1305">
        <v>98</v>
      </c>
      <c r="B1305">
        <v>511120</v>
      </c>
      <c r="C1305" t="s">
        <v>457</v>
      </c>
      <c r="D1305">
        <v>105294</v>
      </c>
      <c r="E1305">
        <v>5840</v>
      </c>
    </row>
    <row r="1306" spans="1:5" x14ac:dyDescent="0.3">
      <c r="A1306">
        <v>98</v>
      </c>
      <c r="B1306">
        <v>51113</v>
      </c>
      <c r="C1306" t="s">
        <v>457</v>
      </c>
      <c r="D1306">
        <v>64520</v>
      </c>
      <c r="E1306">
        <v>2555</v>
      </c>
    </row>
    <row r="1307" spans="1:5" x14ac:dyDescent="0.3">
      <c r="A1307">
        <v>98</v>
      </c>
      <c r="B1307">
        <v>511130</v>
      </c>
      <c r="C1307" t="s">
        <v>457</v>
      </c>
      <c r="D1307">
        <v>64520</v>
      </c>
      <c r="E1307">
        <v>2555</v>
      </c>
    </row>
    <row r="1308" spans="1:5" x14ac:dyDescent="0.3">
      <c r="A1308">
        <v>98</v>
      </c>
      <c r="B1308">
        <v>51114</v>
      </c>
      <c r="C1308" t="s">
        <v>457</v>
      </c>
      <c r="D1308">
        <v>22268</v>
      </c>
      <c r="E1308">
        <v>886</v>
      </c>
    </row>
    <row r="1309" spans="1:5" x14ac:dyDescent="0.3">
      <c r="A1309">
        <v>98</v>
      </c>
      <c r="B1309">
        <v>511140</v>
      </c>
      <c r="C1309" t="s">
        <v>457</v>
      </c>
      <c r="D1309">
        <v>22268</v>
      </c>
      <c r="E1309">
        <v>886</v>
      </c>
    </row>
    <row r="1310" spans="1:5" x14ac:dyDescent="0.3">
      <c r="A1310">
        <v>98</v>
      </c>
      <c r="B1310">
        <v>51119</v>
      </c>
      <c r="C1310" t="s">
        <v>457</v>
      </c>
      <c r="D1310">
        <v>20548</v>
      </c>
      <c r="E1310">
        <v>814</v>
      </c>
    </row>
    <row r="1311" spans="1:5" x14ac:dyDescent="0.3">
      <c r="A1311">
        <v>98</v>
      </c>
      <c r="B1311">
        <v>511191</v>
      </c>
      <c r="C1311" t="s">
        <v>457</v>
      </c>
      <c r="D1311">
        <v>14162</v>
      </c>
      <c r="E1311">
        <v>100</v>
      </c>
    </row>
    <row r="1312" spans="1:5" x14ac:dyDescent="0.3">
      <c r="A1312">
        <v>98</v>
      </c>
      <c r="B1312">
        <v>511199</v>
      </c>
      <c r="C1312" t="s">
        <v>457</v>
      </c>
      <c r="D1312">
        <v>6386</v>
      </c>
      <c r="E1312">
        <v>714</v>
      </c>
    </row>
    <row r="1313" spans="1:5" x14ac:dyDescent="0.3">
      <c r="A1313">
        <v>98</v>
      </c>
      <c r="B1313">
        <v>5112</v>
      </c>
      <c r="C1313" t="s">
        <v>457</v>
      </c>
      <c r="D1313">
        <v>469845</v>
      </c>
      <c r="E1313">
        <v>9599</v>
      </c>
    </row>
    <row r="1314" spans="1:5" x14ac:dyDescent="0.3">
      <c r="A1314">
        <v>98</v>
      </c>
      <c r="B1314">
        <v>51121</v>
      </c>
      <c r="C1314" t="s">
        <v>457</v>
      </c>
      <c r="D1314">
        <v>469845</v>
      </c>
      <c r="E1314">
        <v>9599</v>
      </c>
    </row>
    <row r="1315" spans="1:5" x14ac:dyDescent="0.3">
      <c r="A1315">
        <v>98</v>
      </c>
      <c r="B1315">
        <v>511210</v>
      </c>
      <c r="C1315" t="s">
        <v>457</v>
      </c>
      <c r="D1315">
        <v>469845</v>
      </c>
      <c r="E1315">
        <v>9599</v>
      </c>
    </row>
    <row r="1316" spans="1:5" x14ac:dyDescent="0.3">
      <c r="A1316">
        <v>98</v>
      </c>
      <c r="B1316">
        <v>512</v>
      </c>
      <c r="C1316" t="s">
        <v>457</v>
      </c>
      <c r="D1316">
        <v>431554</v>
      </c>
      <c r="E1316">
        <v>25522</v>
      </c>
    </row>
    <row r="1317" spans="1:5" x14ac:dyDescent="0.3">
      <c r="A1317">
        <v>98</v>
      </c>
      <c r="B1317">
        <v>5121</v>
      </c>
      <c r="C1317" t="s">
        <v>457</v>
      </c>
      <c r="D1317">
        <v>403035</v>
      </c>
      <c r="E1317">
        <v>21958</v>
      </c>
    </row>
    <row r="1318" spans="1:5" x14ac:dyDescent="0.3">
      <c r="A1318">
        <v>98</v>
      </c>
      <c r="B1318">
        <v>51211</v>
      </c>
      <c r="C1318" t="s">
        <v>457</v>
      </c>
      <c r="D1318">
        <v>230827</v>
      </c>
      <c r="E1318">
        <v>14371</v>
      </c>
    </row>
    <row r="1319" spans="1:5" x14ac:dyDescent="0.3">
      <c r="A1319">
        <v>98</v>
      </c>
      <c r="B1319">
        <v>512110</v>
      </c>
      <c r="C1319" t="s">
        <v>457</v>
      </c>
      <c r="D1319">
        <v>230827</v>
      </c>
      <c r="E1319">
        <v>14371</v>
      </c>
    </row>
    <row r="1320" spans="1:5" x14ac:dyDescent="0.3">
      <c r="A1320">
        <v>98</v>
      </c>
      <c r="B1320">
        <v>51212</v>
      </c>
      <c r="C1320" t="s">
        <v>457</v>
      </c>
      <c r="D1320">
        <v>2825</v>
      </c>
      <c r="E1320">
        <v>348</v>
      </c>
    </row>
    <row r="1321" spans="1:5" x14ac:dyDescent="0.3">
      <c r="A1321">
        <v>98</v>
      </c>
      <c r="B1321">
        <v>512120</v>
      </c>
      <c r="C1321" t="s">
        <v>457</v>
      </c>
      <c r="D1321">
        <v>2825</v>
      </c>
      <c r="E1321">
        <v>348</v>
      </c>
    </row>
    <row r="1322" spans="1:5" x14ac:dyDescent="0.3">
      <c r="A1322">
        <v>98</v>
      </c>
      <c r="B1322">
        <v>51213</v>
      </c>
      <c r="C1322" t="s">
        <v>457</v>
      </c>
      <c r="D1322">
        <v>141705</v>
      </c>
      <c r="E1322">
        <v>4620</v>
      </c>
    </row>
    <row r="1323" spans="1:5" x14ac:dyDescent="0.3">
      <c r="A1323">
        <v>98</v>
      </c>
      <c r="B1323">
        <v>512131</v>
      </c>
      <c r="C1323" t="s">
        <v>457</v>
      </c>
      <c r="D1323">
        <v>140764</v>
      </c>
      <c r="E1323">
        <v>4407</v>
      </c>
    </row>
    <row r="1324" spans="1:5" x14ac:dyDescent="0.3">
      <c r="A1324">
        <v>98</v>
      </c>
      <c r="B1324">
        <v>512132</v>
      </c>
      <c r="C1324" t="s">
        <v>457</v>
      </c>
      <c r="D1324">
        <v>941</v>
      </c>
      <c r="E1324">
        <v>213</v>
      </c>
    </row>
    <row r="1325" spans="1:5" x14ac:dyDescent="0.3">
      <c r="A1325">
        <v>98</v>
      </c>
      <c r="B1325">
        <v>51219</v>
      </c>
      <c r="C1325" t="s">
        <v>457</v>
      </c>
      <c r="D1325">
        <v>27678</v>
      </c>
      <c r="E1325">
        <v>2619</v>
      </c>
    </row>
    <row r="1326" spans="1:5" x14ac:dyDescent="0.3">
      <c r="A1326">
        <v>98</v>
      </c>
      <c r="B1326">
        <v>512191</v>
      </c>
      <c r="C1326" t="s">
        <v>457</v>
      </c>
      <c r="D1326">
        <v>26440</v>
      </c>
      <c r="E1326">
        <v>2408</v>
      </c>
    </row>
    <row r="1327" spans="1:5" x14ac:dyDescent="0.3">
      <c r="A1327">
        <v>98</v>
      </c>
      <c r="B1327">
        <v>512199</v>
      </c>
      <c r="C1327" t="s">
        <v>457</v>
      </c>
      <c r="D1327">
        <v>1238</v>
      </c>
      <c r="E1327">
        <v>211</v>
      </c>
    </row>
    <row r="1328" spans="1:5" x14ac:dyDescent="0.3">
      <c r="A1328">
        <v>98</v>
      </c>
      <c r="B1328">
        <v>5122</v>
      </c>
      <c r="C1328" t="s">
        <v>457</v>
      </c>
      <c r="D1328">
        <v>28519</v>
      </c>
      <c r="E1328">
        <v>3564</v>
      </c>
    </row>
    <row r="1329" spans="1:5" x14ac:dyDescent="0.3">
      <c r="A1329">
        <v>98</v>
      </c>
      <c r="B1329">
        <v>51221</v>
      </c>
      <c r="C1329" t="s">
        <v>457</v>
      </c>
      <c r="D1329">
        <v>1058</v>
      </c>
      <c r="E1329">
        <v>356</v>
      </c>
    </row>
    <row r="1330" spans="1:5" x14ac:dyDescent="0.3">
      <c r="A1330">
        <v>98</v>
      </c>
      <c r="B1330">
        <v>512210</v>
      </c>
      <c r="C1330" t="s">
        <v>457</v>
      </c>
      <c r="D1330">
        <v>1058</v>
      </c>
      <c r="E1330">
        <v>356</v>
      </c>
    </row>
    <row r="1331" spans="1:5" x14ac:dyDescent="0.3">
      <c r="A1331">
        <v>98</v>
      </c>
      <c r="B1331">
        <v>51222</v>
      </c>
      <c r="C1331" t="s">
        <v>457</v>
      </c>
      <c r="D1331">
        <v>13442</v>
      </c>
      <c r="E1331">
        <v>400</v>
      </c>
    </row>
    <row r="1332" spans="1:5" x14ac:dyDescent="0.3">
      <c r="A1332">
        <v>98</v>
      </c>
      <c r="B1332">
        <v>512220</v>
      </c>
      <c r="C1332" t="s">
        <v>457</v>
      </c>
      <c r="D1332">
        <v>13442</v>
      </c>
      <c r="E1332">
        <v>400</v>
      </c>
    </row>
    <row r="1333" spans="1:5" x14ac:dyDescent="0.3">
      <c r="A1333">
        <v>98</v>
      </c>
      <c r="B1333">
        <v>51223</v>
      </c>
      <c r="C1333" t="s">
        <v>457</v>
      </c>
      <c r="D1333">
        <v>6181</v>
      </c>
      <c r="E1333">
        <v>707</v>
      </c>
    </row>
    <row r="1334" spans="1:5" x14ac:dyDescent="0.3">
      <c r="A1334">
        <v>98</v>
      </c>
      <c r="B1334">
        <v>512230</v>
      </c>
      <c r="C1334" t="s">
        <v>457</v>
      </c>
      <c r="D1334">
        <v>6181</v>
      </c>
      <c r="E1334">
        <v>707</v>
      </c>
    </row>
    <row r="1335" spans="1:5" x14ac:dyDescent="0.3">
      <c r="A1335">
        <v>98</v>
      </c>
      <c r="B1335">
        <v>51224</v>
      </c>
      <c r="C1335" t="s">
        <v>457</v>
      </c>
      <c r="D1335">
        <v>5037</v>
      </c>
      <c r="E1335">
        <v>1700</v>
      </c>
    </row>
    <row r="1336" spans="1:5" x14ac:dyDescent="0.3">
      <c r="A1336">
        <v>98</v>
      </c>
      <c r="B1336">
        <v>512240</v>
      </c>
      <c r="C1336" t="s">
        <v>457</v>
      </c>
      <c r="D1336">
        <v>5037</v>
      </c>
      <c r="E1336">
        <v>1700</v>
      </c>
    </row>
    <row r="1337" spans="1:5" x14ac:dyDescent="0.3">
      <c r="A1337">
        <v>98</v>
      </c>
      <c r="B1337">
        <v>51229</v>
      </c>
      <c r="C1337" t="s">
        <v>457</v>
      </c>
      <c r="D1337">
        <v>2801</v>
      </c>
      <c r="E1337">
        <v>401</v>
      </c>
    </row>
    <row r="1338" spans="1:5" x14ac:dyDescent="0.3">
      <c r="A1338">
        <v>98</v>
      </c>
      <c r="B1338">
        <v>512290</v>
      </c>
      <c r="C1338" t="s">
        <v>457</v>
      </c>
      <c r="D1338">
        <v>2801</v>
      </c>
      <c r="E1338">
        <v>401</v>
      </c>
    </row>
    <row r="1339" spans="1:5" x14ac:dyDescent="0.3">
      <c r="A1339">
        <v>98</v>
      </c>
      <c r="B1339">
        <v>515</v>
      </c>
      <c r="C1339" t="s">
        <v>457</v>
      </c>
      <c r="D1339">
        <v>259527</v>
      </c>
      <c r="E1339">
        <v>8439</v>
      </c>
    </row>
    <row r="1340" spans="1:5" x14ac:dyDescent="0.3">
      <c r="A1340">
        <v>98</v>
      </c>
      <c r="B1340">
        <v>5151</v>
      </c>
      <c r="C1340" t="s">
        <v>457</v>
      </c>
      <c r="D1340">
        <v>206918</v>
      </c>
      <c r="E1340">
        <v>7725</v>
      </c>
    </row>
    <row r="1341" spans="1:5" x14ac:dyDescent="0.3">
      <c r="A1341">
        <v>98</v>
      </c>
      <c r="B1341">
        <v>51511</v>
      </c>
      <c r="C1341" t="s">
        <v>457</v>
      </c>
      <c r="D1341">
        <v>88851</v>
      </c>
      <c r="E1341">
        <v>5556</v>
      </c>
    </row>
    <row r="1342" spans="1:5" x14ac:dyDescent="0.3">
      <c r="A1342">
        <v>98</v>
      </c>
      <c r="B1342">
        <v>515111</v>
      </c>
      <c r="C1342" t="s">
        <v>457</v>
      </c>
      <c r="D1342">
        <v>11217</v>
      </c>
      <c r="E1342">
        <v>857</v>
      </c>
    </row>
    <row r="1343" spans="1:5" x14ac:dyDescent="0.3">
      <c r="A1343">
        <v>98</v>
      </c>
      <c r="B1343">
        <v>515112</v>
      </c>
      <c r="C1343" t="s">
        <v>457</v>
      </c>
      <c r="D1343">
        <v>77634</v>
      </c>
      <c r="E1343">
        <v>4699</v>
      </c>
    </row>
    <row r="1344" spans="1:5" x14ac:dyDescent="0.3">
      <c r="A1344">
        <v>98</v>
      </c>
      <c r="B1344">
        <v>51512</v>
      </c>
      <c r="C1344" t="s">
        <v>457</v>
      </c>
      <c r="D1344">
        <v>118067</v>
      </c>
      <c r="E1344">
        <v>2169</v>
      </c>
    </row>
    <row r="1345" spans="1:5" x14ac:dyDescent="0.3">
      <c r="A1345">
        <v>98</v>
      </c>
      <c r="B1345">
        <v>515120</v>
      </c>
      <c r="C1345" t="s">
        <v>457</v>
      </c>
      <c r="D1345">
        <v>118067</v>
      </c>
      <c r="E1345">
        <v>2169</v>
      </c>
    </row>
    <row r="1346" spans="1:5" x14ac:dyDescent="0.3">
      <c r="A1346">
        <v>98</v>
      </c>
      <c r="B1346">
        <v>5152</v>
      </c>
      <c r="C1346" t="s">
        <v>457</v>
      </c>
      <c r="D1346">
        <v>52609</v>
      </c>
      <c r="E1346">
        <v>714</v>
      </c>
    </row>
    <row r="1347" spans="1:5" x14ac:dyDescent="0.3">
      <c r="A1347">
        <v>98</v>
      </c>
      <c r="B1347">
        <v>51521</v>
      </c>
      <c r="C1347" t="s">
        <v>457</v>
      </c>
      <c r="D1347">
        <v>52609</v>
      </c>
      <c r="E1347">
        <v>714</v>
      </c>
    </row>
    <row r="1348" spans="1:5" x14ac:dyDescent="0.3">
      <c r="A1348">
        <v>98</v>
      </c>
      <c r="B1348">
        <v>515210</v>
      </c>
      <c r="C1348" t="s">
        <v>457</v>
      </c>
      <c r="D1348">
        <v>52609</v>
      </c>
      <c r="E1348">
        <v>714</v>
      </c>
    </row>
    <row r="1349" spans="1:5" x14ac:dyDescent="0.3">
      <c r="A1349">
        <v>98</v>
      </c>
      <c r="B1349">
        <v>517</v>
      </c>
      <c r="C1349" t="s">
        <v>457</v>
      </c>
      <c r="D1349">
        <v>1026329</v>
      </c>
      <c r="E1349">
        <v>53010</v>
      </c>
    </row>
    <row r="1350" spans="1:5" x14ac:dyDescent="0.3">
      <c r="A1350">
        <v>98</v>
      </c>
      <c r="B1350">
        <v>5171</v>
      </c>
      <c r="C1350" t="s">
        <v>457</v>
      </c>
      <c r="D1350">
        <v>734903</v>
      </c>
      <c r="E1350">
        <v>34845</v>
      </c>
    </row>
    <row r="1351" spans="1:5" x14ac:dyDescent="0.3">
      <c r="A1351">
        <v>98</v>
      </c>
      <c r="B1351">
        <v>51711</v>
      </c>
      <c r="C1351" t="s">
        <v>457</v>
      </c>
      <c r="D1351">
        <v>734903</v>
      </c>
      <c r="E1351">
        <v>34845</v>
      </c>
    </row>
    <row r="1352" spans="1:5" x14ac:dyDescent="0.3">
      <c r="A1352">
        <v>98</v>
      </c>
      <c r="B1352">
        <v>517110</v>
      </c>
      <c r="C1352" t="s">
        <v>457</v>
      </c>
      <c r="D1352">
        <v>734903</v>
      </c>
      <c r="E1352">
        <v>34845</v>
      </c>
    </row>
    <row r="1353" spans="1:5" x14ac:dyDescent="0.3">
      <c r="A1353">
        <v>98</v>
      </c>
      <c r="B1353">
        <v>5172</v>
      </c>
      <c r="C1353" t="s">
        <v>457</v>
      </c>
      <c r="D1353">
        <v>221756</v>
      </c>
      <c r="E1353">
        <v>11869</v>
      </c>
    </row>
    <row r="1354" spans="1:5" x14ac:dyDescent="0.3">
      <c r="A1354">
        <v>98</v>
      </c>
      <c r="B1354">
        <v>51721</v>
      </c>
      <c r="C1354" t="s">
        <v>457</v>
      </c>
      <c r="D1354">
        <v>221756</v>
      </c>
      <c r="E1354">
        <v>11869</v>
      </c>
    </row>
    <row r="1355" spans="1:5" x14ac:dyDescent="0.3">
      <c r="A1355">
        <v>98</v>
      </c>
      <c r="B1355">
        <v>517210</v>
      </c>
      <c r="C1355" t="s">
        <v>457</v>
      </c>
      <c r="D1355">
        <v>221756</v>
      </c>
      <c r="E1355">
        <v>11869</v>
      </c>
    </row>
    <row r="1356" spans="1:5" x14ac:dyDescent="0.3">
      <c r="A1356">
        <v>98</v>
      </c>
      <c r="B1356">
        <v>5174</v>
      </c>
      <c r="C1356" t="s">
        <v>457</v>
      </c>
      <c r="D1356">
        <v>8302</v>
      </c>
      <c r="E1356">
        <v>538</v>
      </c>
    </row>
    <row r="1357" spans="1:5" x14ac:dyDescent="0.3">
      <c r="A1357">
        <v>98</v>
      </c>
      <c r="B1357">
        <v>51741</v>
      </c>
      <c r="C1357" t="s">
        <v>457</v>
      </c>
      <c r="D1357">
        <v>8302</v>
      </c>
      <c r="E1357">
        <v>538</v>
      </c>
    </row>
    <row r="1358" spans="1:5" x14ac:dyDescent="0.3">
      <c r="A1358">
        <v>98</v>
      </c>
      <c r="B1358">
        <v>517410</v>
      </c>
      <c r="C1358" t="s">
        <v>457</v>
      </c>
      <c r="D1358">
        <v>8302</v>
      </c>
      <c r="E1358">
        <v>538</v>
      </c>
    </row>
    <row r="1359" spans="1:5" x14ac:dyDescent="0.3">
      <c r="A1359">
        <v>98</v>
      </c>
      <c r="B1359">
        <v>5179</v>
      </c>
      <c r="C1359" t="s">
        <v>457</v>
      </c>
      <c r="D1359">
        <v>61368</v>
      </c>
      <c r="E1359">
        <v>5758</v>
      </c>
    </row>
    <row r="1360" spans="1:5" x14ac:dyDescent="0.3">
      <c r="A1360">
        <v>98</v>
      </c>
      <c r="B1360">
        <v>51791</v>
      </c>
      <c r="C1360" t="s">
        <v>457</v>
      </c>
      <c r="D1360">
        <v>61368</v>
      </c>
      <c r="E1360">
        <v>5758</v>
      </c>
    </row>
    <row r="1361" spans="1:5" x14ac:dyDescent="0.3">
      <c r="A1361">
        <v>98</v>
      </c>
      <c r="B1361">
        <v>517911</v>
      </c>
      <c r="C1361" t="s">
        <v>457</v>
      </c>
      <c r="D1361">
        <v>27713</v>
      </c>
      <c r="E1361">
        <v>2505</v>
      </c>
    </row>
    <row r="1362" spans="1:5" x14ac:dyDescent="0.3">
      <c r="A1362">
        <v>98</v>
      </c>
      <c r="B1362">
        <v>517919</v>
      </c>
      <c r="C1362" t="s">
        <v>457</v>
      </c>
      <c r="D1362">
        <v>33655</v>
      </c>
      <c r="E1362">
        <v>3253</v>
      </c>
    </row>
    <row r="1363" spans="1:5" x14ac:dyDescent="0.3">
      <c r="A1363">
        <v>98</v>
      </c>
      <c r="B1363">
        <v>518</v>
      </c>
      <c r="C1363" t="s">
        <v>457</v>
      </c>
      <c r="D1363">
        <v>539171</v>
      </c>
      <c r="E1363">
        <v>13599</v>
      </c>
    </row>
    <row r="1364" spans="1:5" x14ac:dyDescent="0.3">
      <c r="A1364">
        <v>98</v>
      </c>
      <c r="B1364">
        <v>5182</v>
      </c>
      <c r="C1364" t="s">
        <v>457</v>
      </c>
      <c r="D1364">
        <v>539171</v>
      </c>
      <c r="E1364">
        <v>13599</v>
      </c>
    </row>
    <row r="1365" spans="1:5" x14ac:dyDescent="0.3">
      <c r="A1365">
        <v>98</v>
      </c>
      <c r="B1365">
        <v>51821</v>
      </c>
      <c r="C1365" t="s">
        <v>457</v>
      </c>
      <c r="D1365">
        <v>539171</v>
      </c>
      <c r="E1365">
        <v>13599</v>
      </c>
    </row>
    <row r="1366" spans="1:5" x14ac:dyDescent="0.3">
      <c r="A1366">
        <v>98</v>
      </c>
      <c r="B1366">
        <v>518210</v>
      </c>
      <c r="C1366" t="s">
        <v>457</v>
      </c>
      <c r="D1366">
        <v>539171</v>
      </c>
      <c r="E1366">
        <v>13599</v>
      </c>
    </row>
    <row r="1367" spans="1:5" x14ac:dyDescent="0.3">
      <c r="A1367">
        <v>98</v>
      </c>
      <c r="B1367">
        <v>519</v>
      </c>
      <c r="C1367" t="s">
        <v>457</v>
      </c>
      <c r="D1367">
        <v>260391</v>
      </c>
      <c r="E1367">
        <v>12079</v>
      </c>
    </row>
    <row r="1368" spans="1:5" x14ac:dyDescent="0.3">
      <c r="A1368">
        <v>98</v>
      </c>
      <c r="B1368">
        <v>5191</v>
      </c>
      <c r="C1368" t="s">
        <v>457</v>
      </c>
      <c r="D1368">
        <v>260391</v>
      </c>
      <c r="E1368">
        <v>12079</v>
      </c>
    </row>
    <row r="1369" spans="1:5" x14ac:dyDescent="0.3">
      <c r="A1369">
        <v>98</v>
      </c>
      <c r="B1369">
        <v>51911</v>
      </c>
      <c r="C1369" t="s">
        <v>457</v>
      </c>
      <c r="D1369">
        <v>6934</v>
      </c>
      <c r="E1369">
        <v>474</v>
      </c>
    </row>
    <row r="1370" spans="1:5" x14ac:dyDescent="0.3">
      <c r="A1370">
        <v>98</v>
      </c>
      <c r="B1370">
        <v>519110</v>
      </c>
      <c r="C1370" t="s">
        <v>457</v>
      </c>
      <c r="D1370">
        <v>6934</v>
      </c>
      <c r="E1370">
        <v>474</v>
      </c>
    </row>
    <row r="1371" spans="1:5" x14ac:dyDescent="0.3">
      <c r="A1371">
        <v>98</v>
      </c>
      <c r="B1371">
        <v>51912</v>
      </c>
      <c r="C1371" t="s">
        <v>457</v>
      </c>
      <c r="D1371">
        <v>26841</v>
      </c>
      <c r="E1371">
        <v>2264</v>
      </c>
    </row>
    <row r="1372" spans="1:5" x14ac:dyDescent="0.3">
      <c r="A1372">
        <v>98</v>
      </c>
      <c r="B1372">
        <v>519120</v>
      </c>
      <c r="C1372" t="s">
        <v>457</v>
      </c>
      <c r="D1372">
        <v>26841</v>
      </c>
      <c r="E1372">
        <v>2264</v>
      </c>
    </row>
    <row r="1373" spans="1:5" x14ac:dyDescent="0.3">
      <c r="A1373">
        <v>98</v>
      </c>
      <c r="B1373">
        <v>51913</v>
      </c>
      <c r="C1373" t="s">
        <v>457</v>
      </c>
      <c r="D1373">
        <v>212902</v>
      </c>
      <c r="E1373">
        <v>7796</v>
      </c>
    </row>
    <row r="1374" spans="1:5" x14ac:dyDescent="0.3">
      <c r="A1374">
        <v>98</v>
      </c>
      <c r="B1374">
        <v>519130</v>
      </c>
      <c r="C1374" t="s">
        <v>457</v>
      </c>
      <c r="D1374">
        <v>212902</v>
      </c>
      <c r="E1374">
        <v>7796</v>
      </c>
    </row>
    <row r="1375" spans="1:5" x14ac:dyDescent="0.3">
      <c r="A1375">
        <v>98</v>
      </c>
      <c r="B1375">
        <v>51919</v>
      </c>
      <c r="C1375" t="s">
        <v>457</v>
      </c>
      <c r="D1375">
        <v>13714</v>
      </c>
      <c r="E1375">
        <v>1545</v>
      </c>
    </row>
    <row r="1376" spans="1:5" x14ac:dyDescent="0.3">
      <c r="A1376">
        <v>98</v>
      </c>
      <c r="B1376">
        <v>519190</v>
      </c>
      <c r="C1376" t="s">
        <v>457</v>
      </c>
      <c r="D1376">
        <v>13714</v>
      </c>
      <c r="E1376">
        <v>1545</v>
      </c>
    </row>
    <row r="1377" spans="1:5" x14ac:dyDescent="0.3">
      <c r="A1377">
        <v>98</v>
      </c>
      <c r="B1377" t="s">
        <v>184</v>
      </c>
      <c r="C1377" t="s">
        <v>457</v>
      </c>
      <c r="D1377">
        <v>6135914</v>
      </c>
      <c r="E1377">
        <v>470062</v>
      </c>
    </row>
    <row r="1378" spans="1:5" x14ac:dyDescent="0.3">
      <c r="A1378">
        <v>98</v>
      </c>
      <c r="B1378">
        <v>521</v>
      </c>
      <c r="C1378" t="s">
        <v>457</v>
      </c>
      <c r="D1378">
        <v>19187</v>
      </c>
      <c r="E1378">
        <v>58</v>
      </c>
    </row>
    <row r="1379" spans="1:5" x14ac:dyDescent="0.3">
      <c r="A1379">
        <v>98</v>
      </c>
      <c r="B1379">
        <v>5211</v>
      </c>
      <c r="C1379" t="s">
        <v>457</v>
      </c>
      <c r="D1379">
        <v>19187</v>
      </c>
      <c r="E1379">
        <v>58</v>
      </c>
    </row>
    <row r="1380" spans="1:5" x14ac:dyDescent="0.3">
      <c r="A1380">
        <v>98</v>
      </c>
      <c r="B1380">
        <v>52111</v>
      </c>
      <c r="C1380" t="s">
        <v>457</v>
      </c>
      <c r="D1380">
        <v>19187</v>
      </c>
      <c r="E1380">
        <v>58</v>
      </c>
    </row>
    <row r="1381" spans="1:5" x14ac:dyDescent="0.3">
      <c r="A1381">
        <v>98</v>
      </c>
      <c r="B1381">
        <v>521110</v>
      </c>
      <c r="C1381" t="s">
        <v>457</v>
      </c>
      <c r="D1381">
        <v>19187</v>
      </c>
      <c r="E1381">
        <v>58</v>
      </c>
    </row>
    <row r="1382" spans="1:5" x14ac:dyDescent="0.3">
      <c r="A1382">
        <v>98</v>
      </c>
      <c r="B1382">
        <v>522</v>
      </c>
      <c r="C1382" t="s">
        <v>457</v>
      </c>
      <c r="D1382">
        <v>2760714</v>
      </c>
      <c r="E1382">
        <v>191651</v>
      </c>
    </row>
    <row r="1383" spans="1:5" x14ac:dyDescent="0.3">
      <c r="A1383">
        <v>98</v>
      </c>
      <c r="B1383">
        <v>5221</v>
      </c>
      <c r="C1383" t="s">
        <v>457</v>
      </c>
      <c r="D1383">
        <v>1910081</v>
      </c>
      <c r="E1383">
        <v>119409</v>
      </c>
    </row>
    <row r="1384" spans="1:5" x14ac:dyDescent="0.3">
      <c r="A1384">
        <v>98</v>
      </c>
      <c r="B1384">
        <v>52211</v>
      </c>
      <c r="C1384" t="s">
        <v>457</v>
      </c>
      <c r="D1384">
        <v>1512087</v>
      </c>
      <c r="E1384">
        <v>91821</v>
      </c>
    </row>
    <row r="1385" spans="1:5" x14ac:dyDescent="0.3">
      <c r="A1385">
        <v>98</v>
      </c>
      <c r="B1385">
        <v>522110</v>
      </c>
      <c r="C1385" t="s">
        <v>457</v>
      </c>
      <c r="D1385">
        <v>1512087</v>
      </c>
      <c r="E1385">
        <v>91821</v>
      </c>
    </row>
    <row r="1386" spans="1:5" x14ac:dyDescent="0.3">
      <c r="A1386">
        <v>98</v>
      </c>
      <c r="B1386">
        <v>52212</v>
      </c>
      <c r="C1386" t="s">
        <v>457</v>
      </c>
      <c r="D1386">
        <v>124526</v>
      </c>
      <c r="E1386">
        <v>8989</v>
      </c>
    </row>
    <row r="1387" spans="1:5" x14ac:dyDescent="0.3">
      <c r="A1387">
        <v>98</v>
      </c>
      <c r="B1387">
        <v>522120</v>
      </c>
      <c r="C1387" t="s">
        <v>457</v>
      </c>
      <c r="D1387">
        <v>124526</v>
      </c>
      <c r="E1387">
        <v>8989</v>
      </c>
    </row>
    <row r="1388" spans="1:5" x14ac:dyDescent="0.3">
      <c r="A1388">
        <v>98</v>
      </c>
      <c r="B1388">
        <v>52213</v>
      </c>
      <c r="C1388" t="s">
        <v>457</v>
      </c>
      <c r="D1388">
        <v>271165</v>
      </c>
      <c r="E1388">
        <v>18560</v>
      </c>
    </row>
    <row r="1389" spans="1:5" x14ac:dyDescent="0.3">
      <c r="A1389">
        <v>98</v>
      </c>
      <c r="B1389">
        <v>522130</v>
      </c>
      <c r="C1389" t="s">
        <v>457</v>
      </c>
      <c r="D1389">
        <v>271165</v>
      </c>
      <c r="E1389">
        <v>18560</v>
      </c>
    </row>
    <row r="1390" spans="1:5" x14ac:dyDescent="0.3">
      <c r="A1390">
        <v>98</v>
      </c>
      <c r="B1390">
        <v>52219</v>
      </c>
      <c r="C1390" t="s">
        <v>457</v>
      </c>
      <c r="D1390">
        <v>0</v>
      </c>
      <c r="E1390">
        <v>39</v>
      </c>
    </row>
    <row r="1391" spans="1:5" x14ac:dyDescent="0.3">
      <c r="A1391">
        <v>98</v>
      </c>
      <c r="B1391">
        <v>522190</v>
      </c>
      <c r="C1391" t="s">
        <v>457</v>
      </c>
      <c r="D1391">
        <v>0</v>
      </c>
      <c r="E1391">
        <v>39</v>
      </c>
    </row>
    <row r="1392" spans="1:5" x14ac:dyDescent="0.3">
      <c r="A1392">
        <v>98</v>
      </c>
      <c r="B1392">
        <v>5222</v>
      </c>
      <c r="C1392" t="s">
        <v>457</v>
      </c>
      <c r="D1392">
        <v>580027</v>
      </c>
      <c r="E1392">
        <v>43257</v>
      </c>
    </row>
    <row r="1393" spans="1:5" x14ac:dyDescent="0.3">
      <c r="A1393">
        <v>98</v>
      </c>
      <c r="B1393">
        <v>52221</v>
      </c>
      <c r="C1393" t="s">
        <v>457</v>
      </c>
      <c r="D1393">
        <v>53161</v>
      </c>
      <c r="E1393">
        <v>560</v>
      </c>
    </row>
    <row r="1394" spans="1:5" x14ac:dyDescent="0.3">
      <c r="A1394">
        <v>98</v>
      </c>
      <c r="B1394">
        <v>522210</v>
      </c>
      <c r="C1394" t="s">
        <v>457</v>
      </c>
      <c r="D1394">
        <v>53161</v>
      </c>
      <c r="E1394">
        <v>560</v>
      </c>
    </row>
    <row r="1395" spans="1:5" x14ac:dyDescent="0.3">
      <c r="A1395">
        <v>98</v>
      </c>
      <c r="B1395">
        <v>52222</v>
      </c>
      <c r="C1395" t="s">
        <v>457</v>
      </c>
      <c r="D1395">
        <v>111588</v>
      </c>
      <c r="E1395">
        <v>4480</v>
      </c>
    </row>
    <row r="1396" spans="1:5" x14ac:dyDescent="0.3">
      <c r="A1396">
        <v>98</v>
      </c>
      <c r="B1396">
        <v>522220</v>
      </c>
      <c r="C1396" t="s">
        <v>457</v>
      </c>
      <c r="D1396">
        <v>111588</v>
      </c>
      <c r="E1396">
        <v>4480</v>
      </c>
    </row>
    <row r="1397" spans="1:5" x14ac:dyDescent="0.3">
      <c r="A1397">
        <v>98</v>
      </c>
      <c r="B1397">
        <v>52229</v>
      </c>
      <c r="C1397" t="s">
        <v>457</v>
      </c>
      <c r="D1397">
        <v>415278</v>
      </c>
      <c r="E1397">
        <v>38217</v>
      </c>
    </row>
    <row r="1398" spans="1:5" x14ac:dyDescent="0.3">
      <c r="A1398">
        <v>98</v>
      </c>
      <c r="B1398">
        <v>522291</v>
      </c>
      <c r="C1398" t="s">
        <v>457</v>
      </c>
      <c r="D1398">
        <v>79429</v>
      </c>
      <c r="E1398">
        <v>13222</v>
      </c>
    </row>
    <row r="1399" spans="1:5" x14ac:dyDescent="0.3">
      <c r="A1399">
        <v>98</v>
      </c>
      <c r="B1399">
        <v>522292</v>
      </c>
      <c r="C1399" t="s">
        <v>457</v>
      </c>
      <c r="D1399">
        <v>243422</v>
      </c>
      <c r="E1399">
        <v>13240</v>
      </c>
    </row>
    <row r="1400" spans="1:5" x14ac:dyDescent="0.3">
      <c r="A1400">
        <v>98</v>
      </c>
      <c r="B1400">
        <v>522293</v>
      </c>
      <c r="C1400" t="s">
        <v>457</v>
      </c>
      <c r="D1400">
        <v>1184</v>
      </c>
      <c r="E1400">
        <v>247</v>
      </c>
    </row>
    <row r="1401" spans="1:5" x14ac:dyDescent="0.3">
      <c r="A1401">
        <v>98</v>
      </c>
      <c r="B1401">
        <v>522294</v>
      </c>
      <c r="C1401" t="s">
        <v>457</v>
      </c>
      <c r="D1401">
        <v>21453</v>
      </c>
      <c r="E1401">
        <v>244</v>
      </c>
    </row>
    <row r="1402" spans="1:5" x14ac:dyDescent="0.3">
      <c r="A1402">
        <v>98</v>
      </c>
      <c r="B1402">
        <v>522298</v>
      </c>
      <c r="C1402" t="s">
        <v>457</v>
      </c>
      <c r="D1402">
        <v>69790</v>
      </c>
      <c r="E1402">
        <v>11264</v>
      </c>
    </row>
    <row r="1403" spans="1:5" x14ac:dyDescent="0.3">
      <c r="A1403">
        <v>98</v>
      </c>
      <c r="B1403">
        <v>5223</v>
      </c>
      <c r="C1403" t="s">
        <v>457</v>
      </c>
      <c r="D1403">
        <v>270606</v>
      </c>
      <c r="E1403">
        <v>28985</v>
      </c>
    </row>
    <row r="1404" spans="1:5" x14ac:dyDescent="0.3">
      <c r="A1404">
        <v>98</v>
      </c>
      <c r="B1404">
        <v>52231</v>
      </c>
      <c r="C1404" t="s">
        <v>457</v>
      </c>
      <c r="D1404">
        <v>40624</v>
      </c>
      <c r="E1404">
        <v>7196</v>
      </c>
    </row>
    <row r="1405" spans="1:5" x14ac:dyDescent="0.3">
      <c r="A1405">
        <v>98</v>
      </c>
      <c r="B1405">
        <v>522310</v>
      </c>
      <c r="C1405" t="s">
        <v>457</v>
      </c>
      <c r="D1405">
        <v>40624</v>
      </c>
      <c r="E1405">
        <v>7196</v>
      </c>
    </row>
    <row r="1406" spans="1:5" x14ac:dyDescent="0.3">
      <c r="A1406">
        <v>98</v>
      </c>
      <c r="B1406">
        <v>52232</v>
      </c>
      <c r="C1406" t="s">
        <v>457</v>
      </c>
      <c r="D1406">
        <v>134786</v>
      </c>
      <c r="E1406">
        <v>4615</v>
      </c>
    </row>
    <row r="1407" spans="1:5" x14ac:dyDescent="0.3">
      <c r="A1407">
        <v>98</v>
      </c>
      <c r="B1407">
        <v>522320</v>
      </c>
      <c r="C1407" t="s">
        <v>457</v>
      </c>
      <c r="D1407">
        <v>134786</v>
      </c>
      <c r="E1407">
        <v>4615</v>
      </c>
    </row>
    <row r="1408" spans="1:5" x14ac:dyDescent="0.3">
      <c r="A1408">
        <v>98</v>
      </c>
      <c r="B1408">
        <v>52239</v>
      </c>
      <c r="C1408" t="s">
        <v>457</v>
      </c>
      <c r="D1408">
        <v>95196</v>
      </c>
      <c r="E1408">
        <v>17174</v>
      </c>
    </row>
    <row r="1409" spans="1:5" x14ac:dyDescent="0.3">
      <c r="A1409">
        <v>98</v>
      </c>
      <c r="B1409">
        <v>522390</v>
      </c>
      <c r="C1409" t="s">
        <v>457</v>
      </c>
      <c r="D1409">
        <v>95196</v>
      </c>
      <c r="E1409">
        <v>17174</v>
      </c>
    </row>
    <row r="1410" spans="1:5" x14ac:dyDescent="0.3">
      <c r="A1410">
        <v>98</v>
      </c>
      <c r="B1410">
        <v>523</v>
      </c>
      <c r="C1410" t="s">
        <v>457</v>
      </c>
      <c r="D1410">
        <v>896135</v>
      </c>
      <c r="E1410">
        <v>98482</v>
      </c>
    </row>
    <row r="1411" spans="1:5" x14ac:dyDescent="0.3">
      <c r="A1411">
        <v>98</v>
      </c>
      <c r="B1411">
        <v>5231</v>
      </c>
      <c r="C1411" t="s">
        <v>457</v>
      </c>
      <c r="D1411">
        <v>404518</v>
      </c>
      <c r="E1411">
        <v>42721</v>
      </c>
    </row>
    <row r="1412" spans="1:5" x14ac:dyDescent="0.3">
      <c r="A1412">
        <v>98</v>
      </c>
      <c r="B1412">
        <v>52311</v>
      </c>
      <c r="C1412" t="s">
        <v>457</v>
      </c>
      <c r="D1412">
        <v>94578</v>
      </c>
      <c r="E1412">
        <v>3612</v>
      </c>
    </row>
    <row r="1413" spans="1:5" x14ac:dyDescent="0.3">
      <c r="A1413">
        <v>98</v>
      </c>
      <c r="B1413">
        <v>523110</v>
      </c>
      <c r="C1413" t="s">
        <v>457</v>
      </c>
      <c r="D1413">
        <v>94578</v>
      </c>
      <c r="E1413">
        <v>3612</v>
      </c>
    </row>
    <row r="1414" spans="1:5" x14ac:dyDescent="0.3">
      <c r="A1414">
        <v>98</v>
      </c>
      <c r="B1414">
        <v>52312</v>
      </c>
      <c r="C1414" t="s">
        <v>457</v>
      </c>
      <c r="D1414">
        <v>293871</v>
      </c>
      <c r="E1414">
        <v>37099</v>
      </c>
    </row>
    <row r="1415" spans="1:5" x14ac:dyDescent="0.3">
      <c r="A1415">
        <v>98</v>
      </c>
      <c r="B1415">
        <v>523120</v>
      </c>
      <c r="C1415" t="s">
        <v>457</v>
      </c>
      <c r="D1415">
        <v>293871</v>
      </c>
      <c r="E1415">
        <v>37099</v>
      </c>
    </row>
    <row r="1416" spans="1:5" x14ac:dyDescent="0.3">
      <c r="A1416">
        <v>98</v>
      </c>
      <c r="B1416">
        <v>52313</v>
      </c>
      <c r="C1416" t="s">
        <v>457</v>
      </c>
      <c r="D1416">
        <v>7595</v>
      </c>
      <c r="E1416">
        <v>825</v>
      </c>
    </row>
    <row r="1417" spans="1:5" x14ac:dyDescent="0.3">
      <c r="A1417">
        <v>98</v>
      </c>
      <c r="B1417">
        <v>523130</v>
      </c>
      <c r="C1417" t="s">
        <v>457</v>
      </c>
      <c r="D1417">
        <v>7595</v>
      </c>
      <c r="E1417">
        <v>825</v>
      </c>
    </row>
    <row r="1418" spans="1:5" x14ac:dyDescent="0.3">
      <c r="A1418">
        <v>98</v>
      </c>
      <c r="B1418">
        <v>52314</v>
      </c>
      <c r="C1418" t="s">
        <v>457</v>
      </c>
      <c r="D1418">
        <v>8474</v>
      </c>
      <c r="E1418">
        <v>1185</v>
      </c>
    </row>
    <row r="1419" spans="1:5" x14ac:dyDescent="0.3">
      <c r="A1419">
        <v>98</v>
      </c>
      <c r="B1419">
        <v>523140</v>
      </c>
      <c r="C1419" t="s">
        <v>457</v>
      </c>
      <c r="D1419">
        <v>8474</v>
      </c>
      <c r="E1419">
        <v>1185</v>
      </c>
    </row>
    <row r="1420" spans="1:5" x14ac:dyDescent="0.3">
      <c r="A1420">
        <v>98</v>
      </c>
      <c r="B1420">
        <v>5232</v>
      </c>
      <c r="C1420" t="s">
        <v>457</v>
      </c>
      <c r="D1420">
        <v>5994</v>
      </c>
      <c r="E1420">
        <v>36</v>
      </c>
    </row>
    <row r="1421" spans="1:5" x14ac:dyDescent="0.3">
      <c r="A1421">
        <v>98</v>
      </c>
      <c r="B1421">
        <v>52321</v>
      </c>
      <c r="C1421" t="s">
        <v>457</v>
      </c>
      <c r="D1421">
        <v>5994</v>
      </c>
      <c r="E1421">
        <v>36</v>
      </c>
    </row>
    <row r="1422" spans="1:5" x14ac:dyDescent="0.3">
      <c r="A1422">
        <v>98</v>
      </c>
      <c r="B1422">
        <v>523210</v>
      </c>
      <c r="C1422" t="s">
        <v>457</v>
      </c>
      <c r="D1422">
        <v>5994</v>
      </c>
      <c r="E1422">
        <v>36</v>
      </c>
    </row>
    <row r="1423" spans="1:5" x14ac:dyDescent="0.3">
      <c r="A1423">
        <v>98</v>
      </c>
      <c r="B1423">
        <v>5239</v>
      </c>
      <c r="C1423" t="s">
        <v>457</v>
      </c>
      <c r="D1423">
        <v>485623</v>
      </c>
      <c r="E1423">
        <v>55725</v>
      </c>
    </row>
    <row r="1424" spans="1:5" x14ac:dyDescent="0.3">
      <c r="A1424">
        <v>98</v>
      </c>
      <c r="B1424">
        <v>52391</v>
      </c>
      <c r="C1424" t="s">
        <v>457</v>
      </c>
      <c r="D1424">
        <v>37824</v>
      </c>
      <c r="E1424">
        <v>7186</v>
      </c>
    </row>
    <row r="1425" spans="1:5" x14ac:dyDescent="0.3">
      <c r="A1425">
        <v>98</v>
      </c>
      <c r="B1425">
        <v>523910</v>
      </c>
      <c r="C1425" t="s">
        <v>457</v>
      </c>
      <c r="D1425">
        <v>37824</v>
      </c>
      <c r="E1425">
        <v>7186</v>
      </c>
    </row>
    <row r="1426" spans="1:5" x14ac:dyDescent="0.3">
      <c r="A1426">
        <v>98</v>
      </c>
      <c r="B1426">
        <v>52392</v>
      </c>
      <c r="C1426" t="s">
        <v>457</v>
      </c>
      <c r="D1426">
        <v>279260</v>
      </c>
      <c r="E1426">
        <v>23620</v>
      </c>
    </row>
    <row r="1427" spans="1:5" x14ac:dyDescent="0.3">
      <c r="A1427">
        <v>98</v>
      </c>
      <c r="B1427">
        <v>523920</v>
      </c>
      <c r="C1427" t="s">
        <v>457</v>
      </c>
      <c r="D1427">
        <v>279260</v>
      </c>
      <c r="E1427">
        <v>23620</v>
      </c>
    </row>
    <row r="1428" spans="1:5" x14ac:dyDescent="0.3">
      <c r="A1428">
        <v>98</v>
      </c>
      <c r="B1428">
        <v>52393</v>
      </c>
      <c r="C1428" t="s">
        <v>457</v>
      </c>
      <c r="D1428">
        <v>103661</v>
      </c>
      <c r="E1428">
        <v>21234</v>
      </c>
    </row>
    <row r="1429" spans="1:5" x14ac:dyDescent="0.3">
      <c r="A1429">
        <v>98</v>
      </c>
      <c r="B1429">
        <v>523930</v>
      </c>
      <c r="C1429" t="s">
        <v>457</v>
      </c>
      <c r="D1429">
        <v>103661</v>
      </c>
      <c r="E1429">
        <v>21234</v>
      </c>
    </row>
    <row r="1430" spans="1:5" x14ac:dyDescent="0.3">
      <c r="A1430">
        <v>98</v>
      </c>
      <c r="B1430">
        <v>52399</v>
      </c>
      <c r="C1430" t="s">
        <v>457</v>
      </c>
      <c r="D1430">
        <v>64878</v>
      </c>
      <c r="E1430">
        <v>3685</v>
      </c>
    </row>
    <row r="1431" spans="1:5" x14ac:dyDescent="0.3">
      <c r="A1431">
        <v>98</v>
      </c>
      <c r="B1431">
        <v>523991</v>
      </c>
      <c r="C1431" t="s">
        <v>457</v>
      </c>
      <c r="D1431">
        <v>43051</v>
      </c>
      <c r="E1431">
        <v>2374</v>
      </c>
    </row>
    <row r="1432" spans="1:5" x14ac:dyDescent="0.3">
      <c r="A1432">
        <v>98</v>
      </c>
      <c r="B1432">
        <v>523999</v>
      </c>
      <c r="C1432" t="s">
        <v>457</v>
      </c>
      <c r="D1432">
        <v>21827</v>
      </c>
      <c r="E1432">
        <v>1311</v>
      </c>
    </row>
    <row r="1433" spans="1:5" x14ac:dyDescent="0.3">
      <c r="A1433">
        <v>98</v>
      </c>
      <c r="B1433">
        <v>524</v>
      </c>
      <c r="C1433" t="s">
        <v>457</v>
      </c>
      <c r="D1433">
        <v>2453404</v>
      </c>
      <c r="E1433">
        <v>178697</v>
      </c>
    </row>
    <row r="1434" spans="1:5" x14ac:dyDescent="0.3">
      <c r="A1434">
        <v>98</v>
      </c>
      <c r="B1434">
        <v>5241</v>
      </c>
      <c r="C1434" t="s">
        <v>457</v>
      </c>
      <c r="D1434">
        <v>1490696</v>
      </c>
      <c r="E1434">
        <v>32772</v>
      </c>
    </row>
    <row r="1435" spans="1:5" x14ac:dyDescent="0.3">
      <c r="A1435">
        <v>98</v>
      </c>
      <c r="B1435">
        <v>52411</v>
      </c>
      <c r="C1435" t="s">
        <v>457</v>
      </c>
      <c r="D1435">
        <v>851069</v>
      </c>
      <c r="E1435">
        <v>13837</v>
      </c>
    </row>
    <row r="1436" spans="1:5" x14ac:dyDescent="0.3">
      <c r="A1436">
        <v>98</v>
      </c>
      <c r="B1436">
        <v>524113</v>
      </c>
      <c r="C1436" t="s">
        <v>457</v>
      </c>
      <c r="D1436">
        <v>359962</v>
      </c>
      <c r="E1436">
        <v>8458</v>
      </c>
    </row>
    <row r="1437" spans="1:5" x14ac:dyDescent="0.3">
      <c r="A1437">
        <v>98</v>
      </c>
      <c r="B1437">
        <v>524114</v>
      </c>
      <c r="C1437" t="s">
        <v>457</v>
      </c>
      <c r="D1437">
        <v>491107</v>
      </c>
      <c r="E1437">
        <v>5379</v>
      </c>
    </row>
    <row r="1438" spans="1:5" x14ac:dyDescent="0.3">
      <c r="A1438">
        <v>98</v>
      </c>
      <c r="B1438">
        <v>52412</v>
      </c>
      <c r="C1438" t="s">
        <v>457</v>
      </c>
      <c r="D1438">
        <v>625523</v>
      </c>
      <c r="E1438">
        <v>18552</v>
      </c>
    </row>
    <row r="1439" spans="1:5" x14ac:dyDescent="0.3">
      <c r="A1439">
        <v>98</v>
      </c>
      <c r="B1439">
        <v>524126</v>
      </c>
      <c r="C1439" t="s">
        <v>457</v>
      </c>
      <c r="D1439">
        <v>550673</v>
      </c>
      <c r="E1439">
        <v>13999</v>
      </c>
    </row>
    <row r="1440" spans="1:5" x14ac:dyDescent="0.3">
      <c r="A1440">
        <v>98</v>
      </c>
      <c r="B1440">
        <v>524127</v>
      </c>
      <c r="C1440" t="s">
        <v>457</v>
      </c>
      <c r="D1440">
        <v>47551</v>
      </c>
      <c r="E1440">
        <v>3991</v>
      </c>
    </row>
    <row r="1441" spans="1:5" x14ac:dyDescent="0.3">
      <c r="A1441">
        <v>98</v>
      </c>
      <c r="B1441">
        <v>524128</v>
      </c>
      <c r="C1441" t="s">
        <v>457</v>
      </c>
      <c r="D1441">
        <v>27299</v>
      </c>
      <c r="E1441">
        <v>562</v>
      </c>
    </row>
    <row r="1442" spans="1:5" x14ac:dyDescent="0.3">
      <c r="A1442">
        <v>98</v>
      </c>
      <c r="B1442">
        <v>52413</v>
      </c>
      <c r="C1442" t="s">
        <v>457</v>
      </c>
      <c r="D1442">
        <v>14104</v>
      </c>
      <c r="E1442">
        <v>383</v>
      </c>
    </row>
    <row r="1443" spans="1:5" x14ac:dyDescent="0.3">
      <c r="A1443">
        <v>98</v>
      </c>
      <c r="B1443">
        <v>524130</v>
      </c>
      <c r="C1443" t="s">
        <v>457</v>
      </c>
      <c r="D1443">
        <v>14104</v>
      </c>
      <c r="E1443">
        <v>383</v>
      </c>
    </row>
    <row r="1444" spans="1:5" x14ac:dyDescent="0.3">
      <c r="A1444">
        <v>98</v>
      </c>
      <c r="B1444">
        <v>5242</v>
      </c>
      <c r="C1444" t="s">
        <v>457</v>
      </c>
      <c r="D1444">
        <v>962708</v>
      </c>
      <c r="E1444">
        <v>145925</v>
      </c>
    </row>
    <row r="1445" spans="1:5" x14ac:dyDescent="0.3">
      <c r="A1445">
        <v>98</v>
      </c>
      <c r="B1445">
        <v>52421</v>
      </c>
      <c r="C1445" t="s">
        <v>457</v>
      </c>
      <c r="D1445">
        <v>685026</v>
      </c>
      <c r="E1445">
        <v>134107</v>
      </c>
    </row>
    <row r="1446" spans="1:5" x14ac:dyDescent="0.3">
      <c r="A1446">
        <v>98</v>
      </c>
      <c r="B1446">
        <v>524210</v>
      </c>
      <c r="C1446" t="s">
        <v>457</v>
      </c>
      <c r="D1446">
        <v>685026</v>
      </c>
      <c r="E1446">
        <v>134107</v>
      </c>
    </row>
    <row r="1447" spans="1:5" x14ac:dyDescent="0.3">
      <c r="A1447">
        <v>98</v>
      </c>
      <c r="B1447">
        <v>52429</v>
      </c>
      <c r="C1447" t="s">
        <v>457</v>
      </c>
      <c r="D1447">
        <v>277682</v>
      </c>
      <c r="E1447">
        <v>11818</v>
      </c>
    </row>
    <row r="1448" spans="1:5" x14ac:dyDescent="0.3">
      <c r="A1448">
        <v>98</v>
      </c>
      <c r="B1448">
        <v>524291</v>
      </c>
      <c r="C1448" t="s">
        <v>457</v>
      </c>
      <c r="D1448">
        <v>36859</v>
      </c>
      <c r="E1448">
        <v>4336</v>
      </c>
    </row>
    <row r="1449" spans="1:5" x14ac:dyDescent="0.3">
      <c r="A1449">
        <v>98</v>
      </c>
      <c r="B1449">
        <v>524292</v>
      </c>
      <c r="C1449" t="s">
        <v>457</v>
      </c>
      <c r="D1449">
        <v>201945</v>
      </c>
      <c r="E1449">
        <v>4772</v>
      </c>
    </row>
    <row r="1450" spans="1:5" x14ac:dyDescent="0.3">
      <c r="A1450">
        <v>98</v>
      </c>
      <c r="B1450">
        <v>524298</v>
      </c>
      <c r="C1450" t="s">
        <v>457</v>
      </c>
      <c r="D1450">
        <v>38878</v>
      </c>
      <c r="E1450">
        <v>2710</v>
      </c>
    </row>
    <row r="1451" spans="1:5" x14ac:dyDescent="0.3">
      <c r="A1451">
        <v>98</v>
      </c>
      <c r="B1451">
        <v>525</v>
      </c>
      <c r="C1451" t="s">
        <v>457</v>
      </c>
      <c r="D1451">
        <v>6474</v>
      </c>
      <c r="E1451">
        <v>1174</v>
      </c>
    </row>
    <row r="1452" spans="1:5" x14ac:dyDescent="0.3">
      <c r="A1452">
        <v>98</v>
      </c>
      <c r="B1452">
        <v>5259</v>
      </c>
      <c r="C1452" t="s">
        <v>457</v>
      </c>
      <c r="D1452">
        <v>6474</v>
      </c>
      <c r="E1452">
        <v>1174</v>
      </c>
    </row>
    <row r="1453" spans="1:5" x14ac:dyDescent="0.3">
      <c r="A1453">
        <v>98</v>
      </c>
      <c r="B1453">
        <v>52591</v>
      </c>
      <c r="C1453" t="s">
        <v>457</v>
      </c>
      <c r="D1453">
        <v>1182</v>
      </c>
      <c r="E1453">
        <v>177</v>
      </c>
    </row>
    <row r="1454" spans="1:5" x14ac:dyDescent="0.3">
      <c r="A1454">
        <v>98</v>
      </c>
      <c r="B1454">
        <v>525910</v>
      </c>
      <c r="C1454" t="s">
        <v>457</v>
      </c>
      <c r="D1454">
        <v>1182</v>
      </c>
      <c r="E1454">
        <v>177</v>
      </c>
    </row>
    <row r="1455" spans="1:5" x14ac:dyDescent="0.3">
      <c r="A1455">
        <v>98</v>
      </c>
      <c r="B1455">
        <v>52599</v>
      </c>
      <c r="C1455" t="s">
        <v>457</v>
      </c>
      <c r="D1455">
        <v>5292</v>
      </c>
      <c r="E1455">
        <v>997</v>
      </c>
    </row>
    <row r="1456" spans="1:5" x14ac:dyDescent="0.3">
      <c r="A1456">
        <v>98</v>
      </c>
      <c r="B1456">
        <v>525990</v>
      </c>
      <c r="C1456" t="s">
        <v>457</v>
      </c>
      <c r="D1456">
        <v>5292</v>
      </c>
      <c r="E1456">
        <v>997</v>
      </c>
    </row>
    <row r="1457" spans="1:5" x14ac:dyDescent="0.3">
      <c r="A1457">
        <v>98</v>
      </c>
      <c r="B1457" t="s">
        <v>185</v>
      </c>
      <c r="C1457" t="s">
        <v>457</v>
      </c>
      <c r="D1457">
        <v>2065427</v>
      </c>
      <c r="E1457">
        <v>377602</v>
      </c>
    </row>
    <row r="1458" spans="1:5" x14ac:dyDescent="0.3">
      <c r="A1458">
        <v>98</v>
      </c>
      <c r="B1458">
        <v>531</v>
      </c>
      <c r="C1458" t="s">
        <v>457</v>
      </c>
      <c r="D1458">
        <v>1522166</v>
      </c>
      <c r="E1458">
        <v>321871</v>
      </c>
    </row>
    <row r="1459" spans="1:5" x14ac:dyDescent="0.3">
      <c r="A1459">
        <v>98</v>
      </c>
      <c r="B1459">
        <v>5311</v>
      </c>
      <c r="C1459" t="s">
        <v>457</v>
      </c>
      <c r="D1459">
        <v>573265</v>
      </c>
      <c r="E1459">
        <v>125630</v>
      </c>
    </row>
    <row r="1460" spans="1:5" x14ac:dyDescent="0.3">
      <c r="A1460">
        <v>98</v>
      </c>
      <c r="B1460">
        <v>53111</v>
      </c>
      <c r="C1460" t="s">
        <v>457</v>
      </c>
      <c r="D1460">
        <v>330682</v>
      </c>
      <c r="E1460">
        <v>66753</v>
      </c>
    </row>
    <row r="1461" spans="1:5" x14ac:dyDescent="0.3">
      <c r="A1461">
        <v>98</v>
      </c>
      <c r="B1461">
        <v>531110</v>
      </c>
      <c r="C1461" t="s">
        <v>457</v>
      </c>
      <c r="D1461">
        <v>330682</v>
      </c>
      <c r="E1461">
        <v>66753</v>
      </c>
    </row>
    <row r="1462" spans="1:5" x14ac:dyDescent="0.3">
      <c r="A1462">
        <v>98</v>
      </c>
      <c r="B1462">
        <v>53112</v>
      </c>
      <c r="C1462" t="s">
        <v>457</v>
      </c>
      <c r="D1462">
        <v>167883</v>
      </c>
      <c r="E1462">
        <v>33123</v>
      </c>
    </row>
    <row r="1463" spans="1:5" x14ac:dyDescent="0.3">
      <c r="A1463">
        <v>98</v>
      </c>
      <c r="B1463">
        <v>531120</v>
      </c>
      <c r="C1463" t="s">
        <v>457</v>
      </c>
      <c r="D1463">
        <v>167883</v>
      </c>
      <c r="E1463">
        <v>33123</v>
      </c>
    </row>
    <row r="1464" spans="1:5" x14ac:dyDescent="0.3">
      <c r="A1464">
        <v>98</v>
      </c>
      <c r="B1464">
        <v>53113</v>
      </c>
      <c r="C1464" t="s">
        <v>457</v>
      </c>
      <c r="D1464">
        <v>41416</v>
      </c>
      <c r="E1464">
        <v>16834</v>
      </c>
    </row>
    <row r="1465" spans="1:5" x14ac:dyDescent="0.3">
      <c r="A1465">
        <v>98</v>
      </c>
      <c r="B1465">
        <v>531130</v>
      </c>
      <c r="C1465" t="s">
        <v>457</v>
      </c>
      <c r="D1465">
        <v>41416</v>
      </c>
      <c r="E1465">
        <v>16834</v>
      </c>
    </row>
    <row r="1466" spans="1:5" x14ac:dyDescent="0.3">
      <c r="A1466">
        <v>98</v>
      </c>
      <c r="B1466">
        <v>53119</v>
      </c>
      <c r="C1466" t="s">
        <v>457</v>
      </c>
      <c r="D1466">
        <v>33284</v>
      </c>
      <c r="E1466">
        <v>8920</v>
      </c>
    </row>
    <row r="1467" spans="1:5" x14ac:dyDescent="0.3">
      <c r="A1467">
        <v>98</v>
      </c>
      <c r="B1467">
        <v>531190</v>
      </c>
      <c r="C1467" t="s">
        <v>457</v>
      </c>
      <c r="D1467">
        <v>33284</v>
      </c>
      <c r="E1467">
        <v>8920</v>
      </c>
    </row>
    <row r="1468" spans="1:5" x14ac:dyDescent="0.3">
      <c r="A1468">
        <v>98</v>
      </c>
      <c r="B1468">
        <v>5312</v>
      </c>
      <c r="C1468" t="s">
        <v>457</v>
      </c>
      <c r="D1468">
        <v>281828</v>
      </c>
      <c r="E1468">
        <v>102757</v>
      </c>
    </row>
    <row r="1469" spans="1:5" x14ac:dyDescent="0.3">
      <c r="A1469">
        <v>98</v>
      </c>
      <c r="B1469">
        <v>53121</v>
      </c>
      <c r="C1469" t="s">
        <v>457</v>
      </c>
      <c r="D1469">
        <v>281828</v>
      </c>
      <c r="E1469">
        <v>102757</v>
      </c>
    </row>
    <row r="1470" spans="1:5" x14ac:dyDescent="0.3">
      <c r="A1470">
        <v>98</v>
      </c>
      <c r="B1470">
        <v>531210</v>
      </c>
      <c r="C1470" t="s">
        <v>457</v>
      </c>
      <c r="D1470">
        <v>281828</v>
      </c>
      <c r="E1470">
        <v>102757</v>
      </c>
    </row>
    <row r="1471" spans="1:5" x14ac:dyDescent="0.3">
      <c r="A1471">
        <v>98</v>
      </c>
      <c r="B1471">
        <v>5313</v>
      </c>
      <c r="C1471" t="s">
        <v>457</v>
      </c>
      <c r="D1471">
        <v>667073</v>
      </c>
      <c r="E1471">
        <v>93484</v>
      </c>
    </row>
    <row r="1472" spans="1:5" x14ac:dyDescent="0.3">
      <c r="A1472">
        <v>98</v>
      </c>
      <c r="B1472">
        <v>53131</v>
      </c>
      <c r="C1472" t="s">
        <v>457</v>
      </c>
      <c r="D1472">
        <v>568165</v>
      </c>
      <c r="E1472">
        <v>64629</v>
      </c>
    </row>
    <row r="1473" spans="1:5" x14ac:dyDescent="0.3">
      <c r="A1473">
        <v>98</v>
      </c>
      <c r="B1473">
        <v>531311</v>
      </c>
      <c r="C1473" t="s">
        <v>457</v>
      </c>
      <c r="D1473">
        <v>427348</v>
      </c>
      <c r="E1473">
        <v>47084</v>
      </c>
    </row>
    <row r="1474" spans="1:5" x14ac:dyDescent="0.3">
      <c r="A1474">
        <v>98</v>
      </c>
      <c r="B1474">
        <v>531312</v>
      </c>
      <c r="C1474" t="s">
        <v>457</v>
      </c>
      <c r="D1474">
        <v>140817</v>
      </c>
      <c r="E1474">
        <v>17545</v>
      </c>
    </row>
    <row r="1475" spans="1:5" x14ac:dyDescent="0.3">
      <c r="A1475">
        <v>98</v>
      </c>
      <c r="B1475">
        <v>53132</v>
      </c>
      <c r="C1475" t="s">
        <v>457</v>
      </c>
      <c r="D1475">
        <v>32373</v>
      </c>
      <c r="E1475">
        <v>12975</v>
      </c>
    </row>
    <row r="1476" spans="1:5" x14ac:dyDescent="0.3">
      <c r="A1476">
        <v>98</v>
      </c>
      <c r="B1476">
        <v>531320</v>
      </c>
      <c r="C1476" t="s">
        <v>457</v>
      </c>
      <c r="D1476">
        <v>32373</v>
      </c>
      <c r="E1476">
        <v>12975</v>
      </c>
    </row>
    <row r="1477" spans="1:5" x14ac:dyDescent="0.3">
      <c r="A1477">
        <v>98</v>
      </c>
      <c r="B1477">
        <v>53139</v>
      </c>
      <c r="C1477" t="s">
        <v>457</v>
      </c>
      <c r="D1477">
        <v>66535</v>
      </c>
      <c r="E1477">
        <v>15880</v>
      </c>
    </row>
    <row r="1478" spans="1:5" x14ac:dyDescent="0.3">
      <c r="A1478">
        <v>98</v>
      </c>
      <c r="B1478">
        <v>531390</v>
      </c>
      <c r="C1478" t="s">
        <v>457</v>
      </c>
      <c r="D1478">
        <v>66535</v>
      </c>
      <c r="E1478">
        <v>15880</v>
      </c>
    </row>
    <row r="1479" spans="1:5" x14ac:dyDescent="0.3">
      <c r="A1479">
        <v>98</v>
      </c>
      <c r="B1479">
        <v>532</v>
      </c>
      <c r="C1479" t="s">
        <v>457</v>
      </c>
      <c r="D1479">
        <v>508802</v>
      </c>
      <c r="E1479">
        <v>53242</v>
      </c>
    </row>
    <row r="1480" spans="1:5" x14ac:dyDescent="0.3">
      <c r="A1480">
        <v>98</v>
      </c>
      <c r="B1480">
        <v>5321</v>
      </c>
      <c r="C1480" t="s">
        <v>457</v>
      </c>
      <c r="D1480">
        <v>164932</v>
      </c>
      <c r="E1480">
        <v>15788</v>
      </c>
    </row>
    <row r="1481" spans="1:5" x14ac:dyDescent="0.3">
      <c r="A1481">
        <v>98</v>
      </c>
      <c r="B1481">
        <v>53211</v>
      </c>
      <c r="C1481" t="s">
        <v>457</v>
      </c>
      <c r="D1481">
        <v>102188</v>
      </c>
      <c r="E1481">
        <v>10288</v>
      </c>
    </row>
    <row r="1482" spans="1:5" x14ac:dyDescent="0.3">
      <c r="A1482">
        <v>98</v>
      </c>
      <c r="B1482">
        <v>532111</v>
      </c>
      <c r="C1482" t="s">
        <v>457</v>
      </c>
      <c r="D1482">
        <v>94374</v>
      </c>
      <c r="E1482">
        <v>9766</v>
      </c>
    </row>
    <row r="1483" spans="1:5" x14ac:dyDescent="0.3">
      <c r="A1483">
        <v>98</v>
      </c>
      <c r="B1483">
        <v>532112</v>
      </c>
      <c r="C1483" t="s">
        <v>457</v>
      </c>
      <c r="D1483">
        <v>7814</v>
      </c>
      <c r="E1483">
        <v>522</v>
      </c>
    </row>
    <row r="1484" spans="1:5" x14ac:dyDescent="0.3">
      <c r="A1484">
        <v>98</v>
      </c>
      <c r="B1484">
        <v>53212</v>
      </c>
      <c r="C1484" t="s">
        <v>457</v>
      </c>
      <c r="D1484">
        <v>62744</v>
      </c>
      <c r="E1484">
        <v>5500</v>
      </c>
    </row>
    <row r="1485" spans="1:5" x14ac:dyDescent="0.3">
      <c r="A1485">
        <v>98</v>
      </c>
      <c r="B1485">
        <v>532120</v>
      </c>
      <c r="C1485" t="s">
        <v>457</v>
      </c>
      <c r="D1485">
        <v>62744</v>
      </c>
      <c r="E1485">
        <v>5500</v>
      </c>
    </row>
    <row r="1486" spans="1:5" x14ac:dyDescent="0.3">
      <c r="A1486">
        <v>98</v>
      </c>
      <c r="B1486">
        <v>5322</v>
      </c>
      <c r="C1486" t="s">
        <v>457</v>
      </c>
      <c r="D1486">
        <v>143670</v>
      </c>
      <c r="E1486">
        <v>19952</v>
      </c>
    </row>
    <row r="1487" spans="1:5" x14ac:dyDescent="0.3">
      <c r="A1487">
        <v>98</v>
      </c>
      <c r="B1487">
        <v>53221</v>
      </c>
      <c r="C1487" t="s">
        <v>457</v>
      </c>
      <c r="D1487">
        <v>39146</v>
      </c>
      <c r="E1487">
        <v>6850</v>
      </c>
    </row>
    <row r="1488" spans="1:5" x14ac:dyDescent="0.3">
      <c r="A1488">
        <v>98</v>
      </c>
      <c r="B1488">
        <v>532210</v>
      </c>
      <c r="C1488" t="s">
        <v>457</v>
      </c>
      <c r="D1488">
        <v>39146</v>
      </c>
      <c r="E1488">
        <v>6850</v>
      </c>
    </row>
    <row r="1489" spans="1:5" x14ac:dyDescent="0.3">
      <c r="A1489">
        <v>98</v>
      </c>
      <c r="B1489">
        <v>53222</v>
      </c>
      <c r="C1489" t="s">
        <v>457</v>
      </c>
      <c r="D1489">
        <v>6504</v>
      </c>
      <c r="E1489">
        <v>1026</v>
      </c>
    </row>
    <row r="1490" spans="1:5" x14ac:dyDescent="0.3">
      <c r="A1490">
        <v>98</v>
      </c>
      <c r="B1490">
        <v>532220</v>
      </c>
      <c r="C1490" t="s">
        <v>457</v>
      </c>
      <c r="D1490">
        <v>6504</v>
      </c>
      <c r="E1490">
        <v>1026</v>
      </c>
    </row>
    <row r="1491" spans="1:5" x14ac:dyDescent="0.3">
      <c r="A1491">
        <v>98</v>
      </c>
      <c r="B1491">
        <v>53223</v>
      </c>
      <c r="C1491" t="s">
        <v>457</v>
      </c>
      <c r="D1491">
        <v>15287</v>
      </c>
      <c r="E1491">
        <v>2148</v>
      </c>
    </row>
    <row r="1492" spans="1:5" x14ac:dyDescent="0.3">
      <c r="A1492">
        <v>98</v>
      </c>
      <c r="B1492">
        <v>532230</v>
      </c>
      <c r="C1492" t="s">
        <v>457</v>
      </c>
      <c r="D1492">
        <v>15287</v>
      </c>
      <c r="E1492">
        <v>2148</v>
      </c>
    </row>
    <row r="1493" spans="1:5" x14ac:dyDescent="0.3">
      <c r="A1493">
        <v>98</v>
      </c>
      <c r="B1493">
        <v>53229</v>
      </c>
      <c r="C1493" t="s">
        <v>457</v>
      </c>
      <c r="D1493">
        <v>82733</v>
      </c>
      <c r="E1493">
        <v>9928</v>
      </c>
    </row>
    <row r="1494" spans="1:5" x14ac:dyDescent="0.3">
      <c r="A1494">
        <v>98</v>
      </c>
      <c r="B1494">
        <v>532291</v>
      </c>
      <c r="C1494" t="s">
        <v>457</v>
      </c>
      <c r="D1494">
        <v>31972</v>
      </c>
      <c r="E1494">
        <v>3197</v>
      </c>
    </row>
    <row r="1495" spans="1:5" x14ac:dyDescent="0.3">
      <c r="A1495">
        <v>98</v>
      </c>
      <c r="B1495">
        <v>532292</v>
      </c>
      <c r="C1495" t="s">
        <v>457</v>
      </c>
      <c r="D1495">
        <v>9142</v>
      </c>
      <c r="E1495">
        <v>2162</v>
      </c>
    </row>
    <row r="1496" spans="1:5" x14ac:dyDescent="0.3">
      <c r="A1496">
        <v>98</v>
      </c>
      <c r="B1496">
        <v>532299</v>
      </c>
      <c r="C1496" t="s">
        <v>457</v>
      </c>
      <c r="D1496">
        <v>41619</v>
      </c>
      <c r="E1496">
        <v>4569</v>
      </c>
    </row>
    <row r="1497" spans="1:5" x14ac:dyDescent="0.3">
      <c r="A1497">
        <v>98</v>
      </c>
      <c r="B1497">
        <v>5323</v>
      </c>
      <c r="C1497" t="s">
        <v>457</v>
      </c>
      <c r="D1497">
        <v>18805</v>
      </c>
      <c r="E1497">
        <v>2811</v>
      </c>
    </row>
    <row r="1498" spans="1:5" x14ac:dyDescent="0.3">
      <c r="A1498">
        <v>98</v>
      </c>
      <c r="B1498">
        <v>53231</v>
      </c>
      <c r="C1498" t="s">
        <v>457</v>
      </c>
      <c r="D1498">
        <v>18805</v>
      </c>
      <c r="E1498">
        <v>2811</v>
      </c>
    </row>
    <row r="1499" spans="1:5" x14ac:dyDescent="0.3">
      <c r="A1499">
        <v>98</v>
      </c>
      <c r="B1499">
        <v>532310</v>
      </c>
      <c r="C1499" t="s">
        <v>457</v>
      </c>
      <c r="D1499">
        <v>18805</v>
      </c>
      <c r="E1499">
        <v>2811</v>
      </c>
    </row>
    <row r="1500" spans="1:5" x14ac:dyDescent="0.3">
      <c r="A1500">
        <v>98</v>
      </c>
      <c r="B1500">
        <v>5324</v>
      </c>
      <c r="C1500" t="s">
        <v>457</v>
      </c>
      <c r="D1500">
        <v>181395</v>
      </c>
      <c r="E1500">
        <v>14691</v>
      </c>
    </row>
    <row r="1501" spans="1:5" x14ac:dyDescent="0.3">
      <c r="A1501">
        <v>98</v>
      </c>
      <c r="B1501">
        <v>53241</v>
      </c>
      <c r="C1501" t="s">
        <v>457</v>
      </c>
      <c r="D1501">
        <v>69412</v>
      </c>
      <c r="E1501">
        <v>5175</v>
      </c>
    </row>
    <row r="1502" spans="1:5" x14ac:dyDescent="0.3">
      <c r="A1502">
        <v>98</v>
      </c>
      <c r="B1502">
        <v>532411</v>
      </c>
      <c r="C1502" t="s">
        <v>457</v>
      </c>
      <c r="D1502">
        <v>5212</v>
      </c>
      <c r="E1502">
        <v>686</v>
      </c>
    </row>
    <row r="1503" spans="1:5" x14ac:dyDescent="0.3">
      <c r="A1503">
        <v>98</v>
      </c>
      <c r="B1503">
        <v>532412</v>
      </c>
      <c r="C1503" t="s">
        <v>457</v>
      </c>
      <c r="D1503">
        <v>64200</v>
      </c>
      <c r="E1503">
        <v>4489</v>
      </c>
    </row>
    <row r="1504" spans="1:5" x14ac:dyDescent="0.3">
      <c r="A1504">
        <v>98</v>
      </c>
      <c r="B1504">
        <v>53242</v>
      </c>
      <c r="C1504" t="s">
        <v>457</v>
      </c>
      <c r="D1504">
        <v>6815</v>
      </c>
      <c r="E1504">
        <v>717</v>
      </c>
    </row>
    <row r="1505" spans="1:5" x14ac:dyDescent="0.3">
      <c r="A1505">
        <v>98</v>
      </c>
      <c r="B1505">
        <v>532420</v>
      </c>
      <c r="C1505" t="s">
        <v>457</v>
      </c>
      <c r="D1505">
        <v>6815</v>
      </c>
      <c r="E1505">
        <v>717</v>
      </c>
    </row>
    <row r="1506" spans="1:5" x14ac:dyDescent="0.3">
      <c r="A1506">
        <v>98</v>
      </c>
      <c r="B1506">
        <v>53249</v>
      </c>
      <c r="C1506" t="s">
        <v>457</v>
      </c>
      <c r="D1506">
        <v>105168</v>
      </c>
      <c r="E1506">
        <v>8799</v>
      </c>
    </row>
    <row r="1507" spans="1:5" x14ac:dyDescent="0.3">
      <c r="A1507">
        <v>98</v>
      </c>
      <c r="B1507">
        <v>532490</v>
      </c>
      <c r="C1507" t="s">
        <v>457</v>
      </c>
      <c r="D1507">
        <v>105168</v>
      </c>
      <c r="E1507">
        <v>8799</v>
      </c>
    </row>
    <row r="1508" spans="1:5" x14ac:dyDescent="0.3">
      <c r="A1508">
        <v>98</v>
      </c>
      <c r="B1508">
        <v>533</v>
      </c>
      <c r="C1508" t="s">
        <v>457</v>
      </c>
      <c r="D1508">
        <v>34459</v>
      </c>
      <c r="E1508">
        <v>2489</v>
      </c>
    </row>
    <row r="1509" spans="1:5" x14ac:dyDescent="0.3">
      <c r="A1509">
        <v>98</v>
      </c>
      <c r="B1509">
        <v>5331</v>
      </c>
      <c r="C1509" t="s">
        <v>457</v>
      </c>
      <c r="D1509">
        <v>34459</v>
      </c>
      <c r="E1509">
        <v>2489</v>
      </c>
    </row>
    <row r="1510" spans="1:5" x14ac:dyDescent="0.3">
      <c r="A1510">
        <v>98</v>
      </c>
      <c r="B1510">
        <v>53311</v>
      </c>
      <c r="C1510" t="s">
        <v>457</v>
      </c>
      <c r="D1510">
        <v>34459</v>
      </c>
      <c r="E1510">
        <v>2489</v>
      </c>
    </row>
    <row r="1511" spans="1:5" x14ac:dyDescent="0.3">
      <c r="A1511">
        <v>98</v>
      </c>
      <c r="B1511">
        <v>533110</v>
      </c>
      <c r="C1511" t="s">
        <v>457</v>
      </c>
      <c r="D1511">
        <v>34459</v>
      </c>
      <c r="E1511">
        <v>2489</v>
      </c>
    </row>
    <row r="1512" spans="1:5" x14ac:dyDescent="0.3">
      <c r="A1512">
        <v>98</v>
      </c>
      <c r="B1512" t="s">
        <v>186</v>
      </c>
      <c r="C1512" t="s">
        <v>457</v>
      </c>
      <c r="D1512">
        <v>8798260</v>
      </c>
      <c r="E1512">
        <v>896026</v>
      </c>
    </row>
    <row r="1513" spans="1:5" x14ac:dyDescent="0.3">
      <c r="A1513">
        <v>98</v>
      </c>
      <c r="B1513">
        <v>541</v>
      </c>
      <c r="C1513" t="s">
        <v>457</v>
      </c>
      <c r="D1513">
        <v>8798260</v>
      </c>
      <c r="E1513">
        <v>896026</v>
      </c>
    </row>
    <row r="1514" spans="1:5" x14ac:dyDescent="0.3">
      <c r="A1514">
        <v>98</v>
      </c>
      <c r="B1514">
        <v>5411</v>
      </c>
      <c r="C1514" t="s">
        <v>457</v>
      </c>
      <c r="D1514">
        <v>1139290</v>
      </c>
      <c r="E1514">
        <v>186216</v>
      </c>
    </row>
    <row r="1515" spans="1:5" x14ac:dyDescent="0.3">
      <c r="A1515">
        <v>98</v>
      </c>
      <c r="B1515">
        <v>54111</v>
      </c>
      <c r="C1515" t="s">
        <v>457</v>
      </c>
      <c r="D1515">
        <v>1060459</v>
      </c>
      <c r="E1515">
        <v>172799</v>
      </c>
    </row>
    <row r="1516" spans="1:5" x14ac:dyDescent="0.3">
      <c r="A1516">
        <v>98</v>
      </c>
      <c r="B1516">
        <v>541110</v>
      </c>
      <c r="C1516" t="s">
        <v>457</v>
      </c>
      <c r="D1516">
        <v>1060459</v>
      </c>
      <c r="E1516">
        <v>172799</v>
      </c>
    </row>
    <row r="1517" spans="1:5" x14ac:dyDescent="0.3">
      <c r="A1517">
        <v>98</v>
      </c>
      <c r="B1517">
        <v>54119</v>
      </c>
      <c r="C1517" t="s">
        <v>457</v>
      </c>
      <c r="D1517">
        <v>78831</v>
      </c>
      <c r="E1517">
        <v>13417</v>
      </c>
    </row>
    <row r="1518" spans="1:5" x14ac:dyDescent="0.3">
      <c r="A1518">
        <v>98</v>
      </c>
      <c r="B1518">
        <v>541191</v>
      </c>
      <c r="C1518" t="s">
        <v>457</v>
      </c>
      <c r="D1518">
        <v>58456</v>
      </c>
      <c r="E1518">
        <v>9544</v>
      </c>
    </row>
    <row r="1519" spans="1:5" x14ac:dyDescent="0.3">
      <c r="A1519">
        <v>98</v>
      </c>
      <c r="B1519">
        <v>541199</v>
      </c>
      <c r="C1519" t="s">
        <v>457</v>
      </c>
      <c r="D1519">
        <v>20375</v>
      </c>
      <c r="E1519">
        <v>3873</v>
      </c>
    </row>
    <row r="1520" spans="1:5" x14ac:dyDescent="0.3">
      <c r="A1520">
        <v>98</v>
      </c>
      <c r="B1520">
        <v>5412</v>
      </c>
      <c r="C1520" t="s">
        <v>457</v>
      </c>
      <c r="D1520">
        <v>1453846</v>
      </c>
      <c r="E1520">
        <v>132903</v>
      </c>
    </row>
    <row r="1521" spans="1:5" x14ac:dyDescent="0.3">
      <c r="A1521">
        <v>98</v>
      </c>
      <c r="B1521">
        <v>54121</v>
      </c>
      <c r="C1521" t="s">
        <v>457</v>
      </c>
      <c r="D1521">
        <v>1453846</v>
      </c>
      <c r="E1521">
        <v>132903</v>
      </c>
    </row>
    <row r="1522" spans="1:5" x14ac:dyDescent="0.3">
      <c r="A1522">
        <v>98</v>
      </c>
      <c r="B1522">
        <v>541211</v>
      </c>
      <c r="C1522" t="s">
        <v>457</v>
      </c>
      <c r="D1522">
        <v>481206</v>
      </c>
      <c r="E1522">
        <v>56545</v>
      </c>
    </row>
    <row r="1523" spans="1:5" x14ac:dyDescent="0.3">
      <c r="A1523">
        <v>98</v>
      </c>
      <c r="B1523">
        <v>541213</v>
      </c>
      <c r="C1523" t="s">
        <v>457</v>
      </c>
      <c r="D1523">
        <v>193672</v>
      </c>
      <c r="E1523">
        <v>31418</v>
      </c>
    </row>
    <row r="1524" spans="1:5" x14ac:dyDescent="0.3">
      <c r="A1524">
        <v>98</v>
      </c>
      <c r="B1524">
        <v>541214</v>
      </c>
      <c r="C1524" t="s">
        <v>457</v>
      </c>
      <c r="D1524">
        <v>537581</v>
      </c>
      <c r="E1524">
        <v>5936</v>
      </c>
    </row>
    <row r="1525" spans="1:5" x14ac:dyDescent="0.3">
      <c r="A1525">
        <v>98</v>
      </c>
      <c r="B1525">
        <v>541219</v>
      </c>
      <c r="C1525" t="s">
        <v>457</v>
      </c>
      <c r="D1525">
        <v>241387</v>
      </c>
      <c r="E1525">
        <v>39004</v>
      </c>
    </row>
    <row r="1526" spans="1:5" x14ac:dyDescent="0.3">
      <c r="A1526">
        <v>98</v>
      </c>
      <c r="B1526">
        <v>5413</v>
      </c>
      <c r="C1526" t="s">
        <v>457</v>
      </c>
      <c r="D1526">
        <v>1438002</v>
      </c>
      <c r="E1526">
        <v>111556</v>
      </c>
    </row>
    <row r="1527" spans="1:5" x14ac:dyDescent="0.3">
      <c r="A1527">
        <v>98</v>
      </c>
      <c r="B1527">
        <v>54131</v>
      </c>
      <c r="C1527" t="s">
        <v>457</v>
      </c>
      <c r="D1527">
        <v>163186</v>
      </c>
      <c r="E1527">
        <v>21531</v>
      </c>
    </row>
    <row r="1528" spans="1:5" x14ac:dyDescent="0.3">
      <c r="A1528">
        <v>98</v>
      </c>
      <c r="B1528">
        <v>541310</v>
      </c>
      <c r="C1528" t="s">
        <v>457</v>
      </c>
      <c r="D1528">
        <v>163186</v>
      </c>
      <c r="E1528">
        <v>21531</v>
      </c>
    </row>
    <row r="1529" spans="1:5" x14ac:dyDescent="0.3">
      <c r="A1529">
        <v>98</v>
      </c>
      <c r="B1529">
        <v>54132</v>
      </c>
      <c r="C1529" t="s">
        <v>457</v>
      </c>
      <c r="D1529">
        <v>22957</v>
      </c>
      <c r="E1529">
        <v>5083</v>
      </c>
    </row>
    <row r="1530" spans="1:5" x14ac:dyDescent="0.3">
      <c r="A1530">
        <v>98</v>
      </c>
      <c r="B1530">
        <v>541320</v>
      </c>
      <c r="C1530" t="s">
        <v>457</v>
      </c>
      <c r="D1530">
        <v>22957</v>
      </c>
      <c r="E1530">
        <v>5083</v>
      </c>
    </row>
    <row r="1531" spans="1:5" x14ac:dyDescent="0.3">
      <c r="A1531">
        <v>98</v>
      </c>
      <c r="B1531">
        <v>54133</v>
      </c>
      <c r="C1531" t="s">
        <v>457</v>
      </c>
      <c r="D1531">
        <v>1029413</v>
      </c>
      <c r="E1531">
        <v>60922</v>
      </c>
    </row>
    <row r="1532" spans="1:5" x14ac:dyDescent="0.3">
      <c r="A1532">
        <v>98</v>
      </c>
      <c r="B1532">
        <v>541330</v>
      </c>
      <c r="C1532" t="s">
        <v>457</v>
      </c>
      <c r="D1532">
        <v>1029413</v>
      </c>
      <c r="E1532">
        <v>60922</v>
      </c>
    </row>
    <row r="1533" spans="1:5" x14ac:dyDescent="0.3">
      <c r="A1533">
        <v>98</v>
      </c>
      <c r="B1533">
        <v>54134</v>
      </c>
      <c r="C1533" t="s">
        <v>457</v>
      </c>
      <c r="D1533">
        <v>8836</v>
      </c>
      <c r="E1533">
        <v>2395</v>
      </c>
    </row>
    <row r="1534" spans="1:5" x14ac:dyDescent="0.3">
      <c r="A1534">
        <v>98</v>
      </c>
      <c r="B1534">
        <v>541340</v>
      </c>
      <c r="C1534" t="s">
        <v>457</v>
      </c>
      <c r="D1534">
        <v>8836</v>
      </c>
      <c r="E1534">
        <v>2395</v>
      </c>
    </row>
    <row r="1535" spans="1:5" x14ac:dyDescent="0.3">
      <c r="A1535">
        <v>98</v>
      </c>
      <c r="B1535">
        <v>54135</v>
      </c>
      <c r="C1535" t="s">
        <v>457</v>
      </c>
      <c r="D1535">
        <v>19533</v>
      </c>
      <c r="E1535">
        <v>6004</v>
      </c>
    </row>
    <row r="1536" spans="1:5" x14ac:dyDescent="0.3">
      <c r="A1536">
        <v>98</v>
      </c>
      <c r="B1536">
        <v>541350</v>
      </c>
      <c r="C1536" t="s">
        <v>457</v>
      </c>
      <c r="D1536">
        <v>19533</v>
      </c>
      <c r="E1536">
        <v>6004</v>
      </c>
    </row>
    <row r="1537" spans="1:5" x14ac:dyDescent="0.3">
      <c r="A1537">
        <v>98</v>
      </c>
      <c r="B1537">
        <v>54136</v>
      </c>
      <c r="C1537" t="s">
        <v>457</v>
      </c>
      <c r="D1537">
        <v>11023</v>
      </c>
      <c r="E1537">
        <v>1039</v>
      </c>
    </row>
    <row r="1538" spans="1:5" x14ac:dyDescent="0.3">
      <c r="A1538">
        <v>98</v>
      </c>
      <c r="B1538">
        <v>541360</v>
      </c>
      <c r="C1538" t="s">
        <v>457</v>
      </c>
      <c r="D1538">
        <v>11023</v>
      </c>
      <c r="E1538">
        <v>1039</v>
      </c>
    </row>
    <row r="1539" spans="1:5" x14ac:dyDescent="0.3">
      <c r="A1539">
        <v>98</v>
      </c>
      <c r="B1539">
        <v>54137</v>
      </c>
      <c r="C1539" t="s">
        <v>457</v>
      </c>
      <c r="D1539">
        <v>47098</v>
      </c>
      <c r="E1539">
        <v>7738</v>
      </c>
    </row>
    <row r="1540" spans="1:5" x14ac:dyDescent="0.3">
      <c r="A1540">
        <v>98</v>
      </c>
      <c r="B1540">
        <v>541370</v>
      </c>
      <c r="C1540" t="s">
        <v>457</v>
      </c>
      <c r="D1540">
        <v>47098</v>
      </c>
      <c r="E1540">
        <v>7738</v>
      </c>
    </row>
    <row r="1541" spans="1:5" x14ac:dyDescent="0.3">
      <c r="A1541">
        <v>98</v>
      </c>
      <c r="B1541">
        <v>54138</v>
      </c>
      <c r="C1541" t="s">
        <v>457</v>
      </c>
      <c r="D1541">
        <v>135956</v>
      </c>
      <c r="E1541">
        <v>6844</v>
      </c>
    </row>
    <row r="1542" spans="1:5" x14ac:dyDescent="0.3">
      <c r="A1542">
        <v>98</v>
      </c>
      <c r="B1542">
        <v>541380</v>
      </c>
      <c r="C1542" t="s">
        <v>457</v>
      </c>
      <c r="D1542">
        <v>135956</v>
      </c>
      <c r="E1542">
        <v>6844</v>
      </c>
    </row>
    <row r="1543" spans="1:5" x14ac:dyDescent="0.3">
      <c r="A1543">
        <v>98</v>
      </c>
      <c r="B1543">
        <v>5414</v>
      </c>
      <c r="C1543" t="s">
        <v>457</v>
      </c>
      <c r="D1543">
        <v>113007</v>
      </c>
      <c r="E1543">
        <v>31473</v>
      </c>
    </row>
    <row r="1544" spans="1:5" x14ac:dyDescent="0.3">
      <c r="A1544">
        <v>98</v>
      </c>
      <c r="B1544">
        <v>54141</v>
      </c>
      <c r="C1544" t="s">
        <v>457</v>
      </c>
      <c r="D1544">
        <v>40813</v>
      </c>
      <c r="E1544">
        <v>12422</v>
      </c>
    </row>
    <row r="1545" spans="1:5" x14ac:dyDescent="0.3">
      <c r="A1545">
        <v>98</v>
      </c>
      <c r="B1545">
        <v>541410</v>
      </c>
      <c r="C1545" t="s">
        <v>457</v>
      </c>
      <c r="D1545">
        <v>40813</v>
      </c>
      <c r="E1545">
        <v>12422</v>
      </c>
    </row>
    <row r="1546" spans="1:5" x14ac:dyDescent="0.3">
      <c r="A1546">
        <v>98</v>
      </c>
      <c r="B1546">
        <v>54142</v>
      </c>
      <c r="C1546" t="s">
        <v>457</v>
      </c>
      <c r="D1546">
        <v>10269</v>
      </c>
      <c r="E1546">
        <v>1499</v>
      </c>
    </row>
    <row r="1547" spans="1:5" x14ac:dyDescent="0.3">
      <c r="A1547">
        <v>98</v>
      </c>
      <c r="B1547">
        <v>541420</v>
      </c>
      <c r="C1547" t="s">
        <v>457</v>
      </c>
      <c r="D1547">
        <v>10269</v>
      </c>
      <c r="E1547">
        <v>1499</v>
      </c>
    </row>
    <row r="1548" spans="1:5" x14ac:dyDescent="0.3">
      <c r="A1548">
        <v>98</v>
      </c>
      <c r="B1548">
        <v>54143</v>
      </c>
      <c r="C1548" t="s">
        <v>457</v>
      </c>
      <c r="D1548">
        <v>52838</v>
      </c>
      <c r="E1548">
        <v>15327</v>
      </c>
    </row>
    <row r="1549" spans="1:5" x14ac:dyDescent="0.3">
      <c r="A1549">
        <v>98</v>
      </c>
      <c r="B1549">
        <v>541430</v>
      </c>
      <c r="C1549" t="s">
        <v>457</v>
      </c>
      <c r="D1549">
        <v>52838</v>
      </c>
      <c r="E1549">
        <v>15327</v>
      </c>
    </row>
    <row r="1550" spans="1:5" x14ac:dyDescent="0.3">
      <c r="A1550">
        <v>98</v>
      </c>
      <c r="B1550">
        <v>54149</v>
      </c>
      <c r="C1550" t="s">
        <v>457</v>
      </c>
      <c r="D1550">
        <v>9087</v>
      </c>
      <c r="E1550">
        <v>2225</v>
      </c>
    </row>
    <row r="1551" spans="1:5" x14ac:dyDescent="0.3">
      <c r="A1551">
        <v>98</v>
      </c>
      <c r="B1551">
        <v>541490</v>
      </c>
      <c r="C1551" t="s">
        <v>457</v>
      </c>
      <c r="D1551">
        <v>9087</v>
      </c>
      <c r="E1551">
        <v>2225</v>
      </c>
    </row>
    <row r="1552" spans="1:5" x14ac:dyDescent="0.3">
      <c r="A1552">
        <v>98</v>
      </c>
      <c r="B1552">
        <v>5415</v>
      </c>
      <c r="C1552" t="s">
        <v>457</v>
      </c>
      <c r="D1552">
        <v>1687604</v>
      </c>
      <c r="E1552">
        <v>138775</v>
      </c>
    </row>
    <row r="1553" spans="1:5" x14ac:dyDescent="0.3">
      <c r="A1553">
        <v>98</v>
      </c>
      <c r="B1553">
        <v>54151</v>
      </c>
      <c r="C1553" t="s">
        <v>457</v>
      </c>
      <c r="D1553">
        <v>1687604</v>
      </c>
      <c r="E1553">
        <v>138775</v>
      </c>
    </row>
    <row r="1554" spans="1:5" x14ac:dyDescent="0.3">
      <c r="A1554">
        <v>98</v>
      </c>
      <c r="B1554">
        <v>541511</v>
      </c>
      <c r="C1554" t="s">
        <v>457</v>
      </c>
      <c r="D1554">
        <v>784671</v>
      </c>
      <c r="E1554">
        <v>67033</v>
      </c>
    </row>
    <row r="1555" spans="1:5" x14ac:dyDescent="0.3">
      <c r="A1555">
        <v>98</v>
      </c>
      <c r="B1555">
        <v>541512</v>
      </c>
      <c r="C1555" t="s">
        <v>457</v>
      </c>
      <c r="D1555">
        <v>653120</v>
      </c>
      <c r="E1555">
        <v>53031</v>
      </c>
    </row>
    <row r="1556" spans="1:5" x14ac:dyDescent="0.3">
      <c r="A1556">
        <v>98</v>
      </c>
      <c r="B1556">
        <v>541513</v>
      </c>
      <c r="C1556" t="s">
        <v>457</v>
      </c>
      <c r="D1556">
        <v>132139</v>
      </c>
      <c r="E1556">
        <v>6841</v>
      </c>
    </row>
    <row r="1557" spans="1:5" x14ac:dyDescent="0.3">
      <c r="A1557">
        <v>98</v>
      </c>
      <c r="B1557">
        <v>541519</v>
      </c>
      <c r="C1557" t="s">
        <v>457</v>
      </c>
      <c r="D1557">
        <v>117674</v>
      </c>
      <c r="E1557">
        <v>11870</v>
      </c>
    </row>
    <row r="1558" spans="1:5" x14ac:dyDescent="0.3">
      <c r="A1558">
        <v>98</v>
      </c>
      <c r="B1558">
        <v>5416</v>
      </c>
      <c r="C1558" t="s">
        <v>457</v>
      </c>
      <c r="D1558">
        <v>1183651</v>
      </c>
      <c r="E1558">
        <v>168804</v>
      </c>
    </row>
    <row r="1559" spans="1:5" x14ac:dyDescent="0.3">
      <c r="A1559">
        <v>98</v>
      </c>
      <c r="B1559">
        <v>54161</v>
      </c>
      <c r="C1559" t="s">
        <v>457</v>
      </c>
      <c r="D1559">
        <v>976517</v>
      </c>
      <c r="E1559">
        <v>134090</v>
      </c>
    </row>
    <row r="1560" spans="1:5" x14ac:dyDescent="0.3">
      <c r="A1560">
        <v>98</v>
      </c>
      <c r="B1560">
        <v>541611</v>
      </c>
      <c r="C1560" t="s">
        <v>457</v>
      </c>
      <c r="D1560">
        <v>509992</v>
      </c>
      <c r="E1560">
        <v>71336</v>
      </c>
    </row>
    <row r="1561" spans="1:5" x14ac:dyDescent="0.3">
      <c r="A1561">
        <v>98</v>
      </c>
      <c r="B1561">
        <v>541612</v>
      </c>
      <c r="C1561" t="s">
        <v>457</v>
      </c>
      <c r="D1561">
        <v>145941</v>
      </c>
      <c r="E1561">
        <v>7820</v>
      </c>
    </row>
    <row r="1562" spans="1:5" x14ac:dyDescent="0.3">
      <c r="A1562">
        <v>98</v>
      </c>
      <c r="B1562">
        <v>541613</v>
      </c>
      <c r="C1562" t="s">
        <v>457</v>
      </c>
      <c r="D1562">
        <v>199817</v>
      </c>
      <c r="E1562">
        <v>38105</v>
      </c>
    </row>
    <row r="1563" spans="1:5" x14ac:dyDescent="0.3">
      <c r="A1563">
        <v>98</v>
      </c>
      <c r="B1563">
        <v>541614</v>
      </c>
      <c r="C1563" t="s">
        <v>457</v>
      </c>
      <c r="D1563">
        <v>92925</v>
      </c>
      <c r="E1563">
        <v>7915</v>
      </c>
    </row>
    <row r="1564" spans="1:5" x14ac:dyDescent="0.3">
      <c r="A1564">
        <v>98</v>
      </c>
      <c r="B1564">
        <v>541618</v>
      </c>
      <c r="C1564" t="s">
        <v>457</v>
      </c>
      <c r="D1564">
        <v>27842</v>
      </c>
      <c r="E1564">
        <v>8914</v>
      </c>
    </row>
    <row r="1565" spans="1:5" x14ac:dyDescent="0.3">
      <c r="A1565">
        <v>98</v>
      </c>
      <c r="B1565">
        <v>54162</v>
      </c>
      <c r="C1565" t="s">
        <v>457</v>
      </c>
      <c r="D1565">
        <v>78895</v>
      </c>
      <c r="E1565">
        <v>10004</v>
      </c>
    </row>
    <row r="1566" spans="1:5" x14ac:dyDescent="0.3">
      <c r="A1566">
        <v>98</v>
      </c>
      <c r="B1566">
        <v>541620</v>
      </c>
      <c r="C1566" t="s">
        <v>457</v>
      </c>
      <c r="D1566">
        <v>78895</v>
      </c>
      <c r="E1566">
        <v>10004</v>
      </c>
    </row>
    <row r="1567" spans="1:5" x14ac:dyDescent="0.3">
      <c r="A1567">
        <v>98</v>
      </c>
      <c r="B1567">
        <v>54169</v>
      </c>
      <c r="C1567" t="s">
        <v>457</v>
      </c>
      <c r="D1567">
        <v>128239</v>
      </c>
      <c r="E1567">
        <v>24710</v>
      </c>
    </row>
    <row r="1568" spans="1:5" x14ac:dyDescent="0.3">
      <c r="A1568">
        <v>98</v>
      </c>
      <c r="B1568">
        <v>541690</v>
      </c>
      <c r="C1568" t="s">
        <v>457</v>
      </c>
      <c r="D1568">
        <v>128239</v>
      </c>
      <c r="E1568">
        <v>24710</v>
      </c>
    </row>
    <row r="1569" spans="1:5" x14ac:dyDescent="0.3">
      <c r="A1569">
        <v>98</v>
      </c>
      <c r="B1569">
        <v>5417</v>
      </c>
      <c r="C1569" t="s">
        <v>457</v>
      </c>
      <c r="D1569">
        <v>710059</v>
      </c>
      <c r="E1569">
        <v>18994</v>
      </c>
    </row>
    <row r="1570" spans="1:5" x14ac:dyDescent="0.3">
      <c r="A1570">
        <v>98</v>
      </c>
      <c r="B1570">
        <v>54171</v>
      </c>
      <c r="C1570" t="s">
        <v>457</v>
      </c>
      <c r="D1570">
        <v>671711</v>
      </c>
      <c r="E1570">
        <v>17042</v>
      </c>
    </row>
    <row r="1571" spans="1:5" x14ac:dyDescent="0.3">
      <c r="A1571">
        <v>98</v>
      </c>
      <c r="B1571">
        <v>541711</v>
      </c>
      <c r="C1571" t="s">
        <v>457</v>
      </c>
      <c r="D1571">
        <v>90822</v>
      </c>
      <c r="E1571">
        <v>3631</v>
      </c>
    </row>
    <row r="1572" spans="1:5" x14ac:dyDescent="0.3">
      <c r="A1572">
        <v>98</v>
      </c>
      <c r="B1572">
        <v>541712</v>
      </c>
      <c r="C1572" t="s">
        <v>457</v>
      </c>
      <c r="D1572">
        <v>580889</v>
      </c>
      <c r="E1572">
        <v>13411</v>
      </c>
    </row>
    <row r="1573" spans="1:5" x14ac:dyDescent="0.3">
      <c r="A1573">
        <v>98</v>
      </c>
      <c r="B1573">
        <v>54172</v>
      </c>
      <c r="C1573" t="s">
        <v>457</v>
      </c>
      <c r="D1573">
        <v>38348</v>
      </c>
      <c r="E1573">
        <v>1952</v>
      </c>
    </row>
    <row r="1574" spans="1:5" x14ac:dyDescent="0.3">
      <c r="A1574">
        <v>98</v>
      </c>
      <c r="B1574">
        <v>541720</v>
      </c>
      <c r="C1574" t="s">
        <v>457</v>
      </c>
      <c r="D1574">
        <v>38348</v>
      </c>
      <c r="E1574">
        <v>1952</v>
      </c>
    </row>
    <row r="1575" spans="1:5" x14ac:dyDescent="0.3">
      <c r="A1575">
        <v>98</v>
      </c>
      <c r="B1575">
        <v>5418</v>
      </c>
      <c r="C1575" t="s">
        <v>457</v>
      </c>
      <c r="D1575">
        <v>462150</v>
      </c>
      <c r="E1575">
        <v>37512</v>
      </c>
    </row>
    <row r="1576" spans="1:5" x14ac:dyDescent="0.3">
      <c r="A1576">
        <v>98</v>
      </c>
      <c r="B1576">
        <v>54181</v>
      </c>
      <c r="C1576" t="s">
        <v>457</v>
      </c>
      <c r="D1576">
        <v>188781</v>
      </c>
      <c r="E1576">
        <v>13356</v>
      </c>
    </row>
    <row r="1577" spans="1:5" x14ac:dyDescent="0.3">
      <c r="A1577">
        <v>98</v>
      </c>
      <c r="B1577">
        <v>541810</v>
      </c>
      <c r="C1577" t="s">
        <v>457</v>
      </c>
      <c r="D1577">
        <v>188781</v>
      </c>
      <c r="E1577">
        <v>13356</v>
      </c>
    </row>
    <row r="1578" spans="1:5" x14ac:dyDescent="0.3">
      <c r="A1578">
        <v>98</v>
      </c>
      <c r="B1578">
        <v>54182</v>
      </c>
      <c r="C1578" t="s">
        <v>457</v>
      </c>
      <c r="D1578">
        <v>55102</v>
      </c>
      <c r="E1578">
        <v>8470</v>
      </c>
    </row>
    <row r="1579" spans="1:5" x14ac:dyDescent="0.3">
      <c r="A1579">
        <v>98</v>
      </c>
      <c r="B1579">
        <v>541820</v>
      </c>
      <c r="C1579" t="s">
        <v>457</v>
      </c>
      <c r="D1579">
        <v>55102</v>
      </c>
      <c r="E1579">
        <v>8470</v>
      </c>
    </row>
    <row r="1580" spans="1:5" x14ac:dyDescent="0.3">
      <c r="A1580">
        <v>98</v>
      </c>
      <c r="B1580">
        <v>54183</v>
      </c>
      <c r="C1580" t="s">
        <v>457</v>
      </c>
      <c r="D1580">
        <v>21645</v>
      </c>
      <c r="E1580">
        <v>919</v>
      </c>
    </row>
    <row r="1581" spans="1:5" x14ac:dyDescent="0.3">
      <c r="A1581">
        <v>98</v>
      </c>
      <c r="B1581">
        <v>541830</v>
      </c>
      <c r="C1581" t="s">
        <v>457</v>
      </c>
      <c r="D1581">
        <v>21645</v>
      </c>
      <c r="E1581">
        <v>919</v>
      </c>
    </row>
    <row r="1582" spans="1:5" x14ac:dyDescent="0.3">
      <c r="A1582">
        <v>98</v>
      </c>
      <c r="B1582">
        <v>54184</v>
      </c>
      <c r="C1582" t="s">
        <v>457</v>
      </c>
      <c r="D1582">
        <v>13066</v>
      </c>
      <c r="E1582">
        <v>1509</v>
      </c>
    </row>
    <row r="1583" spans="1:5" x14ac:dyDescent="0.3">
      <c r="A1583">
        <v>98</v>
      </c>
      <c r="B1583">
        <v>541840</v>
      </c>
      <c r="C1583" t="s">
        <v>457</v>
      </c>
      <c r="D1583">
        <v>13066</v>
      </c>
      <c r="E1583">
        <v>1509</v>
      </c>
    </row>
    <row r="1584" spans="1:5" x14ac:dyDescent="0.3">
      <c r="A1584">
        <v>98</v>
      </c>
      <c r="B1584">
        <v>54185</v>
      </c>
      <c r="C1584" t="s">
        <v>457</v>
      </c>
      <c r="D1584">
        <v>25703</v>
      </c>
      <c r="E1584">
        <v>2542</v>
      </c>
    </row>
    <row r="1585" spans="1:5" x14ac:dyDescent="0.3">
      <c r="A1585">
        <v>98</v>
      </c>
      <c r="B1585">
        <v>541850</v>
      </c>
      <c r="C1585" t="s">
        <v>457</v>
      </c>
      <c r="D1585">
        <v>25703</v>
      </c>
      <c r="E1585">
        <v>2542</v>
      </c>
    </row>
    <row r="1586" spans="1:5" x14ac:dyDescent="0.3">
      <c r="A1586">
        <v>98</v>
      </c>
      <c r="B1586">
        <v>54186</v>
      </c>
      <c r="C1586" t="s">
        <v>457</v>
      </c>
      <c r="D1586">
        <v>45426</v>
      </c>
      <c r="E1586">
        <v>2648</v>
      </c>
    </row>
    <row r="1587" spans="1:5" x14ac:dyDescent="0.3">
      <c r="A1587">
        <v>98</v>
      </c>
      <c r="B1587">
        <v>541860</v>
      </c>
      <c r="C1587" t="s">
        <v>457</v>
      </c>
      <c r="D1587">
        <v>45426</v>
      </c>
      <c r="E1587">
        <v>2648</v>
      </c>
    </row>
    <row r="1588" spans="1:5" x14ac:dyDescent="0.3">
      <c r="A1588">
        <v>98</v>
      </c>
      <c r="B1588">
        <v>54187</v>
      </c>
      <c r="C1588" t="s">
        <v>457</v>
      </c>
      <c r="D1588">
        <v>11819</v>
      </c>
      <c r="E1588">
        <v>896</v>
      </c>
    </row>
    <row r="1589" spans="1:5" x14ac:dyDescent="0.3">
      <c r="A1589">
        <v>98</v>
      </c>
      <c r="B1589">
        <v>541870</v>
      </c>
      <c r="C1589" t="s">
        <v>457</v>
      </c>
      <c r="D1589">
        <v>11819</v>
      </c>
      <c r="E1589">
        <v>896</v>
      </c>
    </row>
    <row r="1590" spans="1:5" x14ac:dyDescent="0.3">
      <c r="A1590">
        <v>98</v>
      </c>
      <c r="B1590">
        <v>54189</v>
      </c>
      <c r="C1590" t="s">
        <v>457</v>
      </c>
      <c r="D1590">
        <v>100608</v>
      </c>
      <c r="E1590">
        <v>7172</v>
      </c>
    </row>
    <row r="1591" spans="1:5" x14ac:dyDescent="0.3">
      <c r="A1591">
        <v>98</v>
      </c>
      <c r="B1591">
        <v>541890</v>
      </c>
      <c r="C1591" t="s">
        <v>457</v>
      </c>
      <c r="D1591">
        <v>100608</v>
      </c>
      <c r="E1591">
        <v>7172</v>
      </c>
    </row>
    <row r="1592" spans="1:5" x14ac:dyDescent="0.3">
      <c r="A1592">
        <v>98</v>
      </c>
      <c r="B1592">
        <v>5419</v>
      </c>
      <c r="C1592" t="s">
        <v>457</v>
      </c>
      <c r="D1592">
        <v>610651</v>
      </c>
      <c r="E1592">
        <v>69793</v>
      </c>
    </row>
    <row r="1593" spans="1:5" x14ac:dyDescent="0.3">
      <c r="A1593">
        <v>98</v>
      </c>
      <c r="B1593">
        <v>54191</v>
      </c>
      <c r="C1593" t="s">
        <v>457</v>
      </c>
      <c r="D1593">
        <v>98065</v>
      </c>
      <c r="E1593">
        <v>5095</v>
      </c>
    </row>
    <row r="1594" spans="1:5" x14ac:dyDescent="0.3">
      <c r="A1594">
        <v>98</v>
      </c>
      <c r="B1594">
        <v>541910</v>
      </c>
      <c r="C1594" t="s">
        <v>457</v>
      </c>
      <c r="D1594">
        <v>98065</v>
      </c>
      <c r="E1594">
        <v>5095</v>
      </c>
    </row>
    <row r="1595" spans="1:5" x14ac:dyDescent="0.3">
      <c r="A1595">
        <v>98</v>
      </c>
      <c r="B1595">
        <v>54192</v>
      </c>
      <c r="C1595" t="s">
        <v>457</v>
      </c>
      <c r="D1595">
        <v>59953</v>
      </c>
      <c r="E1595">
        <v>14115</v>
      </c>
    </row>
    <row r="1596" spans="1:5" x14ac:dyDescent="0.3">
      <c r="A1596">
        <v>98</v>
      </c>
      <c r="B1596">
        <v>541921</v>
      </c>
      <c r="C1596" t="s">
        <v>457</v>
      </c>
      <c r="D1596">
        <v>49235</v>
      </c>
      <c r="E1596">
        <v>10375</v>
      </c>
    </row>
    <row r="1597" spans="1:5" x14ac:dyDescent="0.3">
      <c r="A1597">
        <v>98</v>
      </c>
      <c r="B1597">
        <v>541922</v>
      </c>
      <c r="C1597" t="s">
        <v>457</v>
      </c>
      <c r="D1597">
        <v>10718</v>
      </c>
      <c r="E1597">
        <v>3740</v>
      </c>
    </row>
    <row r="1598" spans="1:5" x14ac:dyDescent="0.3">
      <c r="A1598">
        <v>98</v>
      </c>
      <c r="B1598">
        <v>54193</v>
      </c>
      <c r="C1598" t="s">
        <v>457</v>
      </c>
      <c r="D1598">
        <v>29720</v>
      </c>
      <c r="E1598">
        <v>2494</v>
      </c>
    </row>
    <row r="1599" spans="1:5" x14ac:dyDescent="0.3">
      <c r="A1599">
        <v>98</v>
      </c>
      <c r="B1599">
        <v>541930</v>
      </c>
      <c r="C1599" t="s">
        <v>457</v>
      </c>
      <c r="D1599">
        <v>29720</v>
      </c>
      <c r="E1599">
        <v>2494</v>
      </c>
    </row>
    <row r="1600" spans="1:5" x14ac:dyDescent="0.3">
      <c r="A1600">
        <v>98</v>
      </c>
      <c r="B1600">
        <v>54194</v>
      </c>
      <c r="C1600" t="s">
        <v>457</v>
      </c>
      <c r="D1600">
        <v>338667</v>
      </c>
      <c r="E1600">
        <v>30984</v>
      </c>
    </row>
    <row r="1601" spans="1:5" x14ac:dyDescent="0.3">
      <c r="A1601">
        <v>98</v>
      </c>
      <c r="B1601">
        <v>541940</v>
      </c>
      <c r="C1601" t="s">
        <v>457</v>
      </c>
      <c r="D1601">
        <v>338667</v>
      </c>
      <c r="E1601">
        <v>30984</v>
      </c>
    </row>
    <row r="1602" spans="1:5" x14ac:dyDescent="0.3">
      <c r="A1602">
        <v>98</v>
      </c>
      <c r="B1602">
        <v>54199</v>
      </c>
      <c r="C1602" t="s">
        <v>457</v>
      </c>
      <c r="D1602">
        <v>84246</v>
      </c>
      <c r="E1602">
        <v>17105</v>
      </c>
    </row>
    <row r="1603" spans="1:5" x14ac:dyDescent="0.3">
      <c r="A1603">
        <v>98</v>
      </c>
      <c r="B1603">
        <v>541990</v>
      </c>
      <c r="C1603" t="s">
        <v>457</v>
      </c>
      <c r="D1603">
        <v>84246</v>
      </c>
      <c r="E1603">
        <v>17105</v>
      </c>
    </row>
    <row r="1604" spans="1:5" x14ac:dyDescent="0.3">
      <c r="A1604">
        <v>98</v>
      </c>
      <c r="B1604" t="s">
        <v>187</v>
      </c>
      <c r="C1604" t="s">
        <v>457</v>
      </c>
      <c r="D1604">
        <v>3308759</v>
      </c>
      <c r="E1604">
        <v>53943</v>
      </c>
    </row>
    <row r="1605" spans="1:5" x14ac:dyDescent="0.3">
      <c r="A1605">
        <v>98</v>
      </c>
      <c r="B1605">
        <v>551</v>
      </c>
      <c r="C1605" t="s">
        <v>457</v>
      </c>
      <c r="D1605">
        <v>3308759</v>
      </c>
      <c r="E1605">
        <v>53943</v>
      </c>
    </row>
    <row r="1606" spans="1:5" x14ac:dyDescent="0.3">
      <c r="A1606">
        <v>98</v>
      </c>
      <c r="B1606">
        <v>5511</v>
      </c>
      <c r="C1606" t="s">
        <v>457</v>
      </c>
      <c r="D1606">
        <v>3308759</v>
      </c>
      <c r="E1606">
        <v>53943</v>
      </c>
    </row>
    <row r="1607" spans="1:5" x14ac:dyDescent="0.3">
      <c r="A1607">
        <v>98</v>
      </c>
      <c r="B1607">
        <v>55111</v>
      </c>
      <c r="C1607" t="s">
        <v>457</v>
      </c>
      <c r="D1607">
        <v>3308759</v>
      </c>
      <c r="E1607">
        <v>53943</v>
      </c>
    </row>
    <row r="1608" spans="1:5" x14ac:dyDescent="0.3">
      <c r="A1608">
        <v>98</v>
      </c>
      <c r="B1608">
        <v>551111</v>
      </c>
      <c r="C1608" t="s">
        <v>457</v>
      </c>
      <c r="D1608">
        <v>9765</v>
      </c>
      <c r="E1608">
        <v>740</v>
      </c>
    </row>
    <row r="1609" spans="1:5" x14ac:dyDescent="0.3">
      <c r="A1609">
        <v>98</v>
      </c>
      <c r="B1609">
        <v>551112</v>
      </c>
      <c r="C1609" t="s">
        <v>457</v>
      </c>
      <c r="D1609">
        <v>115959</v>
      </c>
      <c r="E1609">
        <v>6516</v>
      </c>
    </row>
    <row r="1610" spans="1:5" x14ac:dyDescent="0.3">
      <c r="A1610">
        <v>98</v>
      </c>
      <c r="B1610">
        <v>551114</v>
      </c>
      <c r="C1610" t="s">
        <v>457</v>
      </c>
      <c r="D1610">
        <v>3183035</v>
      </c>
      <c r="E1610">
        <v>46687</v>
      </c>
    </row>
    <row r="1611" spans="1:5" x14ac:dyDescent="0.3">
      <c r="A1611">
        <v>98</v>
      </c>
      <c r="B1611" t="s">
        <v>188</v>
      </c>
      <c r="C1611" t="s">
        <v>457</v>
      </c>
      <c r="D1611">
        <v>11112465</v>
      </c>
      <c r="E1611">
        <v>404282</v>
      </c>
    </row>
    <row r="1612" spans="1:5" x14ac:dyDescent="0.3">
      <c r="A1612">
        <v>98</v>
      </c>
      <c r="B1612">
        <v>561</v>
      </c>
      <c r="C1612" t="s">
        <v>457</v>
      </c>
      <c r="D1612">
        <v>10728572</v>
      </c>
      <c r="E1612">
        <v>380407</v>
      </c>
    </row>
    <row r="1613" spans="1:5" x14ac:dyDescent="0.3">
      <c r="A1613">
        <v>98</v>
      </c>
      <c r="B1613">
        <v>5611</v>
      </c>
      <c r="C1613" t="s">
        <v>457</v>
      </c>
      <c r="D1613">
        <v>443040</v>
      </c>
      <c r="E1613">
        <v>31372</v>
      </c>
    </row>
    <row r="1614" spans="1:5" x14ac:dyDescent="0.3">
      <c r="A1614">
        <v>98</v>
      </c>
      <c r="B1614">
        <v>56111</v>
      </c>
      <c r="C1614" t="s">
        <v>457</v>
      </c>
      <c r="D1614">
        <v>443040</v>
      </c>
      <c r="E1614">
        <v>31372</v>
      </c>
    </row>
    <row r="1615" spans="1:5" x14ac:dyDescent="0.3">
      <c r="A1615">
        <v>98</v>
      </c>
      <c r="B1615">
        <v>561110</v>
      </c>
      <c r="C1615" t="s">
        <v>457</v>
      </c>
      <c r="D1615">
        <v>443040</v>
      </c>
      <c r="E1615">
        <v>31372</v>
      </c>
    </row>
    <row r="1616" spans="1:5" x14ac:dyDescent="0.3">
      <c r="A1616">
        <v>98</v>
      </c>
      <c r="B1616">
        <v>5612</v>
      </c>
      <c r="C1616" t="s">
        <v>457</v>
      </c>
      <c r="D1616">
        <v>258377</v>
      </c>
      <c r="E1616">
        <v>6898</v>
      </c>
    </row>
    <row r="1617" spans="1:5" x14ac:dyDescent="0.3">
      <c r="A1617">
        <v>98</v>
      </c>
      <c r="B1617">
        <v>56121</v>
      </c>
      <c r="C1617" t="s">
        <v>457</v>
      </c>
      <c r="D1617">
        <v>258377</v>
      </c>
      <c r="E1617">
        <v>6898</v>
      </c>
    </row>
    <row r="1618" spans="1:5" x14ac:dyDescent="0.3">
      <c r="A1618">
        <v>98</v>
      </c>
      <c r="B1618">
        <v>561210</v>
      </c>
      <c r="C1618" t="s">
        <v>457</v>
      </c>
      <c r="D1618">
        <v>258377</v>
      </c>
      <c r="E1618">
        <v>6898</v>
      </c>
    </row>
    <row r="1619" spans="1:5" x14ac:dyDescent="0.3">
      <c r="A1619">
        <v>98</v>
      </c>
      <c r="B1619">
        <v>5613</v>
      </c>
      <c r="C1619" t="s">
        <v>457</v>
      </c>
      <c r="D1619">
        <v>6023648</v>
      </c>
      <c r="E1619">
        <v>51479</v>
      </c>
    </row>
    <row r="1620" spans="1:5" x14ac:dyDescent="0.3">
      <c r="A1620">
        <v>98</v>
      </c>
      <c r="B1620">
        <v>56131</v>
      </c>
      <c r="C1620" t="s">
        <v>457</v>
      </c>
      <c r="D1620">
        <v>268910</v>
      </c>
      <c r="E1620">
        <v>12672</v>
      </c>
    </row>
    <row r="1621" spans="1:5" x14ac:dyDescent="0.3">
      <c r="A1621">
        <v>98</v>
      </c>
      <c r="B1621">
        <v>561311</v>
      </c>
      <c r="C1621" t="s">
        <v>457</v>
      </c>
      <c r="D1621">
        <v>233504</v>
      </c>
      <c r="E1621">
        <v>6757</v>
      </c>
    </row>
    <row r="1622" spans="1:5" x14ac:dyDescent="0.3">
      <c r="A1622">
        <v>98</v>
      </c>
      <c r="B1622">
        <v>561312</v>
      </c>
      <c r="C1622" t="s">
        <v>457</v>
      </c>
      <c r="D1622">
        <v>35406</v>
      </c>
      <c r="E1622">
        <v>5915</v>
      </c>
    </row>
    <row r="1623" spans="1:5" x14ac:dyDescent="0.3">
      <c r="A1623">
        <v>98</v>
      </c>
      <c r="B1623">
        <v>56132</v>
      </c>
      <c r="C1623" t="s">
        <v>457</v>
      </c>
      <c r="D1623">
        <v>3320004</v>
      </c>
      <c r="E1623">
        <v>34707</v>
      </c>
    </row>
    <row r="1624" spans="1:5" x14ac:dyDescent="0.3">
      <c r="A1624">
        <v>98</v>
      </c>
      <c r="B1624">
        <v>561320</v>
      </c>
      <c r="C1624" t="s">
        <v>457</v>
      </c>
      <c r="D1624">
        <v>3320004</v>
      </c>
      <c r="E1624">
        <v>34707</v>
      </c>
    </row>
    <row r="1625" spans="1:5" x14ac:dyDescent="0.3">
      <c r="A1625">
        <v>98</v>
      </c>
      <c r="B1625">
        <v>56133</v>
      </c>
      <c r="C1625" t="s">
        <v>457</v>
      </c>
      <c r="D1625">
        <v>2434734</v>
      </c>
      <c r="E1625">
        <v>4100</v>
      </c>
    </row>
    <row r="1626" spans="1:5" x14ac:dyDescent="0.3">
      <c r="A1626">
        <v>98</v>
      </c>
      <c r="B1626">
        <v>561330</v>
      </c>
      <c r="C1626" t="s">
        <v>457</v>
      </c>
      <c r="D1626">
        <v>2434734</v>
      </c>
      <c r="E1626">
        <v>4100</v>
      </c>
    </row>
    <row r="1627" spans="1:5" x14ac:dyDescent="0.3">
      <c r="A1627">
        <v>98</v>
      </c>
      <c r="B1627">
        <v>5614</v>
      </c>
      <c r="C1627" t="s">
        <v>457</v>
      </c>
      <c r="D1627">
        <v>787206</v>
      </c>
      <c r="E1627">
        <v>32786</v>
      </c>
    </row>
    <row r="1628" spans="1:5" x14ac:dyDescent="0.3">
      <c r="A1628">
        <v>98</v>
      </c>
      <c r="B1628">
        <v>56141</v>
      </c>
      <c r="C1628" t="s">
        <v>457</v>
      </c>
      <c r="D1628">
        <v>56089</v>
      </c>
      <c r="E1628">
        <v>4147</v>
      </c>
    </row>
    <row r="1629" spans="1:5" x14ac:dyDescent="0.3">
      <c r="A1629">
        <v>98</v>
      </c>
      <c r="B1629">
        <v>561410</v>
      </c>
      <c r="C1629" t="s">
        <v>457</v>
      </c>
      <c r="D1629">
        <v>56089</v>
      </c>
      <c r="E1629">
        <v>4147</v>
      </c>
    </row>
    <row r="1630" spans="1:5" x14ac:dyDescent="0.3">
      <c r="A1630">
        <v>98</v>
      </c>
      <c r="B1630">
        <v>56142</v>
      </c>
      <c r="C1630" t="s">
        <v>457</v>
      </c>
      <c r="D1630">
        <v>448984</v>
      </c>
      <c r="E1630">
        <v>5183</v>
      </c>
    </row>
    <row r="1631" spans="1:5" x14ac:dyDescent="0.3">
      <c r="A1631">
        <v>98</v>
      </c>
      <c r="B1631">
        <v>561421</v>
      </c>
      <c r="C1631" t="s">
        <v>457</v>
      </c>
      <c r="D1631">
        <v>41443</v>
      </c>
      <c r="E1631">
        <v>1373</v>
      </c>
    </row>
    <row r="1632" spans="1:5" x14ac:dyDescent="0.3">
      <c r="A1632">
        <v>98</v>
      </c>
      <c r="B1632">
        <v>561422</v>
      </c>
      <c r="C1632" t="s">
        <v>457</v>
      </c>
      <c r="D1632">
        <v>407541</v>
      </c>
      <c r="E1632">
        <v>3810</v>
      </c>
    </row>
    <row r="1633" spans="1:5" x14ac:dyDescent="0.3">
      <c r="A1633">
        <v>98</v>
      </c>
      <c r="B1633">
        <v>56143</v>
      </c>
      <c r="C1633" t="s">
        <v>457</v>
      </c>
      <c r="D1633">
        <v>68911</v>
      </c>
      <c r="E1633">
        <v>9829</v>
      </c>
    </row>
    <row r="1634" spans="1:5" x14ac:dyDescent="0.3">
      <c r="A1634">
        <v>98</v>
      </c>
      <c r="B1634">
        <v>561431</v>
      </c>
      <c r="C1634" t="s">
        <v>457</v>
      </c>
      <c r="D1634">
        <v>21563</v>
      </c>
      <c r="E1634">
        <v>4855</v>
      </c>
    </row>
    <row r="1635" spans="1:5" x14ac:dyDescent="0.3">
      <c r="A1635">
        <v>98</v>
      </c>
      <c r="B1635">
        <v>561439</v>
      </c>
      <c r="C1635" t="s">
        <v>457</v>
      </c>
      <c r="D1635">
        <v>47348</v>
      </c>
      <c r="E1635">
        <v>4974</v>
      </c>
    </row>
    <row r="1636" spans="1:5" x14ac:dyDescent="0.3">
      <c r="A1636">
        <v>98</v>
      </c>
      <c r="B1636">
        <v>56144</v>
      </c>
      <c r="C1636" t="s">
        <v>457</v>
      </c>
      <c r="D1636">
        <v>124282</v>
      </c>
      <c r="E1636">
        <v>4190</v>
      </c>
    </row>
    <row r="1637" spans="1:5" x14ac:dyDescent="0.3">
      <c r="A1637">
        <v>98</v>
      </c>
      <c r="B1637">
        <v>561440</v>
      </c>
      <c r="C1637" t="s">
        <v>457</v>
      </c>
      <c r="D1637">
        <v>124282</v>
      </c>
      <c r="E1637">
        <v>4190</v>
      </c>
    </row>
    <row r="1638" spans="1:5" x14ac:dyDescent="0.3">
      <c r="A1638">
        <v>98</v>
      </c>
      <c r="B1638">
        <v>56145</v>
      </c>
      <c r="C1638" t="s">
        <v>457</v>
      </c>
      <c r="D1638">
        <v>20694</v>
      </c>
      <c r="E1638">
        <v>538</v>
      </c>
    </row>
    <row r="1639" spans="1:5" x14ac:dyDescent="0.3">
      <c r="A1639">
        <v>98</v>
      </c>
      <c r="B1639">
        <v>561450</v>
      </c>
      <c r="C1639" t="s">
        <v>457</v>
      </c>
      <c r="D1639">
        <v>20694</v>
      </c>
      <c r="E1639">
        <v>538</v>
      </c>
    </row>
    <row r="1640" spans="1:5" x14ac:dyDescent="0.3">
      <c r="A1640">
        <v>98</v>
      </c>
      <c r="B1640">
        <v>56149</v>
      </c>
      <c r="C1640" t="s">
        <v>457</v>
      </c>
      <c r="D1640">
        <v>68246</v>
      </c>
      <c r="E1640">
        <v>8899</v>
      </c>
    </row>
    <row r="1641" spans="1:5" x14ac:dyDescent="0.3">
      <c r="A1641">
        <v>98</v>
      </c>
      <c r="B1641">
        <v>561491</v>
      </c>
      <c r="C1641" t="s">
        <v>457</v>
      </c>
      <c r="D1641">
        <v>5776</v>
      </c>
      <c r="E1641">
        <v>814</v>
      </c>
    </row>
    <row r="1642" spans="1:5" x14ac:dyDescent="0.3">
      <c r="A1642">
        <v>98</v>
      </c>
      <c r="B1642">
        <v>561492</v>
      </c>
      <c r="C1642" t="s">
        <v>457</v>
      </c>
      <c r="D1642">
        <v>11554</v>
      </c>
      <c r="E1642">
        <v>3325</v>
      </c>
    </row>
    <row r="1643" spans="1:5" x14ac:dyDescent="0.3">
      <c r="A1643">
        <v>98</v>
      </c>
      <c r="B1643">
        <v>561499</v>
      </c>
      <c r="C1643" t="s">
        <v>457</v>
      </c>
      <c r="D1643">
        <v>50916</v>
      </c>
      <c r="E1643">
        <v>4760</v>
      </c>
    </row>
    <row r="1644" spans="1:5" x14ac:dyDescent="0.3">
      <c r="A1644">
        <v>98</v>
      </c>
      <c r="B1644">
        <v>5615</v>
      </c>
      <c r="C1644" t="s">
        <v>457</v>
      </c>
      <c r="D1644">
        <v>229944</v>
      </c>
      <c r="E1644">
        <v>23417</v>
      </c>
    </row>
    <row r="1645" spans="1:5" x14ac:dyDescent="0.3">
      <c r="A1645">
        <v>98</v>
      </c>
      <c r="B1645">
        <v>56151</v>
      </c>
      <c r="C1645" t="s">
        <v>457</v>
      </c>
      <c r="D1645">
        <v>118974</v>
      </c>
      <c r="E1645">
        <v>16796</v>
      </c>
    </row>
    <row r="1646" spans="1:5" x14ac:dyDescent="0.3">
      <c r="A1646">
        <v>98</v>
      </c>
      <c r="B1646">
        <v>561510</v>
      </c>
      <c r="C1646" t="s">
        <v>457</v>
      </c>
      <c r="D1646">
        <v>118974</v>
      </c>
      <c r="E1646">
        <v>16796</v>
      </c>
    </row>
    <row r="1647" spans="1:5" x14ac:dyDescent="0.3">
      <c r="A1647">
        <v>98</v>
      </c>
      <c r="B1647">
        <v>56152</v>
      </c>
      <c r="C1647" t="s">
        <v>457</v>
      </c>
      <c r="D1647">
        <v>26269</v>
      </c>
      <c r="E1647">
        <v>2792</v>
      </c>
    </row>
    <row r="1648" spans="1:5" x14ac:dyDescent="0.3">
      <c r="A1648">
        <v>98</v>
      </c>
      <c r="B1648">
        <v>561520</v>
      </c>
      <c r="C1648" t="s">
        <v>457</v>
      </c>
      <c r="D1648">
        <v>26269</v>
      </c>
      <c r="E1648">
        <v>2792</v>
      </c>
    </row>
    <row r="1649" spans="1:5" x14ac:dyDescent="0.3">
      <c r="A1649">
        <v>98</v>
      </c>
      <c r="B1649">
        <v>56159</v>
      </c>
      <c r="C1649" t="s">
        <v>457</v>
      </c>
      <c r="D1649">
        <v>84701</v>
      </c>
      <c r="E1649">
        <v>3829</v>
      </c>
    </row>
    <row r="1650" spans="1:5" x14ac:dyDescent="0.3">
      <c r="A1650">
        <v>98</v>
      </c>
      <c r="B1650">
        <v>561591</v>
      </c>
      <c r="C1650" t="s">
        <v>457</v>
      </c>
      <c r="D1650">
        <v>9437</v>
      </c>
      <c r="E1650">
        <v>988</v>
      </c>
    </row>
    <row r="1651" spans="1:5" x14ac:dyDescent="0.3">
      <c r="A1651">
        <v>98</v>
      </c>
      <c r="B1651">
        <v>561599</v>
      </c>
      <c r="C1651" t="s">
        <v>457</v>
      </c>
      <c r="D1651">
        <v>75264</v>
      </c>
      <c r="E1651">
        <v>2841</v>
      </c>
    </row>
    <row r="1652" spans="1:5" x14ac:dyDescent="0.3">
      <c r="A1652">
        <v>98</v>
      </c>
      <c r="B1652">
        <v>5616</v>
      </c>
      <c r="C1652" t="s">
        <v>457</v>
      </c>
      <c r="D1652">
        <v>910348</v>
      </c>
      <c r="E1652">
        <v>25690</v>
      </c>
    </row>
    <row r="1653" spans="1:5" x14ac:dyDescent="0.3">
      <c r="A1653">
        <v>98</v>
      </c>
      <c r="B1653">
        <v>56161</v>
      </c>
      <c r="C1653" t="s">
        <v>457</v>
      </c>
      <c r="D1653">
        <v>779436</v>
      </c>
      <c r="E1653">
        <v>14813</v>
      </c>
    </row>
    <row r="1654" spans="1:5" x14ac:dyDescent="0.3">
      <c r="A1654">
        <v>98</v>
      </c>
      <c r="B1654">
        <v>561611</v>
      </c>
      <c r="C1654" t="s">
        <v>457</v>
      </c>
      <c r="D1654">
        <v>40034</v>
      </c>
      <c r="E1654">
        <v>4361</v>
      </c>
    </row>
    <row r="1655" spans="1:5" x14ac:dyDescent="0.3">
      <c r="A1655">
        <v>98</v>
      </c>
      <c r="B1655">
        <v>561612</v>
      </c>
      <c r="C1655" t="s">
        <v>457</v>
      </c>
      <c r="D1655">
        <v>708337</v>
      </c>
      <c r="E1655">
        <v>9688</v>
      </c>
    </row>
    <row r="1656" spans="1:5" x14ac:dyDescent="0.3">
      <c r="A1656">
        <v>98</v>
      </c>
      <c r="B1656">
        <v>561613</v>
      </c>
      <c r="C1656" t="s">
        <v>457</v>
      </c>
      <c r="D1656">
        <v>31065</v>
      </c>
      <c r="E1656">
        <v>764</v>
      </c>
    </row>
    <row r="1657" spans="1:5" x14ac:dyDescent="0.3">
      <c r="A1657">
        <v>98</v>
      </c>
      <c r="B1657">
        <v>56162</v>
      </c>
      <c r="C1657" t="s">
        <v>457</v>
      </c>
      <c r="D1657">
        <v>130912</v>
      </c>
      <c r="E1657">
        <v>10877</v>
      </c>
    </row>
    <row r="1658" spans="1:5" x14ac:dyDescent="0.3">
      <c r="A1658">
        <v>98</v>
      </c>
      <c r="B1658">
        <v>561621</v>
      </c>
      <c r="C1658" t="s">
        <v>457</v>
      </c>
      <c r="D1658">
        <v>116006</v>
      </c>
      <c r="E1658">
        <v>7069</v>
      </c>
    </row>
    <row r="1659" spans="1:5" x14ac:dyDescent="0.3">
      <c r="A1659">
        <v>98</v>
      </c>
      <c r="B1659">
        <v>561622</v>
      </c>
      <c r="C1659" t="s">
        <v>457</v>
      </c>
      <c r="D1659">
        <v>14906</v>
      </c>
      <c r="E1659">
        <v>3808</v>
      </c>
    </row>
    <row r="1660" spans="1:5" x14ac:dyDescent="0.3">
      <c r="A1660">
        <v>98</v>
      </c>
      <c r="B1660">
        <v>5617</v>
      </c>
      <c r="C1660" t="s">
        <v>457</v>
      </c>
      <c r="D1660">
        <v>1805785</v>
      </c>
      <c r="E1660">
        <v>189115</v>
      </c>
    </row>
    <row r="1661" spans="1:5" x14ac:dyDescent="0.3">
      <c r="A1661">
        <v>98</v>
      </c>
      <c r="B1661">
        <v>56171</v>
      </c>
      <c r="C1661" t="s">
        <v>457</v>
      </c>
      <c r="D1661">
        <v>104374</v>
      </c>
      <c r="E1661">
        <v>13696</v>
      </c>
    </row>
    <row r="1662" spans="1:5" x14ac:dyDescent="0.3">
      <c r="A1662">
        <v>98</v>
      </c>
      <c r="B1662">
        <v>561710</v>
      </c>
      <c r="C1662" t="s">
        <v>457</v>
      </c>
      <c r="D1662">
        <v>104374</v>
      </c>
      <c r="E1662">
        <v>13696</v>
      </c>
    </row>
    <row r="1663" spans="1:5" x14ac:dyDescent="0.3">
      <c r="A1663">
        <v>98</v>
      </c>
      <c r="B1663">
        <v>56172</v>
      </c>
      <c r="C1663" t="s">
        <v>457</v>
      </c>
      <c r="D1663">
        <v>1011589</v>
      </c>
      <c r="E1663">
        <v>55998</v>
      </c>
    </row>
    <row r="1664" spans="1:5" x14ac:dyDescent="0.3">
      <c r="A1664">
        <v>98</v>
      </c>
      <c r="B1664">
        <v>561720</v>
      </c>
      <c r="C1664" t="s">
        <v>457</v>
      </c>
      <c r="D1664">
        <v>1011589</v>
      </c>
      <c r="E1664">
        <v>55998</v>
      </c>
    </row>
    <row r="1665" spans="1:5" x14ac:dyDescent="0.3">
      <c r="A1665">
        <v>98</v>
      </c>
      <c r="B1665">
        <v>56173</v>
      </c>
      <c r="C1665" t="s">
        <v>457</v>
      </c>
      <c r="D1665">
        <v>586989</v>
      </c>
      <c r="E1665">
        <v>98741</v>
      </c>
    </row>
    <row r="1666" spans="1:5" x14ac:dyDescent="0.3">
      <c r="A1666">
        <v>98</v>
      </c>
      <c r="B1666">
        <v>561730</v>
      </c>
      <c r="C1666" t="s">
        <v>457</v>
      </c>
      <c r="D1666">
        <v>586989</v>
      </c>
      <c r="E1666">
        <v>98741</v>
      </c>
    </row>
    <row r="1667" spans="1:5" x14ac:dyDescent="0.3">
      <c r="A1667">
        <v>98</v>
      </c>
      <c r="B1667">
        <v>56174</v>
      </c>
      <c r="C1667" t="s">
        <v>457</v>
      </c>
      <c r="D1667">
        <v>38854</v>
      </c>
      <c r="E1667">
        <v>7728</v>
      </c>
    </row>
    <row r="1668" spans="1:5" x14ac:dyDescent="0.3">
      <c r="A1668">
        <v>98</v>
      </c>
      <c r="B1668">
        <v>561740</v>
      </c>
      <c r="C1668" t="s">
        <v>457</v>
      </c>
      <c r="D1668">
        <v>38854</v>
      </c>
      <c r="E1668">
        <v>7728</v>
      </c>
    </row>
    <row r="1669" spans="1:5" x14ac:dyDescent="0.3">
      <c r="A1669">
        <v>98</v>
      </c>
      <c r="B1669">
        <v>56179</v>
      </c>
      <c r="C1669" t="s">
        <v>457</v>
      </c>
      <c r="D1669">
        <v>63979</v>
      </c>
      <c r="E1669">
        <v>12952</v>
      </c>
    </row>
    <row r="1670" spans="1:5" x14ac:dyDescent="0.3">
      <c r="A1670">
        <v>98</v>
      </c>
      <c r="B1670">
        <v>561790</v>
      </c>
      <c r="C1670" t="s">
        <v>457</v>
      </c>
      <c r="D1670">
        <v>63979</v>
      </c>
      <c r="E1670">
        <v>12952</v>
      </c>
    </row>
    <row r="1671" spans="1:5" x14ac:dyDescent="0.3">
      <c r="A1671">
        <v>98</v>
      </c>
      <c r="B1671">
        <v>5619</v>
      </c>
      <c r="C1671" t="s">
        <v>457</v>
      </c>
      <c r="D1671">
        <v>270224</v>
      </c>
      <c r="E1671">
        <v>19650</v>
      </c>
    </row>
    <row r="1672" spans="1:5" x14ac:dyDescent="0.3">
      <c r="A1672">
        <v>98</v>
      </c>
      <c r="B1672">
        <v>56191</v>
      </c>
      <c r="C1672" t="s">
        <v>457</v>
      </c>
      <c r="D1672">
        <v>44035</v>
      </c>
      <c r="E1672">
        <v>1691</v>
      </c>
    </row>
    <row r="1673" spans="1:5" x14ac:dyDescent="0.3">
      <c r="A1673">
        <v>98</v>
      </c>
      <c r="B1673">
        <v>561910</v>
      </c>
      <c r="C1673" t="s">
        <v>457</v>
      </c>
      <c r="D1673">
        <v>44035</v>
      </c>
      <c r="E1673">
        <v>1691</v>
      </c>
    </row>
    <row r="1674" spans="1:5" x14ac:dyDescent="0.3">
      <c r="A1674">
        <v>98</v>
      </c>
      <c r="B1674">
        <v>56192</v>
      </c>
      <c r="C1674" t="s">
        <v>457</v>
      </c>
      <c r="D1674">
        <v>80291</v>
      </c>
      <c r="E1674">
        <v>4887</v>
      </c>
    </row>
    <row r="1675" spans="1:5" x14ac:dyDescent="0.3">
      <c r="A1675">
        <v>98</v>
      </c>
      <c r="B1675">
        <v>561920</v>
      </c>
      <c r="C1675" t="s">
        <v>457</v>
      </c>
      <c r="D1675">
        <v>80291</v>
      </c>
      <c r="E1675">
        <v>4887</v>
      </c>
    </row>
    <row r="1676" spans="1:5" x14ac:dyDescent="0.3">
      <c r="A1676">
        <v>98</v>
      </c>
      <c r="B1676">
        <v>56199</v>
      </c>
      <c r="C1676" t="s">
        <v>457</v>
      </c>
      <c r="D1676">
        <v>145898</v>
      </c>
      <c r="E1676">
        <v>13072</v>
      </c>
    </row>
    <row r="1677" spans="1:5" x14ac:dyDescent="0.3">
      <c r="A1677">
        <v>98</v>
      </c>
      <c r="B1677">
        <v>561990</v>
      </c>
      <c r="C1677" t="s">
        <v>457</v>
      </c>
      <c r="D1677">
        <v>145898</v>
      </c>
      <c r="E1677">
        <v>13072</v>
      </c>
    </row>
    <row r="1678" spans="1:5" x14ac:dyDescent="0.3">
      <c r="A1678">
        <v>98</v>
      </c>
      <c r="B1678">
        <v>562</v>
      </c>
      <c r="C1678" t="s">
        <v>457</v>
      </c>
      <c r="D1678">
        <v>383893</v>
      </c>
      <c r="E1678">
        <v>23875</v>
      </c>
    </row>
    <row r="1679" spans="1:5" x14ac:dyDescent="0.3">
      <c r="A1679">
        <v>98</v>
      </c>
      <c r="B1679">
        <v>5621</v>
      </c>
      <c r="C1679" t="s">
        <v>457</v>
      </c>
      <c r="D1679">
        <v>199816</v>
      </c>
      <c r="E1679">
        <v>10903</v>
      </c>
    </row>
    <row r="1680" spans="1:5" x14ac:dyDescent="0.3">
      <c r="A1680">
        <v>98</v>
      </c>
      <c r="B1680">
        <v>56211</v>
      </c>
      <c r="C1680" t="s">
        <v>457</v>
      </c>
      <c r="D1680">
        <v>199816</v>
      </c>
      <c r="E1680">
        <v>10903</v>
      </c>
    </row>
    <row r="1681" spans="1:5" x14ac:dyDescent="0.3">
      <c r="A1681">
        <v>98</v>
      </c>
      <c r="B1681">
        <v>562111</v>
      </c>
      <c r="C1681" t="s">
        <v>457</v>
      </c>
      <c r="D1681">
        <v>182677</v>
      </c>
      <c r="E1681">
        <v>9489</v>
      </c>
    </row>
    <row r="1682" spans="1:5" x14ac:dyDescent="0.3">
      <c r="A1682">
        <v>98</v>
      </c>
      <c r="B1682">
        <v>562112</v>
      </c>
      <c r="C1682" t="s">
        <v>457</v>
      </c>
      <c r="D1682">
        <v>10075</v>
      </c>
      <c r="E1682">
        <v>614</v>
      </c>
    </row>
    <row r="1683" spans="1:5" x14ac:dyDescent="0.3">
      <c r="A1683">
        <v>98</v>
      </c>
      <c r="B1683">
        <v>562119</v>
      </c>
      <c r="C1683" t="s">
        <v>457</v>
      </c>
      <c r="D1683">
        <v>7064</v>
      </c>
      <c r="E1683">
        <v>800</v>
      </c>
    </row>
    <row r="1684" spans="1:5" x14ac:dyDescent="0.3">
      <c r="A1684">
        <v>98</v>
      </c>
      <c r="B1684">
        <v>5622</v>
      </c>
      <c r="C1684" t="s">
        <v>457</v>
      </c>
      <c r="D1684">
        <v>51345</v>
      </c>
      <c r="E1684">
        <v>2588</v>
      </c>
    </row>
    <row r="1685" spans="1:5" x14ac:dyDescent="0.3">
      <c r="A1685">
        <v>98</v>
      </c>
      <c r="B1685">
        <v>56221</v>
      </c>
      <c r="C1685" t="s">
        <v>457</v>
      </c>
      <c r="D1685">
        <v>51345</v>
      </c>
      <c r="E1685">
        <v>2588</v>
      </c>
    </row>
    <row r="1686" spans="1:5" x14ac:dyDescent="0.3">
      <c r="A1686">
        <v>98</v>
      </c>
      <c r="B1686">
        <v>562211</v>
      </c>
      <c r="C1686" t="s">
        <v>457</v>
      </c>
      <c r="D1686">
        <v>28055</v>
      </c>
      <c r="E1686">
        <v>892</v>
      </c>
    </row>
    <row r="1687" spans="1:5" x14ac:dyDescent="0.3">
      <c r="A1687">
        <v>98</v>
      </c>
      <c r="B1687">
        <v>562212</v>
      </c>
      <c r="C1687" t="s">
        <v>457</v>
      </c>
      <c r="D1687">
        <v>15814</v>
      </c>
      <c r="E1687">
        <v>1311</v>
      </c>
    </row>
    <row r="1688" spans="1:5" x14ac:dyDescent="0.3">
      <c r="A1688">
        <v>98</v>
      </c>
      <c r="B1688">
        <v>562213</v>
      </c>
      <c r="C1688" t="s">
        <v>457</v>
      </c>
      <c r="D1688">
        <v>4725</v>
      </c>
      <c r="E1688">
        <v>102</v>
      </c>
    </row>
    <row r="1689" spans="1:5" x14ac:dyDescent="0.3">
      <c r="A1689">
        <v>98</v>
      </c>
      <c r="B1689">
        <v>562219</v>
      </c>
      <c r="C1689" t="s">
        <v>457</v>
      </c>
      <c r="D1689">
        <v>2751</v>
      </c>
      <c r="E1689">
        <v>283</v>
      </c>
    </row>
    <row r="1690" spans="1:5" x14ac:dyDescent="0.3">
      <c r="A1690">
        <v>98</v>
      </c>
      <c r="B1690">
        <v>5629</v>
      </c>
      <c r="C1690" t="s">
        <v>457</v>
      </c>
      <c r="D1690">
        <v>132732</v>
      </c>
      <c r="E1690">
        <v>10384</v>
      </c>
    </row>
    <row r="1691" spans="1:5" x14ac:dyDescent="0.3">
      <c r="A1691">
        <v>98</v>
      </c>
      <c r="B1691">
        <v>56291</v>
      </c>
      <c r="C1691" t="s">
        <v>457</v>
      </c>
      <c r="D1691">
        <v>75647</v>
      </c>
      <c r="E1691">
        <v>4350</v>
      </c>
    </row>
    <row r="1692" spans="1:5" x14ac:dyDescent="0.3">
      <c r="A1692">
        <v>98</v>
      </c>
      <c r="B1692">
        <v>562910</v>
      </c>
      <c r="C1692" t="s">
        <v>457</v>
      </c>
      <c r="D1692">
        <v>75647</v>
      </c>
      <c r="E1692">
        <v>4350</v>
      </c>
    </row>
    <row r="1693" spans="1:5" x14ac:dyDescent="0.3">
      <c r="A1693">
        <v>98</v>
      </c>
      <c r="B1693">
        <v>56292</v>
      </c>
      <c r="C1693" t="s">
        <v>457</v>
      </c>
      <c r="D1693">
        <v>21795</v>
      </c>
      <c r="E1693">
        <v>1455</v>
      </c>
    </row>
    <row r="1694" spans="1:5" x14ac:dyDescent="0.3">
      <c r="A1694">
        <v>98</v>
      </c>
      <c r="B1694">
        <v>562920</v>
      </c>
      <c r="C1694" t="s">
        <v>457</v>
      </c>
      <c r="D1694">
        <v>21795</v>
      </c>
      <c r="E1694">
        <v>1455</v>
      </c>
    </row>
    <row r="1695" spans="1:5" x14ac:dyDescent="0.3">
      <c r="A1695">
        <v>98</v>
      </c>
      <c r="B1695">
        <v>56299</v>
      </c>
      <c r="C1695" t="s">
        <v>457</v>
      </c>
      <c r="D1695">
        <v>35290</v>
      </c>
      <c r="E1695">
        <v>4579</v>
      </c>
    </row>
    <row r="1696" spans="1:5" x14ac:dyDescent="0.3">
      <c r="A1696">
        <v>98</v>
      </c>
      <c r="B1696">
        <v>562991</v>
      </c>
      <c r="C1696" t="s">
        <v>457</v>
      </c>
      <c r="D1696">
        <v>22879</v>
      </c>
      <c r="E1696">
        <v>3447</v>
      </c>
    </row>
    <row r="1697" spans="1:5" x14ac:dyDescent="0.3">
      <c r="A1697">
        <v>98</v>
      </c>
      <c r="B1697">
        <v>562998</v>
      </c>
      <c r="C1697" t="s">
        <v>457</v>
      </c>
      <c r="D1697">
        <v>12411</v>
      </c>
      <c r="E1697">
        <v>1132</v>
      </c>
    </row>
    <row r="1698" spans="1:5" x14ac:dyDescent="0.3">
      <c r="A1698">
        <v>98</v>
      </c>
      <c r="B1698" t="s">
        <v>189</v>
      </c>
      <c r="C1698" t="s">
        <v>457</v>
      </c>
      <c r="D1698">
        <v>3642170</v>
      </c>
      <c r="E1698">
        <v>101981</v>
      </c>
    </row>
    <row r="1699" spans="1:5" x14ac:dyDescent="0.3">
      <c r="A1699">
        <v>98</v>
      </c>
      <c r="B1699">
        <v>611</v>
      </c>
      <c r="C1699" t="s">
        <v>457</v>
      </c>
      <c r="D1699">
        <v>3642170</v>
      </c>
      <c r="E1699">
        <v>101981</v>
      </c>
    </row>
    <row r="1700" spans="1:5" x14ac:dyDescent="0.3">
      <c r="A1700">
        <v>98</v>
      </c>
      <c r="B1700">
        <v>6111</v>
      </c>
      <c r="C1700" t="s">
        <v>457</v>
      </c>
      <c r="D1700">
        <v>1006113</v>
      </c>
      <c r="E1700">
        <v>22672</v>
      </c>
    </row>
    <row r="1701" spans="1:5" x14ac:dyDescent="0.3">
      <c r="A1701">
        <v>98</v>
      </c>
      <c r="B1701">
        <v>61111</v>
      </c>
      <c r="C1701" t="s">
        <v>457</v>
      </c>
      <c r="D1701">
        <v>1006113</v>
      </c>
      <c r="E1701">
        <v>22672</v>
      </c>
    </row>
    <row r="1702" spans="1:5" x14ac:dyDescent="0.3">
      <c r="A1702">
        <v>98</v>
      </c>
      <c r="B1702">
        <v>611110</v>
      </c>
      <c r="C1702" t="s">
        <v>457</v>
      </c>
      <c r="D1702">
        <v>1006113</v>
      </c>
      <c r="E1702">
        <v>22672</v>
      </c>
    </row>
    <row r="1703" spans="1:5" x14ac:dyDescent="0.3">
      <c r="A1703">
        <v>98</v>
      </c>
      <c r="B1703">
        <v>6112</v>
      </c>
      <c r="C1703" t="s">
        <v>457</v>
      </c>
      <c r="D1703">
        <v>79830</v>
      </c>
      <c r="E1703">
        <v>1041</v>
      </c>
    </row>
    <row r="1704" spans="1:5" x14ac:dyDescent="0.3">
      <c r="A1704">
        <v>98</v>
      </c>
      <c r="B1704">
        <v>61121</v>
      </c>
      <c r="C1704" t="s">
        <v>457</v>
      </c>
      <c r="D1704">
        <v>79830</v>
      </c>
      <c r="E1704">
        <v>1041</v>
      </c>
    </row>
    <row r="1705" spans="1:5" x14ac:dyDescent="0.3">
      <c r="A1705">
        <v>98</v>
      </c>
      <c r="B1705">
        <v>611210</v>
      </c>
      <c r="C1705" t="s">
        <v>457</v>
      </c>
      <c r="D1705">
        <v>79830</v>
      </c>
      <c r="E1705">
        <v>1041</v>
      </c>
    </row>
    <row r="1706" spans="1:5" x14ac:dyDescent="0.3">
      <c r="A1706">
        <v>98</v>
      </c>
      <c r="B1706">
        <v>6113</v>
      </c>
      <c r="C1706" t="s">
        <v>457</v>
      </c>
      <c r="D1706">
        <v>1879011</v>
      </c>
      <c r="E1706">
        <v>4788</v>
      </c>
    </row>
    <row r="1707" spans="1:5" x14ac:dyDescent="0.3">
      <c r="A1707">
        <v>98</v>
      </c>
      <c r="B1707">
        <v>61131</v>
      </c>
      <c r="C1707" t="s">
        <v>457</v>
      </c>
      <c r="D1707">
        <v>1879011</v>
      </c>
      <c r="E1707">
        <v>4788</v>
      </c>
    </row>
    <row r="1708" spans="1:5" x14ac:dyDescent="0.3">
      <c r="A1708">
        <v>98</v>
      </c>
      <c r="B1708">
        <v>611310</v>
      </c>
      <c r="C1708" t="s">
        <v>457</v>
      </c>
      <c r="D1708">
        <v>1879011</v>
      </c>
      <c r="E1708">
        <v>4788</v>
      </c>
    </row>
    <row r="1709" spans="1:5" x14ac:dyDescent="0.3">
      <c r="A1709">
        <v>98</v>
      </c>
      <c r="B1709">
        <v>6114</v>
      </c>
      <c r="C1709" t="s">
        <v>457</v>
      </c>
      <c r="D1709">
        <v>58301</v>
      </c>
      <c r="E1709">
        <v>7774</v>
      </c>
    </row>
    <row r="1710" spans="1:5" x14ac:dyDescent="0.3">
      <c r="A1710">
        <v>98</v>
      </c>
      <c r="B1710">
        <v>61141</v>
      </c>
      <c r="C1710" t="s">
        <v>457</v>
      </c>
      <c r="D1710">
        <v>3052</v>
      </c>
      <c r="E1710">
        <v>174</v>
      </c>
    </row>
    <row r="1711" spans="1:5" x14ac:dyDescent="0.3">
      <c r="A1711">
        <v>98</v>
      </c>
      <c r="B1711">
        <v>611410</v>
      </c>
      <c r="C1711" t="s">
        <v>457</v>
      </c>
      <c r="D1711">
        <v>3052</v>
      </c>
      <c r="E1711">
        <v>174</v>
      </c>
    </row>
    <row r="1712" spans="1:5" x14ac:dyDescent="0.3">
      <c r="A1712">
        <v>98</v>
      </c>
      <c r="B1712">
        <v>61142</v>
      </c>
      <c r="C1712" t="s">
        <v>457</v>
      </c>
      <c r="D1712">
        <v>12370</v>
      </c>
      <c r="E1712">
        <v>1441</v>
      </c>
    </row>
    <row r="1713" spans="1:5" x14ac:dyDescent="0.3">
      <c r="A1713">
        <v>98</v>
      </c>
      <c r="B1713">
        <v>611420</v>
      </c>
      <c r="C1713" t="s">
        <v>457</v>
      </c>
      <c r="D1713">
        <v>12370</v>
      </c>
      <c r="E1713">
        <v>1441</v>
      </c>
    </row>
    <row r="1714" spans="1:5" x14ac:dyDescent="0.3">
      <c r="A1714">
        <v>98</v>
      </c>
      <c r="B1714">
        <v>61143</v>
      </c>
      <c r="C1714" t="s">
        <v>457</v>
      </c>
      <c r="D1714">
        <v>42879</v>
      </c>
      <c r="E1714">
        <v>6159</v>
      </c>
    </row>
    <row r="1715" spans="1:5" x14ac:dyDescent="0.3">
      <c r="A1715">
        <v>98</v>
      </c>
      <c r="B1715">
        <v>611430</v>
      </c>
      <c r="C1715" t="s">
        <v>457</v>
      </c>
      <c r="D1715">
        <v>42879</v>
      </c>
      <c r="E1715">
        <v>6159</v>
      </c>
    </row>
    <row r="1716" spans="1:5" x14ac:dyDescent="0.3">
      <c r="A1716">
        <v>98</v>
      </c>
      <c r="B1716">
        <v>6115</v>
      </c>
      <c r="C1716" t="s">
        <v>457</v>
      </c>
      <c r="D1716">
        <v>109207</v>
      </c>
      <c r="E1716">
        <v>8146</v>
      </c>
    </row>
    <row r="1717" spans="1:5" x14ac:dyDescent="0.3">
      <c r="A1717">
        <v>98</v>
      </c>
      <c r="B1717">
        <v>61151</v>
      </c>
      <c r="C1717" t="s">
        <v>457</v>
      </c>
      <c r="D1717">
        <v>109207</v>
      </c>
      <c r="E1717">
        <v>8146</v>
      </c>
    </row>
    <row r="1718" spans="1:5" x14ac:dyDescent="0.3">
      <c r="A1718">
        <v>98</v>
      </c>
      <c r="B1718">
        <v>611511</v>
      </c>
      <c r="C1718" t="s">
        <v>457</v>
      </c>
      <c r="D1718">
        <v>20268</v>
      </c>
      <c r="E1718">
        <v>1866</v>
      </c>
    </row>
    <row r="1719" spans="1:5" x14ac:dyDescent="0.3">
      <c r="A1719">
        <v>98</v>
      </c>
      <c r="B1719">
        <v>611512</v>
      </c>
      <c r="C1719" t="s">
        <v>457</v>
      </c>
      <c r="D1719">
        <v>14277</v>
      </c>
      <c r="E1719">
        <v>896</v>
      </c>
    </row>
    <row r="1720" spans="1:5" x14ac:dyDescent="0.3">
      <c r="A1720">
        <v>98</v>
      </c>
      <c r="B1720">
        <v>611513</v>
      </c>
      <c r="C1720" t="s">
        <v>457</v>
      </c>
      <c r="D1720">
        <v>12726</v>
      </c>
      <c r="E1720">
        <v>1216</v>
      </c>
    </row>
    <row r="1721" spans="1:5" x14ac:dyDescent="0.3">
      <c r="A1721">
        <v>98</v>
      </c>
      <c r="B1721">
        <v>611519</v>
      </c>
      <c r="C1721" t="s">
        <v>457</v>
      </c>
      <c r="D1721">
        <v>61936</v>
      </c>
      <c r="E1721">
        <v>4168</v>
      </c>
    </row>
    <row r="1722" spans="1:5" x14ac:dyDescent="0.3">
      <c r="A1722">
        <v>98</v>
      </c>
      <c r="B1722">
        <v>6116</v>
      </c>
      <c r="C1722" t="s">
        <v>457</v>
      </c>
      <c r="D1722">
        <v>401770</v>
      </c>
      <c r="E1722">
        <v>49272</v>
      </c>
    </row>
    <row r="1723" spans="1:5" x14ac:dyDescent="0.3">
      <c r="A1723">
        <v>98</v>
      </c>
      <c r="B1723">
        <v>61161</v>
      </c>
      <c r="C1723" t="s">
        <v>457</v>
      </c>
      <c r="D1723">
        <v>93598</v>
      </c>
      <c r="E1723">
        <v>13479</v>
      </c>
    </row>
    <row r="1724" spans="1:5" x14ac:dyDescent="0.3">
      <c r="A1724">
        <v>98</v>
      </c>
      <c r="B1724">
        <v>611610</v>
      </c>
      <c r="C1724" t="s">
        <v>457</v>
      </c>
      <c r="D1724">
        <v>93598</v>
      </c>
      <c r="E1724">
        <v>13479</v>
      </c>
    </row>
    <row r="1725" spans="1:5" x14ac:dyDescent="0.3">
      <c r="A1725">
        <v>98</v>
      </c>
      <c r="B1725">
        <v>61162</v>
      </c>
      <c r="C1725" t="s">
        <v>457</v>
      </c>
      <c r="D1725">
        <v>117447</v>
      </c>
      <c r="E1725">
        <v>16141</v>
      </c>
    </row>
    <row r="1726" spans="1:5" x14ac:dyDescent="0.3">
      <c r="A1726">
        <v>98</v>
      </c>
      <c r="B1726">
        <v>611620</v>
      </c>
      <c r="C1726" t="s">
        <v>457</v>
      </c>
      <c r="D1726">
        <v>117447</v>
      </c>
      <c r="E1726">
        <v>16141</v>
      </c>
    </row>
    <row r="1727" spans="1:5" x14ac:dyDescent="0.3">
      <c r="A1727">
        <v>98</v>
      </c>
      <c r="B1727">
        <v>61163</v>
      </c>
      <c r="C1727" t="s">
        <v>457</v>
      </c>
      <c r="D1727">
        <v>23417</v>
      </c>
      <c r="E1727">
        <v>1530</v>
      </c>
    </row>
    <row r="1728" spans="1:5" x14ac:dyDescent="0.3">
      <c r="A1728">
        <v>98</v>
      </c>
      <c r="B1728">
        <v>611630</v>
      </c>
      <c r="C1728" t="s">
        <v>457</v>
      </c>
      <c r="D1728">
        <v>23417</v>
      </c>
      <c r="E1728">
        <v>1530</v>
      </c>
    </row>
    <row r="1729" spans="1:5" x14ac:dyDescent="0.3">
      <c r="A1729">
        <v>98</v>
      </c>
      <c r="B1729">
        <v>61169</v>
      </c>
      <c r="C1729" t="s">
        <v>457</v>
      </c>
      <c r="D1729">
        <v>167308</v>
      </c>
      <c r="E1729">
        <v>18122</v>
      </c>
    </row>
    <row r="1730" spans="1:5" x14ac:dyDescent="0.3">
      <c r="A1730">
        <v>98</v>
      </c>
      <c r="B1730">
        <v>611691</v>
      </c>
      <c r="C1730" t="s">
        <v>457</v>
      </c>
      <c r="D1730">
        <v>107507</v>
      </c>
      <c r="E1730">
        <v>9286</v>
      </c>
    </row>
    <row r="1731" spans="1:5" x14ac:dyDescent="0.3">
      <c r="A1731">
        <v>98</v>
      </c>
      <c r="B1731">
        <v>611692</v>
      </c>
      <c r="C1731" t="s">
        <v>457</v>
      </c>
      <c r="D1731">
        <v>14241</v>
      </c>
      <c r="E1731">
        <v>2418</v>
      </c>
    </row>
    <row r="1732" spans="1:5" x14ac:dyDescent="0.3">
      <c r="A1732">
        <v>98</v>
      </c>
      <c r="B1732">
        <v>611699</v>
      </c>
      <c r="C1732" t="s">
        <v>457</v>
      </c>
      <c r="D1732">
        <v>45560</v>
      </c>
      <c r="E1732">
        <v>6418</v>
      </c>
    </row>
    <row r="1733" spans="1:5" x14ac:dyDescent="0.3">
      <c r="A1733">
        <v>98</v>
      </c>
      <c r="B1733">
        <v>6117</v>
      </c>
      <c r="C1733" t="s">
        <v>457</v>
      </c>
      <c r="D1733">
        <v>107938</v>
      </c>
      <c r="E1733">
        <v>8288</v>
      </c>
    </row>
    <row r="1734" spans="1:5" x14ac:dyDescent="0.3">
      <c r="A1734">
        <v>98</v>
      </c>
      <c r="B1734">
        <v>61171</v>
      </c>
      <c r="C1734" t="s">
        <v>457</v>
      </c>
      <c r="D1734">
        <v>107938</v>
      </c>
      <c r="E1734">
        <v>8288</v>
      </c>
    </row>
    <row r="1735" spans="1:5" x14ac:dyDescent="0.3">
      <c r="A1735">
        <v>98</v>
      </c>
      <c r="B1735">
        <v>611710</v>
      </c>
      <c r="C1735" t="s">
        <v>457</v>
      </c>
      <c r="D1735">
        <v>107938</v>
      </c>
      <c r="E1735">
        <v>8288</v>
      </c>
    </row>
    <row r="1736" spans="1:5" x14ac:dyDescent="0.3">
      <c r="A1736">
        <v>98</v>
      </c>
      <c r="B1736" t="s">
        <v>190</v>
      </c>
      <c r="C1736" t="s">
        <v>457</v>
      </c>
      <c r="D1736">
        <v>19221864</v>
      </c>
      <c r="E1736">
        <v>876072</v>
      </c>
    </row>
    <row r="1737" spans="1:5" x14ac:dyDescent="0.3">
      <c r="A1737">
        <v>98</v>
      </c>
      <c r="B1737">
        <v>621</v>
      </c>
      <c r="C1737" t="s">
        <v>457</v>
      </c>
      <c r="D1737">
        <v>7006624</v>
      </c>
      <c r="E1737">
        <v>603555</v>
      </c>
    </row>
    <row r="1738" spans="1:5" x14ac:dyDescent="0.3">
      <c r="A1738">
        <v>98</v>
      </c>
      <c r="B1738">
        <v>6211</v>
      </c>
      <c r="C1738" t="s">
        <v>457</v>
      </c>
      <c r="D1738">
        <v>2442684</v>
      </c>
      <c r="E1738">
        <v>225095</v>
      </c>
    </row>
    <row r="1739" spans="1:5" x14ac:dyDescent="0.3">
      <c r="A1739">
        <v>98</v>
      </c>
      <c r="B1739">
        <v>62111</v>
      </c>
      <c r="C1739" t="s">
        <v>457</v>
      </c>
      <c r="D1739">
        <v>2442684</v>
      </c>
      <c r="E1739">
        <v>225095</v>
      </c>
    </row>
    <row r="1740" spans="1:5" x14ac:dyDescent="0.3">
      <c r="A1740">
        <v>98</v>
      </c>
      <c r="B1740">
        <v>621111</v>
      </c>
      <c r="C1740" t="s">
        <v>457</v>
      </c>
      <c r="D1740">
        <v>2399787</v>
      </c>
      <c r="E1740">
        <v>214228</v>
      </c>
    </row>
    <row r="1741" spans="1:5" x14ac:dyDescent="0.3">
      <c r="A1741">
        <v>98</v>
      </c>
      <c r="B1741">
        <v>621112</v>
      </c>
      <c r="C1741" t="s">
        <v>457</v>
      </c>
      <c r="D1741">
        <v>42897</v>
      </c>
      <c r="E1741">
        <v>10867</v>
      </c>
    </row>
    <row r="1742" spans="1:5" x14ac:dyDescent="0.3">
      <c r="A1742">
        <v>98</v>
      </c>
      <c r="B1742">
        <v>6212</v>
      </c>
      <c r="C1742" t="s">
        <v>457</v>
      </c>
      <c r="D1742">
        <v>905401</v>
      </c>
      <c r="E1742">
        <v>134631</v>
      </c>
    </row>
    <row r="1743" spans="1:5" x14ac:dyDescent="0.3">
      <c r="A1743">
        <v>98</v>
      </c>
      <c r="B1743">
        <v>62121</v>
      </c>
      <c r="C1743" t="s">
        <v>457</v>
      </c>
      <c r="D1743">
        <v>905401</v>
      </c>
      <c r="E1743">
        <v>134631</v>
      </c>
    </row>
    <row r="1744" spans="1:5" x14ac:dyDescent="0.3">
      <c r="A1744">
        <v>98</v>
      </c>
      <c r="B1744">
        <v>621210</v>
      </c>
      <c r="C1744" t="s">
        <v>457</v>
      </c>
      <c r="D1744">
        <v>905401</v>
      </c>
      <c r="E1744">
        <v>134631</v>
      </c>
    </row>
    <row r="1745" spans="1:5" x14ac:dyDescent="0.3">
      <c r="A1745">
        <v>98</v>
      </c>
      <c r="B1745">
        <v>6213</v>
      </c>
      <c r="C1745" t="s">
        <v>457</v>
      </c>
      <c r="D1745">
        <v>822458</v>
      </c>
      <c r="E1745">
        <v>146137</v>
      </c>
    </row>
    <row r="1746" spans="1:5" x14ac:dyDescent="0.3">
      <c r="A1746">
        <v>98</v>
      </c>
      <c r="B1746">
        <v>62131</v>
      </c>
      <c r="C1746" t="s">
        <v>457</v>
      </c>
      <c r="D1746">
        <v>134129</v>
      </c>
      <c r="E1746">
        <v>39129</v>
      </c>
    </row>
    <row r="1747" spans="1:5" x14ac:dyDescent="0.3">
      <c r="A1747">
        <v>98</v>
      </c>
      <c r="B1747">
        <v>621310</v>
      </c>
      <c r="C1747" t="s">
        <v>457</v>
      </c>
      <c r="D1747">
        <v>134129</v>
      </c>
      <c r="E1747">
        <v>39129</v>
      </c>
    </row>
    <row r="1748" spans="1:5" x14ac:dyDescent="0.3">
      <c r="A1748">
        <v>98</v>
      </c>
      <c r="B1748">
        <v>62132</v>
      </c>
      <c r="C1748" t="s">
        <v>457</v>
      </c>
      <c r="D1748">
        <v>123291</v>
      </c>
      <c r="E1748">
        <v>21885</v>
      </c>
    </row>
    <row r="1749" spans="1:5" x14ac:dyDescent="0.3">
      <c r="A1749">
        <v>98</v>
      </c>
      <c r="B1749">
        <v>621320</v>
      </c>
      <c r="C1749" t="s">
        <v>457</v>
      </c>
      <c r="D1749">
        <v>123291</v>
      </c>
      <c r="E1749">
        <v>21885</v>
      </c>
    </row>
    <row r="1750" spans="1:5" x14ac:dyDescent="0.3">
      <c r="A1750">
        <v>98</v>
      </c>
      <c r="B1750">
        <v>62133</v>
      </c>
      <c r="C1750" t="s">
        <v>457</v>
      </c>
      <c r="D1750">
        <v>110200</v>
      </c>
      <c r="E1750">
        <v>21771</v>
      </c>
    </row>
    <row r="1751" spans="1:5" x14ac:dyDescent="0.3">
      <c r="A1751">
        <v>98</v>
      </c>
      <c r="B1751">
        <v>621330</v>
      </c>
      <c r="C1751" t="s">
        <v>457</v>
      </c>
      <c r="D1751">
        <v>110200</v>
      </c>
      <c r="E1751">
        <v>21771</v>
      </c>
    </row>
    <row r="1752" spans="1:5" x14ac:dyDescent="0.3">
      <c r="A1752">
        <v>98</v>
      </c>
      <c r="B1752">
        <v>62134</v>
      </c>
      <c r="C1752" t="s">
        <v>457</v>
      </c>
      <c r="D1752">
        <v>343175</v>
      </c>
      <c r="E1752">
        <v>36541</v>
      </c>
    </row>
    <row r="1753" spans="1:5" x14ac:dyDescent="0.3">
      <c r="A1753">
        <v>98</v>
      </c>
      <c r="B1753">
        <v>621340</v>
      </c>
      <c r="C1753" t="s">
        <v>457</v>
      </c>
      <c r="D1753">
        <v>343175</v>
      </c>
      <c r="E1753">
        <v>36541</v>
      </c>
    </row>
    <row r="1754" spans="1:5" x14ac:dyDescent="0.3">
      <c r="A1754">
        <v>98</v>
      </c>
      <c r="B1754">
        <v>62139</v>
      </c>
      <c r="C1754" t="s">
        <v>457</v>
      </c>
      <c r="D1754">
        <v>111663</v>
      </c>
      <c r="E1754">
        <v>26811</v>
      </c>
    </row>
    <row r="1755" spans="1:5" x14ac:dyDescent="0.3">
      <c r="A1755">
        <v>98</v>
      </c>
      <c r="B1755">
        <v>621391</v>
      </c>
      <c r="C1755" t="s">
        <v>457</v>
      </c>
      <c r="D1755">
        <v>37077</v>
      </c>
      <c r="E1755">
        <v>8361</v>
      </c>
    </row>
    <row r="1756" spans="1:5" x14ac:dyDescent="0.3">
      <c r="A1756">
        <v>98</v>
      </c>
      <c r="B1756">
        <v>621399</v>
      </c>
      <c r="C1756" t="s">
        <v>457</v>
      </c>
      <c r="D1756">
        <v>74586</v>
      </c>
      <c r="E1756">
        <v>18450</v>
      </c>
    </row>
    <row r="1757" spans="1:5" x14ac:dyDescent="0.3">
      <c r="A1757">
        <v>98</v>
      </c>
      <c r="B1757">
        <v>6214</v>
      </c>
      <c r="C1757" t="s">
        <v>457</v>
      </c>
      <c r="D1757">
        <v>887232</v>
      </c>
      <c r="E1757">
        <v>39387</v>
      </c>
    </row>
    <row r="1758" spans="1:5" x14ac:dyDescent="0.3">
      <c r="A1758">
        <v>98</v>
      </c>
      <c r="B1758">
        <v>62141</v>
      </c>
      <c r="C1758" t="s">
        <v>457</v>
      </c>
      <c r="D1758">
        <v>21166</v>
      </c>
      <c r="E1758">
        <v>2295</v>
      </c>
    </row>
    <row r="1759" spans="1:5" x14ac:dyDescent="0.3">
      <c r="A1759">
        <v>98</v>
      </c>
      <c r="B1759">
        <v>621410</v>
      </c>
      <c r="C1759" t="s">
        <v>457</v>
      </c>
      <c r="D1759">
        <v>21166</v>
      </c>
      <c r="E1759">
        <v>2295</v>
      </c>
    </row>
    <row r="1760" spans="1:5" x14ac:dyDescent="0.3">
      <c r="A1760">
        <v>98</v>
      </c>
      <c r="B1760">
        <v>62142</v>
      </c>
      <c r="C1760" t="s">
        <v>457</v>
      </c>
      <c r="D1760">
        <v>230173</v>
      </c>
      <c r="E1760">
        <v>10474</v>
      </c>
    </row>
    <row r="1761" spans="1:5" x14ac:dyDescent="0.3">
      <c r="A1761">
        <v>98</v>
      </c>
      <c r="B1761">
        <v>621420</v>
      </c>
      <c r="C1761" t="s">
        <v>457</v>
      </c>
      <c r="D1761">
        <v>230173</v>
      </c>
      <c r="E1761">
        <v>10474</v>
      </c>
    </row>
    <row r="1762" spans="1:5" x14ac:dyDescent="0.3">
      <c r="A1762">
        <v>98</v>
      </c>
      <c r="B1762">
        <v>62149</v>
      </c>
      <c r="C1762" t="s">
        <v>457</v>
      </c>
      <c r="D1762">
        <v>635893</v>
      </c>
      <c r="E1762">
        <v>26618</v>
      </c>
    </row>
    <row r="1763" spans="1:5" x14ac:dyDescent="0.3">
      <c r="A1763">
        <v>98</v>
      </c>
      <c r="B1763">
        <v>621491</v>
      </c>
      <c r="C1763" t="s">
        <v>457</v>
      </c>
      <c r="D1763">
        <v>32927</v>
      </c>
      <c r="E1763">
        <v>812</v>
      </c>
    </row>
    <row r="1764" spans="1:5" x14ac:dyDescent="0.3">
      <c r="A1764">
        <v>98</v>
      </c>
      <c r="B1764">
        <v>621492</v>
      </c>
      <c r="C1764" t="s">
        <v>457</v>
      </c>
      <c r="D1764">
        <v>121162</v>
      </c>
      <c r="E1764">
        <v>7455</v>
      </c>
    </row>
    <row r="1765" spans="1:5" x14ac:dyDescent="0.3">
      <c r="A1765">
        <v>98</v>
      </c>
      <c r="B1765">
        <v>621493</v>
      </c>
      <c r="C1765" t="s">
        <v>457</v>
      </c>
      <c r="D1765">
        <v>136086</v>
      </c>
      <c r="E1765">
        <v>6679</v>
      </c>
    </row>
    <row r="1766" spans="1:5" x14ac:dyDescent="0.3">
      <c r="A1766">
        <v>98</v>
      </c>
      <c r="B1766">
        <v>621498</v>
      </c>
      <c r="C1766" t="s">
        <v>457</v>
      </c>
      <c r="D1766">
        <v>345718</v>
      </c>
      <c r="E1766">
        <v>11672</v>
      </c>
    </row>
    <row r="1767" spans="1:5" x14ac:dyDescent="0.3">
      <c r="A1767">
        <v>98</v>
      </c>
      <c r="B1767">
        <v>6215</v>
      </c>
      <c r="C1767" t="s">
        <v>457</v>
      </c>
      <c r="D1767">
        <v>279577</v>
      </c>
      <c r="E1767">
        <v>17265</v>
      </c>
    </row>
    <row r="1768" spans="1:5" x14ac:dyDescent="0.3">
      <c r="A1768">
        <v>98</v>
      </c>
      <c r="B1768">
        <v>62151</v>
      </c>
      <c r="C1768" t="s">
        <v>457</v>
      </c>
      <c r="D1768">
        <v>279577</v>
      </c>
      <c r="E1768">
        <v>17265</v>
      </c>
    </row>
    <row r="1769" spans="1:5" x14ac:dyDescent="0.3">
      <c r="A1769">
        <v>98</v>
      </c>
      <c r="B1769">
        <v>621511</v>
      </c>
      <c r="C1769" t="s">
        <v>457</v>
      </c>
      <c r="D1769">
        <v>191594</v>
      </c>
      <c r="E1769">
        <v>10667</v>
      </c>
    </row>
    <row r="1770" spans="1:5" x14ac:dyDescent="0.3">
      <c r="A1770">
        <v>98</v>
      </c>
      <c r="B1770">
        <v>621512</v>
      </c>
      <c r="C1770" t="s">
        <v>457</v>
      </c>
      <c r="D1770">
        <v>87983</v>
      </c>
      <c r="E1770">
        <v>6598</v>
      </c>
    </row>
    <row r="1771" spans="1:5" x14ac:dyDescent="0.3">
      <c r="A1771">
        <v>98</v>
      </c>
      <c r="B1771">
        <v>6216</v>
      </c>
      <c r="C1771" t="s">
        <v>457</v>
      </c>
      <c r="D1771">
        <v>1377447</v>
      </c>
      <c r="E1771">
        <v>30981</v>
      </c>
    </row>
    <row r="1772" spans="1:5" x14ac:dyDescent="0.3">
      <c r="A1772">
        <v>98</v>
      </c>
      <c r="B1772">
        <v>62161</v>
      </c>
      <c r="C1772" t="s">
        <v>457</v>
      </c>
      <c r="D1772">
        <v>1377447</v>
      </c>
      <c r="E1772">
        <v>30981</v>
      </c>
    </row>
    <row r="1773" spans="1:5" x14ac:dyDescent="0.3">
      <c r="A1773">
        <v>98</v>
      </c>
      <c r="B1773">
        <v>621610</v>
      </c>
      <c r="C1773" t="s">
        <v>457</v>
      </c>
      <c r="D1773">
        <v>1377447</v>
      </c>
      <c r="E1773">
        <v>30981</v>
      </c>
    </row>
    <row r="1774" spans="1:5" x14ac:dyDescent="0.3">
      <c r="A1774">
        <v>98</v>
      </c>
      <c r="B1774">
        <v>6219</v>
      </c>
      <c r="C1774" t="s">
        <v>457</v>
      </c>
      <c r="D1774">
        <v>291825</v>
      </c>
      <c r="E1774">
        <v>10059</v>
      </c>
    </row>
    <row r="1775" spans="1:5" x14ac:dyDescent="0.3">
      <c r="A1775">
        <v>98</v>
      </c>
      <c r="B1775">
        <v>62191</v>
      </c>
      <c r="C1775" t="s">
        <v>457</v>
      </c>
      <c r="D1775">
        <v>162977</v>
      </c>
      <c r="E1775">
        <v>4740</v>
      </c>
    </row>
    <row r="1776" spans="1:5" x14ac:dyDescent="0.3">
      <c r="A1776">
        <v>98</v>
      </c>
      <c r="B1776">
        <v>621910</v>
      </c>
      <c r="C1776" t="s">
        <v>457</v>
      </c>
      <c r="D1776">
        <v>162977</v>
      </c>
      <c r="E1776">
        <v>4740</v>
      </c>
    </row>
    <row r="1777" spans="1:5" x14ac:dyDescent="0.3">
      <c r="A1777">
        <v>98</v>
      </c>
      <c r="B1777">
        <v>62199</v>
      </c>
      <c r="C1777" t="s">
        <v>457</v>
      </c>
      <c r="D1777">
        <v>128848</v>
      </c>
      <c r="E1777">
        <v>5319</v>
      </c>
    </row>
    <row r="1778" spans="1:5" x14ac:dyDescent="0.3">
      <c r="A1778">
        <v>98</v>
      </c>
      <c r="B1778">
        <v>621991</v>
      </c>
      <c r="C1778" t="s">
        <v>457</v>
      </c>
      <c r="D1778">
        <v>74702</v>
      </c>
      <c r="E1778">
        <v>1477</v>
      </c>
    </row>
    <row r="1779" spans="1:5" x14ac:dyDescent="0.3">
      <c r="A1779">
        <v>98</v>
      </c>
      <c r="B1779">
        <v>621999</v>
      </c>
      <c r="C1779" t="s">
        <v>457</v>
      </c>
      <c r="D1779">
        <v>54146</v>
      </c>
      <c r="E1779">
        <v>3842</v>
      </c>
    </row>
    <row r="1780" spans="1:5" x14ac:dyDescent="0.3">
      <c r="A1780">
        <v>98</v>
      </c>
      <c r="B1780">
        <v>622</v>
      </c>
      <c r="C1780" t="s">
        <v>457</v>
      </c>
      <c r="D1780">
        <v>5717986</v>
      </c>
      <c r="E1780">
        <v>7012</v>
      </c>
    </row>
    <row r="1781" spans="1:5" x14ac:dyDescent="0.3">
      <c r="A1781">
        <v>98</v>
      </c>
      <c r="B1781">
        <v>6221</v>
      </c>
      <c r="C1781" t="s">
        <v>457</v>
      </c>
      <c r="D1781">
        <v>5199364</v>
      </c>
      <c r="E1781">
        <v>5361</v>
      </c>
    </row>
    <row r="1782" spans="1:5" x14ac:dyDescent="0.3">
      <c r="A1782">
        <v>98</v>
      </c>
      <c r="B1782">
        <v>62211</v>
      </c>
      <c r="C1782" t="s">
        <v>457</v>
      </c>
      <c r="D1782">
        <v>5199364</v>
      </c>
      <c r="E1782">
        <v>5361</v>
      </c>
    </row>
    <row r="1783" spans="1:5" x14ac:dyDescent="0.3">
      <c r="A1783">
        <v>98</v>
      </c>
      <c r="B1783">
        <v>622110</v>
      </c>
      <c r="C1783" t="s">
        <v>457</v>
      </c>
      <c r="D1783">
        <v>5199364</v>
      </c>
      <c r="E1783">
        <v>5361</v>
      </c>
    </row>
    <row r="1784" spans="1:5" x14ac:dyDescent="0.3">
      <c r="A1784">
        <v>98</v>
      </c>
      <c r="B1784">
        <v>6222</v>
      </c>
      <c r="C1784" t="s">
        <v>457</v>
      </c>
      <c r="D1784">
        <v>227394</v>
      </c>
      <c r="E1784">
        <v>635</v>
      </c>
    </row>
    <row r="1785" spans="1:5" x14ac:dyDescent="0.3">
      <c r="A1785">
        <v>98</v>
      </c>
      <c r="B1785">
        <v>62221</v>
      </c>
      <c r="C1785" t="s">
        <v>457</v>
      </c>
      <c r="D1785">
        <v>227394</v>
      </c>
      <c r="E1785">
        <v>635</v>
      </c>
    </row>
    <row r="1786" spans="1:5" x14ac:dyDescent="0.3">
      <c r="A1786">
        <v>98</v>
      </c>
      <c r="B1786">
        <v>622210</v>
      </c>
      <c r="C1786" t="s">
        <v>457</v>
      </c>
      <c r="D1786">
        <v>227394</v>
      </c>
      <c r="E1786">
        <v>635</v>
      </c>
    </row>
    <row r="1787" spans="1:5" x14ac:dyDescent="0.3">
      <c r="A1787">
        <v>98</v>
      </c>
      <c r="B1787">
        <v>6223</v>
      </c>
      <c r="C1787" t="s">
        <v>457</v>
      </c>
      <c r="D1787">
        <v>291228</v>
      </c>
      <c r="E1787">
        <v>1016</v>
      </c>
    </row>
    <row r="1788" spans="1:5" x14ac:dyDescent="0.3">
      <c r="A1788">
        <v>98</v>
      </c>
      <c r="B1788">
        <v>62231</v>
      </c>
      <c r="C1788" t="s">
        <v>457</v>
      </c>
      <c r="D1788">
        <v>291228</v>
      </c>
      <c r="E1788">
        <v>1016</v>
      </c>
    </row>
    <row r="1789" spans="1:5" x14ac:dyDescent="0.3">
      <c r="A1789">
        <v>98</v>
      </c>
      <c r="B1789">
        <v>622310</v>
      </c>
      <c r="C1789" t="s">
        <v>457</v>
      </c>
      <c r="D1789">
        <v>291228</v>
      </c>
      <c r="E1789">
        <v>1016</v>
      </c>
    </row>
    <row r="1790" spans="1:5" x14ac:dyDescent="0.3">
      <c r="A1790">
        <v>98</v>
      </c>
      <c r="B1790">
        <v>623</v>
      </c>
      <c r="C1790" t="s">
        <v>457</v>
      </c>
      <c r="D1790">
        <v>3467097</v>
      </c>
      <c r="E1790">
        <v>86653</v>
      </c>
    </row>
    <row r="1791" spans="1:5" x14ac:dyDescent="0.3">
      <c r="A1791">
        <v>98</v>
      </c>
      <c r="B1791">
        <v>6231</v>
      </c>
      <c r="C1791" t="s">
        <v>457</v>
      </c>
      <c r="D1791">
        <v>1676501</v>
      </c>
      <c r="E1791">
        <v>17085</v>
      </c>
    </row>
    <row r="1792" spans="1:5" x14ac:dyDescent="0.3">
      <c r="A1792">
        <v>98</v>
      </c>
      <c r="B1792">
        <v>62311</v>
      </c>
      <c r="C1792" t="s">
        <v>457</v>
      </c>
      <c r="D1792">
        <v>1676501</v>
      </c>
      <c r="E1792">
        <v>17085</v>
      </c>
    </row>
    <row r="1793" spans="1:5" x14ac:dyDescent="0.3">
      <c r="A1793">
        <v>98</v>
      </c>
      <c r="B1793">
        <v>623110</v>
      </c>
      <c r="C1793" t="s">
        <v>457</v>
      </c>
      <c r="D1793">
        <v>1676501</v>
      </c>
      <c r="E1793">
        <v>17085</v>
      </c>
    </row>
    <row r="1794" spans="1:5" x14ac:dyDescent="0.3">
      <c r="A1794">
        <v>98</v>
      </c>
      <c r="B1794">
        <v>6232</v>
      </c>
      <c r="C1794" t="s">
        <v>457</v>
      </c>
      <c r="D1794">
        <v>748516</v>
      </c>
      <c r="E1794">
        <v>40383</v>
      </c>
    </row>
    <row r="1795" spans="1:5" x14ac:dyDescent="0.3">
      <c r="A1795">
        <v>98</v>
      </c>
      <c r="B1795">
        <v>62321</v>
      </c>
      <c r="C1795" t="s">
        <v>457</v>
      </c>
      <c r="D1795">
        <v>554037</v>
      </c>
      <c r="E1795">
        <v>32770</v>
      </c>
    </row>
    <row r="1796" spans="1:5" x14ac:dyDescent="0.3">
      <c r="A1796">
        <v>98</v>
      </c>
      <c r="B1796">
        <v>623210</v>
      </c>
      <c r="C1796" t="s">
        <v>457</v>
      </c>
      <c r="D1796">
        <v>554037</v>
      </c>
      <c r="E1796">
        <v>32770</v>
      </c>
    </row>
    <row r="1797" spans="1:5" x14ac:dyDescent="0.3">
      <c r="A1797">
        <v>98</v>
      </c>
      <c r="B1797">
        <v>62322</v>
      </c>
      <c r="C1797" t="s">
        <v>457</v>
      </c>
      <c r="D1797">
        <v>194479</v>
      </c>
      <c r="E1797">
        <v>7613</v>
      </c>
    </row>
    <row r="1798" spans="1:5" x14ac:dyDescent="0.3">
      <c r="A1798">
        <v>98</v>
      </c>
      <c r="B1798">
        <v>623220</v>
      </c>
      <c r="C1798" t="s">
        <v>457</v>
      </c>
      <c r="D1798">
        <v>194479</v>
      </c>
      <c r="E1798">
        <v>7613</v>
      </c>
    </row>
    <row r="1799" spans="1:5" x14ac:dyDescent="0.3">
      <c r="A1799">
        <v>98</v>
      </c>
      <c r="B1799">
        <v>6233</v>
      </c>
      <c r="C1799" t="s">
        <v>457</v>
      </c>
      <c r="D1799">
        <v>909873</v>
      </c>
      <c r="E1799">
        <v>23929</v>
      </c>
    </row>
    <row r="1800" spans="1:5" x14ac:dyDescent="0.3">
      <c r="A1800">
        <v>98</v>
      </c>
      <c r="B1800">
        <v>62331</v>
      </c>
      <c r="C1800" t="s">
        <v>457</v>
      </c>
      <c r="D1800">
        <v>909873</v>
      </c>
      <c r="E1800">
        <v>23929</v>
      </c>
    </row>
    <row r="1801" spans="1:5" x14ac:dyDescent="0.3">
      <c r="A1801">
        <v>98</v>
      </c>
      <c r="B1801">
        <v>623311</v>
      </c>
      <c r="C1801" t="s">
        <v>457</v>
      </c>
      <c r="D1801">
        <v>450336</v>
      </c>
      <c r="E1801">
        <v>5316</v>
      </c>
    </row>
    <row r="1802" spans="1:5" x14ac:dyDescent="0.3">
      <c r="A1802">
        <v>98</v>
      </c>
      <c r="B1802">
        <v>623312</v>
      </c>
      <c r="C1802" t="s">
        <v>457</v>
      </c>
      <c r="D1802">
        <v>459537</v>
      </c>
      <c r="E1802">
        <v>18613</v>
      </c>
    </row>
    <row r="1803" spans="1:5" x14ac:dyDescent="0.3">
      <c r="A1803">
        <v>98</v>
      </c>
      <c r="B1803">
        <v>6239</v>
      </c>
      <c r="C1803" t="s">
        <v>457</v>
      </c>
      <c r="D1803">
        <v>132207</v>
      </c>
      <c r="E1803">
        <v>5256</v>
      </c>
    </row>
    <row r="1804" spans="1:5" x14ac:dyDescent="0.3">
      <c r="A1804">
        <v>98</v>
      </c>
      <c r="B1804">
        <v>62399</v>
      </c>
      <c r="C1804" t="s">
        <v>457</v>
      </c>
      <c r="D1804">
        <v>132207</v>
      </c>
      <c r="E1804">
        <v>5256</v>
      </c>
    </row>
    <row r="1805" spans="1:5" x14ac:dyDescent="0.3">
      <c r="A1805">
        <v>98</v>
      </c>
      <c r="B1805">
        <v>623990</v>
      </c>
      <c r="C1805" t="s">
        <v>457</v>
      </c>
      <c r="D1805">
        <v>132207</v>
      </c>
      <c r="E1805">
        <v>5256</v>
      </c>
    </row>
    <row r="1806" spans="1:5" x14ac:dyDescent="0.3">
      <c r="A1806">
        <v>98</v>
      </c>
      <c r="B1806">
        <v>624</v>
      </c>
      <c r="C1806" t="s">
        <v>457</v>
      </c>
      <c r="D1806">
        <v>3030157</v>
      </c>
      <c r="E1806">
        <v>178852</v>
      </c>
    </row>
    <row r="1807" spans="1:5" x14ac:dyDescent="0.3">
      <c r="A1807">
        <v>98</v>
      </c>
      <c r="B1807">
        <v>6241</v>
      </c>
      <c r="C1807" t="s">
        <v>457</v>
      </c>
      <c r="D1807">
        <v>1625541</v>
      </c>
      <c r="E1807">
        <v>82239</v>
      </c>
    </row>
    <row r="1808" spans="1:5" x14ac:dyDescent="0.3">
      <c r="A1808">
        <v>98</v>
      </c>
      <c r="B1808">
        <v>62411</v>
      </c>
      <c r="C1808" t="s">
        <v>457</v>
      </c>
      <c r="D1808">
        <v>184029</v>
      </c>
      <c r="E1808">
        <v>11604</v>
      </c>
    </row>
    <row r="1809" spans="1:5" x14ac:dyDescent="0.3">
      <c r="A1809">
        <v>98</v>
      </c>
      <c r="B1809">
        <v>624110</v>
      </c>
      <c r="C1809" t="s">
        <v>457</v>
      </c>
      <c r="D1809">
        <v>184029</v>
      </c>
      <c r="E1809">
        <v>11604</v>
      </c>
    </row>
    <row r="1810" spans="1:5" x14ac:dyDescent="0.3">
      <c r="A1810">
        <v>98</v>
      </c>
      <c r="B1810">
        <v>62412</v>
      </c>
      <c r="C1810" t="s">
        <v>457</v>
      </c>
      <c r="D1810">
        <v>1039109</v>
      </c>
      <c r="E1810">
        <v>41899</v>
      </c>
    </row>
    <row r="1811" spans="1:5" x14ac:dyDescent="0.3">
      <c r="A1811">
        <v>98</v>
      </c>
      <c r="B1811">
        <v>624120</v>
      </c>
      <c r="C1811" t="s">
        <v>457</v>
      </c>
      <c r="D1811">
        <v>1039109</v>
      </c>
      <c r="E1811">
        <v>41899</v>
      </c>
    </row>
    <row r="1812" spans="1:5" x14ac:dyDescent="0.3">
      <c r="A1812">
        <v>98</v>
      </c>
      <c r="B1812">
        <v>62419</v>
      </c>
      <c r="C1812" t="s">
        <v>457</v>
      </c>
      <c r="D1812">
        <v>402403</v>
      </c>
      <c r="E1812">
        <v>28736</v>
      </c>
    </row>
    <row r="1813" spans="1:5" x14ac:dyDescent="0.3">
      <c r="A1813">
        <v>98</v>
      </c>
      <c r="B1813">
        <v>624190</v>
      </c>
      <c r="C1813" t="s">
        <v>457</v>
      </c>
      <c r="D1813">
        <v>402403</v>
      </c>
      <c r="E1813">
        <v>28736</v>
      </c>
    </row>
    <row r="1814" spans="1:5" x14ac:dyDescent="0.3">
      <c r="A1814">
        <v>98</v>
      </c>
      <c r="B1814">
        <v>6242</v>
      </c>
      <c r="C1814" t="s">
        <v>457</v>
      </c>
      <c r="D1814">
        <v>188309</v>
      </c>
      <c r="E1814">
        <v>14300</v>
      </c>
    </row>
    <row r="1815" spans="1:5" x14ac:dyDescent="0.3">
      <c r="A1815">
        <v>98</v>
      </c>
      <c r="B1815">
        <v>62421</v>
      </c>
      <c r="C1815" t="s">
        <v>457</v>
      </c>
      <c r="D1815">
        <v>39042</v>
      </c>
      <c r="E1815">
        <v>4499</v>
      </c>
    </row>
    <row r="1816" spans="1:5" x14ac:dyDescent="0.3">
      <c r="A1816">
        <v>98</v>
      </c>
      <c r="B1816">
        <v>624210</v>
      </c>
      <c r="C1816" t="s">
        <v>457</v>
      </c>
      <c r="D1816">
        <v>39042</v>
      </c>
      <c r="E1816">
        <v>4499</v>
      </c>
    </row>
    <row r="1817" spans="1:5" x14ac:dyDescent="0.3">
      <c r="A1817">
        <v>98</v>
      </c>
      <c r="B1817">
        <v>62422</v>
      </c>
      <c r="C1817" t="s">
        <v>457</v>
      </c>
      <c r="D1817">
        <v>126927</v>
      </c>
      <c r="E1817">
        <v>8565</v>
      </c>
    </row>
    <row r="1818" spans="1:5" x14ac:dyDescent="0.3">
      <c r="A1818">
        <v>98</v>
      </c>
      <c r="B1818">
        <v>624221</v>
      </c>
      <c r="C1818" t="s">
        <v>457</v>
      </c>
      <c r="D1818">
        <v>73701</v>
      </c>
      <c r="E1818">
        <v>4053</v>
      </c>
    </row>
    <row r="1819" spans="1:5" x14ac:dyDescent="0.3">
      <c r="A1819">
        <v>98</v>
      </c>
      <c r="B1819">
        <v>624229</v>
      </c>
      <c r="C1819" t="s">
        <v>457</v>
      </c>
      <c r="D1819">
        <v>53226</v>
      </c>
      <c r="E1819">
        <v>4512</v>
      </c>
    </row>
    <row r="1820" spans="1:5" x14ac:dyDescent="0.3">
      <c r="A1820">
        <v>98</v>
      </c>
      <c r="B1820">
        <v>62423</v>
      </c>
      <c r="C1820" t="s">
        <v>457</v>
      </c>
      <c r="D1820">
        <v>22340</v>
      </c>
      <c r="E1820">
        <v>1236</v>
      </c>
    </row>
    <row r="1821" spans="1:5" x14ac:dyDescent="0.3">
      <c r="A1821">
        <v>98</v>
      </c>
      <c r="B1821">
        <v>624230</v>
      </c>
      <c r="C1821" t="s">
        <v>457</v>
      </c>
      <c r="D1821">
        <v>22340</v>
      </c>
      <c r="E1821">
        <v>1236</v>
      </c>
    </row>
    <row r="1822" spans="1:5" x14ac:dyDescent="0.3">
      <c r="A1822">
        <v>98</v>
      </c>
      <c r="B1822">
        <v>6243</v>
      </c>
      <c r="C1822" t="s">
        <v>457</v>
      </c>
      <c r="D1822">
        <v>327950</v>
      </c>
      <c r="E1822">
        <v>7724</v>
      </c>
    </row>
    <row r="1823" spans="1:5" x14ac:dyDescent="0.3">
      <c r="A1823">
        <v>98</v>
      </c>
      <c r="B1823">
        <v>62431</v>
      </c>
      <c r="C1823" t="s">
        <v>457</v>
      </c>
      <c r="D1823">
        <v>327950</v>
      </c>
      <c r="E1823">
        <v>7724</v>
      </c>
    </row>
    <row r="1824" spans="1:5" x14ac:dyDescent="0.3">
      <c r="A1824">
        <v>98</v>
      </c>
      <c r="B1824">
        <v>624310</v>
      </c>
      <c r="C1824" t="s">
        <v>457</v>
      </c>
      <c r="D1824">
        <v>327950</v>
      </c>
      <c r="E1824">
        <v>7724</v>
      </c>
    </row>
    <row r="1825" spans="1:5" x14ac:dyDescent="0.3">
      <c r="A1825">
        <v>98</v>
      </c>
      <c r="B1825">
        <v>6244</v>
      </c>
      <c r="C1825" t="s">
        <v>457</v>
      </c>
      <c r="D1825">
        <v>888357</v>
      </c>
      <c r="E1825">
        <v>74589</v>
      </c>
    </row>
    <row r="1826" spans="1:5" x14ac:dyDescent="0.3">
      <c r="A1826">
        <v>98</v>
      </c>
      <c r="B1826">
        <v>62441</v>
      </c>
      <c r="C1826" t="s">
        <v>457</v>
      </c>
      <c r="D1826">
        <v>888357</v>
      </c>
      <c r="E1826">
        <v>74589</v>
      </c>
    </row>
    <row r="1827" spans="1:5" x14ac:dyDescent="0.3">
      <c r="A1827">
        <v>98</v>
      </c>
      <c r="B1827">
        <v>624410</v>
      </c>
      <c r="C1827" t="s">
        <v>457</v>
      </c>
      <c r="D1827">
        <v>888357</v>
      </c>
      <c r="E1827">
        <v>74589</v>
      </c>
    </row>
    <row r="1828" spans="1:5" x14ac:dyDescent="0.3">
      <c r="A1828">
        <v>98</v>
      </c>
      <c r="B1828" t="s">
        <v>191</v>
      </c>
      <c r="C1828" t="s">
        <v>457</v>
      </c>
      <c r="D1828">
        <v>2230822</v>
      </c>
      <c r="E1828">
        <v>133610</v>
      </c>
    </row>
    <row r="1829" spans="1:5" x14ac:dyDescent="0.3">
      <c r="A1829">
        <v>98</v>
      </c>
      <c r="B1829">
        <v>711</v>
      </c>
      <c r="C1829" t="s">
        <v>457</v>
      </c>
      <c r="D1829">
        <v>483307</v>
      </c>
      <c r="E1829">
        <v>50239</v>
      </c>
    </row>
    <row r="1830" spans="1:5" x14ac:dyDescent="0.3">
      <c r="A1830">
        <v>98</v>
      </c>
      <c r="B1830">
        <v>7111</v>
      </c>
      <c r="C1830" t="s">
        <v>457</v>
      </c>
      <c r="D1830">
        <v>124128</v>
      </c>
      <c r="E1830">
        <v>8908</v>
      </c>
    </row>
    <row r="1831" spans="1:5" x14ac:dyDescent="0.3">
      <c r="A1831">
        <v>98</v>
      </c>
      <c r="B1831">
        <v>71111</v>
      </c>
      <c r="C1831" t="s">
        <v>457</v>
      </c>
      <c r="D1831">
        <v>69135</v>
      </c>
      <c r="E1831">
        <v>3355</v>
      </c>
    </row>
    <row r="1832" spans="1:5" x14ac:dyDescent="0.3">
      <c r="A1832">
        <v>98</v>
      </c>
      <c r="B1832">
        <v>711110</v>
      </c>
      <c r="C1832" t="s">
        <v>457</v>
      </c>
      <c r="D1832">
        <v>69135</v>
      </c>
      <c r="E1832">
        <v>3355</v>
      </c>
    </row>
    <row r="1833" spans="1:5" x14ac:dyDescent="0.3">
      <c r="A1833">
        <v>98</v>
      </c>
      <c r="B1833">
        <v>71112</v>
      </c>
      <c r="C1833" t="s">
        <v>457</v>
      </c>
      <c r="D1833">
        <v>9916</v>
      </c>
      <c r="E1833">
        <v>668</v>
      </c>
    </row>
    <row r="1834" spans="1:5" x14ac:dyDescent="0.3">
      <c r="A1834">
        <v>98</v>
      </c>
      <c r="B1834">
        <v>711120</v>
      </c>
      <c r="C1834" t="s">
        <v>457</v>
      </c>
      <c r="D1834">
        <v>9916</v>
      </c>
      <c r="E1834">
        <v>668</v>
      </c>
    </row>
    <row r="1835" spans="1:5" x14ac:dyDescent="0.3">
      <c r="A1835">
        <v>98</v>
      </c>
      <c r="B1835">
        <v>71113</v>
      </c>
      <c r="C1835" t="s">
        <v>457</v>
      </c>
      <c r="D1835">
        <v>38518</v>
      </c>
      <c r="E1835">
        <v>4522</v>
      </c>
    </row>
    <row r="1836" spans="1:5" x14ac:dyDescent="0.3">
      <c r="A1836">
        <v>98</v>
      </c>
      <c r="B1836">
        <v>711130</v>
      </c>
      <c r="C1836" t="s">
        <v>457</v>
      </c>
      <c r="D1836">
        <v>38518</v>
      </c>
      <c r="E1836">
        <v>4522</v>
      </c>
    </row>
    <row r="1837" spans="1:5" x14ac:dyDescent="0.3">
      <c r="A1837">
        <v>98</v>
      </c>
      <c r="B1837">
        <v>71119</v>
      </c>
      <c r="C1837" t="s">
        <v>457</v>
      </c>
      <c r="D1837">
        <v>6559</v>
      </c>
      <c r="E1837">
        <v>363</v>
      </c>
    </row>
    <row r="1838" spans="1:5" x14ac:dyDescent="0.3">
      <c r="A1838">
        <v>98</v>
      </c>
      <c r="B1838">
        <v>711190</v>
      </c>
      <c r="C1838" t="s">
        <v>457</v>
      </c>
      <c r="D1838">
        <v>6559</v>
      </c>
      <c r="E1838">
        <v>363</v>
      </c>
    </row>
    <row r="1839" spans="1:5" x14ac:dyDescent="0.3">
      <c r="A1839">
        <v>98</v>
      </c>
      <c r="B1839">
        <v>7112</v>
      </c>
      <c r="C1839" t="s">
        <v>457</v>
      </c>
      <c r="D1839">
        <v>128273</v>
      </c>
      <c r="E1839">
        <v>4315</v>
      </c>
    </row>
    <row r="1840" spans="1:5" x14ac:dyDescent="0.3">
      <c r="A1840">
        <v>98</v>
      </c>
      <c r="B1840">
        <v>71121</v>
      </c>
      <c r="C1840" t="s">
        <v>457</v>
      </c>
      <c r="D1840">
        <v>128273</v>
      </c>
      <c r="E1840">
        <v>4315</v>
      </c>
    </row>
    <row r="1841" spans="1:5" x14ac:dyDescent="0.3">
      <c r="A1841">
        <v>98</v>
      </c>
      <c r="B1841">
        <v>711211</v>
      </c>
      <c r="C1841" t="s">
        <v>457</v>
      </c>
      <c r="D1841">
        <v>68884</v>
      </c>
      <c r="E1841">
        <v>1004</v>
      </c>
    </row>
    <row r="1842" spans="1:5" x14ac:dyDescent="0.3">
      <c r="A1842">
        <v>98</v>
      </c>
      <c r="B1842">
        <v>711212</v>
      </c>
      <c r="C1842" t="s">
        <v>457</v>
      </c>
      <c r="D1842">
        <v>42728</v>
      </c>
      <c r="E1842">
        <v>639</v>
      </c>
    </row>
    <row r="1843" spans="1:5" x14ac:dyDescent="0.3">
      <c r="A1843">
        <v>98</v>
      </c>
      <c r="B1843">
        <v>711219</v>
      </c>
      <c r="C1843" t="s">
        <v>457</v>
      </c>
      <c r="D1843">
        <v>16661</v>
      </c>
      <c r="E1843">
        <v>2672</v>
      </c>
    </row>
    <row r="1844" spans="1:5" x14ac:dyDescent="0.3">
      <c r="A1844">
        <v>98</v>
      </c>
      <c r="B1844">
        <v>7113</v>
      </c>
      <c r="C1844" t="s">
        <v>457</v>
      </c>
      <c r="D1844">
        <v>163879</v>
      </c>
      <c r="E1844">
        <v>7600</v>
      </c>
    </row>
    <row r="1845" spans="1:5" x14ac:dyDescent="0.3">
      <c r="A1845">
        <v>98</v>
      </c>
      <c r="B1845">
        <v>71131</v>
      </c>
      <c r="C1845" t="s">
        <v>457</v>
      </c>
      <c r="D1845">
        <v>133677</v>
      </c>
      <c r="E1845">
        <v>3228</v>
      </c>
    </row>
    <row r="1846" spans="1:5" x14ac:dyDescent="0.3">
      <c r="A1846">
        <v>98</v>
      </c>
      <c r="B1846">
        <v>711310</v>
      </c>
      <c r="C1846" t="s">
        <v>457</v>
      </c>
      <c r="D1846">
        <v>133677</v>
      </c>
      <c r="E1846">
        <v>3228</v>
      </c>
    </row>
    <row r="1847" spans="1:5" x14ac:dyDescent="0.3">
      <c r="A1847">
        <v>98</v>
      </c>
      <c r="B1847">
        <v>71132</v>
      </c>
      <c r="C1847" t="s">
        <v>457</v>
      </c>
      <c r="D1847">
        <v>30202</v>
      </c>
      <c r="E1847">
        <v>4372</v>
      </c>
    </row>
    <row r="1848" spans="1:5" x14ac:dyDescent="0.3">
      <c r="A1848">
        <v>98</v>
      </c>
      <c r="B1848">
        <v>711320</v>
      </c>
      <c r="C1848" t="s">
        <v>457</v>
      </c>
      <c r="D1848">
        <v>30202</v>
      </c>
      <c r="E1848">
        <v>4372</v>
      </c>
    </row>
    <row r="1849" spans="1:5" x14ac:dyDescent="0.3">
      <c r="A1849">
        <v>98</v>
      </c>
      <c r="B1849">
        <v>7114</v>
      </c>
      <c r="C1849" t="s">
        <v>457</v>
      </c>
      <c r="D1849">
        <v>20209</v>
      </c>
      <c r="E1849">
        <v>4211</v>
      </c>
    </row>
    <row r="1850" spans="1:5" x14ac:dyDescent="0.3">
      <c r="A1850">
        <v>98</v>
      </c>
      <c r="B1850">
        <v>71141</v>
      </c>
      <c r="C1850" t="s">
        <v>457</v>
      </c>
      <c r="D1850">
        <v>20209</v>
      </c>
      <c r="E1850">
        <v>4211</v>
      </c>
    </row>
    <row r="1851" spans="1:5" x14ac:dyDescent="0.3">
      <c r="A1851">
        <v>98</v>
      </c>
      <c r="B1851">
        <v>711410</v>
      </c>
      <c r="C1851" t="s">
        <v>457</v>
      </c>
      <c r="D1851">
        <v>20209</v>
      </c>
      <c r="E1851">
        <v>4211</v>
      </c>
    </row>
    <row r="1852" spans="1:5" x14ac:dyDescent="0.3">
      <c r="A1852">
        <v>98</v>
      </c>
      <c r="B1852">
        <v>7115</v>
      </c>
      <c r="C1852" t="s">
        <v>457</v>
      </c>
      <c r="D1852">
        <v>46818</v>
      </c>
      <c r="E1852">
        <v>25205</v>
      </c>
    </row>
    <row r="1853" spans="1:5" x14ac:dyDescent="0.3">
      <c r="A1853">
        <v>98</v>
      </c>
      <c r="B1853">
        <v>71151</v>
      </c>
      <c r="C1853" t="s">
        <v>457</v>
      </c>
      <c r="D1853">
        <v>46818</v>
      </c>
      <c r="E1853">
        <v>25205</v>
      </c>
    </row>
    <row r="1854" spans="1:5" x14ac:dyDescent="0.3">
      <c r="A1854">
        <v>98</v>
      </c>
      <c r="B1854">
        <v>711510</v>
      </c>
      <c r="C1854" t="s">
        <v>457</v>
      </c>
      <c r="D1854">
        <v>46818</v>
      </c>
      <c r="E1854">
        <v>25205</v>
      </c>
    </row>
    <row r="1855" spans="1:5" x14ac:dyDescent="0.3">
      <c r="A1855">
        <v>98</v>
      </c>
      <c r="B1855">
        <v>712</v>
      </c>
      <c r="C1855" t="s">
        <v>457</v>
      </c>
      <c r="D1855">
        <v>146027</v>
      </c>
      <c r="E1855">
        <v>7594</v>
      </c>
    </row>
    <row r="1856" spans="1:5" x14ac:dyDescent="0.3">
      <c r="A1856">
        <v>98</v>
      </c>
      <c r="B1856">
        <v>7121</v>
      </c>
      <c r="C1856" t="s">
        <v>457</v>
      </c>
      <c r="D1856">
        <v>146027</v>
      </c>
      <c r="E1856">
        <v>7594</v>
      </c>
    </row>
    <row r="1857" spans="1:5" x14ac:dyDescent="0.3">
      <c r="A1857">
        <v>98</v>
      </c>
      <c r="B1857">
        <v>71211</v>
      </c>
      <c r="C1857" t="s">
        <v>457</v>
      </c>
      <c r="D1857">
        <v>93256</v>
      </c>
      <c r="E1857">
        <v>5125</v>
      </c>
    </row>
    <row r="1858" spans="1:5" x14ac:dyDescent="0.3">
      <c r="A1858">
        <v>98</v>
      </c>
      <c r="B1858">
        <v>712110</v>
      </c>
      <c r="C1858" t="s">
        <v>457</v>
      </c>
      <c r="D1858">
        <v>93256</v>
      </c>
      <c r="E1858">
        <v>5125</v>
      </c>
    </row>
    <row r="1859" spans="1:5" x14ac:dyDescent="0.3">
      <c r="A1859">
        <v>98</v>
      </c>
      <c r="B1859">
        <v>71212</v>
      </c>
      <c r="C1859" t="s">
        <v>457</v>
      </c>
      <c r="D1859">
        <v>10485</v>
      </c>
      <c r="E1859">
        <v>1139</v>
      </c>
    </row>
    <row r="1860" spans="1:5" x14ac:dyDescent="0.3">
      <c r="A1860">
        <v>98</v>
      </c>
      <c r="B1860">
        <v>712120</v>
      </c>
      <c r="C1860" t="s">
        <v>457</v>
      </c>
      <c r="D1860">
        <v>10485</v>
      </c>
      <c r="E1860">
        <v>1139</v>
      </c>
    </row>
    <row r="1861" spans="1:5" x14ac:dyDescent="0.3">
      <c r="A1861">
        <v>98</v>
      </c>
      <c r="B1861">
        <v>71213</v>
      </c>
      <c r="C1861" t="s">
        <v>457</v>
      </c>
      <c r="D1861">
        <v>35203</v>
      </c>
      <c r="E1861">
        <v>632</v>
      </c>
    </row>
    <row r="1862" spans="1:5" x14ac:dyDescent="0.3">
      <c r="A1862">
        <v>98</v>
      </c>
      <c r="B1862">
        <v>712130</v>
      </c>
      <c r="C1862" t="s">
        <v>457</v>
      </c>
      <c r="D1862">
        <v>35203</v>
      </c>
      <c r="E1862">
        <v>632</v>
      </c>
    </row>
    <row r="1863" spans="1:5" x14ac:dyDescent="0.3">
      <c r="A1863">
        <v>98</v>
      </c>
      <c r="B1863">
        <v>71219</v>
      </c>
      <c r="C1863" t="s">
        <v>457</v>
      </c>
      <c r="D1863">
        <v>7083</v>
      </c>
      <c r="E1863">
        <v>698</v>
      </c>
    </row>
    <row r="1864" spans="1:5" x14ac:dyDescent="0.3">
      <c r="A1864">
        <v>98</v>
      </c>
      <c r="B1864">
        <v>712190</v>
      </c>
      <c r="C1864" t="s">
        <v>457</v>
      </c>
      <c r="D1864">
        <v>7083</v>
      </c>
      <c r="E1864">
        <v>698</v>
      </c>
    </row>
    <row r="1865" spans="1:5" x14ac:dyDescent="0.3">
      <c r="A1865">
        <v>98</v>
      </c>
      <c r="B1865">
        <v>713</v>
      </c>
      <c r="C1865" t="s">
        <v>457</v>
      </c>
      <c r="D1865">
        <v>1601488</v>
      </c>
      <c r="E1865">
        <v>75777</v>
      </c>
    </row>
    <row r="1866" spans="1:5" x14ac:dyDescent="0.3">
      <c r="A1866">
        <v>98</v>
      </c>
      <c r="B1866">
        <v>7131</v>
      </c>
      <c r="C1866" t="s">
        <v>457</v>
      </c>
      <c r="D1866">
        <v>196907</v>
      </c>
      <c r="E1866">
        <v>3280</v>
      </c>
    </row>
    <row r="1867" spans="1:5" x14ac:dyDescent="0.3">
      <c r="A1867">
        <v>98</v>
      </c>
      <c r="B1867">
        <v>71311</v>
      </c>
      <c r="C1867" t="s">
        <v>457</v>
      </c>
      <c r="D1867">
        <v>155861</v>
      </c>
      <c r="E1867">
        <v>523</v>
      </c>
    </row>
    <row r="1868" spans="1:5" x14ac:dyDescent="0.3">
      <c r="A1868">
        <v>98</v>
      </c>
      <c r="B1868">
        <v>713110</v>
      </c>
      <c r="C1868" t="s">
        <v>457</v>
      </c>
      <c r="D1868">
        <v>155861</v>
      </c>
      <c r="E1868">
        <v>523</v>
      </c>
    </row>
    <row r="1869" spans="1:5" x14ac:dyDescent="0.3">
      <c r="A1869">
        <v>98</v>
      </c>
      <c r="B1869">
        <v>71312</v>
      </c>
      <c r="C1869" t="s">
        <v>457</v>
      </c>
      <c r="D1869">
        <v>41046</v>
      </c>
      <c r="E1869">
        <v>2757</v>
      </c>
    </row>
    <row r="1870" spans="1:5" x14ac:dyDescent="0.3">
      <c r="A1870">
        <v>98</v>
      </c>
      <c r="B1870">
        <v>713120</v>
      </c>
      <c r="C1870" t="s">
        <v>457</v>
      </c>
      <c r="D1870">
        <v>41046</v>
      </c>
      <c r="E1870">
        <v>2757</v>
      </c>
    </row>
    <row r="1871" spans="1:5" x14ac:dyDescent="0.3">
      <c r="A1871">
        <v>98</v>
      </c>
      <c r="B1871">
        <v>7132</v>
      </c>
      <c r="C1871" t="s">
        <v>457</v>
      </c>
      <c r="D1871">
        <v>152878</v>
      </c>
      <c r="E1871">
        <v>2828</v>
      </c>
    </row>
    <row r="1872" spans="1:5" x14ac:dyDescent="0.3">
      <c r="A1872">
        <v>98</v>
      </c>
      <c r="B1872">
        <v>71321</v>
      </c>
      <c r="C1872" t="s">
        <v>457</v>
      </c>
      <c r="D1872">
        <v>98987</v>
      </c>
      <c r="E1872">
        <v>338</v>
      </c>
    </row>
    <row r="1873" spans="1:5" x14ac:dyDescent="0.3">
      <c r="A1873">
        <v>98</v>
      </c>
      <c r="B1873">
        <v>713210</v>
      </c>
      <c r="C1873" t="s">
        <v>457</v>
      </c>
      <c r="D1873">
        <v>98987</v>
      </c>
      <c r="E1873">
        <v>338</v>
      </c>
    </row>
    <row r="1874" spans="1:5" x14ac:dyDescent="0.3">
      <c r="A1874">
        <v>98</v>
      </c>
      <c r="B1874">
        <v>71329</v>
      </c>
      <c r="C1874" t="s">
        <v>457</v>
      </c>
      <c r="D1874">
        <v>53891</v>
      </c>
      <c r="E1874">
        <v>2490</v>
      </c>
    </row>
    <row r="1875" spans="1:5" x14ac:dyDescent="0.3">
      <c r="A1875">
        <v>98</v>
      </c>
      <c r="B1875">
        <v>713290</v>
      </c>
      <c r="C1875" t="s">
        <v>457</v>
      </c>
      <c r="D1875">
        <v>53891</v>
      </c>
      <c r="E1875">
        <v>2490</v>
      </c>
    </row>
    <row r="1876" spans="1:5" x14ac:dyDescent="0.3">
      <c r="A1876">
        <v>98</v>
      </c>
      <c r="B1876">
        <v>7139</v>
      </c>
      <c r="C1876" t="s">
        <v>457</v>
      </c>
      <c r="D1876">
        <v>1251703</v>
      </c>
      <c r="E1876">
        <v>69669</v>
      </c>
    </row>
    <row r="1877" spans="1:5" x14ac:dyDescent="0.3">
      <c r="A1877">
        <v>98</v>
      </c>
      <c r="B1877">
        <v>71391</v>
      </c>
      <c r="C1877" t="s">
        <v>457</v>
      </c>
      <c r="D1877">
        <v>295231</v>
      </c>
      <c r="E1877">
        <v>11280</v>
      </c>
    </row>
    <row r="1878" spans="1:5" x14ac:dyDescent="0.3">
      <c r="A1878">
        <v>98</v>
      </c>
      <c r="B1878">
        <v>713910</v>
      </c>
      <c r="C1878" t="s">
        <v>457</v>
      </c>
      <c r="D1878">
        <v>295231</v>
      </c>
      <c r="E1878">
        <v>11280</v>
      </c>
    </row>
    <row r="1879" spans="1:5" x14ac:dyDescent="0.3">
      <c r="A1879">
        <v>98</v>
      </c>
      <c r="B1879">
        <v>71392</v>
      </c>
      <c r="C1879" t="s">
        <v>457</v>
      </c>
      <c r="D1879">
        <v>73248</v>
      </c>
      <c r="E1879">
        <v>373</v>
      </c>
    </row>
    <row r="1880" spans="1:5" x14ac:dyDescent="0.3">
      <c r="A1880">
        <v>98</v>
      </c>
      <c r="B1880">
        <v>713920</v>
      </c>
      <c r="C1880" t="s">
        <v>457</v>
      </c>
      <c r="D1880">
        <v>73248</v>
      </c>
      <c r="E1880">
        <v>373</v>
      </c>
    </row>
    <row r="1881" spans="1:5" x14ac:dyDescent="0.3">
      <c r="A1881">
        <v>98</v>
      </c>
      <c r="B1881">
        <v>71393</v>
      </c>
      <c r="C1881" t="s">
        <v>457</v>
      </c>
      <c r="D1881">
        <v>26999</v>
      </c>
      <c r="E1881">
        <v>3881</v>
      </c>
    </row>
    <row r="1882" spans="1:5" x14ac:dyDescent="0.3">
      <c r="A1882">
        <v>98</v>
      </c>
      <c r="B1882">
        <v>713930</v>
      </c>
      <c r="C1882" t="s">
        <v>457</v>
      </c>
      <c r="D1882">
        <v>26999</v>
      </c>
      <c r="E1882">
        <v>3881</v>
      </c>
    </row>
    <row r="1883" spans="1:5" x14ac:dyDescent="0.3">
      <c r="A1883">
        <v>98</v>
      </c>
      <c r="B1883">
        <v>71394</v>
      </c>
      <c r="C1883" t="s">
        <v>457</v>
      </c>
      <c r="D1883">
        <v>658848</v>
      </c>
      <c r="E1883">
        <v>32712</v>
      </c>
    </row>
    <row r="1884" spans="1:5" x14ac:dyDescent="0.3">
      <c r="A1884">
        <v>98</v>
      </c>
      <c r="B1884">
        <v>713940</v>
      </c>
      <c r="C1884" t="s">
        <v>457</v>
      </c>
      <c r="D1884">
        <v>658848</v>
      </c>
      <c r="E1884">
        <v>32712</v>
      </c>
    </row>
    <row r="1885" spans="1:5" x14ac:dyDescent="0.3">
      <c r="A1885">
        <v>98</v>
      </c>
      <c r="B1885">
        <v>71395</v>
      </c>
      <c r="C1885" t="s">
        <v>457</v>
      </c>
      <c r="D1885">
        <v>69158</v>
      </c>
      <c r="E1885">
        <v>3820</v>
      </c>
    </row>
    <row r="1886" spans="1:5" x14ac:dyDescent="0.3">
      <c r="A1886">
        <v>98</v>
      </c>
      <c r="B1886">
        <v>713950</v>
      </c>
      <c r="C1886" t="s">
        <v>457</v>
      </c>
      <c r="D1886">
        <v>69158</v>
      </c>
      <c r="E1886">
        <v>3820</v>
      </c>
    </row>
    <row r="1887" spans="1:5" x14ac:dyDescent="0.3">
      <c r="A1887">
        <v>98</v>
      </c>
      <c r="B1887">
        <v>71399</v>
      </c>
      <c r="C1887" t="s">
        <v>457</v>
      </c>
      <c r="D1887">
        <v>128219</v>
      </c>
      <c r="E1887">
        <v>17603</v>
      </c>
    </row>
    <row r="1888" spans="1:5" x14ac:dyDescent="0.3">
      <c r="A1888">
        <v>98</v>
      </c>
      <c r="B1888">
        <v>713990</v>
      </c>
      <c r="C1888" t="s">
        <v>457</v>
      </c>
      <c r="D1888">
        <v>128219</v>
      </c>
      <c r="E1888">
        <v>17603</v>
      </c>
    </row>
    <row r="1889" spans="1:5" x14ac:dyDescent="0.3">
      <c r="A1889">
        <v>98</v>
      </c>
      <c r="B1889" t="s">
        <v>192</v>
      </c>
      <c r="C1889" t="s">
        <v>457</v>
      </c>
      <c r="D1889">
        <v>13196892</v>
      </c>
      <c r="E1889">
        <v>687619</v>
      </c>
    </row>
    <row r="1890" spans="1:5" x14ac:dyDescent="0.3">
      <c r="A1890">
        <v>98</v>
      </c>
      <c r="B1890">
        <v>721</v>
      </c>
      <c r="C1890" t="s">
        <v>457</v>
      </c>
      <c r="D1890">
        <v>2032041</v>
      </c>
      <c r="E1890">
        <v>66002</v>
      </c>
    </row>
    <row r="1891" spans="1:5" x14ac:dyDescent="0.3">
      <c r="A1891">
        <v>98</v>
      </c>
      <c r="B1891">
        <v>7211</v>
      </c>
      <c r="C1891" t="s">
        <v>457</v>
      </c>
      <c r="D1891">
        <v>1977054</v>
      </c>
      <c r="E1891">
        <v>56557</v>
      </c>
    </row>
    <row r="1892" spans="1:5" x14ac:dyDescent="0.3">
      <c r="A1892">
        <v>98</v>
      </c>
      <c r="B1892">
        <v>72111</v>
      </c>
      <c r="C1892" t="s">
        <v>457</v>
      </c>
      <c r="D1892">
        <v>1540011</v>
      </c>
      <c r="E1892">
        <v>51697</v>
      </c>
    </row>
    <row r="1893" spans="1:5" x14ac:dyDescent="0.3">
      <c r="A1893">
        <v>98</v>
      </c>
      <c r="B1893">
        <v>721110</v>
      </c>
      <c r="C1893" t="s">
        <v>457</v>
      </c>
      <c r="D1893">
        <v>1540011</v>
      </c>
      <c r="E1893">
        <v>51697</v>
      </c>
    </row>
    <row r="1894" spans="1:5" x14ac:dyDescent="0.3">
      <c r="A1894">
        <v>98</v>
      </c>
      <c r="B1894">
        <v>72112</v>
      </c>
      <c r="C1894" t="s">
        <v>457</v>
      </c>
      <c r="D1894">
        <v>414136</v>
      </c>
      <c r="E1894">
        <v>396</v>
      </c>
    </row>
    <row r="1895" spans="1:5" x14ac:dyDescent="0.3">
      <c r="A1895">
        <v>98</v>
      </c>
      <c r="B1895">
        <v>721120</v>
      </c>
      <c r="C1895" t="s">
        <v>457</v>
      </c>
      <c r="D1895">
        <v>414136</v>
      </c>
      <c r="E1895">
        <v>396</v>
      </c>
    </row>
    <row r="1896" spans="1:5" x14ac:dyDescent="0.3">
      <c r="A1896">
        <v>98</v>
      </c>
      <c r="B1896">
        <v>72119</v>
      </c>
      <c r="C1896" t="s">
        <v>457</v>
      </c>
      <c r="D1896">
        <v>22907</v>
      </c>
      <c r="E1896">
        <v>4464</v>
      </c>
    </row>
    <row r="1897" spans="1:5" x14ac:dyDescent="0.3">
      <c r="A1897">
        <v>98</v>
      </c>
      <c r="B1897">
        <v>721191</v>
      </c>
      <c r="C1897" t="s">
        <v>457</v>
      </c>
      <c r="D1897">
        <v>14963</v>
      </c>
      <c r="E1897">
        <v>2971</v>
      </c>
    </row>
    <row r="1898" spans="1:5" x14ac:dyDescent="0.3">
      <c r="A1898">
        <v>98</v>
      </c>
      <c r="B1898">
        <v>721199</v>
      </c>
      <c r="C1898" t="s">
        <v>457</v>
      </c>
      <c r="D1898">
        <v>7944</v>
      </c>
      <c r="E1898">
        <v>1493</v>
      </c>
    </row>
    <row r="1899" spans="1:5" x14ac:dyDescent="0.3">
      <c r="A1899">
        <v>98</v>
      </c>
      <c r="B1899">
        <v>7212</v>
      </c>
      <c r="C1899" t="s">
        <v>457</v>
      </c>
      <c r="D1899">
        <v>43403</v>
      </c>
      <c r="E1899">
        <v>7366</v>
      </c>
    </row>
    <row r="1900" spans="1:5" x14ac:dyDescent="0.3">
      <c r="A1900">
        <v>98</v>
      </c>
      <c r="B1900">
        <v>72121</v>
      </c>
      <c r="C1900" t="s">
        <v>457</v>
      </c>
      <c r="D1900">
        <v>43403</v>
      </c>
      <c r="E1900">
        <v>7366</v>
      </c>
    </row>
    <row r="1901" spans="1:5" x14ac:dyDescent="0.3">
      <c r="A1901">
        <v>98</v>
      </c>
      <c r="B1901">
        <v>721211</v>
      </c>
      <c r="C1901" t="s">
        <v>457</v>
      </c>
      <c r="D1901">
        <v>20227</v>
      </c>
      <c r="E1901">
        <v>4349</v>
      </c>
    </row>
    <row r="1902" spans="1:5" x14ac:dyDescent="0.3">
      <c r="A1902">
        <v>98</v>
      </c>
      <c r="B1902">
        <v>721214</v>
      </c>
      <c r="C1902" t="s">
        <v>457</v>
      </c>
      <c r="D1902">
        <v>23176</v>
      </c>
      <c r="E1902">
        <v>3017</v>
      </c>
    </row>
    <row r="1903" spans="1:5" x14ac:dyDescent="0.3">
      <c r="A1903">
        <v>98</v>
      </c>
      <c r="B1903">
        <v>7213</v>
      </c>
      <c r="C1903" t="s">
        <v>457</v>
      </c>
      <c r="D1903">
        <v>11584</v>
      </c>
      <c r="E1903">
        <v>2079</v>
      </c>
    </row>
    <row r="1904" spans="1:5" x14ac:dyDescent="0.3">
      <c r="A1904">
        <v>98</v>
      </c>
      <c r="B1904">
        <v>72131</v>
      </c>
      <c r="C1904" t="s">
        <v>457</v>
      </c>
      <c r="D1904">
        <v>11584</v>
      </c>
      <c r="E1904">
        <v>2079</v>
      </c>
    </row>
    <row r="1905" spans="1:5" x14ac:dyDescent="0.3">
      <c r="A1905">
        <v>98</v>
      </c>
      <c r="B1905">
        <v>721310</v>
      </c>
      <c r="C1905" t="s">
        <v>457</v>
      </c>
      <c r="D1905">
        <v>11584</v>
      </c>
      <c r="E1905">
        <v>2079</v>
      </c>
    </row>
    <row r="1906" spans="1:5" x14ac:dyDescent="0.3">
      <c r="A1906">
        <v>98</v>
      </c>
      <c r="B1906">
        <v>722</v>
      </c>
      <c r="C1906" t="s">
        <v>457</v>
      </c>
      <c r="D1906">
        <v>11164851</v>
      </c>
      <c r="E1906">
        <v>621617</v>
      </c>
    </row>
    <row r="1907" spans="1:5" x14ac:dyDescent="0.3">
      <c r="A1907">
        <v>98</v>
      </c>
      <c r="B1907">
        <v>7223</v>
      </c>
      <c r="C1907" t="s">
        <v>457</v>
      </c>
      <c r="D1907">
        <v>716292</v>
      </c>
      <c r="E1907">
        <v>38904</v>
      </c>
    </row>
    <row r="1908" spans="1:5" x14ac:dyDescent="0.3">
      <c r="A1908">
        <v>98</v>
      </c>
      <c r="B1908">
        <v>72231</v>
      </c>
      <c r="C1908" t="s">
        <v>457</v>
      </c>
      <c r="D1908">
        <v>559761</v>
      </c>
      <c r="E1908">
        <v>22694</v>
      </c>
    </row>
    <row r="1909" spans="1:5" x14ac:dyDescent="0.3">
      <c r="A1909">
        <v>98</v>
      </c>
      <c r="B1909">
        <v>722310</v>
      </c>
      <c r="C1909" t="s">
        <v>457</v>
      </c>
      <c r="D1909">
        <v>559761</v>
      </c>
      <c r="E1909">
        <v>22694</v>
      </c>
    </row>
    <row r="1910" spans="1:5" x14ac:dyDescent="0.3">
      <c r="A1910">
        <v>98</v>
      </c>
      <c r="B1910">
        <v>72232</v>
      </c>
      <c r="C1910" t="s">
        <v>457</v>
      </c>
      <c r="D1910">
        <v>143081</v>
      </c>
      <c r="E1910">
        <v>11583</v>
      </c>
    </row>
    <row r="1911" spans="1:5" x14ac:dyDescent="0.3">
      <c r="A1911">
        <v>98</v>
      </c>
      <c r="B1911">
        <v>722320</v>
      </c>
      <c r="C1911" t="s">
        <v>457</v>
      </c>
      <c r="D1911">
        <v>143081</v>
      </c>
      <c r="E1911">
        <v>11583</v>
      </c>
    </row>
    <row r="1912" spans="1:5" x14ac:dyDescent="0.3">
      <c r="A1912">
        <v>98</v>
      </c>
      <c r="B1912">
        <v>72233</v>
      </c>
      <c r="C1912" t="s">
        <v>457</v>
      </c>
      <c r="D1912">
        <v>13450</v>
      </c>
      <c r="E1912">
        <v>4627</v>
      </c>
    </row>
    <row r="1913" spans="1:5" x14ac:dyDescent="0.3">
      <c r="A1913">
        <v>98</v>
      </c>
      <c r="B1913">
        <v>722330</v>
      </c>
      <c r="C1913" t="s">
        <v>457</v>
      </c>
      <c r="D1913">
        <v>13450</v>
      </c>
      <c r="E1913">
        <v>4627</v>
      </c>
    </row>
    <row r="1914" spans="1:5" x14ac:dyDescent="0.3">
      <c r="A1914">
        <v>98</v>
      </c>
      <c r="B1914">
        <v>7224</v>
      </c>
      <c r="C1914" t="s">
        <v>457</v>
      </c>
      <c r="D1914">
        <v>367565</v>
      </c>
      <c r="E1914">
        <v>40684</v>
      </c>
    </row>
    <row r="1915" spans="1:5" x14ac:dyDescent="0.3">
      <c r="A1915">
        <v>98</v>
      </c>
      <c r="B1915">
        <v>72241</v>
      </c>
      <c r="C1915" t="s">
        <v>457</v>
      </c>
      <c r="D1915">
        <v>367565</v>
      </c>
      <c r="E1915">
        <v>40684</v>
      </c>
    </row>
    <row r="1916" spans="1:5" x14ac:dyDescent="0.3">
      <c r="A1916">
        <v>98</v>
      </c>
      <c r="B1916">
        <v>722410</v>
      </c>
      <c r="C1916" t="s">
        <v>457</v>
      </c>
      <c r="D1916">
        <v>367565</v>
      </c>
      <c r="E1916">
        <v>40684</v>
      </c>
    </row>
    <row r="1917" spans="1:5" x14ac:dyDescent="0.3">
      <c r="A1917">
        <v>98</v>
      </c>
      <c r="B1917">
        <v>7225</v>
      </c>
      <c r="C1917" t="s">
        <v>457</v>
      </c>
      <c r="D1917">
        <v>10080994</v>
      </c>
      <c r="E1917">
        <v>542029</v>
      </c>
    </row>
    <row r="1918" spans="1:5" x14ac:dyDescent="0.3">
      <c r="A1918">
        <v>98</v>
      </c>
      <c r="B1918">
        <v>72251</v>
      </c>
      <c r="C1918" t="s">
        <v>457</v>
      </c>
      <c r="D1918">
        <v>10080994</v>
      </c>
      <c r="E1918">
        <v>542029</v>
      </c>
    </row>
    <row r="1919" spans="1:5" x14ac:dyDescent="0.3">
      <c r="A1919">
        <v>98</v>
      </c>
      <c r="B1919">
        <v>722511</v>
      </c>
      <c r="C1919" t="s">
        <v>457</v>
      </c>
      <c r="D1919">
        <v>5253936</v>
      </c>
      <c r="E1919">
        <v>243100</v>
      </c>
    </row>
    <row r="1920" spans="1:5" x14ac:dyDescent="0.3">
      <c r="A1920">
        <v>98</v>
      </c>
      <c r="B1920">
        <v>722513</v>
      </c>
      <c r="C1920" t="s">
        <v>457</v>
      </c>
      <c r="D1920">
        <v>4043157</v>
      </c>
      <c r="E1920">
        <v>233392</v>
      </c>
    </row>
    <row r="1921" spans="1:5" x14ac:dyDescent="0.3">
      <c r="A1921">
        <v>98</v>
      </c>
      <c r="B1921">
        <v>722514</v>
      </c>
      <c r="C1921" t="s">
        <v>457</v>
      </c>
      <c r="D1921">
        <v>123146</v>
      </c>
      <c r="E1921">
        <v>5988</v>
      </c>
    </row>
    <row r="1922" spans="1:5" x14ac:dyDescent="0.3">
      <c r="A1922">
        <v>98</v>
      </c>
      <c r="B1922">
        <v>722515</v>
      </c>
      <c r="C1922" t="s">
        <v>457</v>
      </c>
      <c r="D1922">
        <v>660755</v>
      </c>
      <c r="E1922">
        <v>59549</v>
      </c>
    </row>
    <row r="1923" spans="1:5" x14ac:dyDescent="0.3">
      <c r="A1923">
        <v>98</v>
      </c>
      <c r="B1923" t="s">
        <v>193</v>
      </c>
      <c r="C1923" t="s">
        <v>457</v>
      </c>
      <c r="D1923">
        <v>5401233</v>
      </c>
      <c r="E1923">
        <v>746046</v>
      </c>
    </row>
    <row r="1924" spans="1:5" x14ac:dyDescent="0.3">
      <c r="A1924">
        <v>98</v>
      </c>
      <c r="B1924">
        <v>811</v>
      </c>
      <c r="C1924" t="s">
        <v>457</v>
      </c>
      <c r="D1924">
        <v>1244684</v>
      </c>
      <c r="E1924">
        <v>213496</v>
      </c>
    </row>
    <row r="1925" spans="1:5" x14ac:dyDescent="0.3">
      <c r="A1925">
        <v>98</v>
      </c>
      <c r="B1925">
        <v>8111</v>
      </c>
      <c r="C1925" t="s">
        <v>457</v>
      </c>
      <c r="D1925">
        <v>865133</v>
      </c>
      <c r="E1925">
        <v>158849</v>
      </c>
    </row>
    <row r="1926" spans="1:5" x14ac:dyDescent="0.3">
      <c r="A1926">
        <v>98</v>
      </c>
      <c r="B1926">
        <v>81111</v>
      </c>
      <c r="C1926" t="s">
        <v>457</v>
      </c>
      <c r="D1926">
        <v>382131</v>
      </c>
      <c r="E1926">
        <v>90673</v>
      </c>
    </row>
    <row r="1927" spans="1:5" x14ac:dyDescent="0.3">
      <c r="A1927">
        <v>98</v>
      </c>
      <c r="B1927">
        <v>811111</v>
      </c>
      <c r="C1927" t="s">
        <v>457</v>
      </c>
      <c r="D1927">
        <v>341405</v>
      </c>
      <c r="E1927">
        <v>80243</v>
      </c>
    </row>
    <row r="1928" spans="1:5" x14ac:dyDescent="0.3">
      <c r="A1928">
        <v>98</v>
      </c>
      <c r="B1928">
        <v>811112</v>
      </c>
      <c r="C1928" t="s">
        <v>457</v>
      </c>
      <c r="D1928">
        <v>6331</v>
      </c>
      <c r="E1928">
        <v>1907</v>
      </c>
    </row>
    <row r="1929" spans="1:5" x14ac:dyDescent="0.3">
      <c r="A1929">
        <v>98</v>
      </c>
      <c r="B1929">
        <v>811113</v>
      </c>
      <c r="C1929" t="s">
        <v>457</v>
      </c>
      <c r="D1929">
        <v>17848</v>
      </c>
      <c r="E1929">
        <v>4684</v>
      </c>
    </row>
    <row r="1930" spans="1:5" x14ac:dyDescent="0.3">
      <c r="A1930">
        <v>98</v>
      </c>
      <c r="B1930">
        <v>811118</v>
      </c>
      <c r="C1930" t="s">
        <v>457</v>
      </c>
      <c r="D1930">
        <v>16547</v>
      </c>
      <c r="E1930">
        <v>3839</v>
      </c>
    </row>
    <row r="1931" spans="1:5" x14ac:dyDescent="0.3">
      <c r="A1931">
        <v>98</v>
      </c>
      <c r="B1931">
        <v>81112</v>
      </c>
      <c r="C1931" t="s">
        <v>457</v>
      </c>
      <c r="D1931">
        <v>247570</v>
      </c>
      <c r="E1931">
        <v>39754</v>
      </c>
    </row>
    <row r="1932" spans="1:5" x14ac:dyDescent="0.3">
      <c r="A1932">
        <v>98</v>
      </c>
      <c r="B1932">
        <v>811121</v>
      </c>
      <c r="C1932" t="s">
        <v>457</v>
      </c>
      <c r="D1932">
        <v>219558</v>
      </c>
      <c r="E1932">
        <v>33648</v>
      </c>
    </row>
    <row r="1933" spans="1:5" x14ac:dyDescent="0.3">
      <c r="A1933">
        <v>98</v>
      </c>
      <c r="B1933">
        <v>811122</v>
      </c>
      <c r="C1933" t="s">
        <v>457</v>
      </c>
      <c r="D1933">
        <v>28012</v>
      </c>
      <c r="E1933">
        <v>6106</v>
      </c>
    </row>
    <row r="1934" spans="1:5" x14ac:dyDescent="0.3">
      <c r="A1934">
        <v>98</v>
      </c>
      <c r="B1934">
        <v>81119</v>
      </c>
      <c r="C1934" t="s">
        <v>457</v>
      </c>
      <c r="D1934">
        <v>235432</v>
      </c>
      <c r="E1934">
        <v>28422</v>
      </c>
    </row>
    <row r="1935" spans="1:5" x14ac:dyDescent="0.3">
      <c r="A1935">
        <v>98</v>
      </c>
      <c r="B1935">
        <v>811191</v>
      </c>
      <c r="C1935" t="s">
        <v>457</v>
      </c>
      <c r="D1935">
        <v>63308</v>
      </c>
      <c r="E1935">
        <v>8380</v>
      </c>
    </row>
    <row r="1936" spans="1:5" x14ac:dyDescent="0.3">
      <c r="A1936">
        <v>98</v>
      </c>
      <c r="B1936">
        <v>811192</v>
      </c>
      <c r="C1936" t="s">
        <v>457</v>
      </c>
      <c r="D1936">
        <v>153970</v>
      </c>
      <c r="E1936">
        <v>15902</v>
      </c>
    </row>
    <row r="1937" spans="1:5" x14ac:dyDescent="0.3">
      <c r="A1937">
        <v>98</v>
      </c>
      <c r="B1937">
        <v>811198</v>
      </c>
      <c r="C1937" t="s">
        <v>457</v>
      </c>
      <c r="D1937">
        <v>18154</v>
      </c>
      <c r="E1937">
        <v>4140</v>
      </c>
    </row>
    <row r="1938" spans="1:5" x14ac:dyDescent="0.3">
      <c r="A1938">
        <v>98</v>
      </c>
      <c r="B1938">
        <v>8112</v>
      </c>
      <c r="C1938" t="s">
        <v>457</v>
      </c>
      <c r="D1938">
        <v>99624</v>
      </c>
      <c r="E1938">
        <v>12083</v>
      </c>
    </row>
    <row r="1939" spans="1:5" x14ac:dyDescent="0.3">
      <c r="A1939">
        <v>98</v>
      </c>
      <c r="B1939">
        <v>81121</v>
      </c>
      <c r="C1939" t="s">
        <v>457</v>
      </c>
      <c r="D1939">
        <v>99624</v>
      </c>
      <c r="E1939">
        <v>12083</v>
      </c>
    </row>
    <row r="1940" spans="1:5" x14ac:dyDescent="0.3">
      <c r="A1940">
        <v>98</v>
      </c>
      <c r="B1940">
        <v>811211</v>
      </c>
      <c r="C1940" t="s">
        <v>457</v>
      </c>
      <c r="D1940">
        <v>11558</v>
      </c>
      <c r="E1940">
        <v>1814</v>
      </c>
    </row>
    <row r="1941" spans="1:5" x14ac:dyDescent="0.3">
      <c r="A1941">
        <v>98</v>
      </c>
      <c r="B1941">
        <v>811212</v>
      </c>
      <c r="C1941" t="s">
        <v>457</v>
      </c>
      <c r="D1941">
        <v>35737</v>
      </c>
      <c r="E1941">
        <v>5195</v>
      </c>
    </row>
    <row r="1942" spans="1:5" x14ac:dyDescent="0.3">
      <c r="A1942">
        <v>98</v>
      </c>
      <c r="B1942">
        <v>811213</v>
      </c>
      <c r="C1942" t="s">
        <v>457</v>
      </c>
      <c r="D1942">
        <v>14102</v>
      </c>
      <c r="E1942">
        <v>1604</v>
      </c>
    </row>
    <row r="1943" spans="1:5" x14ac:dyDescent="0.3">
      <c r="A1943">
        <v>98</v>
      </c>
      <c r="B1943">
        <v>811219</v>
      </c>
      <c r="C1943" t="s">
        <v>457</v>
      </c>
      <c r="D1943">
        <v>38227</v>
      </c>
      <c r="E1943">
        <v>3470</v>
      </c>
    </row>
    <row r="1944" spans="1:5" x14ac:dyDescent="0.3">
      <c r="A1944">
        <v>98</v>
      </c>
      <c r="B1944">
        <v>8113</v>
      </c>
      <c r="C1944" t="s">
        <v>457</v>
      </c>
      <c r="D1944">
        <v>210000</v>
      </c>
      <c r="E1944">
        <v>21721</v>
      </c>
    </row>
    <row r="1945" spans="1:5" x14ac:dyDescent="0.3">
      <c r="A1945">
        <v>98</v>
      </c>
      <c r="B1945">
        <v>81131</v>
      </c>
      <c r="C1945" t="s">
        <v>457</v>
      </c>
      <c r="D1945">
        <v>210000</v>
      </c>
      <c r="E1945">
        <v>21721</v>
      </c>
    </row>
    <row r="1946" spans="1:5" x14ac:dyDescent="0.3">
      <c r="A1946">
        <v>98</v>
      </c>
      <c r="B1946">
        <v>811310</v>
      </c>
      <c r="C1946" t="s">
        <v>457</v>
      </c>
      <c r="D1946">
        <v>210000</v>
      </c>
      <c r="E1946">
        <v>21721</v>
      </c>
    </row>
    <row r="1947" spans="1:5" x14ac:dyDescent="0.3">
      <c r="A1947">
        <v>98</v>
      </c>
      <c r="B1947">
        <v>8114</v>
      </c>
      <c r="C1947" t="s">
        <v>457</v>
      </c>
      <c r="D1947">
        <v>69927</v>
      </c>
      <c r="E1947">
        <v>20843</v>
      </c>
    </row>
    <row r="1948" spans="1:5" x14ac:dyDescent="0.3">
      <c r="A1948">
        <v>98</v>
      </c>
      <c r="B1948">
        <v>81141</v>
      </c>
      <c r="C1948" t="s">
        <v>457</v>
      </c>
      <c r="D1948">
        <v>22088</v>
      </c>
      <c r="E1948">
        <v>6170</v>
      </c>
    </row>
    <row r="1949" spans="1:5" x14ac:dyDescent="0.3">
      <c r="A1949">
        <v>98</v>
      </c>
      <c r="B1949">
        <v>811411</v>
      </c>
      <c r="C1949" t="s">
        <v>457</v>
      </c>
      <c r="D1949">
        <v>4359</v>
      </c>
      <c r="E1949">
        <v>1735</v>
      </c>
    </row>
    <row r="1950" spans="1:5" x14ac:dyDescent="0.3">
      <c r="A1950">
        <v>98</v>
      </c>
      <c r="B1950">
        <v>811412</v>
      </c>
      <c r="C1950" t="s">
        <v>457</v>
      </c>
      <c r="D1950">
        <v>17729</v>
      </c>
      <c r="E1950">
        <v>4435</v>
      </c>
    </row>
    <row r="1951" spans="1:5" x14ac:dyDescent="0.3">
      <c r="A1951">
        <v>98</v>
      </c>
      <c r="B1951">
        <v>81142</v>
      </c>
      <c r="C1951" t="s">
        <v>457</v>
      </c>
      <c r="D1951">
        <v>13110</v>
      </c>
      <c r="E1951">
        <v>3720</v>
      </c>
    </row>
    <row r="1952" spans="1:5" x14ac:dyDescent="0.3">
      <c r="A1952">
        <v>98</v>
      </c>
      <c r="B1952">
        <v>811420</v>
      </c>
      <c r="C1952" t="s">
        <v>457</v>
      </c>
      <c r="D1952">
        <v>13110</v>
      </c>
      <c r="E1952">
        <v>3720</v>
      </c>
    </row>
    <row r="1953" spans="1:5" x14ac:dyDescent="0.3">
      <c r="A1953">
        <v>98</v>
      </c>
      <c r="B1953">
        <v>81143</v>
      </c>
      <c r="C1953" t="s">
        <v>457</v>
      </c>
      <c r="D1953">
        <v>2693</v>
      </c>
      <c r="E1953">
        <v>1010</v>
      </c>
    </row>
    <row r="1954" spans="1:5" x14ac:dyDescent="0.3">
      <c r="A1954">
        <v>98</v>
      </c>
      <c r="B1954">
        <v>811430</v>
      </c>
      <c r="C1954" t="s">
        <v>457</v>
      </c>
      <c r="D1954">
        <v>2693</v>
      </c>
      <c r="E1954">
        <v>1010</v>
      </c>
    </row>
    <row r="1955" spans="1:5" x14ac:dyDescent="0.3">
      <c r="A1955">
        <v>98</v>
      </c>
      <c r="B1955">
        <v>81149</v>
      </c>
      <c r="C1955" t="s">
        <v>457</v>
      </c>
      <c r="D1955">
        <v>32036</v>
      </c>
      <c r="E1955">
        <v>9943</v>
      </c>
    </row>
    <row r="1956" spans="1:5" x14ac:dyDescent="0.3">
      <c r="A1956">
        <v>98</v>
      </c>
      <c r="B1956">
        <v>811490</v>
      </c>
      <c r="C1956" t="s">
        <v>457</v>
      </c>
      <c r="D1956">
        <v>32036</v>
      </c>
      <c r="E1956">
        <v>9943</v>
      </c>
    </row>
    <row r="1957" spans="1:5" x14ac:dyDescent="0.3">
      <c r="A1957">
        <v>98</v>
      </c>
      <c r="B1957">
        <v>812</v>
      </c>
      <c r="C1957" t="s">
        <v>457</v>
      </c>
      <c r="D1957">
        <v>1398136</v>
      </c>
      <c r="E1957">
        <v>225574</v>
      </c>
    </row>
    <row r="1958" spans="1:5" x14ac:dyDescent="0.3">
      <c r="A1958">
        <v>98</v>
      </c>
      <c r="B1958">
        <v>8121</v>
      </c>
      <c r="C1958" t="s">
        <v>457</v>
      </c>
      <c r="D1958">
        <v>669876</v>
      </c>
      <c r="E1958">
        <v>125883</v>
      </c>
    </row>
    <row r="1959" spans="1:5" x14ac:dyDescent="0.3">
      <c r="A1959">
        <v>98</v>
      </c>
      <c r="B1959">
        <v>81211</v>
      </c>
      <c r="C1959" t="s">
        <v>457</v>
      </c>
      <c r="D1959">
        <v>522164</v>
      </c>
      <c r="E1959">
        <v>103173</v>
      </c>
    </row>
    <row r="1960" spans="1:5" x14ac:dyDescent="0.3">
      <c r="A1960">
        <v>98</v>
      </c>
      <c r="B1960">
        <v>812111</v>
      </c>
      <c r="C1960" t="s">
        <v>457</v>
      </c>
      <c r="D1960">
        <v>16644</v>
      </c>
      <c r="E1960">
        <v>4389</v>
      </c>
    </row>
    <row r="1961" spans="1:5" x14ac:dyDescent="0.3">
      <c r="A1961">
        <v>98</v>
      </c>
      <c r="B1961">
        <v>812112</v>
      </c>
      <c r="C1961" t="s">
        <v>457</v>
      </c>
      <c r="D1961">
        <v>430844</v>
      </c>
      <c r="E1961">
        <v>76467</v>
      </c>
    </row>
    <row r="1962" spans="1:5" x14ac:dyDescent="0.3">
      <c r="A1962">
        <v>98</v>
      </c>
      <c r="B1962">
        <v>812113</v>
      </c>
      <c r="C1962" t="s">
        <v>457</v>
      </c>
      <c r="D1962">
        <v>74676</v>
      </c>
      <c r="E1962">
        <v>22317</v>
      </c>
    </row>
    <row r="1963" spans="1:5" x14ac:dyDescent="0.3">
      <c r="A1963">
        <v>98</v>
      </c>
      <c r="B1963">
        <v>81219</v>
      </c>
      <c r="C1963" t="s">
        <v>457</v>
      </c>
      <c r="D1963">
        <v>147712</v>
      </c>
      <c r="E1963">
        <v>22710</v>
      </c>
    </row>
    <row r="1964" spans="1:5" x14ac:dyDescent="0.3">
      <c r="A1964">
        <v>98</v>
      </c>
      <c r="B1964">
        <v>812191</v>
      </c>
      <c r="C1964" t="s">
        <v>457</v>
      </c>
      <c r="D1964">
        <v>24806</v>
      </c>
      <c r="E1964">
        <v>3001</v>
      </c>
    </row>
    <row r="1965" spans="1:5" x14ac:dyDescent="0.3">
      <c r="A1965">
        <v>98</v>
      </c>
      <c r="B1965">
        <v>812199</v>
      </c>
      <c r="C1965" t="s">
        <v>457</v>
      </c>
      <c r="D1965">
        <v>122906</v>
      </c>
      <c r="E1965">
        <v>19709</v>
      </c>
    </row>
    <row r="1966" spans="1:5" x14ac:dyDescent="0.3">
      <c r="A1966">
        <v>98</v>
      </c>
      <c r="B1966">
        <v>8122</v>
      </c>
      <c r="C1966" t="s">
        <v>457</v>
      </c>
      <c r="D1966">
        <v>139291</v>
      </c>
      <c r="E1966">
        <v>20807</v>
      </c>
    </row>
    <row r="1967" spans="1:5" x14ac:dyDescent="0.3">
      <c r="A1967">
        <v>98</v>
      </c>
      <c r="B1967">
        <v>81221</v>
      </c>
      <c r="C1967" t="s">
        <v>457</v>
      </c>
      <c r="D1967">
        <v>105855</v>
      </c>
      <c r="E1967">
        <v>15606</v>
      </c>
    </row>
    <row r="1968" spans="1:5" x14ac:dyDescent="0.3">
      <c r="A1968">
        <v>98</v>
      </c>
      <c r="B1968">
        <v>812210</v>
      </c>
      <c r="C1968" t="s">
        <v>457</v>
      </c>
      <c r="D1968">
        <v>105855</v>
      </c>
      <c r="E1968">
        <v>15606</v>
      </c>
    </row>
    <row r="1969" spans="1:5" x14ac:dyDescent="0.3">
      <c r="A1969">
        <v>98</v>
      </c>
      <c r="B1969">
        <v>81222</v>
      </c>
      <c r="C1969" t="s">
        <v>457</v>
      </c>
      <c r="D1969">
        <v>33436</v>
      </c>
      <c r="E1969">
        <v>5201</v>
      </c>
    </row>
    <row r="1970" spans="1:5" x14ac:dyDescent="0.3">
      <c r="A1970">
        <v>98</v>
      </c>
      <c r="B1970">
        <v>812220</v>
      </c>
      <c r="C1970" t="s">
        <v>457</v>
      </c>
      <c r="D1970">
        <v>33436</v>
      </c>
      <c r="E1970">
        <v>5201</v>
      </c>
    </row>
    <row r="1971" spans="1:5" x14ac:dyDescent="0.3">
      <c r="A1971">
        <v>98</v>
      </c>
      <c r="B1971">
        <v>8123</v>
      </c>
      <c r="C1971" t="s">
        <v>457</v>
      </c>
      <c r="D1971">
        <v>294707</v>
      </c>
      <c r="E1971">
        <v>34650</v>
      </c>
    </row>
    <row r="1972" spans="1:5" x14ac:dyDescent="0.3">
      <c r="A1972">
        <v>98</v>
      </c>
      <c r="B1972">
        <v>81231</v>
      </c>
      <c r="C1972" t="s">
        <v>457</v>
      </c>
      <c r="D1972">
        <v>40080</v>
      </c>
      <c r="E1972">
        <v>10827</v>
      </c>
    </row>
    <row r="1973" spans="1:5" x14ac:dyDescent="0.3">
      <c r="A1973">
        <v>98</v>
      </c>
      <c r="B1973">
        <v>812310</v>
      </c>
      <c r="C1973" t="s">
        <v>457</v>
      </c>
      <c r="D1973">
        <v>40080</v>
      </c>
      <c r="E1973">
        <v>10827</v>
      </c>
    </row>
    <row r="1974" spans="1:5" x14ac:dyDescent="0.3">
      <c r="A1974">
        <v>98</v>
      </c>
      <c r="B1974">
        <v>81232</v>
      </c>
      <c r="C1974" t="s">
        <v>457</v>
      </c>
      <c r="D1974">
        <v>135491</v>
      </c>
      <c r="E1974">
        <v>21370</v>
      </c>
    </row>
    <row r="1975" spans="1:5" x14ac:dyDescent="0.3">
      <c r="A1975">
        <v>98</v>
      </c>
      <c r="B1975">
        <v>812320</v>
      </c>
      <c r="C1975" t="s">
        <v>457</v>
      </c>
      <c r="D1975">
        <v>135491</v>
      </c>
      <c r="E1975">
        <v>21370</v>
      </c>
    </row>
    <row r="1976" spans="1:5" x14ac:dyDescent="0.3">
      <c r="A1976">
        <v>98</v>
      </c>
      <c r="B1976">
        <v>81233</v>
      </c>
      <c r="C1976" t="s">
        <v>457</v>
      </c>
      <c r="D1976">
        <v>119136</v>
      </c>
      <c r="E1976">
        <v>2453</v>
      </c>
    </row>
    <row r="1977" spans="1:5" x14ac:dyDescent="0.3">
      <c r="A1977">
        <v>98</v>
      </c>
      <c r="B1977">
        <v>812331</v>
      </c>
      <c r="C1977" t="s">
        <v>457</v>
      </c>
      <c r="D1977">
        <v>56027</v>
      </c>
      <c r="E1977">
        <v>1053</v>
      </c>
    </row>
    <row r="1978" spans="1:5" x14ac:dyDescent="0.3">
      <c r="A1978">
        <v>98</v>
      </c>
      <c r="B1978">
        <v>812332</v>
      </c>
      <c r="C1978" t="s">
        <v>457</v>
      </c>
      <c r="D1978">
        <v>63109</v>
      </c>
      <c r="E1978">
        <v>1400</v>
      </c>
    </row>
    <row r="1979" spans="1:5" x14ac:dyDescent="0.3">
      <c r="A1979">
        <v>98</v>
      </c>
      <c r="B1979">
        <v>8129</v>
      </c>
      <c r="C1979" t="s">
        <v>457</v>
      </c>
      <c r="D1979">
        <v>294262</v>
      </c>
      <c r="E1979">
        <v>44234</v>
      </c>
    </row>
    <row r="1980" spans="1:5" x14ac:dyDescent="0.3">
      <c r="A1980">
        <v>98</v>
      </c>
      <c r="B1980">
        <v>81291</v>
      </c>
      <c r="C1980" t="s">
        <v>457</v>
      </c>
      <c r="D1980">
        <v>90588</v>
      </c>
      <c r="E1980">
        <v>16325</v>
      </c>
    </row>
    <row r="1981" spans="1:5" x14ac:dyDescent="0.3">
      <c r="A1981">
        <v>98</v>
      </c>
      <c r="B1981">
        <v>812910</v>
      </c>
      <c r="C1981" t="s">
        <v>457</v>
      </c>
      <c r="D1981">
        <v>90588</v>
      </c>
      <c r="E1981">
        <v>16325</v>
      </c>
    </row>
    <row r="1982" spans="1:5" x14ac:dyDescent="0.3">
      <c r="A1982">
        <v>98</v>
      </c>
      <c r="B1982">
        <v>81292</v>
      </c>
      <c r="C1982" t="s">
        <v>457</v>
      </c>
      <c r="D1982">
        <v>7792</v>
      </c>
      <c r="E1982">
        <v>668</v>
      </c>
    </row>
    <row r="1983" spans="1:5" x14ac:dyDescent="0.3">
      <c r="A1983">
        <v>98</v>
      </c>
      <c r="B1983">
        <v>812921</v>
      </c>
      <c r="C1983" t="s">
        <v>457</v>
      </c>
      <c r="D1983">
        <v>6997</v>
      </c>
      <c r="E1983">
        <v>501</v>
      </c>
    </row>
    <row r="1984" spans="1:5" x14ac:dyDescent="0.3">
      <c r="A1984">
        <v>98</v>
      </c>
      <c r="B1984">
        <v>812922</v>
      </c>
      <c r="C1984" t="s">
        <v>457</v>
      </c>
      <c r="D1984">
        <v>795</v>
      </c>
      <c r="E1984">
        <v>167</v>
      </c>
    </row>
    <row r="1985" spans="1:5" x14ac:dyDescent="0.3">
      <c r="A1985">
        <v>98</v>
      </c>
      <c r="B1985">
        <v>81293</v>
      </c>
      <c r="C1985" t="s">
        <v>457</v>
      </c>
      <c r="D1985">
        <v>142306</v>
      </c>
      <c r="E1985">
        <v>12896</v>
      </c>
    </row>
    <row r="1986" spans="1:5" x14ac:dyDescent="0.3">
      <c r="A1986">
        <v>98</v>
      </c>
      <c r="B1986">
        <v>812930</v>
      </c>
      <c r="C1986" t="s">
        <v>457</v>
      </c>
      <c r="D1986">
        <v>142306</v>
      </c>
      <c r="E1986">
        <v>12896</v>
      </c>
    </row>
    <row r="1987" spans="1:5" x14ac:dyDescent="0.3">
      <c r="A1987">
        <v>98</v>
      </c>
      <c r="B1987">
        <v>81299</v>
      </c>
      <c r="C1987" t="s">
        <v>457</v>
      </c>
      <c r="D1987">
        <v>53576</v>
      </c>
      <c r="E1987">
        <v>14345</v>
      </c>
    </row>
    <row r="1988" spans="1:5" x14ac:dyDescent="0.3">
      <c r="A1988">
        <v>98</v>
      </c>
      <c r="B1988">
        <v>812990</v>
      </c>
      <c r="C1988" t="s">
        <v>457</v>
      </c>
      <c r="D1988">
        <v>53576</v>
      </c>
      <c r="E1988">
        <v>14345</v>
      </c>
    </row>
    <row r="1989" spans="1:5" x14ac:dyDescent="0.3">
      <c r="A1989">
        <v>98</v>
      </c>
      <c r="B1989">
        <v>813</v>
      </c>
      <c r="C1989" t="s">
        <v>457</v>
      </c>
      <c r="D1989">
        <v>2758413</v>
      </c>
      <c r="E1989">
        <v>306976</v>
      </c>
    </row>
    <row r="1990" spans="1:5" x14ac:dyDescent="0.3">
      <c r="A1990">
        <v>98</v>
      </c>
      <c r="B1990">
        <v>8131</v>
      </c>
      <c r="C1990" t="s">
        <v>457</v>
      </c>
      <c r="D1990">
        <v>1679616</v>
      </c>
      <c r="E1990">
        <v>184205</v>
      </c>
    </row>
    <row r="1991" spans="1:5" x14ac:dyDescent="0.3">
      <c r="A1991">
        <v>98</v>
      </c>
      <c r="B1991">
        <v>81311</v>
      </c>
      <c r="C1991" t="s">
        <v>457</v>
      </c>
      <c r="D1991">
        <v>1679616</v>
      </c>
      <c r="E1991">
        <v>184205</v>
      </c>
    </row>
    <row r="1992" spans="1:5" x14ac:dyDescent="0.3">
      <c r="A1992">
        <v>98</v>
      </c>
      <c r="B1992">
        <v>813110</v>
      </c>
      <c r="C1992" t="s">
        <v>457</v>
      </c>
      <c r="D1992">
        <v>1679616</v>
      </c>
      <c r="E1992">
        <v>184205</v>
      </c>
    </row>
    <row r="1993" spans="1:5" x14ac:dyDescent="0.3">
      <c r="A1993">
        <v>98</v>
      </c>
      <c r="B1993">
        <v>8132</v>
      </c>
      <c r="C1993" t="s">
        <v>457</v>
      </c>
      <c r="D1993">
        <v>186946</v>
      </c>
      <c r="E1993">
        <v>19654</v>
      </c>
    </row>
    <row r="1994" spans="1:5" x14ac:dyDescent="0.3">
      <c r="A1994">
        <v>98</v>
      </c>
      <c r="B1994">
        <v>81321</v>
      </c>
      <c r="C1994" t="s">
        <v>457</v>
      </c>
      <c r="D1994">
        <v>186946</v>
      </c>
      <c r="E1994">
        <v>19654</v>
      </c>
    </row>
    <row r="1995" spans="1:5" x14ac:dyDescent="0.3">
      <c r="A1995">
        <v>98</v>
      </c>
      <c r="B1995">
        <v>813211</v>
      </c>
      <c r="C1995" t="s">
        <v>457</v>
      </c>
      <c r="D1995">
        <v>98693</v>
      </c>
      <c r="E1995">
        <v>11713</v>
      </c>
    </row>
    <row r="1996" spans="1:5" x14ac:dyDescent="0.3">
      <c r="A1996">
        <v>98</v>
      </c>
      <c r="B1996">
        <v>813212</v>
      </c>
      <c r="C1996" t="s">
        <v>457</v>
      </c>
      <c r="D1996">
        <v>54923</v>
      </c>
      <c r="E1996">
        <v>4264</v>
      </c>
    </row>
    <row r="1997" spans="1:5" x14ac:dyDescent="0.3">
      <c r="A1997">
        <v>98</v>
      </c>
      <c r="B1997">
        <v>813219</v>
      </c>
      <c r="C1997" t="s">
        <v>457</v>
      </c>
      <c r="D1997">
        <v>33330</v>
      </c>
      <c r="E1997">
        <v>3677</v>
      </c>
    </row>
    <row r="1998" spans="1:5" x14ac:dyDescent="0.3">
      <c r="A1998">
        <v>98</v>
      </c>
      <c r="B1998">
        <v>8133</v>
      </c>
      <c r="C1998" t="s">
        <v>457</v>
      </c>
      <c r="D1998">
        <v>165139</v>
      </c>
      <c r="E1998">
        <v>17315</v>
      </c>
    </row>
    <row r="1999" spans="1:5" x14ac:dyDescent="0.3">
      <c r="A1999">
        <v>98</v>
      </c>
      <c r="B1999">
        <v>81331</v>
      </c>
      <c r="C1999" t="s">
        <v>457</v>
      </c>
      <c r="D1999">
        <v>165139</v>
      </c>
      <c r="E1999">
        <v>17315</v>
      </c>
    </row>
    <row r="2000" spans="1:5" x14ac:dyDescent="0.3">
      <c r="A2000">
        <v>98</v>
      </c>
      <c r="B2000">
        <v>813311</v>
      </c>
      <c r="C2000" t="s">
        <v>457</v>
      </c>
      <c r="D2000">
        <v>37878</v>
      </c>
      <c r="E2000">
        <v>3268</v>
      </c>
    </row>
    <row r="2001" spans="1:5" x14ac:dyDescent="0.3">
      <c r="A2001">
        <v>98</v>
      </c>
      <c r="B2001">
        <v>813312</v>
      </c>
      <c r="C2001" t="s">
        <v>457</v>
      </c>
      <c r="D2001">
        <v>70447</v>
      </c>
      <c r="E2001">
        <v>7297</v>
      </c>
    </row>
    <row r="2002" spans="1:5" x14ac:dyDescent="0.3">
      <c r="A2002">
        <v>98</v>
      </c>
      <c r="B2002">
        <v>813319</v>
      </c>
      <c r="C2002" t="s">
        <v>457</v>
      </c>
      <c r="D2002">
        <v>56814</v>
      </c>
      <c r="E2002">
        <v>6750</v>
      </c>
    </row>
    <row r="2003" spans="1:5" x14ac:dyDescent="0.3">
      <c r="A2003">
        <v>98</v>
      </c>
      <c r="B2003">
        <v>8134</v>
      </c>
      <c r="C2003" t="s">
        <v>457</v>
      </c>
      <c r="D2003">
        <v>238796</v>
      </c>
      <c r="E2003">
        <v>26268</v>
      </c>
    </row>
    <row r="2004" spans="1:5" x14ac:dyDescent="0.3">
      <c r="A2004">
        <v>98</v>
      </c>
      <c r="B2004">
        <v>81341</v>
      </c>
      <c r="C2004" t="s">
        <v>457</v>
      </c>
      <c r="D2004">
        <v>238796</v>
      </c>
      <c r="E2004">
        <v>26268</v>
      </c>
    </row>
    <row r="2005" spans="1:5" x14ac:dyDescent="0.3">
      <c r="A2005">
        <v>98</v>
      </c>
      <c r="B2005">
        <v>813410</v>
      </c>
      <c r="C2005" t="s">
        <v>457</v>
      </c>
      <c r="D2005">
        <v>238796</v>
      </c>
      <c r="E2005">
        <v>26268</v>
      </c>
    </row>
    <row r="2006" spans="1:5" x14ac:dyDescent="0.3">
      <c r="A2006">
        <v>98</v>
      </c>
      <c r="B2006">
        <v>8139</v>
      </c>
      <c r="C2006" t="s">
        <v>457</v>
      </c>
      <c r="D2006">
        <v>487916</v>
      </c>
      <c r="E2006">
        <v>59534</v>
      </c>
    </row>
    <row r="2007" spans="1:5" x14ac:dyDescent="0.3">
      <c r="A2007">
        <v>98</v>
      </c>
      <c r="B2007">
        <v>81391</v>
      </c>
      <c r="C2007" t="s">
        <v>457</v>
      </c>
      <c r="D2007">
        <v>110695</v>
      </c>
      <c r="E2007">
        <v>16150</v>
      </c>
    </row>
    <row r="2008" spans="1:5" x14ac:dyDescent="0.3">
      <c r="A2008">
        <v>98</v>
      </c>
      <c r="B2008">
        <v>813910</v>
      </c>
      <c r="C2008" t="s">
        <v>457</v>
      </c>
      <c r="D2008">
        <v>110695</v>
      </c>
      <c r="E2008">
        <v>16150</v>
      </c>
    </row>
    <row r="2009" spans="1:5" x14ac:dyDescent="0.3">
      <c r="A2009">
        <v>98</v>
      </c>
      <c r="B2009">
        <v>81392</v>
      </c>
      <c r="C2009" t="s">
        <v>457</v>
      </c>
      <c r="D2009">
        <v>86111</v>
      </c>
      <c r="E2009">
        <v>6892</v>
      </c>
    </row>
    <row r="2010" spans="1:5" x14ac:dyDescent="0.3">
      <c r="A2010">
        <v>98</v>
      </c>
      <c r="B2010">
        <v>813920</v>
      </c>
      <c r="C2010" t="s">
        <v>457</v>
      </c>
      <c r="D2010">
        <v>86111</v>
      </c>
      <c r="E2010">
        <v>6892</v>
      </c>
    </row>
    <row r="2011" spans="1:5" x14ac:dyDescent="0.3">
      <c r="A2011">
        <v>98</v>
      </c>
      <c r="B2011">
        <v>81393</v>
      </c>
      <c r="C2011" t="s">
        <v>457</v>
      </c>
      <c r="D2011">
        <v>148959</v>
      </c>
      <c r="E2011">
        <v>14203</v>
      </c>
    </row>
    <row r="2012" spans="1:5" x14ac:dyDescent="0.3">
      <c r="A2012">
        <v>98</v>
      </c>
      <c r="B2012">
        <v>813930</v>
      </c>
      <c r="C2012" t="s">
        <v>457</v>
      </c>
      <c r="D2012">
        <v>148959</v>
      </c>
      <c r="E2012">
        <v>14203</v>
      </c>
    </row>
    <row r="2013" spans="1:5" x14ac:dyDescent="0.3">
      <c r="A2013">
        <v>98</v>
      </c>
      <c r="B2013">
        <v>81394</v>
      </c>
      <c r="C2013" t="s">
        <v>457</v>
      </c>
      <c r="D2013">
        <v>8874</v>
      </c>
      <c r="E2013">
        <v>2210</v>
      </c>
    </row>
    <row r="2014" spans="1:5" x14ac:dyDescent="0.3">
      <c r="A2014">
        <v>98</v>
      </c>
      <c r="B2014">
        <v>813940</v>
      </c>
      <c r="C2014" t="s">
        <v>457</v>
      </c>
      <c r="D2014">
        <v>8874</v>
      </c>
      <c r="E2014">
        <v>2210</v>
      </c>
    </row>
    <row r="2015" spans="1:5" x14ac:dyDescent="0.3">
      <c r="A2015">
        <v>98</v>
      </c>
      <c r="B2015">
        <v>81399</v>
      </c>
      <c r="C2015" t="s">
        <v>457</v>
      </c>
      <c r="D2015">
        <v>133277</v>
      </c>
      <c r="E2015">
        <v>20079</v>
      </c>
    </row>
    <row r="2016" spans="1:5" x14ac:dyDescent="0.3">
      <c r="A2016">
        <v>98</v>
      </c>
      <c r="B2016">
        <v>813990</v>
      </c>
      <c r="C2016" t="s">
        <v>457</v>
      </c>
      <c r="D2016">
        <v>133277</v>
      </c>
      <c r="E2016">
        <v>20079</v>
      </c>
    </row>
    <row r="2017" spans="1:5" x14ac:dyDescent="0.3">
      <c r="A2017">
        <v>98</v>
      </c>
      <c r="B2017" t="s">
        <v>194</v>
      </c>
      <c r="C2017" t="s">
        <v>457</v>
      </c>
      <c r="D2017">
        <v>24155</v>
      </c>
      <c r="E2017">
        <v>20361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zoomScale="85" zoomScaleNormal="85" workbookViewId="0">
      <selection activeCell="D13" sqref="D13"/>
    </sheetView>
  </sheetViews>
  <sheetFormatPr defaultRowHeight="14.4" x14ac:dyDescent="0.3"/>
  <cols>
    <col min="1" max="1" width="41.44140625" customWidth="1"/>
    <col min="2" max="2" width="14.109375" customWidth="1"/>
    <col min="3" max="3" width="23.5546875" customWidth="1"/>
    <col min="4" max="4" width="25.33203125" customWidth="1"/>
    <col min="5" max="5" width="21.109375" customWidth="1"/>
    <col min="6" max="6" width="18.6640625" customWidth="1"/>
    <col min="7" max="7" width="57.88671875" customWidth="1"/>
  </cols>
  <sheetData>
    <row r="1" spans="1:7" x14ac:dyDescent="0.3">
      <c r="B1" s="66"/>
      <c r="C1" s="66"/>
      <c r="D1" s="66"/>
      <c r="E1" s="66"/>
      <c r="F1" s="66"/>
    </row>
    <row r="2" spans="1:7" x14ac:dyDescent="0.3">
      <c r="B2" s="66"/>
      <c r="C2" s="66"/>
      <c r="D2" s="66"/>
      <c r="E2" s="66"/>
      <c r="F2" s="66"/>
    </row>
    <row r="3" spans="1:7" x14ac:dyDescent="0.3">
      <c r="B3" s="66"/>
      <c r="C3" s="66"/>
      <c r="D3" s="66"/>
      <c r="E3" s="66"/>
      <c r="F3" s="66"/>
    </row>
    <row r="4" spans="1:7" x14ac:dyDescent="0.3">
      <c r="B4" s="66"/>
      <c r="C4" s="66"/>
      <c r="D4" s="150"/>
      <c r="E4" s="66"/>
      <c r="F4" s="66"/>
    </row>
    <row r="5" spans="1:7" x14ac:dyDescent="0.3">
      <c r="A5" s="133" t="s">
        <v>326</v>
      </c>
      <c r="B5" s="66"/>
      <c r="C5" s="66"/>
      <c r="D5" s="66"/>
      <c r="E5" s="66"/>
      <c r="F5" s="66"/>
    </row>
    <row r="6" spans="1:7" x14ac:dyDescent="0.3">
      <c r="B6" s="64"/>
      <c r="C6" s="65"/>
      <c r="D6" s="66"/>
      <c r="E6" s="67"/>
      <c r="F6" s="66"/>
      <c r="G6" s="1"/>
    </row>
    <row r="7" spans="1:7" x14ac:dyDescent="0.3">
      <c r="A7" s="88" t="s">
        <v>0</v>
      </c>
      <c r="B7" s="89" t="s">
        <v>1</v>
      </c>
      <c r="C7" s="89" t="s">
        <v>12</v>
      </c>
      <c r="D7" s="89" t="s">
        <v>11</v>
      </c>
      <c r="E7" s="89" t="s">
        <v>10</v>
      </c>
      <c r="F7" s="90" t="s">
        <v>2</v>
      </c>
      <c r="G7" s="94" t="s">
        <v>295</v>
      </c>
    </row>
    <row r="8" spans="1:7" ht="55.2" x14ac:dyDescent="0.3">
      <c r="A8" s="91" t="s">
        <v>4</v>
      </c>
      <c r="B8" s="92">
        <f>'Inputs and Parameters'!H52</f>
        <v>178366</v>
      </c>
      <c r="C8" s="92">
        <f>'Table 1 May 2011 ICR'!D8</f>
        <v>538772</v>
      </c>
      <c r="D8" s="92">
        <f>'Inputs and Parameters'!H47</f>
        <v>496580</v>
      </c>
      <c r="E8" s="92">
        <f>D8-C8</f>
        <v>-42192</v>
      </c>
      <c r="F8" s="93">
        <f>'Inputs and Parameters'!H48</f>
        <v>41881558</v>
      </c>
      <c r="G8" s="130" t="s">
        <v>321</v>
      </c>
    </row>
    <row r="9" spans="1:7" x14ac:dyDescent="0.3">
      <c r="A9" s="91" t="s">
        <v>5</v>
      </c>
      <c r="B9" s="92"/>
      <c r="C9" s="92"/>
      <c r="D9" s="92"/>
      <c r="E9" s="92"/>
      <c r="F9" s="94"/>
      <c r="G9" s="94"/>
    </row>
    <row r="10" spans="1:7" ht="110.4" x14ac:dyDescent="0.3">
      <c r="A10" s="84" t="s">
        <v>6</v>
      </c>
      <c r="B10" s="92">
        <f>'Inputs and Parameters'!H78</f>
        <v>6089725</v>
      </c>
      <c r="C10" s="92">
        <f>'Table 1 May 2011 ICR'!D10</f>
        <v>1860684</v>
      </c>
      <c r="D10" s="92">
        <f>'Inputs and Parameters'!H75</f>
        <v>2021369</v>
      </c>
      <c r="E10" s="92">
        <f>D10-C10</f>
        <v>160685</v>
      </c>
      <c r="F10" s="93">
        <f>'Inputs and Parameters'!H76</f>
        <v>64861151</v>
      </c>
      <c r="G10" s="130" t="s">
        <v>320</v>
      </c>
    </row>
    <row r="11" spans="1:7" ht="27.6" x14ac:dyDescent="0.3">
      <c r="A11" s="91" t="s">
        <v>7</v>
      </c>
      <c r="B11" s="92">
        <f>'Inputs and Parameters'!H117</f>
        <v>8753254.3828757852</v>
      </c>
      <c r="C11" s="92">
        <f>'Table 1 May 2011 ICR'!D11</f>
        <v>3714813</v>
      </c>
      <c r="D11" s="92">
        <f>'Inputs and Parameters'!H114</f>
        <v>1257814.4948265646</v>
      </c>
      <c r="E11" s="92">
        <f>D11-C11</f>
        <v>-2456998.5051734354</v>
      </c>
      <c r="F11" s="93">
        <f>'Inputs and Parameters'!H116</f>
        <v>46978701.495831184</v>
      </c>
      <c r="G11" s="130" t="s">
        <v>322</v>
      </c>
    </row>
    <row r="12" spans="1:7" x14ac:dyDescent="0.3">
      <c r="A12" s="91" t="s">
        <v>8</v>
      </c>
      <c r="B12" s="92"/>
      <c r="C12" s="92"/>
      <c r="D12" s="92"/>
      <c r="E12" s="92"/>
      <c r="F12" s="94"/>
      <c r="G12" s="94"/>
    </row>
    <row r="13" spans="1:7" ht="55.2" x14ac:dyDescent="0.3">
      <c r="A13" s="84" t="s">
        <v>9</v>
      </c>
      <c r="B13" s="92">
        <f>'Inputs and Parameters'!H128</f>
        <v>2526</v>
      </c>
      <c r="C13" s="92">
        <f>'Table 1 May 2011 ICR'!D13</f>
        <v>198</v>
      </c>
      <c r="D13" s="92">
        <f>'Inputs and Parameters'!H129</f>
        <v>202</v>
      </c>
      <c r="E13" s="92">
        <f>D13-C13</f>
        <v>4</v>
      </c>
      <c r="F13" s="93">
        <f>'Inputs and Parameters'!H130</f>
        <v>6925</v>
      </c>
      <c r="G13" s="130" t="s">
        <v>323</v>
      </c>
    </row>
    <row r="14" spans="1:7" x14ac:dyDescent="0.3">
      <c r="A14" s="84" t="s">
        <v>13</v>
      </c>
      <c r="B14" s="92">
        <f>'Inputs and Parameters'!H138</f>
        <v>303168</v>
      </c>
      <c r="C14" s="92">
        <f>'Table 1 May 2011 ICR'!D14</f>
        <v>50494</v>
      </c>
      <c r="D14" s="92">
        <f>'Inputs and Parameters'!H135</f>
        <v>51539</v>
      </c>
      <c r="E14" s="92">
        <f>D14-C14</f>
        <v>1045</v>
      </c>
      <c r="F14" s="93">
        <f>'Inputs and Parameters'!H136</f>
        <v>1766757</v>
      </c>
      <c r="G14" s="130" t="s">
        <v>242</v>
      </c>
    </row>
    <row r="15" spans="1:7" x14ac:dyDescent="0.3">
      <c r="A15" s="91" t="s">
        <v>14</v>
      </c>
      <c r="B15" s="92"/>
      <c r="C15" s="92"/>
      <c r="D15" s="92"/>
      <c r="E15" s="92"/>
      <c r="F15" s="94"/>
      <c r="G15" s="94"/>
    </row>
    <row r="16" spans="1:7" x14ac:dyDescent="0.3">
      <c r="A16" s="84" t="s">
        <v>15</v>
      </c>
      <c r="B16" s="92"/>
      <c r="C16" s="92"/>
      <c r="D16" s="92"/>
      <c r="E16" s="92"/>
      <c r="F16" s="95"/>
      <c r="G16" s="130"/>
    </row>
    <row r="17" spans="1:7" ht="27.6" x14ac:dyDescent="0.3">
      <c r="A17" s="84" t="s">
        <v>16</v>
      </c>
      <c r="B17" s="92">
        <f>'Inputs and Parameters'!H149</f>
        <v>80793</v>
      </c>
      <c r="C17" s="92">
        <f>'Table 1 May 2011 ICR'!D17</f>
        <v>5893</v>
      </c>
      <c r="D17" s="92">
        <f>'Inputs and Parameters'!H146</f>
        <v>6463</v>
      </c>
      <c r="E17" s="92">
        <f>D17-C17</f>
        <v>570</v>
      </c>
      <c r="F17" s="93">
        <f>'Inputs and Parameters'!H147</f>
        <v>221552</v>
      </c>
      <c r="G17" s="130" t="s">
        <v>324</v>
      </c>
    </row>
    <row r="18" spans="1:7" ht="27.6" x14ac:dyDescent="0.3">
      <c r="A18" s="91" t="s">
        <v>17</v>
      </c>
      <c r="B18" s="92"/>
      <c r="C18" s="92"/>
      <c r="D18" s="92"/>
      <c r="E18" s="92"/>
      <c r="F18" s="95"/>
      <c r="G18" s="130" t="s">
        <v>18</v>
      </c>
    </row>
    <row r="19" spans="1:7" x14ac:dyDescent="0.3">
      <c r="A19" s="91" t="s">
        <v>19</v>
      </c>
      <c r="B19" s="92"/>
      <c r="C19" s="92"/>
      <c r="D19" s="92"/>
      <c r="E19" s="92"/>
      <c r="F19" s="94"/>
      <c r="G19" s="94"/>
    </row>
    <row r="20" spans="1:7" ht="55.2" x14ac:dyDescent="0.3">
      <c r="A20" s="84" t="s">
        <v>20</v>
      </c>
      <c r="B20" s="92">
        <f>'Inputs and Parameters'!H157</f>
        <v>3328741</v>
      </c>
      <c r="C20" s="92">
        <f>'Table 1 May 2011 ICR'!D20</f>
        <v>245573</v>
      </c>
      <c r="D20" s="92">
        <f>'Inputs and Parameters'!H158</f>
        <v>266299</v>
      </c>
      <c r="E20" s="92">
        <f>D20-C20</f>
        <v>20726</v>
      </c>
      <c r="F20" s="93">
        <f>'Inputs and Parameters'!H159</f>
        <v>7419090</v>
      </c>
      <c r="G20" s="130" t="s">
        <v>325</v>
      </c>
    </row>
    <row r="21" spans="1:7" ht="41.4" x14ac:dyDescent="0.3">
      <c r="A21" s="84" t="s">
        <v>21</v>
      </c>
      <c r="B21" s="92">
        <f>'Inputs and Parameters'!H87</f>
        <v>5089101.3674135199</v>
      </c>
      <c r="C21" s="92">
        <f>'Table 1 May 2011 ICR'!D21</f>
        <v>345564</v>
      </c>
      <c r="D21" s="92">
        <f>'Inputs and Parameters'!H163</f>
        <v>407128</v>
      </c>
      <c r="E21" s="92">
        <f>D21-C21</f>
        <v>61564</v>
      </c>
      <c r="F21" s="93">
        <f>'Inputs and Parameters'!H164</f>
        <v>11342586</v>
      </c>
      <c r="G21" s="130" t="s">
        <v>328</v>
      </c>
    </row>
    <row r="22" spans="1:7" x14ac:dyDescent="0.3">
      <c r="A22" s="84" t="s">
        <v>22</v>
      </c>
      <c r="B22" s="92">
        <f>'Inputs and Parameters'!H173</f>
        <v>584954</v>
      </c>
      <c r="C22" s="92">
        <f>'Table 1 May 2011 ICR'!D22</f>
        <v>39720</v>
      </c>
      <c r="D22" s="92">
        <f>'Inputs and Parameters'!H174</f>
        <v>46796</v>
      </c>
      <c r="E22" s="92">
        <f>D22-C22</f>
        <v>7076</v>
      </c>
      <c r="F22" s="93">
        <f>'Inputs and Parameters'!H175</f>
        <v>1303737</v>
      </c>
      <c r="G22" s="130" t="s">
        <v>242</v>
      </c>
    </row>
    <row r="23" spans="1:7" x14ac:dyDescent="0.3">
      <c r="A23" s="86" t="s">
        <v>396</v>
      </c>
      <c r="B23" s="85">
        <f>SUM(B8:B22)</f>
        <v>24410628.750289306</v>
      </c>
      <c r="C23" s="85">
        <f>SUM(C8:C22)</f>
        <v>6801711</v>
      </c>
      <c r="D23" s="85">
        <f>SUM(D8:D22)</f>
        <v>4554190.4948265646</v>
      </c>
      <c r="E23" s="85">
        <f>SUM(E8:E22)</f>
        <v>-2247520.5051734354</v>
      </c>
      <c r="F23" s="87">
        <f>SUM(F8:F22)</f>
        <v>175782057.49583119</v>
      </c>
      <c r="G23" s="131"/>
    </row>
    <row r="24" spans="1:7" x14ac:dyDescent="0.3">
      <c r="B24" s="66"/>
      <c r="C24" s="66"/>
      <c r="D24" s="66"/>
      <c r="E24" s="66"/>
      <c r="F24" s="66"/>
      <c r="G24" s="1"/>
    </row>
    <row r="25" spans="1:7" x14ac:dyDescent="0.3">
      <c r="A25" s="151" t="s">
        <v>395</v>
      </c>
      <c r="B25" s="66"/>
      <c r="C25" s="66"/>
      <c r="D25" s="66"/>
      <c r="E25" s="66"/>
      <c r="F25" s="66"/>
    </row>
    <row r="26" spans="1:7" x14ac:dyDescent="0.3">
      <c r="A26" s="86" t="s">
        <v>397</v>
      </c>
      <c r="B26" s="85">
        <f>'Table 1 November 2015 ICR'!B23</f>
        <v>24393383</v>
      </c>
      <c r="C26" s="85">
        <f>'Table 1 November 2015 ICR'!C23</f>
        <v>6801711</v>
      </c>
      <c r="D26" s="85">
        <f>'Table 1 November 2015 ICR'!D23</f>
        <v>7492030</v>
      </c>
      <c r="E26" s="85">
        <f>'Table 1 November 2015 ICR'!E23</f>
        <v>690319</v>
      </c>
      <c r="F26" s="87">
        <f>'Table 1 November 2015 ICR'!F23</f>
        <v>280512727</v>
      </c>
      <c r="G26" s="131"/>
    </row>
    <row r="28" spans="1:7" x14ac:dyDescent="0.3">
      <c r="A28" s="86" t="s">
        <v>154</v>
      </c>
      <c r="B28" s="85">
        <f>B23-B26</f>
        <v>17245.750289306045</v>
      </c>
      <c r="C28" s="85">
        <f>C23-C26</f>
        <v>0</v>
      </c>
      <c r="D28" s="85">
        <f>D23-D26</f>
        <v>-2937839.5051734354</v>
      </c>
      <c r="E28" s="85">
        <f>E23-E26</f>
        <v>-2937839.5051734354</v>
      </c>
      <c r="F28" s="87">
        <f>F23-F26</f>
        <v>-104730669.50416881</v>
      </c>
      <c r="G28" s="131"/>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C14" sqref="C14"/>
    </sheetView>
  </sheetViews>
  <sheetFormatPr defaultRowHeight="14.4" x14ac:dyDescent="0.3"/>
  <cols>
    <col min="1" max="1" width="32.6640625" customWidth="1"/>
    <col min="2" max="2" width="41.33203125" customWidth="1"/>
    <col min="3" max="3" width="76.5546875" customWidth="1"/>
  </cols>
  <sheetData>
    <row r="1" spans="1:3" x14ac:dyDescent="0.3">
      <c r="A1" s="1"/>
      <c r="B1" s="1"/>
      <c r="C1" s="1"/>
    </row>
    <row r="2" spans="1:3" x14ac:dyDescent="0.3">
      <c r="A2" s="117" t="s">
        <v>285</v>
      </c>
      <c r="B2" s="118" t="s">
        <v>275</v>
      </c>
      <c r="C2" s="119" t="s">
        <v>276</v>
      </c>
    </row>
    <row r="3" spans="1:3" ht="28.8" x14ac:dyDescent="0.3">
      <c r="A3" s="77" t="s">
        <v>264</v>
      </c>
      <c r="B3" s="1" t="s">
        <v>263</v>
      </c>
      <c r="C3" s="114" t="s">
        <v>277</v>
      </c>
    </row>
    <row r="4" spans="1:3" ht="28.8" x14ac:dyDescent="0.3">
      <c r="A4" s="77" t="s">
        <v>265</v>
      </c>
      <c r="B4" s="1" t="s">
        <v>267</v>
      </c>
      <c r="C4" s="114" t="s">
        <v>278</v>
      </c>
    </row>
    <row r="5" spans="1:3" ht="28.8" x14ac:dyDescent="0.3">
      <c r="A5" s="77" t="s">
        <v>266</v>
      </c>
      <c r="B5" s="1" t="s">
        <v>268</v>
      </c>
      <c r="C5" s="114" t="s">
        <v>279</v>
      </c>
    </row>
    <row r="6" spans="1:3" x14ac:dyDescent="0.3">
      <c r="A6" s="77" t="s">
        <v>269</v>
      </c>
      <c r="B6" s="1" t="s">
        <v>270</v>
      </c>
      <c r="C6" s="114" t="s">
        <v>280</v>
      </c>
    </row>
    <row r="7" spans="1:3" ht="28.8" x14ac:dyDescent="0.3">
      <c r="A7" s="77" t="s">
        <v>271</v>
      </c>
      <c r="B7" s="1" t="s">
        <v>272</v>
      </c>
      <c r="C7" s="114" t="s">
        <v>284</v>
      </c>
    </row>
    <row r="8" spans="1:3" x14ac:dyDescent="0.3">
      <c r="A8" s="77" t="s">
        <v>274</v>
      </c>
      <c r="B8" s="1" t="s">
        <v>273</v>
      </c>
      <c r="C8" s="114" t="s">
        <v>283</v>
      </c>
    </row>
    <row r="9" spans="1:3" x14ac:dyDescent="0.3">
      <c r="A9" s="112" t="s">
        <v>286</v>
      </c>
      <c r="B9" s="115" t="s">
        <v>282</v>
      </c>
      <c r="C9" s="116"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Wages</vt:lpstr>
      <vt:lpstr>Inputs and Parameters</vt:lpstr>
      <vt:lpstr>Profile 2015</vt:lpstr>
      <vt:lpstr>Potential Savings from Fit Test</vt:lpstr>
      <vt:lpstr>Updated Table</vt:lpstr>
      <vt:lpstr>Table 1</vt:lpstr>
      <vt:lpstr>CBP_2015</vt:lpstr>
      <vt:lpstr>Table 1 Dec 2015 ICR REDON Adj </vt:lpstr>
      <vt:lpstr>Sources 2014</vt:lpstr>
      <vt:lpstr>Profile 2011</vt:lpstr>
      <vt:lpstr>Inputs and Parameters (Old)</vt:lpstr>
      <vt:lpstr>Table 1 May 2011 ICR</vt:lpstr>
      <vt:lpstr>Table 1 FINAL (Draft)</vt:lpstr>
      <vt:lpstr>Table 1 April 2014 ICR</vt:lpstr>
      <vt:lpstr>Table 1 November 2015 ICR</vt:lpstr>
      <vt:lpstr>'Inputs and Parameters (Old)'!Print_Area</vt:lpstr>
      <vt:lpstr>'Table 1 April 2014 ICR'!Print_Area</vt:lpstr>
      <vt:lpstr>'Table 1 November 2015 ICR'!Print_Area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LEX-TG</dc:creator>
  <cp:lastModifiedBy>Garner, Christie - OSHA</cp:lastModifiedBy>
  <cp:lastPrinted>2015-12-23T20:11:08Z</cp:lastPrinted>
  <dcterms:created xsi:type="dcterms:W3CDTF">2011-01-28T15:56:35Z</dcterms:created>
  <dcterms:modified xsi:type="dcterms:W3CDTF">2019-04-09T13:00:38Z</dcterms:modified>
</cp:coreProperties>
</file>