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F:\New ICRs\"/>
    </mc:Choice>
  </mc:AlternateContent>
  <xr:revisionPtr revIDLastSave="0" documentId="8_{E3E6CCBB-30FE-44A7-B8C0-37EA76E908C9}" xr6:coauthVersionLast="36" xr6:coauthVersionMax="36" xr10:uidLastSave="{00000000-0000-0000-0000-000000000000}"/>
  <bookViews>
    <workbookView xWindow="-105" yWindow="-105" windowWidth="19425" windowHeight="10425" xr2:uid="{00000000-000D-0000-FFFF-FFFF00000000}"/>
  </bookViews>
  <sheets>
    <sheet name="Respondent" sheetId="1" r:id="rId1"/>
    <sheet name="Agency" sheetId="2" r:id="rId2"/>
    <sheet name="Capital and O&amp;M" sheetId="3" r:id="rId3"/>
    <sheet name="Additional" sheetId="5" r:id="rId4"/>
  </sheets>
  <definedNames>
    <definedName name="OLE_LINK1" localSheetId="0">Respondent!#REF!</definedName>
    <definedName name="_xlnm.Print_Area" localSheetId="1">Agency!$A$1:$J$30</definedName>
    <definedName name="_xlnm.Print_Area" localSheetId="2">'Capital and O&amp;M'!$A$1:$H$21</definedName>
    <definedName name="_xlnm.Print_Area" localSheetId="0">Respondent!$A$1:$K$80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6" i="3" l="1"/>
  <c r="G53" i="1" l="1"/>
  <c r="J53" i="1"/>
  <c r="J52" i="1" l="1"/>
  <c r="G6" i="3" l="1"/>
  <c r="F43" i="1"/>
  <c r="F46" i="1"/>
  <c r="N48" i="5"/>
  <c r="G44" i="5"/>
  <c r="N47" i="5" s="1"/>
  <c r="F44" i="5"/>
  <c r="E44" i="5"/>
  <c r="D44" i="5"/>
  <c r="N46" i="5"/>
  <c r="N45" i="5"/>
  <c r="M47" i="5"/>
  <c r="M46" i="5"/>
  <c r="M45" i="5"/>
  <c r="M38" i="5"/>
  <c r="O46" i="5"/>
  <c r="O45" i="5"/>
  <c r="G42" i="5"/>
  <c r="F42" i="5"/>
  <c r="E42" i="5"/>
  <c r="H42" i="5"/>
  <c r="D42" i="5"/>
  <c r="F31" i="5"/>
  <c r="D6" i="5"/>
  <c r="H6" i="5" s="1"/>
  <c r="H40" i="5"/>
  <c r="O47" i="5" l="1"/>
  <c r="M48" i="5"/>
  <c r="O48" i="5" s="1"/>
  <c r="E7" i="5"/>
  <c r="E8" i="3"/>
  <c r="D7" i="5" l="1"/>
  <c r="D30" i="5"/>
  <c r="G30" i="5" s="1"/>
  <c r="H7" i="5" l="1"/>
  <c r="L28" i="2"/>
  <c r="E8" i="5" l="1"/>
  <c r="D5" i="3"/>
  <c r="D6" i="3" s="1"/>
  <c r="F7" i="2"/>
  <c r="F6" i="2"/>
  <c r="F22" i="1"/>
  <c r="F12" i="2" s="1"/>
  <c r="F13" i="2" s="1"/>
  <c r="E9" i="5" l="1"/>
  <c r="F40" i="5"/>
  <c r="D16" i="5"/>
  <c r="H16" i="5" s="1"/>
  <c r="E17" i="5" s="1"/>
  <c r="E5" i="3"/>
  <c r="C9" i="3"/>
  <c r="E6" i="3"/>
  <c r="E9" i="1"/>
  <c r="G9" i="1" s="1"/>
  <c r="I9" i="1" s="1"/>
  <c r="E8" i="1"/>
  <c r="E14" i="2"/>
  <c r="E13" i="2"/>
  <c r="G13" i="2" s="1"/>
  <c r="E12" i="2"/>
  <c r="G12" i="2" s="1"/>
  <c r="E11" i="2"/>
  <c r="E10" i="2"/>
  <c r="E9" i="2"/>
  <c r="E6" i="2"/>
  <c r="G6" i="2" s="1"/>
  <c r="E7" i="2"/>
  <c r="G7" i="2" s="1"/>
  <c r="H8" i="5" l="1"/>
  <c r="H9" i="5" s="1"/>
  <c r="D9" i="5"/>
  <c r="E40" i="5"/>
  <c r="G40" i="5"/>
  <c r="D17" i="5"/>
  <c r="I13" i="2"/>
  <c r="H13" i="2"/>
  <c r="I12" i="2"/>
  <c r="H12" i="2"/>
  <c r="I7" i="2"/>
  <c r="H7" i="2"/>
  <c r="I6" i="2"/>
  <c r="H6" i="2"/>
  <c r="E46" i="1"/>
  <c r="E43" i="1"/>
  <c r="E41" i="1"/>
  <c r="E40" i="1"/>
  <c r="G40" i="1" s="1"/>
  <c r="I40" i="1" s="1"/>
  <c r="E39" i="1"/>
  <c r="G39" i="1" s="1"/>
  <c r="I39" i="1" s="1"/>
  <c r="E38" i="1"/>
  <c r="E36" i="1"/>
  <c r="E35" i="1"/>
  <c r="G35" i="1" s="1"/>
  <c r="I35" i="1" s="1"/>
  <c r="E34" i="1"/>
  <c r="G34" i="1" s="1"/>
  <c r="I34" i="1" s="1"/>
  <c r="E33" i="1"/>
  <c r="G33" i="1" s="1"/>
  <c r="I33" i="1" s="1"/>
  <c r="E32" i="1"/>
  <c r="E31" i="1"/>
  <c r="E24" i="1"/>
  <c r="E22" i="1"/>
  <c r="E21" i="1"/>
  <c r="E20" i="1"/>
  <c r="E19" i="1"/>
  <c r="E15" i="1"/>
  <c r="G15" i="1" s="1"/>
  <c r="I15" i="1" s="1"/>
  <c r="E14" i="1"/>
  <c r="G14" i="1" s="1"/>
  <c r="I14" i="1" s="1"/>
  <c r="E13" i="1"/>
  <c r="G13" i="1" s="1"/>
  <c r="I13" i="1" s="1"/>
  <c r="E11" i="1"/>
  <c r="G8" i="1"/>
  <c r="F21" i="1" l="1"/>
  <c r="D29" i="5"/>
  <c r="F41" i="1"/>
  <c r="D28" i="5"/>
  <c r="F19" i="1"/>
  <c r="D27" i="5"/>
  <c r="F20" i="1"/>
  <c r="F11" i="1"/>
  <c r="F24" i="1"/>
  <c r="D31" i="5"/>
  <c r="J13" i="2"/>
  <c r="H17" i="5"/>
  <c r="J7" i="2"/>
  <c r="J12" i="2"/>
  <c r="J6" i="2"/>
  <c r="G22" i="1"/>
  <c r="H40" i="1"/>
  <c r="H39" i="1"/>
  <c r="J39" i="1" s="1"/>
  <c r="I8" i="1"/>
  <c r="H8" i="1"/>
  <c r="H9" i="1"/>
  <c r="H13" i="1"/>
  <c r="H15" i="1"/>
  <c r="H34" i="1"/>
  <c r="H14" i="1"/>
  <c r="H33" i="1"/>
  <c r="H35" i="1"/>
  <c r="J8" i="1" l="1"/>
  <c r="E18" i="5"/>
  <c r="H22" i="1"/>
  <c r="I22" i="1"/>
  <c r="J9" i="1"/>
  <c r="J14" i="1"/>
  <c r="J13" i="1"/>
  <c r="J40" i="1"/>
  <c r="J34" i="1"/>
  <c r="J35" i="1"/>
  <c r="J33" i="1"/>
  <c r="J15" i="1"/>
  <c r="D18" i="5" l="1"/>
  <c r="E19" i="5"/>
  <c r="D41" i="5" s="1"/>
  <c r="H41" i="5" s="1"/>
  <c r="J22" i="1"/>
  <c r="H18" i="5" l="1"/>
  <c r="H19" i="5" s="1"/>
  <c r="D19" i="5"/>
  <c r="G29" i="5" l="1"/>
  <c r="G41" i="1"/>
  <c r="G28" i="5"/>
  <c r="G27" i="5"/>
  <c r="G31" i="5"/>
  <c r="G11" i="1"/>
  <c r="G32" i="5" l="1"/>
  <c r="I41" i="1"/>
  <c r="H41" i="1"/>
  <c r="J41" i="1" s="1"/>
  <c r="F9" i="2"/>
  <c r="G9" i="2" s="1"/>
  <c r="G19" i="1"/>
  <c r="F10" i="2"/>
  <c r="G10" i="2" s="1"/>
  <c r="G20" i="1"/>
  <c r="I11" i="1"/>
  <c r="H11" i="1"/>
  <c r="F41" i="5"/>
  <c r="G41" i="5"/>
  <c r="E41" i="5"/>
  <c r="F14" i="2"/>
  <c r="G14" i="2" s="1"/>
  <c r="G24" i="1"/>
  <c r="F11" i="2"/>
  <c r="G11" i="2" s="1"/>
  <c r="G21" i="1"/>
  <c r="J11" i="1" l="1"/>
  <c r="J25" i="1" s="1"/>
  <c r="I24" i="1"/>
  <c r="H24" i="1"/>
  <c r="J24" i="1"/>
  <c r="I20" i="1"/>
  <c r="H20" i="1"/>
  <c r="H9" i="2"/>
  <c r="I9" i="2"/>
  <c r="M39" i="5"/>
  <c r="F46" i="5"/>
  <c r="H6" i="3"/>
  <c r="H11" i="3" s="1"/>
  <c r="N39" i="5"/>
  <c r="I14" i="2"/>
  <c r="H14" i="2"/>
  <c r="J14" i="2" s="1"/>
  <c r="I21" i="1"/>
  <c r="H21" i="1"/>
  <c r="E46" i="5"/>
  <c r="I10" i="2"/>
  <c r="H10" i="2"/>
  <c r="J10" i="2" s="1"/>
  <c r="H11" i="2"/>
  <c r="I11" i="2"/>
  <c r="G46" i="5"/>
  <c r="M40" i="5"/>
  <c r="N40" i="5"/>
  <c r="I19" i="1"/>
  <c r="H19" i="1"/>
  <c r="J20" i="1" l="1"/>
  <c r="J9" i="2"/>
  <c r="J19" i="1"/>
  <c r="J21" i="1"/>
  <c r="J11" i="2"/>
  <c r="O40" i="5"/>
  <c r="G25" i="1"/>
  <c r="N38" i="5"/>
  <c r="N41" i="5" s="1"/>
  <c r="F32" i="1"/>
  <c r="G32" i="1" s="1"/>
  <c r="F31" i="1"/>
  <c r="G31" i="1" s="1"/>
  <c r="F38" i="1"/>
  <c r="G38" i="1" s="1"/>
  <c r="F36" i="1"/>
  <c r="G15" i="2"/>
  <c r="G17" i="2" s="1"/>
  <c r="G43" i="1"/>
  <c r="O39" i="5"/>
  <c r="M41" i="5"/>
  <c r="O41" i="5" s="1"/>
  <c r="G46" i="1"/>
  <c r="J15" i="2" l="1"/>
  <c r="J17" i="2" s="1"/>
  <c r="D9" i="3"/>
  <c r="E9" i="3" s="1"/>
  <c r="E11" i="3" s="1"/>
  <c r="J54" i="1" s="1"/>
  <c r="G36" i="1"/>
  <c r="I38" i="1"/>
  <c r="H38" i="1"/>
  <c r="J38" i="1" s="1"/>
  <c r="I46" i="1"/>
  <c r="H46" i="1"/>
  <c r="I31" i="1"/>
  <c r="H31" i="1"/>
  <c r="I43" i="1"/>
  <c r="H43" i="1"/>
  <c r="O38" i="5"/>
  <c r="I32" i="1"/>
  <c r="H32" i="1"/>
  <c r="J31" i="1" l="1"/>
  <c r="J32" i="1"/>
  <c r="J46" i="1"/>
  <c r="J43" i="1"/>
  <c r="I36" i="1"/>
  <c r="H36" i="1"/>
  <c r="G52" i="1" l="1"/>
  <c r="M6" i="1" s="1"/>
  <c r="J36" i="1"/>
  <c r="J55" i="1" s="1"/>
</calcChain>
</file>

<file path=xl/sharedStrings.xml><?xml version="1.0" encoding="utf-8"?>
<sst xmlns="http://schemas.openxmlformats.org/spreadsheetml/2006/main" count="273" uniqueCount="215">
  <si>
    <t>Management hours per year</t>
  </si>
  <si>
    <t>Clerical hours per year</t>
  </si>
  <si>
    <t>1.  APPLICATIONS</t>
  </si>
  <si>
    <t>N/A</t>
  </si>
  <si>
    <t>2.  SURVEY AND STUDIES</t>
  </si>
  <si>
    <t>3.  REPORTING REQUIREMENTS</t>
  </si>
  <si>
    <t>Included in 3B</t>
  </si>
  <si>
    <t>Included in 3E</t>
  </si>
  <si>
    <t>Burden Item</t>
  </si>
  <si>
    <t>A</t>
  </si>
  <si>
    <t>B</t>
  </si>
  <si>
    <t>C</t>
  </si>
  <si>
    <t>D</t>
  </si>
  <si>
    <t>E</t>
  </si>
  <si>
    <t>F</t>
  </si>
  <si>
    <t>G</t>
  </si>
  <si>
    <t>H</t>
  </si>
  <si>
    <t>TECH</t>
  </si>
  <si>
    <t>Hours 
per occurrence</t>
  </si>
  <si>
    <t>No. of occurrences
per respondent
per year</t>
  </si>
  <si>
    <t>Hours
per respondent
per year</t>
  </si>
  <si>
    <r>
      <t>Respondents
per year</t>
    </r>
    <r>
      <rPr>
        <b/>
        <vertAlign val="superscript"/>
        <sz val="9"/>
        <rFont val="Times New Roman"/>
        <family val="1"/>
      </rPr>
      <t>a</t>
    </r>
  </si>
  <si>
    <t>Technical hours per year</t>
  </si>
  <si>
    <r>
      <t>Total costs per year ($)</t>
    </r>
    <r>
      <rPr>
        <b/>
        <vertAlign val="superscript"/>
        <sz val="9"/>
        <rFont val="Times New Roman"/>
        <family val="1"/>
      </rPr>
      <t>b</t>
    </r>
  </si>
  <si>
    <t>MNG</t>
  </si>
  <si>
    <t>(C = A x B)</t>
  </si>
  <si>
    <t>(E = C x D)</t>
  </si>
  <si>
    <t>(F = E x 0.05)</t>
  </si>
  <si>
    <t>(G = E x 0.10)</t>
  </si>
  <si>
    <t>CLER</t>
  </si>
  <si>
    <t>Both</t>
  </si>
  <si>
    <t>Total</t>
  </si>
  <si>
    <t>4.  RECORDKEEPING REQUIREMENTS</t>
  </si>
  <si>
    <r>
      <t xml:space="preserve">     Heat exchange system monitoring plan</t>
    </r>
    <r>
      <rPr>
        <vertAlign val="superscript"/>
        <sz val="10"/>
        <color rgb="FF000000"/>
        <rFont val="Times New Roman"/>
        <family val="1"/>
      </rPr>
      <t>c</t>
    </r>
  </si>
  <si>
    <r>
      <t xml:space="preserve">     Metal process vent monitoring plan</t>
    </r>
    <r>
      <rPr>
        <vertAlign val="superscript"/>
        <sz val="10"/>
        <color rgb="FF000000"/>
        <rFont val="Times New Roman"/>
        <family val="1"/>
      </rPr>
      <t>d</t>
    </r>
  </si>
  <si>
    <r>
      <t xml:space="preserve">     Notification of construction/reconstruction</t>
    </r>
    <r>
      <rPr>
        <vertAlign val="superscript"/>
        <sz val="10"/>
        <color rgb="FF000000"/>
        <rFont val="Times New Roman"/>
        <family val="1"/>
      </rPr>
      <t>h</t>
    </r>
  </si>
  <si>
    <r>
      <t xml:space="preserve">B. </t>
    </r>
    <r>
      <rPr>
        <u/>
        <sz val="10"/>
        <color rgb="FF000000"/>
        <rFont val="Times New Roman"/>
        <family val="1"/>
      </rPr>
      <t>Required Activities</t>
    </r>
    <r>
      <rPr>
        <sz val="10"/>
        <color rgb="FF000000"/>
        <rFont val="Times New Roman"/>
        <family val="1"/>
      </rPr>
      <t xml:space="preserve"> </t>
    </r>
  </si>
  <si>
    <r>
      <t xml:space="preserve">C. </t>
    </r>
    <r>
      <rPr>
        <u/>
        <sz val="10"/>
        <color rgb="FF000000"/>
        <rFont val="Times New Roman"/>
        <family val="1"/>
      </rPr>
      <t>Create Information</t>
    </r>
  </si>
  <si>
    <r>
      <t xml:space="preserve">     Initial Performance test</t>
    </r>
    <r>
      <rPr>
        <vertAlign val="superscript"/>
        <sz val="10"/>
        <color rgb="FF000000"/>
        <rFont val="Times New Roman"/>
        <family val="1"/>
      </rPr>
      <t>f</t>
    </r>
  </si>
  <si>
    <r>
      <t xml:space="preserve">     Design evaluation for process vent sources</t>
    </r>
    <r>
      <rPr>
        <vertAlign val="superscript"/>
        <sz val="10"/>
        <color rgb="FF000000"/>
        <rFont val="Times New Roman"/>
        <family val="1"/>
      </rPr>
      <t>f</t>
    </r>
  </si>
  <si>
    <r>
      <t xml:space="preserve">     Repeat Performance test</t>
    </r>
    <r>
      <rPr>
        <vertAlign val="superscript"/>
        <sz val="10"/>
        <color rgb="FF000000"/>
        <rFont val="Times New Roman"/>
        <family val="1"/>
      </rPr>
      <t>g</t>
    </r>
  </si>
  <si>
    <r>
      <t xml:space="preserve">D. </t>
    </r>
    <r>
      <rPr>
        <u/>
        <sz val="10"/>
        <color rgb="FF000000"/>
        <rFont val="Times New Roman"/>
        <family val="1"/>
      </rPr>
      <t>Gather Existing Information</t>
    </r>
  </si>
  <si>
    <r>
      <t xml:space="preserve">E. </t>
    </r>
    <r>
      <rPr>
        <u/>
        <sz val="10"/>
        <color rgb="FF000000"/>
        <rFont val="Times New Roman"/>
        <family val="1"/>
      </rPr>
      <t>Write Report</t>
    </r>
  </si>
  <si>
    <r>
      <t xml:space="preserve">     Initial notification</t>
    </r>
    <r>
      <rPr>
        <vertAlign val="superscript"/>
        <sz val="10"/>
        <color theme="1"/>
        <rFont val="Times New Roman"/>
        <family val="1"/>
      </rPr>
      <t>i</t>
    </r>
  </si>
  <si>
    <r>
      <t xml:space="preserve">     Notification of compliance status</t>
    </r>
    <r>
      <rPr>
        <vertAlign val="superscript"/>
        <sz val="10"/>
        <color theme="1"/>
        <rFont val="Times New Roman"/>
        <family val="1"/>
      </rPr>
      <t>j</t>
    </r>
  </si>
  <si>
    <r>
      <t xml:space="preserve">     Notification of initial performance test</t>
    </r>
    <r>
      <rPr>
        <vertAlign val="superscript"/>
        <sz val="10"/>
        <color theme="1"/>
        <rFont val="Times New Roman"/>
        <family val="1"/>
      </rPr>
      <t>k</t>
    </r>
  </si>
  <si>
    <t xml:space="preserve">     Report of performance test</t>
  </si>
  <si>
    <r>
      <t xml:space="preserve">B. </t>
    </r>
    <r>
      <rPr>
        <u/>
        <sz val="10"/>
        <color rgb="FF000000"/>
        <rFont val="Times New Roman"/>
        <family val="1"/>
      </rPr>
      <t>Plan Activities</t>
    </r>
  </si>
  <si>
    <t xml:space="preserve">G. Audits </t>
  </si>
  <si>
    <r>
      <t xml:space="preserve">     Semiannual compliance reports</t>
    </r>
    <r>
      <rPr>
        <vertAlign val="superscript"/>
        <sz val="10"/>
        <color rgb="FF000000"/>
        <rFont val="Times New Roman"/>
        <family val="1"/>
      </rPr>
      <t>l</t>
    </r>
  </si>
  <si>
    <t>Reporting subtotal</t>
  </si>
  <si>
    <r>
      <t xml:space="preserve">C. </t>
    </r>
    <r>
      <rPr>
        <u/>
        <sz val="10"/>
        <color rgb="FF000000"/>
        <rFont val="Times New Roman"/>
        <family val="1"/>
      </rPr>
      <t>Implement Activities</t>
    </r>
  </si>
  <si>
    <t xml:space="preserve">     Initial calculations and demonstrations</t>
  </si>
  <si>
    <r>
      <t xml:space="preserve">          TRE calculation for continuous process vents</t>
    </r>
    <r>
      <rPr>
        <vertAlign val="superscript"/>
        <sz val="10"/>
        <color rgb="FF000000"/>
        <rFont val="Times New Roman"/>
        <family val="1"/>
      </rPr>
      <t>m</t>
    </r>
  </si>
  <si>
    <r>
      <t xml:space="preserve">          Calculation of batch process vent emissions</t>
    </r>
    <r>
      <rPr>
        <vertAlign val="superscript"/>
        <sz val="10"/>
        <color rgb="FF000000"/>
        <rFont val="Times New Roman"/>
        <family val="1"/>
      </rPr>
      <t>n</t>
    </r>
  </si>
  <si>
    <r>
      <t xml:space="preserve">          Calculation of metal HAP emissions</t>
    </r>
    <r>
      <rPr>
        <vertAlign val="superscript"/>
        <sz val="10"/>
        <color rgb="FF000000"/>
        <rFont val="Times New Roman"/>
        <family val="1"/>
      </rPr>
      <t>o</t>
    </r>
  </si>
  <si>
    <r>
      <t xml:space="preserve">          Capacity and MTVP calculations for storage tanks</t>
    </r>
    <r>
      <rPr>
        <vertAlign val="superscript"/>
        <sz val="10"/>
        <color rgb="FF000000"/>
        <rFont val="Times New Roman"/>
        <family val="1"/>
      </rPr>
      <t>p</t>
    </r>
  </si>
  <si>
    <r>
      <t xml:space="preserve">          Inspection or seal gap measurement for storage tanks</t>
    </r>
    <r>
      <rPr>
        <vertAlign val="superscript"/>
        <sz val="10"/>
        <color rgb="FF000000"/>
        <rFont val="Times New Roman"/>
        <family val="1"/>
      </rPr>
      <t>q</t>
    </r>
  </si>
  <si>
    <r>
      <t xml:space="preserve">          Determination of HAP concentrations in  wastewater streams</t>
    </r>
    <r>
      <rPr>
        <vertAlign val="superscript"/>
        <sz val="10"/>
        <color rgb="FF000000"/>
        <rFont val="Times New Roman"/>
        <family val="1"/>
      </rPr>
      <t>r</t>
    </r>
  </si>
  <si>
    <t xml:space="preserve">     Recurring calculations and tracking requirements</t>
  </si>
  <si>
    <r>
      <t xml:space="preserve">          Quarterly CMPU management practice inspections</t>
    </r>
    <r>
      <rPr>
        <vertAlign val="superscript"/>
        <sz val="10"/>
        <color rgb="FF000000"/>
        <rFont val="Times New Roman"/>
        <family val="1"/>
      </rPr>
      <t>u</t>
    </r>
  </si>
  <si>
    <r>
      <t xml:space="preserve">D. </t>
    </r>
    <r>
      <rPr>
        <u/>
        <sz val="10"/>
        <color rgb="FF000000"/>
        <rFont val="Times New Roman"/>
        <family val="1"/>
      </rPr>
      <t>Develop Record System</t>
    </r>
  </si>
  <si>
    <r>
      <t xml:space="preserve">E. </t>
    </r>
    <r>
      <rPr>
        <u/>
        <sz val="10"/>
        <color rgb="FF000000"/>
        <rFont val="Times New Roman"/>
        <family val="1"/>
      </rPr>
      <t>Time to Enter Information</t>
    </r>
  </si>
  <si>
    <r>
      <t xml:space="preserve">     Operating parameters for control devices (batch and continuous process vents)</t>
    </r>
    <r>
      <rPr>
        <vertAlign val="superscript"/>
        <sz val="10"/>
        <color rgb="FF000000"/>
        <rFont val="Times New Roman"/>
        <family val="1"/>
      </rPr>
      <t>v</t>
    </r>
  </si>
  <si>
    <t xml:space="preserve">     Records of CMPU leak inspections</t>
  </si>
  <si>
    <t xml:space="preserve">F. Train Personnel </t>
  </si>
  <si>
    <t xml:space="preserve">     Initial</t>
  </si>
  <si>
    <t xml:space="preserve">     Refresher and new personnel</t>
  </si>
  <si>
    <r>
      <t xml:space="preserve">          Metal process vent emissions</t>
    </r>
    <r>
      <rPr>
        <vertAlign val="superscript"/>
        <sz val="10"/>
        <color rgb="FF000000"/>
        <rFont val="Times New Roman"/>
        <family val="1"/>
      </rPr>
      <t>t</t>
    </r>
  </si>
  <si>
    <r>
      <t xml:space="preserve">          Organic HAP batch process vent emissions</t>
    </r>
    <r>
      <rPr>
        <vertAlign val="superscript"/>
        <sz val="10"/>
        <color rgb="FF000000"/>
        <rFont val="Times New Roman"/>
        <family val="1"/>
      </rPr>
      <t>s</t>
    </r>
  </si>
  <si>
    <t>Recordkeeping subtotal</t>
  </si>
  <si>
    <r>
      <t xml:space="preserve">     Information related to bag leak detection systems</t>
    </r>
    <r>
      <rPr>
        <vertAlign val="superscript"/>
        <sz val="10"/>
        <color rgb="FF000000"/>
        <rFont val="Times New Roman"/>
        <family val="1"/>
      </rPr>
      <t>w</t>
    </r>
  </si>
  <si>
    <t>EPA Hours per Occurrence</t>
  </si>
  <si>
    <t>No. of occurrences
per plant
per year</t>
  </si>
  <si>
    <t>EPA hours
per plant
per year</t>
  </si>
  <si>
    <t>EPA
technical hours
per year</t>
  </si>
  <si>
    <t>EPA
managerial hours
per year</t>
  </si>
  <si>
    <t>EPA
clerical hours
per year</t>
  </si>
  <si>
    <r>
      <t>Attendance of Repeat Performance Tests</t>
    </r>
    <r>
      <rPr>
        <vertAlign val="superscript"/>
        <sz val="10"/>
        <color theme="1"/>
        <rFont val="Times New Roman"/>
        <family val="1"/>
      </rPr>
      <t>d</t>
    </r>
  </si>
  <si>
    <t>Report Review</t>
  </si>
  <si>
    <t>Subtotal</t>
  </si>
  <si>
    <r>
      <t xml:space="preserve">     Notification of construction/reconstruction</t>
    </r>
    <r>
      <rPr>
        <vertAlign val="superscript"/>
        <sz val="10"/>
        <color theme="1"/>
        <rFont val="Times New Roman"/>
        <family val="1"/>
      </rPr>
      <t>e</t>
    </r>
  </si>
  <si>
    <r>
      <t xml:space="preserve">     Semiannual compliance reports</t>
    </r>
    <r>
      <rPr>
        <vertAlign val="superscript"/>
        <sz val="10"/>
        <color theme="1"/>
        <rFont val="Times New Roman"/>
        <family val="1"/>
      </rPr>
      <t>h</t>
    </r>
  </si>
  <si>
    <r>
      <t xml:space="preserve">Table 2: Average Annual EPA </t>
    </r>
    <r>
      <rPr>
        <b/>
        <sz val="12"/>
        <color theme="1"/>
        <rFont val="Times New Roman"/>
        <family val="1"/>
      </rPr>
      <t>Burden and Cost – NESHAP for Chemical Manufacturing Area Sources (40 CFR Part 63, Subpart VVVVVV) (Renewal)</t>
    </r>
  </si>
  <si>
    <t>Table 1: Annual Respondent Burden and Cost – NESHAP for Chemical Manufacturing Area Sources (40 CFR Part 63, Subpart VVVVVV) (Renewal)</t>
  </si>
  <si>
    <t xml:space="preserve">     Records of inspections or seal gap measurements for storage tanks equipped with floating roofs</t>
  </si>
  <si>
    <t>Capital/Startup vs. Operation and Maintenance (O&amp;M) Costs</t>
  </si>
  <si>
    <t>(A)</t>
  </si>
  <si>
    <t>Continuous Monitoring Device</t>
  </si>
  <si>
    <t>(B)</t>
  </si>
  <si>
    <t>Capital/Startup Cost for One Respondent</t>
  </si>
  <si>
    <t>(C)</t>
  </si>
  <si>
    <t>(D)</t>
  </si>
  <si>
    <t>(E)</t>
  </si>
  <si>
    <t>Annual O&amp;M Costs for One Respondent</t>
  </si>
  <si>
    <t>(F)</t>
  </si>
  <si>
    <t>Number of Respondents  with O&amp;M</t>
  </si>
  <si>
    <t>(G)</t>
  </si>
  <si>
    <t>Total O&amp;M, (E X F)</t>
  </si>
  <si>
    <t>Number of New Respondents</t>
  </si>
  <si>
    <t>Assumptions:</t>
  </si>
  <si>
    <t>Total Capital/Startup Cost,  (B  X C)</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</si>
  <si>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</si>
  <si>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</si>
  <si>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</si>
  <si>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</si>
  <si>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</si>
  <si>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Number of Respondents</t>
  </si>
  <si>
    <t>(E=A+B+C-D)</t>
  </si>
  <si>
    <t>Average</t>
  </si>
  <si>
    <t>Information Collection Activity</t>
  </si>
  <si>
    <t>Number of Responses</t>
  </si>
  <si>
    <t>Number of Existing Respondents That Keep Records But Do Not Submit Reports</t>
  </si>
  <si>
    <t>Total Annual  Responses</t>
  </si>
  <si>
    <t>E=(BxC)+D</t>
  </si>
  <si>
    <t>Notification of construction/reconstruction</t>
  </si>
  <si>
    <t>Initial notification</t>
  </si>
  <si>
    <t>Notification of compliance status</t>
  </si>
  <si>
    <t>Semiannual compliance report</t>
  </si>
  <si>
    <t>Total Annual Responses</t>
  </si>
  <si>
    <t>.04</t>
  </si>
  <si>
    <t>Existing Respondents</t>
  </si>
  <si>
    <t>Only Organic HAP</t>
  </si>
  <si>
    <t>Only metal HAP</t>
  </si>
  <si>
    <t>ICR Renewal</t>
  </si>
  <si>
    <t>.05</t>
  </si>
  <si>
    <t>.05 Calc</t>
  </si>
  <si>
    <t>.06 Calc</t>
  </si>
  <si>
    <t>HAP Type Breakout</t>
  </si>
  <si>
    <t>Assuming 2% industry growth:</t>
  </si>
  <si>
    <r>
      <rPr>
        <vertAlign val="superscript"/>
        <sz val="10"/>
        <color theme="1"/>
        <rFont val="Times New Roman"/>
        <family val="1"/>
      </rPr>
      <t>v</t>
    </r>
    <r>
      <rPr>
        <sz val="10"/>
        <color theme="1"/>
        <rFont val="Times New Roman"/>
        <family val="1"/>
      </rPr>
      <t xml:space="preserve">  We estimate approximately 7% of sources of organic HAP emissions have continuous and batch process vents and are required to monitor operating parameters on control devices.  We also assume that when operating parameters must be monitored, sources will collect the data automatically, so that the only burden will be 0.25 hours per week to review results and verify proper system operation.</t>
    </r>
  </si>
  <si>
    <r>
      <rPr>
        <vertAlign val="superscript"/>
        <sz val="10"/>
        <color theme="1"/>
        <rFont val="Times New Roman"/>
        <family val="1"/>
      </rPr>
      <t>u</t>
    </r>
    <r>
      <rPr>
        <sz val="10"/>
        <color theme="1"/>
        <rFont val="Times New Roman"/>
        <family val="1"/>
      </rPr>
      <t xml:space="preserve">  Only new sources must comply over the 3-year period of this ICR.  We assume all new sources would be performing the required inspections in the absence of the rule; therefore, no burden is incurred as a result of the NESHAP.</t>
    </r>
  </si>
  <si>
    <r>
      <rPr>
        <vertAlign val="superscript"/>
        <sz val="10"/>
        <color theme="1"/>
        <rFont val="Times New Roman"/>
        <family val="1"/>
      </rPr>
      <t>t</t>
    </r>
    <r>
      <rPr>
        <sz val="10"/>
        <color theme="1"/>
        <rFont val="Times New Roman"/>
        <family val="1"/>
      </rPr>
      <t xml:space="preserve">  All sources having uncontrolled metal HAP emissions must track those emissions from metal process vents or track HAP usage.  However, only new sources must comply during the 3 years of this ICR.  We estimate 1 new source per year.</t>
    </r>
  </si>
  <si>
    <r>
      <rPr>
        <vertAlign val="superscript"/>
        <sz val="10"/>
        <color theme="1"/>
        <rFont val="Times New Roman"/>
        <family val="1"/>
      </rPr>
      <t>s</t>
    </r>
    <r>
      <rPr>
        <sz val="10"/>
        <color theme="1"/>
        <rFont val="Times New Roman"/>
        <family val="1"/>
      </rPr>
      <t xml:space="preserve">  We assume that 75 percent of sources with organic HAP emissions have batch process vents.  All organic HAP emissions sources with batch process vents, except those using control devices, must track emissions from batch process vents or HAP usage.  However, only new sources must comply during the 3 years of this ICR. We assume that none of these new sources will use control devices.</t>
    </r>
  </si>
  <si>
    <r>
      <rPr>
        <vertAlign val="superscript"/>
        <sz val="10"/>
        <color theme="1"/>
        <rFont val="Times New Roman"/>
        <family val="1"/>
      </rPr>
      <t>r</t>
    </r>
    <r>
      <rPr>
        <sz val="10"/>
        <color theme="1"/>
        <rFont val="Times New Roman"/>
        <family val="1"/>
      </rPr>
      <t xml:space="preserve">  We assume each source with organic HAP emissions has process wastewater and must determine HAP concentrations in each stream.  We also assume that 50 percent of sources will use process knowledge to characterize HAP concentrations.  The other 50 percent will use sampling and analysis, resulting in the incursion of capital costs but not labor costs.  Capital costs are calculated separately in this ICR, see Section 6(b).  </t>
    </r>
  </si>
  <si>
    <r>
      <rPr>
        <vertAlign val="superscript"/>
        <sz val="10"/>
        <color theme="1"/>
        <rFont val="Times New Roman"/>
        <family val="1"/>
      </rPr>
      <t>o</t>
    </r>
    <r>
      <rPr>
        <sz val="10"/>
        <color theme="1"/>
        <rFont val="Times New Roman"/>
        <family val="1"/>
      </rPr>
      <t xml:space="preserve">  We assume 2 new source per year with metal HAP emissions must calculate total metal HAP emissions.  </t>
    </r>
  </si>
  <si>
    <r>
      <rPr>
        <vertAlign val="superscript"/>
        <sz val="10"/>
        <color theme="1"/>
        <rFont val="Times New Roman"/>
        <family val="1"/>
      </rPr>
      <t>n</t>
    </r>
    <r>
      <rPr>
        <sz val="10"/>
        <color theme="1"/>
        <rFont val="Times New Roman"/>
        <family val="1"/>
      </rPr>
      <t xml:space="preserve">  Assume 75 percent of new sources with organic HAP emissions must calculate the total emissions from batch process vents.  We also assume that there are 25 steps per process and 1 batch process per facility, which corresponds to approximately 6 hours of effort per respondent.</t>
    </r>
  </si>
  <si>
    <r>
      <rPr>
        <vertAlign val="superscript"/>
        <sz val="10"/>
        <color theme="1"/>
        <rFont val="Times New Roman"/>
        <family val="1"/>
      </rPr>
      <t>m</t>
    </r>
    <r>
      <rPr>
        <sz val="10"/>
        <color theme="1"/>
        <rFont val="Times New Roman"/>
        <family val="1"/>
      </rPr>
      <t xml:space="preserve">  We assume that 25 percent of new sources with organic HAP emissions have continuous process vents, and that each source must calculate the total resource effectiveness (TRE) index.  </t>
    </r>
  </si>
  <si>
    <r>
      <rPr>
        <vertAlign val="superscript"/>
        <sz val="10"/>
        <color theme="1"/>
        <rFont val="Times New Roman"/>
        <family val="1"/>
      </rPr>
      <t>l</t>
    </r>
    <r>
      <rPr>
        <sz val="10"/>
        <color theme="1"/>
        <rFont val="Times New Roman"/>
        <family val="1"/>
      </rPr>
      <t xml:space="preserve">  We assume 20 percent of sources will meet the conditions requiring submittal of a semiannual compliance report.  Both existing and new sources must submit these reports.  </t>
    </r>
  </si>
  <si>
    <r>
      <rPr>
        <vertAlign val="superscript"/>
        <sz val="10"/>
        <color theme="1"/>
        <rFont val="Times New Roman"/>
        <family val="1"/>
      </rPr>
      <t>k</t>
    </r>
    <r>
      <rPr>
        <sz val="10"/>
        <color theme="1"/>
        <rFont val="Times New Roman"/>
        <family val="1"/>
      </rPr>
      <t xml:space="preserve">  We assume 2 hours per notification.  Also, per footnote f, we assume that 20 percent of sources will conduct performance testing.</t>
    </r>
  </si>
  <si>
    <r>
      <rPr>
        <vertAlign val="superscript"/>
        <sz val="10"/>
        <color theme="1"/>
        <rFont val="Times New Roman"/>
        <family val="1"/>
      </rPr>
      <t>j</t>
    </r>
    <r>
      <rPr>
        <sz val="10"/>
        <color theme="1"/>
        <rFont val="Times New Roman"/>
        <family val="1"/>
      </rPr>
      <t xml:space="preserve">  All new sources must submit notification of compliance status.  We assume that none of these sources will elect to comply with the overlapping rule provisions, which means no stringency determinations will be conducted (such determinations could double the cost of preparing the notification).</t>
    </r>
  </si>
  <si>
    <r>
      <rPr>
        <vertAlign val="superscript"/>
        <sz val="10"/>
        <color theme="1"/>
        <rFont val="Times New Roman"/>
        <family val="1"/>
      </rPr>
      <t>i</t>
    </r>
    <r>
      <rPr>
        <sz val="10"/>
        <color theme="1"/>
        <rFont val="Times New Roman"/>
        <family val="1"/>
      </rPr>
      <t xml:space="preserve">  All new sources must submit initial notification.  </t>
    </r>
  </si>
  <si>
    <r>
      <rPr>
        <vertAlign val="superscript"/>
        <sz val="10"/>
        <color theme="1"/>
        <rFont val="Times New Roman"/>
        <family val="1"/>
      </rPr>
      <t>h</t>
    </r>
    <r>
      <rPr>
        <sz val="10"/>
        <color theme="1"/>
        <rFont val="Times New Roman"/>
        <family val="1"/>
      </rPr>
      <t xml:space="preserve">  All new sources must submit notification of construction/reconstruction.  </t>
    </r>
  </si>
  <si>
    <r>
      <rPr>
        <vertAlign val="superscript"/>
        <sz val="10"/>
        <color theme="1"/>
        <rFont val="Times New Roman"/>
        <family val="1"/>
      </rPr>
      <t>g</t>
    </r>
    <r>
      <rPr>
        <sz val="10"/>
        <color theme="1"/>
        <rFont val="Times New Roman"/>
        <family val="1"/>
      </rPr>
      <t xml:space="preserve">  We assume 20 percent of performance tests must be repeated.  Per footnote f, we assume that only 1 new source per year having uncontrolled metal HAP emissions exceeding 400 lb/yr will become subject to the NESHAP, and that it will opt for design evaluation instead of performance testing.  Therefore, this ICR does not estimate the cost for a repeat performance test.</t>
    </r>
  </si>
  <si>
    <r>
      <rPr>
        <vertAlign val="superscript"/>
        <sz val="10"/>
        <color theme="1"/>
        <rFont val="Times New Roman"/>
        <family val="1"/>
      </rPr>
      <t>d</t>
    </r>
    <r>
      <rPr>
        <sz val="10"/>
        <color theme="1"/>
        <rFont val="Times New Roman"/>
        <family val="1"/>
      </rPr>
      <t xml:space="preserve">  All new sources with a chemical manufacturing process unit (CMPU) having uncontrolled metal HAP emissions exceeding 400 lb/yr must prepare a metal process vent monitoring plan.  The generally available control technologies or management practices (GACT) analysis conducted for the NESHAP estimated there to be 27 existing sources meeting this criterion.  Assuming an industry growth rate of 2%, we estimate that 1 new source per year (27 x 2% = 1, after rounding) will conduct this activity.</t>
    </r>
  </si>
  <si>
    <r>
      <rPr>
        <vertAlign val="superscript"/>
        <sz val="10"/>
        <rFont val="Times New Roman"/>
        <family val="1"/>
      </rPr>
      <t>c</t>
    </r>
    <r>
      <rPr>
        <sz val="10"/>
        <rFont val="Times New Roman"/>
        <family val="1"/>
      </rPr>
      <t xml:space="preserve">  We assume 80 percent of new sources with organic HAP emissions have heat exchange systems and will need to prepare a heat exchange system inspection or monitoring plan.  However, this cost was included as part of the heat exchange system monitoring program cost.</t>
    </r>
  </si>
  <si>
    <r>
      <rPr>
        <vertAlign val="superscript"/>
        <sz val="10"/>
        <color theme="1"/>
        <rFont val="Times New Roman"/>
        <family val="1"/>
      </rPr>
      <t>f</t>
    </r>
    <r>
      <rPr>
        <sz val="10"/>
        <color theme="1"/>
        <rFont val="Times New Roman"/>
        <family val="1"/>
      </rPr>
      <t xml:space="preserve">  Per footnote d, we estimate that 1 new source per year will have uncontrolled metal HAP emissions exceeding 400 lb/yr.  Each new source must demonstrate compliance by conducting either a performance test or a design evaluation.  Although a small percentage of new sources are expected to meet NESHAP emissions control requirements for process vents, we assume that none will be constructed over the 3-year period of this ICR.  We also assume that source technical staff will spend 24 hours on performance tests or 40 hours on design evaluations, and that 20 percent of sources will conduct performance testing while the remaining 80 percent will opt for design evaluation instead.  </t>
    </r>
  </si>
  <si>
    <t>Plants
per year</t>
  </si>
  <si>
    <r>
      <t>Total cost
per year</t>
    </r>
    <r>
      <rPr>
        <b/>
        <vertAlign val="superscript"/>
        <sz val="10"/>
        <color theme="1"/>
        <rFont val="Times New Roman"/>
        <family val="1"/>
      </rPr>
      <t xml:space="preserve">a
</t>
    </r>
    <r>
      <rPr>
        <b/>
        <sz val="10"/>
        <color theme="1"/>
        <rFont val="Times New Roman"/>
        <family val="1"/>
      </rPr>
      <t>($)</t>
    </r>
  </si>
  <si>
    <r>
      <rPr>
        <vertAlign val="superscript"/>
        <sz val="10"/>
        <color theme="1"/>
        <rFont val="Times New Roman"/>
        <family val="1"/>
      </rPr>
      <t>b</t>
    </r>
    <r>
      <rPr>
        <sz val="10"/>
        <color theme="1"/>
        <rFont val="Times New Roman"/>
        <family val="1"/>
      </rPr>
      <t xml:space="preserve">  All new sources with a chemical manufacturing process unit (CMPU) having uncontrolled metal HAP emissions exceeding 400 lb/yr must prepare a metal process vent monitoring plan.  The generally available control technologies or management practices (GACT) analysis conducted for the NESHAP estimated there to be 27 existing sources meeting this criterion.  Assuming an industry growth rate of 2%, we estimate that 1 new source per year (27 x 2% = 1, after rounding) will conduct this activity.</t>
    </r>
  </si>
  <si>
    <r>
      <rPr>
        <vertAlign val="superscript"/>
        <sz val="10"/>
        <color theme="1"/>
        <rFont val="Times New Roman"/>
        <family val="1"/>
      </rPr>
      <t>c</t>
    </r>
    <r>
      <rPr>
        <sz val="10"/>
        <color theme="1"/>
        <rFont val="Times New Roman"/>
        <family val="1"/>
      </rPr>
      <t xml:space="preserve">  Per footnote b, we estimate that 1 new source per year will have uncontrolled metal HAP emissions exceeding 400 lb/yr.  Each new source must demonstrate compliance by conducting either a performance test or a design evaluation.  Although a small percentage of new sources are expected to meet NESHAP emissions control requirements for process vents, we assume that none will be constructed over the 3-year period of this ICR.  We also assume that source technical staff will spend 24 hours on performance tests or 40 hours on design evaluations, and that 20 percent of sources will conduct performance testing while the remaining 80 percent will opt for design evaluation instead.  </t>
    </r>
  </si>
  <si>
    <r>
      <t>Attendance of Initial Performance Test</t>
    </r>
    <r>
      <rPr>
        <vertAlign val="superscript"/>
        <sz val="10"/>
        <color theme="1"/>
        <rFont val="Times New Roman"/>
        <family val="1"/>
      </rPr>
      <t>b,c</t>
    </r>
  </si>
  <si>
    <r>
      <rPr>
        <vertAlign val="superscript"/>
        <sz val="10"/>
        <color theme="1"/>
        <rFont val="Times New Roman"/>
        <family val="1"/>
      </rPr>
      <t>d</t>
    </r>
    <r>
      <rPr>
        <sz val="10"/>
        <color theme="1"/>
        <rFont val="Times New Roman"/>
        <family val="1"/>
      </rPr>
      <t xml:space="preserve">  We assume 20 percent of performance tests must be repeated.  Per footnote b, we assume that only 1 new source per year having uncontrolled metal HAP emissions exceeding 400 lb/yr will become subject to the NESHAP, and that it will opt for design evaluation instead of performance testing.  Therefore, this ICR does not estimate the cost for a repeat performance test.</t>
    </r>
  </si>
  <si>
    <r>
      <rPr>
        <vertAlign val="superscript"/>
        <sz val="10"/>
        <color theme="1"/>
        <rFont val="Times New Roman"/>
        <family val="1"/>
      </rPr>
      <t>e</t>
    </r>
    <r>
      <rPr>
        <sz val="10"/>
        <color theme="1"/>
        <rFont val="Times New Roman"/>
        <family val="1"/>
      </rPr>
      <t xml:space="preserve">  All new sources must submit notification of construction/reconstruction, initial notification, and notification of compliance status.  </t>
    </r>
  </si>
  <si>
    <r>
      <t xml:space="preserve">     Initial Notification</t>
    </r>
    <r>
      <rPr>
        <vertAlign val="superscript"/>
        <sz val="10"/>
        <color theme="1"/>
        <rFont val="Times New Roman"/>
        <family val="1"/>
      </rPr>
      <t>e</t>
    </r>
  </si>
  <si>
    <r>
      <t xml:space="preserve">     Notification of compliance status</t>
    </r>
    <r>
      <rPr>
        <vertAlign val="superscript"/>
        <sz val="10"/>
        <color theme="1"/>
        <rFont val="Times New Roman"/>
        <family val="1"/>
      </rPr>
      <t>e,f</t>
    </r>
  </si>
  <si>
    <r>
      <rPr>
        <vertAlign val="superscript"/>
        <sz val="10"/>
        <color theme="1"/>
        <rFont val="Times New Roman"/>
        <family val="1"/>
      </rPr>
      <t>f</t>
    </r>
    <r>
      <rPr>
        <sz val="10"/>
        <color theme="1"/>
        <rFont val="Times New Roman"/>
        <family val="1"/>
      </rPr>
      <t xml:space="preserve">  We assume that none of these sources will elect to comply with the overlapping rule provisions, which means no stringency determinations will be conducted (such determinations could double the cost of preparing the notification).</t>
    </r>
  </si>
  <si>
    <r>
      <rPr>
        <vertAlign val="superscript"/>
        <sz val="10"/>
        <color theme="1"/>
        <rFont val="Times New Roman"/>
        <family val="1"/>
      </rPr>
      <t>g</t>
    </r>
    <r>
      <rPr>
        <sz val="10"/>
        <color theme="1"/>
        <rFont val="Times New Roman"/>
        <family val="1"/>
      </rPr>
      <t xml:space="preserve">  Per footnote c, we assume that 20 percent of sources will conduct performance testing.</t>
    </r>
  </si>
  <si>
    <r>
      <rPr>
        <vertAlign val="superscript"/>
        <sz val="10"/>
        <color theme="1"/>
        <rFont val="Times New Roman"/>
        <family val="1"/>
      </rPr>
      <t>h</t>
    </r>
    <r>
      <rPr>
        <sz val="10"/>
        <color theme="1"/>
        <rFont val="Times New Roman"/>
        <family val="1"/>
      </rPr>
      <t xml:space="preserve">  We assume 20 percent of sources will meet the conditions requiring submittal of a semiannual compliance report.  Both existing and new sources must submit these reports.  </t>
    </r>
  </si>
  <si>
    <r>
      <t xml:space="preserve">     Notification of initial test</t>
    </r>
    <r>
      <rPr>
        <vertAlign val="superscript"/>
        <sz val="10"/>
        <color theme="1"/>
        <rFont val="Times New Roman"/>
        <family val="1"/>
      </rPr>
      <t>g</t>
    </r>
  </si>
  <si>
    <r>
      <t xml:space="preserve">     Review test results</t>
    </r>
    <r>
      <rPr>
        <vertAlign val="superscript"/>
        <sz val="10"/>
        <color theme="1"/>
        <rFont val="Times New Roman"/>
        <family val="1"/>
      </rPr>
      <t>g</t>
    </r>
  </si>
  <si>
    <r>
      <rPr>
        <vertAlign val="superscript"/>
        <sz val="10"/>
        <rFont val="Times New Roman"/>
        <family val="1"/>
      </rPr>
      <t>x</t>
    </r>
    <r>
      <rPr>
        <sz val="10"/>
        <rFont val="Times New Roman"/>
        <family val="1"/>
      </rPr>
      <t xml:space="preserve"> Totals have been rounded to 3 significant figures.  Figures may not add exactly due to rounding.</t>
    </r>
  </si>
  <si>
    <r>
      <t xml:space="preserve">TOTAL COST: </t>
    </r>
    <r>
      <rPr>
        <b/>
        <vertAlign val="superscript"/>
        <sz val="10"/>
        <rFont val="Times New Roman"/>
        <family val="1"/>
      </rPr>
      <t>x</t>
    </r>
  </si>
  <si>
    <r>
      <t xml:space="preserve">Capital and O&amp;M Cost (see Section 6(b)(iii)): </t>
    </r>
    <r>
      <rPr>
        <b/>
        <vertAlign val="superscript"/>
        <sz val="10"/>
        <rFont val="Times New Roman"/>
        <family val="1"/>
      </rPr>
      <t>x</t>
    </r>
  </si>
  <si>
    <r>
      <t xml:space="preserve">TOTAL ANNUAL BURDEN </t>
    </r>
    <r>
      <rPr>
        <b/>
        <vertAlign val="superscript"/>
        <sz val="10"/>
        <color rgb="FF000000"/>
        <rFont val="Times New Roman"/>
        <family val="1"/>
      </rPr>
      <t>x</t>
    </r>
  </si>
  <si>
    <t>HR/RESP</t>
  </si>
  <si>
    <r>
      <rPr>
        <vertAlign val="superscript"/>
        <sz val="10"/>
        <color theme="1"/>
        <rFont val="Times New Roman"/>
        <family val="1"/>
      </rPr>
      <t>j</t>
    </r>
    <r>
      <rPr>
        <sz val="10"/>
        <color theme="1"/>
        <rFont val="Times New Roman"/>
        <family val="1"/>
      </rPr>
      <t xml:space="preserve"> Totals have been rounded to 3 significant figures.  Figures may not add exactly due to rounding.</t>
    </r>
  </si>
  <si>
    <r>
      <t xml:space="preserve">Travel Expenses </t>
    </r>
    <r>
      <rPr>
        <vertAlign val="superscript"/>
        <sz val="10"/>
        <color theme="1"/>
        <rFont val="Times New Roman"/>
        <family val="1"/>
      </rPr>
      <t>i</t>
    </r>
  </si>
  <si>
    <r>
      <t xml:space="preserve">TOTAL ANNUAL BURDEN </t>
    </r>
    <r>
      <rPr>
        <b/>
        <vertAlign val="superscript"/>
        <sz val="10"/>
        <color rgb="FF000000"/>
        <rFont val="Times New Roman"/>
        <family val="1"/>
      </rPr>
      <t>j</t>
    </r>
  </si>
  <si>
    <r>
      <t>Metal process vent performance tests</t>
    </r>
    <r>
      <rPr>
        <vertAlign val="superscript"/>
        <sz val="10"/>
        <rFont val="Times New Roman"/>
        <family val="1"/>
      </rPr>
      <t>1,2</t>
    </r>
  </si>
  <si>
    <r>
      <t>i</t>
    </r>
    <r>
      <rPr>
        <sz val="10"/>
        <color rgb="FF000000"/>
        <rFont val="Times New Roman"/>
        <family val="1"/>
      </rPr>
      <t xml:space="preserve"> Travel Expenses = (1 person x 0.2 plants/year x 3 days/plant x $50 per diem) + ($500 round trip/plant x 0.2 plants/year) = $130/year.</t>
    </r>
  </si>
  <si>
    <r>
      <t xml:space="preserve">A. </t>
    </r>
    <r>
      <rPr>
        <u/>
        <sz val="10"/>
        <color rgb="FF000000"/>
        <rFont val="Times New Roman"/>
        <family val="1"/>
      </rPr>
      <t>Familiarize with Rule Requirements</t>
    </r>
    <r>
      <rPr>
        <vertAlign val="superscript"/>
        <sz val="10"/>
        <color rgb="FF000000"/>
        <rFont val="Times New Roman"/>
        <family val="1"/>
      </rPr>
      <t>e</t>
    </r>
  </si>
  <si>
    <t>Notification of initial performance test</t>
  </si>
  <si>
    <t>Emissions Type</t>
  </si>
  <si>
    <t>Only Metal HAP</t>
  </si>
  <si>
    <t>Both HAP</t>
  </si>
  <si>
    <t>New Respondents</t>
  </si>
  <si>
    <r>
      <t>1</t>
    </r>
    <r>
      <rPr>
        <sz val="10"/>
        <color rgb="FF000000"/>
        <rFont val="Times New Roman"/>
        <family val="1"/>
      </rPr>
      <t xml:space="preserve"> All new sources with a chemical manufacturing process unit (CMPU) having uncontrolled metal HAP emissions exceeding 400 lb/yr must prepare a metal process vent monitoring plan. The generally available control technologies or management practices (GACT) analysis conducted for the NESHAP estimated there to be 27 existing sources meeting this criterion. Assuming an industry growth rate of 2%, we estimate that 1 new source per year (27 x 2% = 1, after rounding) will conduct this activity.</t>
    </r>
  </si>
  <si>
    <r>
      <t>2</t>
    </r>
    <r>
      <rPr>
        <sz val="10"/>
        <color rgb="FF000000"/>
        <rFont val="Times New Roman"/>
        <family val="1"/>
      </rPr>
      <t xml:space="preserve"> Per footnote 1, we estimate that 1 new source per year will have uncontrolled metal HAP emissions exceeding 400 lb/yr. Each new source must demonstrate compliance by conducting either a performance test or a design evaluation. We assume that 20 percent of sources will conduct performance testing while the remaining 80 percent will opt for design evaluation instead. Assumes average cost for a performance test using Method 5 is $8,740 per test.</t>
    </r>
  </si>
  <si>
    <r>
      <t>3</t>
    </r>
    <r>
      <rPr>
        <sz val="10"/>
        <color theme="1"/>
        <rFont val="Times New Roman"/>
        <family val="1"/>
      </rPr>
      <t xml:space="preserve"> </t>
    </r>
    <r>
      <rPr>
        <sz val="10"/>
        <color rgb="FF000000"/>
        <rFont val="Times New Roman"/>
        <family val="1"/>
      </rPr>
      <t>Assumes each source with a control device for metal process vents uses a fabric filter. Assumes total purchase and installation costs for a bag leak detection system is $17,533.</t>
    </r>
    <r>
      <rPr>
        <sz val="12"/>
        <color rgb="FF000000"/>
        <rFont val="Times New Roman"/>
        <family val="1"/>
      </rPr>
      <t xml:space="preserve"> </t>
    </r>
  </si>
  <si>
    <t>0$</t>
  </si>
  <si>
    <t>Existing &amp; New</t>
  </si>
  <si>
    <t>.07 Calc</t>
  </si>
  <si>
    <t>Number of Respondents (.06)</t>
  </si>
  <si>
    <t>Number of Respondents (.07)</t>
  </si>
  <si>
    <r>
      <t xml:space="preserve">Number of New Respondents </t>
    </r>
    <r>
      <rPr>
        <vertAlign val="superscript"/>
        <sz val="10"/>
        <color rgb="FF0070C0"/>
        <rFont val="Times New Roman"/>
        <family val="1"/>
      </rPr>
      <t>1</t>
    </r>
  </si>
  <si>
    <t>Number of Respondents by Emissions Type (.06)</t>
  </si>
  <si>
    <t>Number of Respondents by Emissions Type (.07)</t>
  </si>
  <si>
    <t>New Sources for .07</t>
  </si>
  <si>
    <r>
      <t xml:space="preserve">A. </t>
    </r>
    <r>
      <rPr>
        <u/>
        <sz val="10"/>
        <color rgb="FF000000"/>
        <rFont val="Times New Roman"/>
        <family val="1"/>
      </rPr>
      <t xml:space="preserve">Familiarize with Rule Requirement </t>
    </r>
    <r>
      <rPr>
        <vertAlign val="superscript"/>
        <sz val="10"/>
        <color rgb="FF000000"/>
        <rFont val="Times New Roman"/>
        <family val="1"/>
      </rPr>
      <t>e</t>
    </r>
  </si>
  <si>
    <t>&lt;-- adjust this value (in cell F6 above as well) according to updated technical rate</t>
  </si>
  <si>
    <t>b.  This ICR uses the following labor rates: Technical $117.92 ($56.15 + 110%); Managerial $147.40 ($70.19+ 110%); and Clerical $57.02 ($27.15 + 110%).  These rates are from the United States Department of Labor, Bureau of Labor Statistics, June 2018, “Table 2. Civilian Workers, by occupational and industry group.”  The rates are from column 1, “Total compensation.”  The rates have been increased by 110 percent to account for the benefit packages available to those employed by private industry.  This ICR assumes that Managerial hours are 5 percent of Technical hours, and Clerical hours are 10 percent of Technical hours.</t>
  </si>
  <si>
    <r>
      <rPr>
        <vertAlign val="superscript"/>
        <sz val="10"/>
        <color theme="1"/>
        <rFont val="Times New Roman"/>
        <family val="1"/>
      </rPr>
      <t xml:space="preserve">a </t>
    </r>
    <r>
      <rPr>
        <sz val="10"/>
        <color theme="1"/>
        <rFont val="Times New Roman"/>
        <family val="1"/>
      </rPr>
      <t>This cost is based on the average hourly labor rate as follows: Technical $48.75 (GS-12, Step 1, $30.47 + 60%); Managerial $65.71 (GS-13, Step 5, $41.07 + 60%); and Clerical $26.38 (GS-6, Step 3, $16.49 + 60%).  This ICR assumes that Managerial hours are 5 percent of Technical hours, and Clerical hours are 10 percent of Technical hours.  These rates are from the OPM, 2018 General Schedule, which excludes locality rates of pay.  The rates have been increased by 60 percent to account for the benefit packages available to government employees.</t>
    </r>
  </si>
  <si>
    <t>Included in 3A</t>
  </si>
  <si>
    <r>
      <rPr>
        <vertAlign val="superscript"/>
        <sz val="10"/>
        <color theme="1"/>
        <rFont val="Times New Roman"/>
        <family val="1"/>
      </rPr>
      <t>a</t>
    </r>
    <r>
      <rPr>
        <sz val="10"/>
        <color theme="1"/>
        <rFont val="Times New Roman"/>
        <family val="1"/>
      </rPr>
      <t xml:space="preserve">  Over the next three years, approximately 518 existing respondents per year will be subject to the standard, and 10 additional respondents per year will become subject to the standard (assumin</t>
    </r>
    <r>
      <rPr>
        <sz val="10"/>
        <rFont val="Times New Roman"/>
        <family val="1"/>
      </rPr>
      <t>g approximately</t>
    </r>
    <r>
      <rPr>
        <sz val="10"/>
        <color theme="1"/>
        <rFont val="Times New Roman"/>
        <family val="1"/>
      </rPr>
      <t xml:space="preserve"> 2 percent growth per year).  Of these existing respondents (and new respondents), 261 have only organic HAP emissions (5 new respondents), 204 have only metal HAP emissions (4 new respondents), and 53 have both types of emissions (1 new respondent).</t>
    </r>
  </si>
  <si>
    <r>
      <rPr>
        <vertAlign val="superscript"/>
        <sz val="10"/>
        <rFont val="Times New Roman"/>
        <family val="1"/>
      </rPr>
      <t>e</t>
    </r>
    <r>
      <rPr>
        <sz val="10"/>
        <rFont val="Times New Roman"/>
        <family val="1"/>
      </rPr>
      <t xml:space="preserve">  We assume all facilities will spend an average of 8 hours per facility to read and understand monitoring, recordkeeping, and reporting requirements. </t>
    </r>
  </si>
  <si>
    <r>
      <rPr>
        <vertAlign val="superscript"/>
        <sz val="10"/>
        <color theme="1"/>
        <rFont val="Times New Roman"/>
        <family val="1"/>
      </rPr>
      <t>p</t>
    </r>
    <r>
      <rPr>
        <sz val="10"/>
        <color theme="1"/>
        <rFont val="Times New Roman"/>
        <family val="1"/>
      </rPr>
      <t xml:space="preserve"> Records of tank dimensions, capacity, and maximum true vapor pressure (MTVP) are required for all storage tanks requiring control.  We also assume no storage tanks at new sources meet the thresholds for control over the 3-year period of this ICR.</t>
    </r>
  </si>
  <si>
    <r>
      <rPr>
        <vertAlign val="superscript"/>
        <sz val="10"/>
        <color theme="1"/>
        <rFont val="Times New Roman"/>
        <family val="1"/>
      </rPr>
      <t>q</t>
    </r>
    <r>
      <rPr>
        <sz val="10"/>
        <color theme="1"/>
        <rFont val="Times New Roman"/>
        <family val="1"/>
      </rPr>
      <t xml:space="preserve">   We assume no storage tanks at new sources meet the thresholds for control over the 3-year period of this ICR.</t>
    </r>
  </si>
  <si>
    <r>
      <rPr>
        <vertAlign val="superscript"/>
        <sz val="10"/>
        <color theme="1"/>
        <rFont val="Times New Roman"/>
        <family val="1"/>
      </rPr>
      <t>w</t>
    </r>
    <r>
      <rPr>
        <sz val="10"/>
        <color theme="1"/>
        <rFont val="Times New Roman"/>
        <family val="1"/>
      </rPr>
      <t xml:space="preserve">  All sources using a baghouse to control metal HAP emissions must keep records of bag leak detection systems.  We estimate new and existing sources with metal HAP emissions use a baghouse system.</t>
    </r>
  </si>
  <si>
    <t>Included in 4C</t>
  </si>
  <si>
    <t xml:space="preserve">     Records of heat exchange system monitoring</t>
  </si>
  <si>
    <t>Included in 2</t>
  </si>
  <si>
    <r>
      <t>4</t>
    </r>
    <r>
      <rPr>
        <sz val="10"/>
        <color rgb="FF000000"/>
        <rFont val="Times New Roman"/>
        <family val="1"/>
      </rPr>
      <t xml:space="preserve"> We assume all metal HAP emissions sources will spend $1,219 per bag leak detection system per year. We estimate that each source also will spend $4,245 per year to operate and maintain these systems, assuming 36 hours per year and technical labor rate of $117.92 per hour (36 hr/yr x $117.92/hr = $4,245/yr, after rounding). The total annual O&amp;M cost is $5,464 per source. </t>
    </r>
  </si>
  <si>
    <r>
      <t>Fabric filter for metal process vents</t>
    </r>
    <r>
      <rPr>
        <vertAlign val="superscript"/>
        <sz val="10"/>
        <rFont val="Times New Roman"/>
        <family val="1"/>
      </rPr>
      <t>1,2,3,4,5</t>
    </r>
  </si>
  <si>
    <r>
      <t>Batch process vent and continuous process vent performance tests</t>
    </r>
    <r>
      <rPr>
        <vertAlign val="superscript"/>
        <sz val="10"/>
        <color theme="1"/>
        <rFont val="Times New Roman"/>
        <family val="1"/>
      </rPr>
      <t>6</t>
    </r>
  </si>
  <si>
    <r>
      <t>Temperature monitoring system for batch and continuous process vents</t>
    </r>
    <r>
      <rPr>
        <vertAlign val="superscript"/>
        <sz val="10"/>
        <color theme="1"/>
        <rFont val="Times New Roman"/>
        <family val="1"/>
      </rPr>
      <t>7</t>
    </r>
  </si>
  <si>
    <r>
      <t>Initial wastewater sampling and analysis</t>
    </r>
    <r>
      <rPr>
        <vertAlign val="superscript"/>
        <sz val="10"/>
        <rFont val="Times New Roman"/>
        <family val="1"/>
      </rPr>
      <t>8</t>
    </r>
  </si>
  <si>
    <r>
      <t>Cooling water sampling and analysis</t>
    </r>
    <r>
      <rPr>
        <vertAlign val="superscript"/>
        <sz val="10"/>
        <color rgb="FF000000"/>
        <rFont val="Times New Roman"/>
        <family val="1"/>
      </rPr>
      <t>9</t>
    </r>
  </si>
  <si>
    <r>
      <t>Total</t>
    </r>
    <r>
      <rPr>
        <vertAlign val="superscript"/>
        <sz val="10"/>
        <rFont val="Times New Roman"/>
        <family val="1"/>
      </rPr>
      <t>10</t>
    </r>
  </si>
  <si>
    <r>
      <t xml:space="preserve">5 </t>
    </r>
    <r>
      <rPr>
        <sz val="10"/>
        <color rgb="FF000000"/>
        <rFont val="Times New Roman"/>
        <family val="1"/>
      </rPr>
      <t>We estimate all new and existing sources with metal HAP emissions use a baghouse system. This includes 204 existing and 4 new sources with only metal HAP emissions and 53 existing sources and 1 new source with both metal and organic HAP emissions, for a total of 262 sources.</t>
    </r>
  </si>
  <si>
    <r>
      <t>7</t>
    </r>
    <r>
      <rPr>
        <sz val="10"/>
        <color theme="1"/>
        <rFont val="Times New Roman"/>
        <family val="1"/>
      </rPr>
      <t>Assumes a temperature monitoring system is needed for each control device used to control batch process vents or continuous process vents. Assumes the monitoring equipment cost is $3,620 per system</t>
    </r>
    <r>
      <rPr>
        <vertAlign val="superscript"/>
        <sz val="10"/>
        <color rgb="FF000000"/>
        <rFont val="Times New Roman"/>
        <family val="1"/>
      </rPr>
      <t>.</t>
    </r>
  </si>
  <si>
    <r>
      <t>8</t>
    </r>
    <r>
      <rPr>
        <sz val="10"/>
        <color rgb="FF000000"/>
        <rFont val="Times New Roman"/>
        <family val="1"/>
      </rPr>
      <t>We assume all sources with organic HAP emissions have process wastewater and must determine HAP concentrations in each stream. We also assume that 50 percent will use sampling and analysis, resulting in the incursion of capital costs. The other 50 percent of sources will use process knowledge to characterize HAP concentrations (i.e., no capital costs). Assuming an average of 2 streams per source and 1 sample per stream, we estimate a total cost of $3,370 per source (2 streams/source x 1 sample/stream x $435/sample + $125/hr x 20 hr/source = $3,370/source).</t>
    </r>
  </si>
  <si>
    <r>
      <rPr>
        <vertAlign val="superscript"/>
        <sz val="10"/>
        <color rgb="FF000000"/>
        <rFont val="Times New Roman"/>
        <family val="1"/>
      </rPr>
      <t>9</t>
    </r>
    <r>
      <rPr>
        <sz val="10"/>
        <color rgb="FF000000"/>
        <rFont val="Times New Roman"/>
        <family val="1"/>
      </rPr>
      <t>Assumes cost of sampling and analysis is part of the monitoring program cost.</t>
    </r>
  </si>
  <si>
    <r>
      <t xml:space="preserve">10 </t>
    </r>
    <r>
      <rPr>
        <sz val="10"/>
        <color theme="1"/>
        <rFont val="Times New Roman"/>
        <family val="1"/>
      </rPr>
      <t>Totals have been rounded to 3 significant figures. Figures may not add exactly due to rounding.</t>
    </r>
  </si>
  <si>
    <r>
      <t xml:space="preserve">6 </t>
    </r>
    <r>
      <rPr>
        <sz val="10"/>
        <color rgb="FF000000"/>
        <rFont val="Times New Roman"/>
        <family val="1"/>
      </rPr>
      <t>Assumes 33 sources have a temperature monitoring system for process vents, including 5 existing sources have with continuous process vents and, 28 existing sources have with batch process vents, and (we assume no new sources in the 3 years of this ICR have subject batch or continuous process vents). Assumes average cost for a performance test using Method 18 is $24,420.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</si>
</sst>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7" formatCode="&quot;$&quot;#,##0.00_);\(&quot;$&quot;#,##0.00\)"/>
    <numFmt numFmtId="164" formatCode="0.0"/>
    <numFmt numFmtId="165" formatCode="#,##0.0"/>
    <numFmt numFmtId="166" formatCode="&quot;$&quot;#,##0.00"/>
    <numFmt numFmtId="167" formatCode="&quot;$&quot;#,##0"/>
    <numFmt numFmtId="168" formatCode="0.000000000"/>
  </numFmts>
  <fonts count="49" x14ac:knownFonts="1">
    <font>
      <sz val="11"/>
      <color theme="1"/>
      <name val="Calibri"/>
      <family val="2"/>
      <scheme val="minor"/>
    </font>
    <font>
      <sz val="10"/>
      <color theme="1"/>
      <name val="Times New Roman"/>
      <family val="1"/>
    </font>
    <font>
      <sz val="10"/>
      <color rgb="FF000000"/>
      <name val="Times New Roman"/>
      <family val="1"/>
    </font>
    <font>
      <vertAlign val="superscript"/>
      <sz val="10"/>
      <color rgb="FF000000"/>
      <name val="Times New Roman"/>
      <family val="1"/>
    </font>
    <font>
      <u/>
      <sz val="10"/>
      <color rgb="FF000000"/>
      <name val="Times New Roman"/>
      <family val="1"/>
    </font>
    <font>
      <sz val="10"/>
      <color theme="1"/>
      <name val="Arial"/>
      <family val="2"/>
    </font>
    <font>
      <vertAlign val="superscript"/>
      <sz val="10"/>
      <color theme="1"/>
      <name val="Times New Roman"/>
      <family val="1"/>
    </font>
    <font>
      <sz val="11"/>
      <color theme="1"/>
      <name val="Times New Roman"/>
      <family val="1"/>
    </font>
    <font>
      <b/>
      <sz val="9"/>
      <color theme="1"/>
      <name val="Times New Roman"/>
      <family val="1"/>
    </font>
    <font>
      <b/>
      <sz val="9"/>
      <name val="Times New Roman"/>
      <family val="1"/>
    </font>
    <font>
      <b/>
      <vertAlign val="superscript"/>
      <sz val="9"/>
      <name val="Times New Roman"/>
      <family val="1"/>
    </font>
    <font>
      <b/>
      <sz val="10"/>
      <color rgb="FF000000"/>
      <name val="Times New Roman"/>
      <family val="1"/>
    </font>
    <font>
      <sz val="10"/>
      <name val="Times New Roman"/>
      <family val="1"/>
    </font>
    <font>
      <sz val="11"/>
      <name val="Calibri"/>
      <family val="2"/>
      <scheme val="minor"/>
    </font>
    <font>
      <b/>
      <sz val="10"/>
      <color theme="1"/>
      <name val="Times New Roman"/>
      <family val="1"/>
    </font>
    <font>
      <b/>
      <vertAlign val="superscript"/>
      <sz val="10"/>
      <color theme="1"/>
      <name val="Times New Roman"/>
      <family val="1"/>
    </font>
    <font>
      <b/>
      <sz val="12"/>
      <color rgb="FF000000"/>
      <name val="Times New Roman"/>
      <family val="1"/>
    </font>
    <font>
      <b/>
      <sz val="12"/>
      <color theme="1"/>
      <name val="Times New Roman"/>
      <family val="1"/>
    </font>
    <font>
      <sz val="10"/>
      <name val="Arial"/>
      <family val="2"/>
    </font>
    <font>
      <vertAlign val="superscript"/>
      <sz val="10"/>
      <name val="Times New Roman"/>
      <family val="1"/>
    </font>
    <font>
      <sz val="10"/>
      <color theme="1"/>
      <name val="Calibri"/>
      <family val="2"/>
      <scheme val="minor"/>
    </font>
    <font>
      <sz val="10"/>
      <color rgb="FFFF0000"/>
      <name val="Times New Roman"/>
      <family val="1"/>
    </font>
    <font>
      <sz val="10"/>
      <color rgb="FFFF0000"/>
      <name val="Calibri"/>
      <family val="2"/>
      <scheme val="minor"/>
    </font>
    <font>
      <sz val="10"/>
      <color rgb="FF0070C0"/>
      <name val="Calibri"/>
      <family val="2"/>
      <scheme val="minor"/>
    </font>
    <font>
      <sz val="10"/>
      <color rgb="FF0070C0"/>
      <name val="Times New Roman"/>
      <family val="1"/>
    </font>
    <font>
      <b/>
      <sz val="10"/>
      <name val="Times New Roman"/>
      <family val="1"/>
    </font>
    <font>
      <sz val="11"/>
      <name val="Times New Roman"/>
      <family val="1"/>
    </font>
    <font>
      <sz val="9"/>
      <color rgb="FF000000"/>
      <name val="Times New Roman"/>
      <family val="1"/>
    </font>
    <font>
      <sz val="9"/>
      <color theme="1"/>
      <name val="Times New Roman"/>
      <family val="1"/>
    </font>
    <font>
      <b/>
      <sz val="11"/>
      <color theme="1"/>
      <name val="Times New Roman"/>
      <family val="1"/>
    </font>
    <font>
      <b/>
      <sz val="9"/>
      <color rgb="FF000000"/>
      <name val="Times New Roman"/>
      <family val="1"/>
    </font>
    <font>
      <b/>
      <vertAlign val="superscript"/>
      <sz val="10"/>
      <color rgb="FF000000"/>
      <name val="Times New Roman"/>
      <family val="1"/>
    </font>
    <font>
      <i/>
      <sz val="11"/>
      <color theme="1"/>
      <name val="Calibri"/>
      <family val="2"/>
      <scheme val="minor"/>
    </font>
    <font>
      <b/>
      <i/>
      <sz val="10"/>
      <color rgb="FF000000"/>
      <name val="Times New Roman"/>
      <family val="1"/>
    </font>
    <font>
      <i/>
      <sz val="10"/>
      <color rgb="FF000000"/>
      <name val="Times New Roman"/>
      <family val="1"/>
    </font>
    <font>
      <i/>
      <sz val="10"/>
      <color theme="1"/>
      <name val="Calibri"/>
      <family val="2"/>
      <scheme val="minor"/>
    </font>
    <font>
      <i/>
      <sz val="10"/>
      <name val="Times New Roman"/>
      <family val="1"/>
    </font>
    <font>
      <b/>
      <i/>
      <sz val="10"/>
      <name val="Times New Roman"/>
      <family val="1"/>
    </font>
    <font>
      <i/>
      <sz val="10"/>
      <color rgb="FF0070C0"/>
      <name val="Calibri"/>
      <family val="2"/>
      <scheme val="minor"/>
    </font>
    <font>
      <b/>
      <vertAlign val="superscript"/>
      <sz val="10"/>
      <name val="Times New Roman"/>
      <family val="1"/>
    </font>
    <font>
      <b/>
      <u/>
      <sz val="10"/>
      <color theme="1"/>
      <name val="Times New Roman"/>
      <family val="1"/>
    </font>
    <font>
      <sz val="12"/>
      <color theme="1"/>
      <name val="Times New Roman"/>
      <family val="1"/>
    </font>
    <font>
      <sz val="12"/>
      <color rgb="FF000000"/>
      <name val="Times New Roman"/>
      <family val="1"/>
    </font>
    <font>
      <b/>
      <sz val="11"/>
      <color rgb="FF0070C0"/>
      <name val="Times New Roman"/>
      <family val="1"/>
    </font>
    <font>
      <sz val="11"/>
      <color rgb="FF0070C0"/>
      <name val="Calibri"/>
      <family val="2"/>
      <scheme val="minor"/>
    </font>
    <font>
      <sz val="9"/>
      <color rgb="FF0070C0"/>
      <name val="Times New Roman"/>
      <family val="1"/>
    </font>
    <font>
      <vertAlign val="superscript"/>
      <sz val="10"/>
      <color rgb="FF0070C0"/>
      <name val="Times New Roman"/>
      <family val="1"/>
    </font>
    <font>
      <b/>
      <sz val="12"/>
      <color rgb="FF0070C0"/>
      <name val="Times New Roman"/>
      <family val="1"/>
    </font>
    <font>
      <b/>
      <sz val="10"/>
      <color rgb="FF0070C0"/>
      <name val="Times New Roman"/>
      <family val="1"/>
    </font>
  </fonts>
  <fills count="4">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245">
    <xf numFmtId="0" fontId="0" fillId="0" borderId="0" xfId="0"/>
    <xf numFmtId="0" fontId="1" fillId="0" borderId="0" xfId="0" applyFont="1"/>
    <xf numFmtId="0" fontId="7" fillId="0" borderId="0" xfId="0" applyFont="1" applyBorder="1"/>
    <xf numFmtId="0" fontId="7" fillId="0" borderId="0" xfId="0" applyFont="1" applyFill="1"/>
    <xf numFmtId="0" fontId="7" fillId="0" borderId="0" xfId="0" applyFont="1"/>
    <xf numFmtId="0" fontId="0" fillId="0" borderId="0" xfId="0" applyBorder="1"/>
    <xf numFmtId="0" fontId="13" fillId="0" borderId="0" xfId="0" applyFont="1"/>
    <xf numFmtId="165" fontId="13" fillId="0" borderId="0" xfId="0" applyNumberFormat="1" applyFont="1"/>
    <xf numFmtId="0" fontId="16" fillId="0" borderId="0" xfId="0" applyFont="1"/>
    <xf numFmtId="0" fontId="17" fillId="0" borderId="0" xfId="0" applyFont="1"/>
    <xf numFmtId="0" fontId="2" fillId="0" borderId="1" xfId="0" applyFont="1" applyFill="1" applyBorder="1" applyAlignment="1">
      <alignment vertical="top" wrapText="1"/>
    </xf>
    <xf numFmtId="0" fontId="2" fillId="0" borderId="1" xfId="0" applyFont="1" applyFill="1" applyBorder="1" applyAlignment="1">
      <alignment horizontal="center" vertical="top" wrapText="1"/>
    </xf>
    <xf numFmtId="0" fontId="2" fillId="0" borderId="1" xfId="0" applyFont="1" applyFill="1" applyBorder="1"/>
    <xf numFmtId="0" fontId="2" fillId="0" borderId="1" xfId="0" applyFont="1" applyFill="1" applyBorder="1" applyAlignment="1">
      <alignment wrapText="1"/>
    </xf>
    <xf numFmtId="0" fontId="1" fillId="0" borderId="1" xfId="0" applyFont="1" applyFill="1" applyBorder="1" applyAlignment="1">
      <alignment vertical="top" wrapText="1"/>
    </xf>
    <xf numFmtId="0" fontId="1" fillId="0" borderId="1" xfId="0" applyFont="1" applyFill="1" applyBorder="1" applyAlignment="1">
      <alignment horizontal="center" wrapText="1"/>
    </xf>
    <xf numFmtId="0" fontId="12" fillId="0" borderId="1" xfId="0" applyFont="1" applyFill="1" applyBorder="1" applyAlignment="1">
      <alignment horizontal="center" wrapText="1"/>
    </xf>
    <xf numFmtId="0" fontId="11" fillId="0" borderId="4" xfId="0" applyFont="1" applyFill="1" applyBorder="1" applyAlignment="1">
      <alignment vertical="top" wrapText="1"/>
    </xf>
    <xf numFmtId="0" fontId="1" fillId="0" borderId="5" xfId="0" applyFont="1" applyFill="1" applyBorder="1" applyAlignment="1">
      <alignment horizontal="center" wrapText="1"/>
    </xf>
    <xf numFmtId="0" fontId="1" fillId="0" borderId="5" xfId="0" applyFont="1" applyFill="1" applyBorder="1" applyAlignment="1">
      <alignment horizontal="center" vertical="top" wrapText="1"/>
    </xf>
    <xf numFmtId="0" fontId="2" fillId="0" borderId="0" xfId="0" applyFont="1" applyFill="1" applyBorder="1" applyAlignment="1">
      <alignment vertical="top" wrapText="1"/>
    </xf>
    <xf numFmtId="0" fontId="1" fillId="0" borderId="0" xfId="0" applyFont="1" applyFill="1" applyBorder="1" applyAlignment="1">
      <alignment horizontal="center" wrapText="1"/>
    </xf>
    <xf numFmtId="0" fontId="1" fillId="0" borderId="0" xfId="0" applyFont="1" applyFill="1" applyBorder="1" applyAlignment="1">
      <alignment horizontal="center" vertical="top" wrapText="1"/>
    </xf>
    <xf numFmtId="0" fontId="0" fillId="0" borderId="0" xfId="0" applyFill="1"/>
    <xf numFmtId="0" fontId="1" fillId="0" borderId="0" xfId="0" applyFont="1" applyFill="1"/>
    <xf numFmtId="0" fontId="12" fillId="0" borderId="1" xfId="0" applyFont="1" applyFill="1" applyBorder="1" applyAlignment="1">
      <alignment horizontal="center" vertical="top" wrapText="1"/>
    </xf>
    <xf numFmtId="0" fontId="12" fillId="0" borderId="1" xfId="0" applyFont="1" applyFill="1" applyBorder="1" applyAlignment="1">
      <alignment vertical="top" wrapText="1"/>
    </xf>
    <xf numFmtId="1" fontId="12" fillId="0" borderId="1" xfId="0" applyNumberFormat="1" applyFont="1" applyFill="1" applyBorder="1" applyAlignment="1">
      <alignment horizontal="center" wrapText="1"/>
    </xf>
    <xf numFmtId="3" fontId="12" fillId="0" borderId="1" xfId="0" applyNumberFormat="1" applyFont="1" applyFill="1" applyBorder="1" applyAlignment="1">
      <alignment horizontal="center" wrapText="1"/>
    </xf>
    <xf numFmtId="4" fontId="12" fillId="0" borderId="1" xfId="0" applyNumberFormat="1" applyFont="1" applyFill="1" applyBorder="1" applyAlignment="1">
      <alignment horizontal="center" wrapText="1"/>
    </xf>
    <xf numFmtId="0" fontId="18" fillId="0" borderId="1" xfId="0" applyFont="1" applyFill="1" applyBorder="1" applyAlignment="1">
      <alignment horizontal="center"/>
    </xf>
    <xf numFmtId="0" fontId="18" fillId="0" borderId="1" xfId="0" applyFont="1" applyFill="1" applyBorder="1"/>
    <xf numFmtId="0" fontId="12" fillId="0" borderId="1" xfId="0" applyFont="1" applyFill="1" applyBorder="1" applyAlignment="1">
      <alignment wrapText="1"/>
    </xf>
    <xf numFmtId="0" fontId="13" fillId="0" borderId="0" xfId="0" applyFont="1" applyFill="1"/>
    <xf numFmtId="0" fontId="12" fillId="0" borderId="0" xfId="0" applyFont="1" applyFill="1"/>
    <xf numFmtId="0" fontId="12" fillId="0" borderId="0" xfId="0" applyFont="1"/>
    <xf numFmtId="164" fontId="12" fillId="0" borderId="1" xfId="0" applyNumberFormat="1" applyFont="1" applyFill="1" applyBorder="1" applyAlignment="1">
      <alignment horizontal="center" wrapText="1"/>
    </xf>
    <xf numFmtId="165" fontId="12" fillId="0" borderId="1" xfId="0" applyNumberFormat="1" applyFont="1" applyFill="1" applyBorder="1" applyAlignment="1">
      <alignment horizontal="center" wrapText="1"/>
    </xf>
    <xf numFmtId="165" fontId="12" fillId="0" borderId="1" xfId="0" applyNumberFormat="1" applyFont="1" applyFill="1" applyBorder="1" applyAlignment="1">
      <alignment horizontal="center" vertical="top" wrapText="1"/>
    </xf>
    <xf numFmtId="0" fontId="1" fillId="0" borderId="1" xfId="0" applyFont="1" applyFill="1" applyBorder="1" applyAlignment="1">
      <alignment horizontal="right" vertical="top" wrapText="1"/>
    </xf>
    <xf numFmtId="0" fontId="1" fillId="0" borderId="1" xfId="0" applyFont="1" applyFill="1" applyBorder="1" applyAlignment="1">
      <alignment horizontal="left" vertical="top" wrapText="1"/>
    </xf>
    <xf numFmtId="0" fontId="1" fillId="0" borderId="5" xfId="0" applyFont="1" applyFill="1" applyBorder="1" applyAlignment="1">
      <alignment vertical="top" wrapText="1"/>
    </xf>
    <xf numFmtId="0" fontId="4" fillId="0" borderId="0" xfId="0" applyFont="1" applyFill="1" applyBorder="1" applyAlignment="1">
      <alignment vertical="top" wrapText="1"/>
    </xf>
    <xf numFmtId="0" fontId="1" fillId="0" borderId="0" xfId="0" applyFont="1" applyFill="1" applyBorder="1"/>
    <xf numFmtId="0" fontId="1" fillId="0" borderId="0" xfId="0" applyFont="1" applyFill="1" applyBorder="1" applyAlignment="1">
      <alignment horizontal="center"/>
    </xf>
    <xf numFmtId="0" fontId="1" fillId="0" borderId="0" xfId="0" applyFont="1" applyFill="1" applyBorder="1" applyAlignment="1">
      <alignment horizontal="right"/>
    </xf>
    <xf numFmtId="0" fontId="12" fillId="0" borderId="1" xfId="0" applyFont="1" applyFill="1" applyBorder="1" applyAlignment="1">
      <alignment horizontal="left" vertical="center" wrapText="1"/>
    </xf>
    <xf numFmtId="0" fontId="12" fillId="0" borderId="1" xfId="0" applyFont="1" applyFill="1" applyBorder="1" applyAlignment="1">
      <alignment horizontal="center"/>
    </xf>
    <xf numFmtId="0" fontId="1" fillId="0" borderId="0" xfId="0" applyFont="1" applyFill="1" applyBorder="1" applyAlignment="1">
      <alignment horizontal="left"/>
    </xf>
    <xf numFmtId="0" fontId="11" fillId="0" borderId="0" xfId="0" applyFont="1" applyBorder="1" applyAlignment="1">
      <alignment vertical="top" wrapText="1"/>
    </xf>
    <xf numFmtId="0" fontId="2" fillId="0" borderId="0" xfId="0" applyFont="1" applyBorder="1" applyAlignment="1">
      <alignment vertical="top" wrapText="1"/>
    </xf>
    <xf numFmtId="0" fontId="20" fillId="0" borderId="0" xfId="0" applyFont="1"/>
    <xf numFmtId="0" fontId="20" fillId="0" borderId="0" xfId="0" applyFont="1" applyBorder="1"/>
    <xf numFmtId="0" fontId="14" fillId="0" borderId="0" xfId="0" applyFont="1" applyBorder="1"/>
    <xf numFmtId="0" fontId="1" fillId="0" borderId="0" xfId="0" applyFont="1" applyBorder="1"/>
    <xf numFmtId="0" fontId="21" fillId="0" borderId="0" xfId="0" applyFont="1"/>
    <xf numFmtId="0" fontId="22" fillId="0" borderId="0" xfId="0" applyFont="1"/>
    <xf numFmtId="0" fontId="21" fillId="0" borderId="0" xfId="0" applyFont="1" applyFill="1"/>
    <xf numFmtId="0" fontId="23" fillId="0" borderId="0" xfId="0" applyFont="1"/>
    <xf numFmtId="0" fontId="24" fillId="0" borderId="0" xfId="0" applyFont="1"/>
    <xf numFmtId="0" fontId="24" fillId="0" borderId="0" xfId="0" applyFont="1" applyFill="1"/>
    <xf numFmtId="0" fontId="24" fillId="0" borderId="0" xfId="0" applyFont="1" applyFill="1" applyBorder="1"/>
    <xf numFmtId="2" fontId="12" fillId="0" borderId="1" xfId="0" applyNumberFormat="1" applyFont="1" applyFill="1" applyBorder="1" applyAlignment="1">
      <alignment horizontal="center" wrapText="1"/>
    </xf>
    <xf numFmtId="166" fontId="2" fillId="0" borderId="1" xfId="0" applyNumberFormat="1" applyFont="1" applyFill="1" applyBorder="1" applyAlignment="1">
      <alignment horizontal="right" wrapText="1"/>
    </xf>
    <xf numFmtId="166" fontId="2" fillId="0" borderId="1" xfId="0" applyNumberFormat="1" applyFont="1" applyFill="1" applyBorder="1" applyAlignment="1">
      <alignment horizontal="center" vertical="top" wrapText="1"/>
    </xf>
    <xf numFmtId="166" fontId="2" fillId="0" borderId="1" xfId="0" applyNumberFormat="1" applyFont="1" applyFill="1" applyBorder="1" applyAlignment="1">
      <alignment horizontal="center" wrapText="1"/>
    </xf>
    <xf numFmtId="166" fontId="5" fillId="0" borderId="1" xfId="0" applyNumberFormat="1" applyFont="1" applyFill="1" applyBorder="1" applyAlignment="1">
      <alignment horizontal="center"/>
    </xf>
    <xf numFmtId="166" fontId="5" fillId="0" borderId="1" xfId="0" applyNumberFormat="1" applyFont="1" applyFill="1" applyBorder="1"/>
    <xf numFmtId="166" fontId="2" fillId="0" borderId="1" xfId="0" applyNumberFormat="1" applyFont="1" applyFill="1" applyBorder="1" applyAlignment="1">
      <alignment wrapText="1"/>
    </xf>
    <xf numFmtId="7" fontId="1" fillId="0" borderId="1" xfId="0" applyNumberFormat="1" applyFont="1" applyFill="1" applyBorder="1" applyAlignment="1">
      <alignment horizontal="right" vertical="top" wrapText="1"/>
    </xf>
    <xf numFmtId="7" fontId="1" fillId="0" borderId="1" xfId="0" applyNumberFormat="1" applyFont="1" applyFill="1" applyBorder="1" applyAlignment="1">
      <alignment vertical="top" wrapText="1"/>
    </xf>
    <xf numFmtId="5" fontId="1" fillId="0" borderId="1" xfId="0" applyNumberFormat="1" applyFont="1" applyFill="1" applyBorder="1" applyAlignment="1">
      <alignment horizontal="right" vertical="top" wrapText="1"/>
    </xf>
    <xf numFmtId="167" fontId="2" fillId="0" borderId="1" xfId="0" applyNumberFormat="1" applyFont="1" applyFill="1" applyBorder="1" applyAlignment="1">
      <alignment horizontal="right" wrapText="1"/>
    </xf>
    <xf numFmtId="0" fontId="2" fillId="0" borderId="1" xfId="0" applyFont="1" applyFill="1" applyBorder="1" applyAlignment="1">
      <alignment horizontal="left" vertical="center" wrapText="1"/>
    </xf>
    <xf numFmtId="0" fontId="26" fillId="0" borderId="1" xfId="0" applyFont="1" applyFill="1" applyBorder="1" applyAlignment="1">
      <alignment horizontal="center" wrapText="1"/>
    </xf>
    <xf numFmtId="0" fontId="12" fillId="0" borderId="1" xfId="0" applyFont="1" applyFill="1" applyBorder="1"/>
    <xf numFmtId="3" fontId="1" fillId="0" borderId="1" xfId="0" applyNumberFormat="1" applyFont="1" applyFill="1" applyBorder="1" applyAlignment="1">
      <alignment horizontal="center" vertical="top" wrapText="1"/>
    </xf>
    <xf numFmtId="4" fontId="1" fillId="0" borderId="1" xfId="0" applyNumberFormat="1" applyFont="1" applyFill="1" applyBorder="1" applyAlignment="1">
      <alignment horizontal="center" vertical="top" wrapText="1"/>
    </xf>
    <xf numFmtId="165" fontId="1" fillId="0" borderId="1" xfId="0" applyNumberFormat="1" applyFont="1" applyFill="1" applyBorder="1" applyAlignment="1">
      <alignment horizontal="center" vertical="top" wrapText="1"/>
    </xf>
    <xf numFmtId="167" fontId="11" fillId="0" borderId="6" xfId="0" applyNumberFormat="1" applyFont="1" applyFill="1" applyBorder="1" applyAlignment="1">
      <alignment horizontal="right" vertical="top" wrapText="1"/>
    </xf>
    <xf numFmtId="0" fontId="0" fillId="0" borderId="0" xfId="0" applyAlignment="1">
      <alignment wrapText="1"/>
    </xf>
    <xf numFmtId="0" fontId="27" fillId="0" borderId="1" xfId="0" applyFont="1" applyBorder="1" applyAlignment="1">
      <alignment horizontal="center" vertical="center" wrapText="1"/>
    </xf>
    <xf numFmtId="0" fontId="27" fillId="0" borderId="2" xfId="0" applyFont="1" applyBorder="1" applyAlignment="1">
      <alignment vertical="center" wrapText="1"/>
    </xf>
    <xf numFmtId="0" fontId="2" fillId="0" borderId="2" xfId="0" applyFont="1" applyBorder="1" applyAlignment="1">
      <alignment vertical="center" wrapText="1"/>
    </xf>
    <xf numFmtId="0" fontId="2" fillId="0" borderId="10" xfId="0" applyFont="1" applyBorder="1" applyAlignment="1">
      <alignment vertical="center" wrapText="1"/>
    </xf>
    <xf numFmtId="0" fontId="2" fillId="0" borderId="10" xfId="0" applyFont="1" applyBorder="1" applyAlignment="1">
      <alignment horizontal="center" vertical="center" wrapText="1"/>
    </xf>
    <xf numFmtId="0" fontId="0" fillId="0" borderId="3" xfId="0" applyBorder="1" applyAlignment="1">
      <alignment vertical="top" wrapText="1"/>
    </xf>
    <xf numFmtId="0" fontId="2" fillId="0" borderId="3" xfId="0" applyFont="1" applyBorder="1" applyAlignment="1">
      <alignment vertical="center" wrapText="1"/>
    </xf>
    <xf numFmtId="0" fontId="29" fillId="0" borderId="0" xfId="0" applyFont="1"/>
    <xf numFmtId="1" fontId="27" fillId="0" borderId="1" xfId="0" applyNumberFormat="1" applyFont="1" applyBorder="1" applyAlignment="1">
      <alignment horizontal="center" vertical="center" wrapText="1"/>
    </xf>
    <xf numFmtId="1" fontId="28" fillId="0" borderId="1" xfId="0" applyNumberFormat="1" applyFont="1" applyBorder="1" applyAlignment="1">
      <alignment horizontal="center" vertical="center" wrapText="1"/>
    </xf>
    <xf numFmtId="0" fontId="28" fillId="0" borderId="1" xfId="0" applyFont="1" applyBorder="1" applyAlignment="1">
      <alignment vertical="center" wrapText="1"/>
    </xf>
    <xf numFmtId="0" fontId="30" fillId="0" borderId="2"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3" xfId="0" applyFont="1" applyBorder="1" applyAlignment="1">
      <alignment horizontal="center" vertical="center" wrapText="1"/>
    </xf>
    <xf numFmtId="0" fontId="0" fillId="0" borderId="3" xfId="0" applyBorder="1"/>
    <xf numFmtId="0" fontId="1" fillId="0" borderId="1" xfId="0" applyFont="1" applyBorder="1"/>
    <xf numFmtId="0" fontId="2" fillId="0" borderId="1" xfId="0" applyFont="1" applyFill="1" applyBorder="1" applyAlignment="1">
      <alignment horizontal="center" vertical="center" wrapText="1"/>
    </xf>
    <xf numFmtId="0" fontId="1" fillId="0" borderId="1" xfId="0" applyFont="1" applyBorder="1" applyAlignment="1">
      <alignment wrapText="1"/>
    </xf>
    <xf numFmtId="0" fontId="1" fillId="0" borderId="1" xfId="0" quotePrefix="1" applyFont="1" applyBorder="1"/>
    <xf numFmtId="1" fontId="1" fillId="0" borderId="1" xfId="0" applyNumberFormat="1" applyFont="1" applyBorder="1"/>
    <xf numFmtId="0" fontId="14" fillId="0" borderId="0" xfId="0" applyFont="1"/>
    <xf numFmtId="4" fontId="1" fillId="0" borderId="4" xfId="0" applyNumberFormat="1" applyFont="1" applyFill="1" applyBorder="1" applyAlignment="1">
      <alignment horizontal="center" vertical="top" wrapText="1"/>
    </xf>
    <xf numFmtId="4" fontId="1" fillId="0" borderId="5" xfId="0" applyNumberFormat="1" applyFont="1" applyFill="1" applyBorder="1" applyAlignment="1">
      <alignment horizontal="center" vertical="top" wrapText="1"/>
    </xf>
    <xf numFmtId="4" fontId="1" fillId="0" borderId="6" xfId="0" applyNumberFormat="1" applyFont="1" applyFill="1" applyBorder="1" applyAlignment="1">
      <alignment horizontal="center" vertical="top" wrapText="1"/>
    </xf>
    <xf numFmtId="0" fontId="20" fillId="0" borderId="0" xfId="0" applyFont="1" applyFill="1"/>
    <xf numFmtId="1" fontId="12" fillId="0" borderId="1" xfId="0" applyNumberFormat="1" applyFont="1" applyFill="1" applyBorder="1" applyAlignment="1">
      <alignment horizontal="center" vertical="top" wrapText="1"/>
    </xf>
    <xf numFmtId="2" fontId="12" fillId="0" borderId="1" xfId="0" applyNumberFormat="1" applyFont="1" applyFill="1" applyBorder="1" applyAlignment="1">
      <alignment horizontal="center" vertical="top" wrapText="1"/>
    </xf>
    <xf numFmtId="0" fontId="12" fillId="0" borderId="0" xfId="0" applyFont="1" applyProtection="1"/>
    <xf numFmtId="5" fontId="14" fillId="0" borderId="6" xfId="0" applyNumberFormat="1" applyFont="1" applyFill="1" applyBorder="1" applyAlignment="1">
      <alignment horizontal="right" vertical="top" wrapText="1"/>
    </xf>
    <xf numFmtId="0" fontId="0" fillId="0" borderId="0" xfId="0" applyAlignment="1">
      <alignment horizontal="left"/>
    </xf>
    <xf numFmtId="0" fontId="25" fillId="0" borderId="1" xfId="0" applyFont="1" applyBorder="1" applyAlignment="1">
      <alignment vertical="center"/>
    </xf>
    <xf numFmtId="0" fontId="14" fillId="0" borderId="1" xfId="0" applyFont="1" applyBorder="1" applyAlignment="1"/>
    <xf numFmtId="1" fontId="14" fillId="0" borderId="1" xfId="0" applyNumberFormat="1" applyFont="1" applyBorder="1" applyAlignment="1"/>
    <xf numFmtId="6" fontId="14" fillId="0" borderId="1" xfId="0" applyNumberFormat="1" applyFont="1" applyBorder="1" applyAlignment="1"/>
    <xf numFmtId="1" fontId="14" fillId="0" borderId="0" xfId="0" applyNumberFormat="1" applyFont="1"/>
    <xf numFmtId="0" fontId="32" fillId="0" borderId="0" xfId="0" applyFont="1"/>
    <xf numFmtId="0" fontId="33" fillId="0" borderId="2" xfId="0" applyFont="1" applyFill="1" applyBorder="1" applyAlignment="1">
      <alignment wrapText="1"/>
    </xf>
    <xf numFmtId="0" fontId="34" fillId="0" borderId="2" xfId="0" applyFont="1" applyFill="1" applyBorder="1" applyAlignment="1">
      <alignment horizontal="center" wrapText="1"/>
    </xf>
    <xf numFmtId="166" fontId="33" fillId="0" borderId="2" xfId="0" applyNumberFormat="1" applyFont="1" applyFill="1" applyBorder="1" applyAlignment="1">
      <alignment horizontal="right" wrapText="1"/>
    </xf>
    <xf numFmtId="0" fontId="35" fillId="0" borderId="0" xfId="0" applyFont="1"/>
    <xf numFmtId="0" fontId="33" fillId="0" borderId="1" xfId="0" applyFont="1" applyFill="1" applyBorder="1" applyAlignment="1">
      <alignment wrapText="1"/>
    </xf>
    <xf numFmtId="0" fontId="36" fillId="0" borderId="1" xfId="0" applyFont="1" applyFill="1" applyBorder="1" applyAlignment="1">
      <alignment horizontal="center" wrapText="1"/>
    </xf>
    <xf numFmtId="166" fontId="33" fillId="0" borderId="1" xfId="0" applyNumberFormat="1" applyFont="1" applyFill="1" applyBorder="1" applyAlignment="1">
      <alignment horizontal="right" wrapText="1"/>
    </xf>
    <xf numFmtId="0" fontId="38" fillId="0" borderId="0" xfId="0" applyFont="1"/>
    <xf numFmtId="0" fontId="20" fillId="2" borderId="0" xfId="0" applyFont="1" applyFill="1"/>
    <xf numFmtId="1" fontId="0" fillId="2" borderId="0" xfId="0" applyNumberFormat="1" applyFill="1"/>
    <xf numFmtId="0" fontId="1" fillId="0" borderId="4" xfId="0" applyFont="1" applyFill="1" applyBorder="1" applyAlignment="1">
      <alignment vertical="top" wrapText="1"/>
    </xf>
    <xf numFmtId="0" fontId="1" fillId="0" borderId="5" xfId="0" applyFont="1" applyFill="1" applyBorder="1" applyAlignment="1">
      <alignment horizontal="right" vertical="top" wrapText="1"/>
    </xf>
    <xf numFmtId="7" fontId="1" fillId="0" borderId="6" xfId="0" applyNumberFormat="1" applyFont="1" applyFill="1" applyBorder="1" applyAlignment="1">
      <alignment horizontal="right" vertical="top" wrapText="1"/>
    </xf>
    <xf numFmtId="0" fontId="9" fillId="0" borderId="2" xfId="0" applyFont="1" applyFill="1" applyBorder="1" applyAlignment="1">
      <alignment horizontal="center" vertical="top" wrapText="1"/>
    </xf>
    <xf numFmtId="0" fontId="9" fillId="0" borderId="10" xfId="0" applyFont="1" applyFill="1" applyBorder="1" applyAlignment="1">
      <alignment horizontal="center" wrapText="1"/>
    </xf>
    <xf numFmtId="0" fontId="7" fillId="0" borderId="3" xfId="0" applyFont="1" applyFill="1" applyBorder="1" applyAlignment="1">
      <alignment horizontal="center" wrapText="1"/>
    </xf>
    <xf numFmtId="0" fontId="8" fillId="0" borderId="3" xfId="0" applyFont="1" applyFill="1" applyBorder="1" applyAlignment="1">
      <alignment horizontal="center" wrapText="1"/>
    </xf>
    <xf numFmtId="0" fontId="9" fillId="0" borderId="3" xfId="0" applyFont="1" applyFill="1" applyBorder="1" applyAlignment="1">
      <alignment horizontal="center" wrapText="1"/>
    </xf>
    <xf numFmtId="0" fontId="8" fillId="0" borderId="2" xfId="0" applyFont="1" applyFill="1" applyBorder="1" applyAlignment="1"/>
    <xf numFmtId="0" fontId="8" fillId="0" borderId="3" xfId="0" applyFont="1" applyFill="1" applyBorder="1" applyAlignment="1"/>
    <xf numFmtId="0" fontId="8" fillId="0" borderId="10" xfId="0" applyFont="1" applyFill="1" applyBorder="1" applyAlignment="1">
      <alignment horizontal="center" vertical="center"/>
    </xf>
    <xf numFmtId="0" fontId="40" fillId="0" borderId="0" xfId="0" applyFont="1" applyFill="1"/>
    <xf numFmtId="0" fontId="14" fillId="0" borderId="2" xfId="0" applyFont="1" applyFill="1" applyBorder="1" applyAlignment="1">
      <alignment wrapText="1"/>
    </xf>
    <xf numFmtId="0" fontId="14" fillId="0" borderId="2" xfId="0" applyFont="1" applyFill="1" applyBorder="1" applyAlignment="1">
      <alignment horizontal="center" vertical="top" wrapText="1"/>
    </xf>
    <xf numFmtId="0" fontId="14" fillId="0" borderId="10" xfId="0" applyFont="1" applyFill="1" applyBorder="1" applyAlignment="1">
      <alignment horizontal="center" wrapText="1"/>
    </xf>
    <xf numFmtId="0" fontId="14" fillId="0" borderId="3" xfId="0" applyFont="1" applyFill="1" applyBorder="1" applyAlignment="1">
      <alignment wrapText="1"/>
    </xf>
    <xf numFmtId="0" fontId="1" fillId="0" borderId="3" xfId="0" applyFont="1" applyFill="1" applyBorder="1" applyAlignment="1">
      <alignment horizontal="center" wrapText="1"/>
    </xf>
    <xf numFmtId="0" fontId="14" fillId="0" borderId="3" xfId="0" applyFont="1" applyFill="1" applyBorder="1" applyAlignment="1">
      <alignment horizontal="center" wrapText="1"/>
    </xf>
    <xf numFmtId="7" fontId="1" fillId="0" borderId="3" xfId="0" applyNumberFormat="1" applyFont="1" applyFill="1" applyBorder="1" applyAlignment="1">
      <alignment horizontal="center" wrapText="1"/>
    </xf>
    <xf numFmtId="0" fontId="40" fillId="0" borderId="0" xfId="0" applyFont="1" applyFill="1" applyAlignment="1"/>
    <xf numFmtId="0" fontId="1" fillId="0" borderId="0" xfId="0" applyFont="1" applyFill="1" applyAlignment="1">
      <alignment wrapText="1"/>
    </xf>
    <xf numFmtId="0" fontId="28" fillId="0" borderId="1" xfId="0" applyFont="1" applyBorder="1" applyAlignment="1">
      <alignment vertical="center" wrapText="1"/>
    </xf>
    <xf numFmtId="1" fontId="28" fillId="0" borderId="1" xfId="0" applyNumberFormat="1" applyFont="1" applyBorder="1" applyAlignment="1">
      <alignment horizontal="center" vertical="center" wrapText="1"/>
    </xf>
    <xf numFmtId="164" fontId="28" fillId="0" borderId="1" xfId="0" applyNumberFormat="1" applyFont="1" applyBorder="1" applyAlignment="1">
      <alignment horizontal="center" vertical="center" wrapText="1"/>
    </xf>
    <xf numFmtId="164" fontId="1" fillId="0" borderId="1" xfId="0" applyNumberFormat="1" applyFont="1" applyBorder="1"/>
    <xf numFmtId="0" fontId="1" fillId="0" borderId="0" xfId="0" applyFont="1" applyFill="1" applyBorder="1" applyAlignment="1">
      <alignment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2" fontId="1" fillId="0" borderId="0" xfId="0" applyNumberFormat="1" applyFont="1"/>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1" xfId="0" applyFont="1" applyBorder="1" applyAlignment="1">
      <alignment horizontal="left"/>
    </xf>
    <xf numFmtId="0" fontId="6" fillId="0" borderId="0" xfId="0" applyFont="1" applyAlignment="1">
      <alignment vertical="center"/>
    </xf>
    <xf numFmtId="0" fontId="41" fillId="0" borderId="0" xfId="0" applyFont="1" applyAlignment="1">
      <alignment vertical="center" wrapText="1"/>
    </xf>
    <xf numFmtId="6" fontId="12" fillId="0" borderId="1" xfId="0" applyNumberFormat="1" applyFont="1" applyFill="1" applyBorder="1" applyAlignment="1">
      <alignment vertical="top" wrapText="1"/>
    </xf>
    <xf numFmtId="167" fontId="12" fillId="0" borderId="1" xfId="0" applyNumberFormat="1" applyFont="1" applyFill="1" applyBorder="1" applyAlignment="1">
      <alignment wrapText="1"/>
    </xf>
    <xf numFmtId="167" fontId="12" fillId="0" borderId="1" xfId="0" applyNumberFormat="1" applyFont="1" applyFill="1" applyBorder="1" applyAlignment="1"/>
    <xf numFmtId="6" fontId="1" fillId="0" borderId="1" xfId="0" applyNumberFormat="1" applyFont="1" applyBorder="1" applyAlignment="1">
      <alignment vertical="center" wrapText="1"/>
    </xf>
    <xf numFmtId="0" fontId="2" fillId="0" borderId="1" xfId="0" applyFont="1" applyBorder="1" applyAlignment="1">
      <alignment vertical="center" wrapText="1"/>
    </xf>
    <xf numFmtId="0" fontId="42" fillId="0" borderId="1" xfId="0" applyFont="1" applyBorder="1" applyAlignment="1">
      <alignment vertical="center" wrapText="1"/>
    </xf>
    <xf numFmtId="2" fontId="12" fillId="0" borderId="1" xfId="0" applyNumberFormat="1" applyFont="1" applyFill="1" applyBorder="1" applyAlignment="1">
      <alignment wrapText="1"/>
    </xf>
    <xf numFmtId="0" fontId="12" fillId="0" borderId="1" xfId="0" applyFont="1" applyFill="1" applyBorder="1" applyAlignment="1"/>
    <xf numFmtId="166" fontId="12" fillId="0" borderId="1" xfId="0" applyNumberFormat="1" applyFont="1" applyFill="1" applyBorder="1" applyAlignment="1"/>
    <xf numFmtId="0" fontId="2" fillId="0" borderId="0" xfId="0" applyFont="1"/>
    <xf numFmtId="0" fontId="2" fillId="0" borderId="1" xfId="0" applyFont="1" applyBorder="1"/>
    <xf numFmtId="0" fontId="12" fillId="0" borderId="1" xfId="0" applyFont="1" applyFill="1" applyBorder="1" applyAlignment="1">
      <alignment horizontal="right" wrapText="1"/>
    </xf>
    <xf numFmtId="167" fontId="12" fillId="0" borderId="1" xfId="0" applyNumberFormat="1" applyFont="1" applyFill="1" applyBorder="1" applyAlignment="1">
      <alignment horizontal="right"/>
    </xf>
    <xf numFmtId="0" fontId="12" fillId="0" borderId="1" xfId="0" applyFont="1" applyFill="1" applyBorder="1" applyAlignment="1">
      <alignment horizontal="right"/>
    </xf>
    <xf numFmtId="166" fontId="12" fillId="0" borderId="1" xfId="0" applyNumberFormat="1" applyFont="1" applyFill="1" applyBorder="1" applyAlignment="1">
      <alignment horizontal="right"/>
    </xf>
    <xf numFmtId="0" fontId="1" fillId="0" borderId="1" xfId="0" applyFont="1" applyFill="1" applyBorder="1"/>
    <xf numFmtId="1" fontId="0" fillId="0" borderId="1" xfId="0" applyNumberFormat="1" applyBorder="1"/>
    <xf numFmtId="1" fontId="1" fillId="0" borderId="0" xfId="0" applyNumberFormat="1" applyFont="1" applyBorder="1"/>
    <xf numFmtId="1" fontId="0" fillId="0" borderId="0" xfId="0" applyNumberFormat="1" applyBorder="1"/>
    <xf numFmtId="0" fontId="43" fillId="0" borderId="0" xfId="0" applyFont="1"/>
    <xf numFmtId="0" fontId="44" fillId="0" borderId="0" xfId="0" applyFont="1"/>
    <xf numFmtId="0" fontId="45" fillId="0" borderId="2" xfId="0" applyFont="1" applyBorder="1" applyAlignment="1">
      <alignment vertical="center" wrapText="1"/>
    </xf>
    <xf numFmtId="0" fontId="24" fillId="0" borderId="2" xfId="0" applyFont="1" applyBorder="1" applyAlignment="1">
      <alignment vertical="center" wrapText="1"/>
    </xf>
    <xf numFmtId="0" fontId="24" fillId="0" borderId="10" xfId="0" applyFont="1" applyBorder="1" applyAlignment="1">
      <alignment vertical="center" wrapText="1"/>
    </xf>
    <xf numFmtId="0" fontId="24" fillId="0" borderId="10" xfId="0" applyFont="1" applyBorder="1" applyAlignment="1">
      <alignment horizontal="center" vertical="center" wrapText="1"/>
    </xf>
    <xf numFmtId="0" fontId="44" fillId="0" borderId="3" xfId="0" applyFont="1" applyBorder="1" applyAlignment="1">
      <alignment vertical="top" wrapText="1"/>
    </xf>
    <xf numFmtId="0" fontId="24" fillId="0" borderId="3" xfId="0" applyFont="1" applyBorder="1" applyAlignment="1">
      <alignment vertical="center" wrapText="1"/>
    </xf>
    <xf numFmtId="0" fontId="45" fillId="0" borderId="1" xfId="0" applyFont="1" applyBorder="1" applyAlignment="1">
      <alignment horizontal="center" vertical="center" wrapText="1"/>
    </xf>
    <xf numFmtId="0" fontId="24" fillId="3" borderId="1" xfId="0" quotePrefix="1" applyFont="1" applyFill="1" applyBorder="1"/>
    <xf numFmtId="1" fontId="24" fillId="3" borderId="1" xfId="0" applyNumberFormat="1" applyFont="1" applyFill="1" applyBorder="1"/>
    <xf numFmtId="1" fontId="45" fillId="3" borderId="1" xfId="0" applyNumberFormat="1" applyFont="1" applyFill="1" applyBorder="1" applyAlignment="1">
      <alignment horizontal="center" vertical="center" wrapText="1"/>
    </xf>
    <xf numFmtId="1" fontId="28" fillId="3" borderId="1" xfId="0" applyNumberFormat="1" applyFont="1" applyFill="1" applyBorder="1" applyAlignment="1">
      <alignment horizontal="center" vertical="center" wrapText="1"/>
    </xf>
    <xf numFmtId="164" fontId="28" fillId="3" borderId="1" xfId="0" applyNumberFormat="1" applyFont="1" applyFill="1" applyBorder="1" applyAlignment="1">
      <alignment horizontal="center" vertical="center" wrapText="1"/>
    </xf>
    <xf numFmtId="0" fontId="24" fillId="3" borderId="1" xfId="0" applyFont="1" applyFill="1" applyBorder="1" applyAlignment="1">
      <alignment horizontal="center" vertical="center" wrapText="1"/>
    </xf>
    <xf numFmtId="0" fontId="24" fillId="3" borderId="1" xfId="0" applyFont="1" applyFill="1" applyBorder="1"/>
    <xf numFmtId="164" fontId="24" fillId="3" borderId="1" xfId="0" applyNumberFormat="1" applyFont="1" applyFill="1" applyBorder="1"/>
    <xf numFmtId="1" fontId="44" fillId="3" borderId="1" xfId="0" applyNumberFormat="1" applyFont="1" applyFill="1" applyBorder="1"/>
    <xf numFmtId="0" fontId="48" fillId="3" borderId="0" xfId="0" applyFont="1" applyFill="1"/>
    <xf numFmtId="1" fontId="24" fillId="3" borderId="0" xfId="0" applyNumberFormat="1" applyFont="1" applyFill="1"/>
    <xf numFmtId="164" fontId="24" fillId="3" borderId="0" xfId="0" applyNumberFormat="1" applyFont="1" applyFill="1"/>
    <xf numFmtId="1" fontId="24" fillId="3" borderId="1" xfId="0" applyNumberFormat="1" applyFont="1" applyFill="1" applyBorder="1" applyAlignment="1"/>
    <xf numFmtId="0" fontId="46" fillId="3" borderId="0" xfId="0" applyFont="1" applyFill="1" applyBorder="1" applyAlignment="1">
      <alignment vertical="top"/>
    </xf>
    <xf numFmtId="0" fontId="19" fillId="3" borderId="0" xfId="0" applyFont="1" applyFill="1" applyBorder="1" applyAlignment="1">
      <alignment vertical="top" wrapText="1"/>
    </xf>
    <xf numFmtId="0" fontId="44" fillId="0" borderId="0" xfId="0" applyFont="1" applyFill="1" applyAlignment="1">
      <alignment horizontal="left"/>
    </xf>
    <xf numFmtId="0" fontId="0" fillId="0" borderId="0" xfId="0" applyFill="1" applyAlignment="1">
      <alignment horizontal="left"/>
    </xf>
    <xf numFmtId="2" fontId="20" fillId="0" borderId="0" xfId="0" applyNumberFormat="1" applyFont="1"/>
    <xf numFmtId="168" fontId="20" fillId="0" borderId="0" xfId="0" applyNumberFormat="1" applyFont="1"/>
    <xf numFmtId="164" fontId="12" fillId="0" borderId="1" xfId="0" applyNumberFormat="1" applyFont="1" applyFill="1" applyBorder="1" applyAlignment="1">
      <alignment horizontal="center"/>
    </xf>
    <xf numFmtId="1" fontId="12" fillId="0" borderId="1" xfId="0" applyNumberFormat="1" applyFont="1" applyFill="1" applyBorder="1" applyAlignment="1">
      <alignment horizontal="center"/>
    </xf>
    <xf numFmtId="166" fontId="1" fillId="0" borderId="0" xfId="0" applyNumberFormat="1" applyFont="1" applyFill="1" applyAlignment="1">
      <alignment wrapText="1"/>
    </xf>
    <xf numFmtId="167" fontId="24" fillId="0" borderId="0" xfId="0" applyNumberFormat="1" applyFont="1" applyFill="1"/>
    <xf numFmtId="0" fontId="1" fillId="0" borderId="0" xfId="0" applyFont="1" applyFill="1" applyAlignment="1">
      <alignment wrapText="1"/>
    </xf>
    <xf numFmtId="0" fontId="12" fillId="0" borderId="0" xfId="0" applyFont="1" applyFill="1" applyAlignment="1">
      <alignment wrapText="1"/>
    </xf>
    <xf numFmtId="0" fontId="1" fillId="0" borderId="0" xfId="0" applyNumberFormat="1" applyFont="1" applyFill="1" applyAlignment="1">
      <alignment wrapText="1"/>
    </xf>
    <xf numFmtId="4" fontId="37" fillId="0" borderId="4" xfId="0" applyNumberFormat="1" applyFont="1" applyFill="1" applyBorder="1" applyAlignment="1">
      <alignment horizontal="center" wrapText="1"/>
    </xf>
    <xf numFmtId="4" fontId="37" fillId="0" borderId="5" xfId="0" applyNumberFormat="1" applyFont="1" applyFill="1" applyBorder="1" applyAlignment="1">
      <alignment horizontal="center" wrapText="1"/>
    </xf>
    <xf numFmtId="4" fontId="37" fillId="0" borderId="6" xfId="0" applyNumberFormat="1" applyFont="1" applyFill="1" applyBorder="1" applyAlignment="1">
      <alignment horizontal="center" wrapText="1"/>
    </xf>
    <xf numFmtId="3" fontId="33" fillId="0" borderId="7" xfId="0" applyNumberFormat="1" applyFont="1" applyFill="1" applyBorder="1" applyAlignment="1">
      <alignment horizontal="center" wrapText="1"/>
    </xf>
    <xf numFmtId="3" fontId="33" fillId="0" borderId="8" xfId="0" applyNumberFormat="1" applyFont="1" applyFill="1" applyBorder="1" applyAlignment="1">
      <alignment horizontal="center" wrapText="1"/>
    </xf>
    <xf numFmtId="3" fontId="33" fillId="0" borderId="9" xfId="0" applyNumberFormat="1" applyFont="1" applyFill="1" applyBorder="1" applyAlignment="1">
      <alignment horizontal="center" wrapText="1"/>
    </xf>
    <xf numFmtId="3" fontId="25" fillId="0" borderId="4" xfId="0" applyNumberFormat="1" applyFont="1" applyFill="1" applyBorder="1" applyAlignment="1">
      <alignment horizontal="center" vertical="top" wrapText="1"/>
    </xf>
    <xf numFmtId="3" fontId="25" fillId="0" borderId="5" xfId="0" applyNumberFormat="1" applyFont="1" applyFill="1" applyBorder="1" applyAlignment="1">
      <alignment horizontal="center" vertical="top" wrapText="1"/>
    </xf>
    <xf numFmtId="3" fontId="25" fillId="0" borderId="6" xfId="0" applyNumberFormat="1" applyFont="1" applyFill="1" applyBorder="1" applyAlignment="1">
      <alignment horizontal="center" vertical="top" wrapText="1"/>
    </xf>
    <xf numFmtId="0" fontId="1" fillId="0" borderId="0" xfId="0" applyFont="1" applyAlignment="1">
      <alignment horizontal="left" vertical="center" wrapText="1"/>
    </xf>
    <xf numFmtId="0" fontId="1" fillId="0" borderId="0" xfId="0" applyFont="1" applyFill="1" applyAlignment="1">
      <alignment horizontal="left" wrapText="1"/>
    </xf>
    <xf numFmtId="0" fontId="3" fillId="0" borderId="0" xfId="0" applyFont="1" applyAlignment="1">
      <alignment horizontal="left" wrapText="1"/>
    </xf>
    <xf numFmtId="4" fontId="1" fillId="0" borderId="4" xfId="0" applyNumberFormat="1" applyFont="1" applyFill="1" applyBorder="1" applyAlignment="1">
      <alignment horizontal="center" vertical="top" wrapText="1"/>
    </xf>
    <xf numFmtId="4" fontId="1" fillId="0" borderId="5" xfId="0" applyNumberFormat="1" applyFont="1" applyFill="1" applyBorder="1" applyAlignment="1">
      <alignment horizontal="center" vertical="top" wrapText="1"/>
    </xf>
    <xf numFmtId="4" fontId="1" fillId="0" borderId="6" xfId="0" applyNumberFormat="1" applyFont="1" applyFill="1" applyBorder="1" applyAlignment="1">
      <alignment horizontal="center" vertical="top" wrapText="1"/>
    </xf>
    <xf numFmtId="3" fontId="14" fillId="0" borderId="4" xfId="0" applyNumberFormat="1" applyFont="1" applyFill="1" applyBorder="1" applyAlignment="1">
      <alignment horizontal="center" vertical="top" wrapText="1"/>
    </xf>
    <xf numFmtId="3" fontId="14" fillId="0" borderId="5" xfId="0" applyNumberFormat="1" applyFont="1" applyFill="1" applyBorder="1" applyAlignment="1">
      <alignment horizontal="center" vertical="top" wrapText="1"/>
    </xf>
    <xf numFmtId="3" fontId="14" fillId="0" borderId="6" xfId="0" applyNumberFormat="1" applyFont="1" applyFill="1" applyBorder="1" applyAlignment="1">
      <alignment horizontal="center" vertical="top" wrapText="1"/>
    </xf>
    <xf numFmtId="0" fontId="3" fillId="0" borderId="0" xfId="0" applyFont="1" applyAlignment="1">
      <alignment vertical="center" wrapText="1"/>
    </xf>
    <xf numFmtId="0" fontId="6" fillId="0" borderId="0" xfId="0" applyFont="1" applyAlignment="1">
      <alignment vertical="center" wrapText="1"/>
    </xf>
    <xf numFmtId="0" fontId="47" fillId="3" borderId="4" xfId="0" applyFont="1" applyFill="1" applyBorder="1" applyAlignment="1">
      <alignment horizontal="center"/>
    </xf>
    <xf numFmtId="0" fontId="47" fillId="3" borderId="5" xfId="0" applyFont="1" applyFill="1" applyBorder="1" applyAlignment="1">
      <alignment horizontal="center"/>
    </xf>
    <xf numFmtId="0" fontId="47" fillId="3" borderId="6" xfId="0" applyFont="1" applyFill="1" applyBorder="1" applyAlignment="1">
      <alignment horizontal="center"/>
    </xf>
    <xf numFmtId="0" fontId="17" fillId="0" borderId="4" xfId="0" applyFont="1" applyBorder="1" applyAlignment="1">
      <alignment horizontal="center"/>
    </xf>
    <xf numFmtId="0" fontId="17" fillId="0" borderId="5" xfId="0" applyFont="1" applyBorder="1" applyAlignment="1">
      <alignment horizontal="center"/>
    </xf>
    <xf numFmtId="0" fontId="17" fillId="0" borderId="6" xfId="0" applyFont="1" applyBorder="1" applyAlignment="1">
      <alignment horizontal="center"/>
    </xf>
    <xf numFmtId="0" fontId="28" fillId="0" borderId="1" xfId="0" applyFont="1" applyBorder="1" applyAlignment="1">
      <alignment vertical="center" wrapText="1"/>
    </xf>
    <xf numFmtId="1" fontId="28" fillId="0" borderId="1" xfId="0" applyNumberFormat="1" applyFont="1" applyBorder="1" applyAlignment="1">
      <alignment vertical="center" wrapText="1"/>
    </xf>
    <xf numFmtId="1" fontId="28" fillId="0" borderId="1" xfId="0" applyNumberFormat="1"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Jennifer ONeil" id="{0029685C-F000-4DB9-B96B-642CCD59E7EA}" userId="Jennifer ONeil"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26"/>
  <sheetViews>
    <sheetView tabSelected="1" zoomScale="82" zoomScaleNormal="82" workbookViewId="0">
      <pane ySplit="5" topLeftCell="A6" activePane="bottomLeft" state="frozen"/>
      <selection activeCell="B1" sqref="B1"/>
      <selection pane="bottomLeft" activeCell="J55" sqref="J55"/>
    </sheetView>
  </sheetViews>
  <sheetFormatPr defaultRowHeight="15" x14ac:dyDescent="0.25"/>
  <cols>
    <col min="1" max="1" width="3.28515625" customWidth="1"/>
    <col min="2" max="2" width="41.140625" customWidth="1"/>
    <col min="3" max="3" width="12.28515625" customWidth="1"/>
    <col min="4" max="8" width="11.85546875" customWidth="1"/>
    <col min="9" max="9" width="11.85546875" style="6" customWidth="1"/>
    <col min="10" max="10" width="11.85546875" customWidth="1"/>
    <col min="11" max="11" width="2.140625" customWidth="1"/>
    <col min="12" max="12" width="10.85546875" style="51" customWidth="1"/>
    <col min="13" max="13" width="11.85546875" bestFit="1" customWidth="1"/>
    <col min="14" max="14" width="10" bestFit="1" customWidth="1"/>
    <col min="15" max="16" width="10.5703125" bestFit="1" customWidth="1"/>
    <col min="17" max="18" width="10" bestFit="1" customWidth="1"/>
    <col min="19" max="20" width="10.5703125" bestFit="1" customWidth="1"/>
  </cols>
  <sheetData>
    <row r="1" spans="1:13" ht="15.75" x14ac:dyDescent="0.25">
      <c r="A1" s="9" t="s">
        <v>84</v>
      </c>
    </row>
    <row r="3" spans="1:13" s="4" customFormat="1" x14ac:dyDescent="0.25">
      <c r="A3" s="2"/>
      <c r="B3" s="136"/>
      <c r="C3" s="131" t="s">
        <v>9</v>
      </c>
      <c r="D3" s="131" t="s">
        <v>10</v>
      </c>
      <c r="E3" s="131" t="s">
        <v>11</v>
      </c>
      <c r="F3" s="131" t="s">
        <v>12</v>
      </c>
      <c r="G3" s="131" t="s">
        <v>13</v>
      </c>
      <c r="H3" s="131" t="s">
        <v>14</v>
      </c>
      <c r="I3" s="131" t="s">
        <v>15</v>
      </c>
      <c r="J3" s="131" t="s">
        <v>16</v>
      </c>
      <c r="K3" s="3"/>
      <c r="L3" s="1" t="s">
        <v>17</v>
      </c>
      <c r="M3" s="4">
        <v>117.92</v>
      </c>
    </row>
    <row r="4" spans="1:13" s="4" customFormat="1" ht="60.75" x14ac:dyDescent="0.25">
      <c r="A4" s="2"/>
      <c r="B4" s="138" t="s">
        <v>8</v>
      </c>
      <c r="C4" s="132" t="s">
        <v>18</v>
      </c>
      <c r="D4" s="132" t="s">
        <v>19</v>
      </c>
      <c r="E4" s="132" t="s">
        <v>20</v>
      </c>
      <c r="F4" s="132" t="s">
        <v>21</v>
      </c>
      <c r="G4" s="132" t="s">
        <v>22</v>
      </c>
      <c r="H4" s="132" t="s">
        <v>0</v>
      </c>
      <c r="I4" s="132" t="s">
        <v>1</v>
      </c>
      <c r="J4" s="132" t="s">
        <v>23</v>
      </c>
      <c r="K4" s="3"/>
      <c r="L4" s="1" t="s">
        <v>24</v>
      </c>
      <c r="M4" s="4">
        <v>147.4</v>
      </c>
    </row>
    <row r="5" spans="1:13" s="4" customFormat="1" x14ac:dyDescent="0.25">
      <c r="A5" s="2"/>
      <c r="B5" s="137"/>
      <c r="C5" s="133"/>
      <c r="D5" s="133"/>
      <c r="E5" s="134" t="s">
        <v>25</v>
      </c>
      <c r="F5" s="133"/>
      <c r="G5" s="134" t="s">
        <v>26</v>
      </c>
      <c r="H5" s="134" t="s">
        <v>27</v>
      </c>
      <c r="I5" s="135" t="s">
        <v>28</v>
      </c>
      <c r="J5" s="133"/>
      <c r="K5" s="3"/>
      <c r="L5" s="1" t="s">
        <v>29</v>
      </c>
      <c r="M5" s="4">
        <v>57.02</v>
      </c>
    </row>
    <row r="6" spans="1:13" x14ac:dyDescent="0.25">
      <c r="B6" s="10" t="s">
        <v>2</v>
      </c>
      <c r="C6" s="11" t="s">
        <v>3</v>
      </c>
      <c r="D6" s="11"/>
      <c r="E6" s="11"/>
      <c r="F6" s="11"/>
      <c r="G6" s="11"/>
      <c r="H6" s="11"/>
      <c r="I6" s="25"/>
      <c r="J6" s="11"/>
      <c r="L6" s="126" t="s">
        <v>165</v>
      </c>
      <c r="M6" s="127">
        <f>G53/Additional!G32</f>
        <v>15.533005016368742</v>
      </c>
    </row>
    <row r="7" spans="1:13" x14ac:dyDescent="0.25">
      <c r="B7" s="10" t="s">
        <v>4</v>
      </c>
      <c r="C7" s="10"/>
      <c r="D7" s="10"/>
      <c r="E7" s="10"/>
      <c r="F7" s="10"/>
      <c r="G7" s="10"/>
      <c r="H7" s="10"/>
      <c r="I7" s="26"/>
      <c r="J7" s="10"/>
    </row>
    <row r="8" spans="1:13" ht="15.75" x14ac:dyDescent="0.25">
      <c r="B8" s="10" t="s">
        <v>33</v>
      </c>
      <c r="C8" s="16">
        <v>40</v>
      </c>
      <c r="D8" s="16">
        <v>1</v>
      </c>
      <c r="E8" s="16">
        <f>C8*D8</f>
        <v>40</v>
      </c>
      <c r="F8" s="16">
        <v>0</v>
      </c>
      <c r="G8" s="27">
        <f>E8*F8</f>
        <v>0</v>
      </c>
      <c r="H8" s="27">
        <f>G8*0.05</f>
        <v>0</v>
      </c>
      <c r="I8" s="27">
        <f>G8*0.1</f>
        <v>0</v>
      </c>
      <c r="J8" s="72">
        <f>G8*$M$3+H8*$M$4+I8*$M$5</f>
        <v>0</v>
      </c>
      <c r="L8" s="55"/>
    </row>
    <row r="9" spans="1:13" ht="16.5" x14ac:dyDescent="0.25">
      <c r="B9" s="12" t="s">
        <v>34</v>
      </c>
      <c r="C9" s="16">
        <v>30</v>
      </c>
      <c r="D9" s="16">
        <v>1</v>
      </c>
      <c r="E9" s="16">
        <f>C9*D9</f>
        <v>30</v>
      </c>
      <c r="F9" s="16">
        <v>1</v>
      </c>
      <c r="G9" s="16">
        <f>E9*F9</f>
        <v>30</v>
      </c>
      <c r="H9" s="36">
        <f>G9*0.05</f>
        <v>1.5</v>
      </c>
      <c r="I9" s="27">
        <f>G9*0.1</f>
        <v>3</v>
      </c>
      <c r="J9" s="63">
        <f>G9*$M$3+H9*$M$4+I9*$M$5</f>
        <v>3929.7599999999998</v>
      </c>
      <c r="L9" s="58"/>
    </row>
    <row r="10" spans="1:13" x14ac:dyDescent="0.25">
      <c r="B10" s="13" t="s">
        <v>5</v>
      </c>
      <c r="C10" s="25"/>
      <c r="D10" s="25"/>
      <c r="E10" s="25"/>
      <c r="F10" s="25"/>
      <c r="G10" s="25"/>
      <c r="H10" s="25"/>
      <c r="I10" s="25"/>
      <c r="J10" s="64"/>
    </row>
    <row r="11" spans="1:13" ht="15.75" x14ac:dyDescent="0.25">
      <c r="B11" s="10" t="s">
        <v>189</v>
      </c>
      <c r="C11" s="16">
        <v>8</v>
      </c>
      <c r="D11" s="16">
        <v>1</v>
      </c>
      <c r="E11" s="16">
        <f>C11*D11</f>
        <v>8</v>
      </c>
      <c r="F11" s="27">
        <f>Additional!H9</f>
        <v>528.40213333333338</v>
      </c>
      <c r="G11" s="29">
        <f>E11*F11</f>
        <v>4227.2170666666671</v>
      </c>
      <c r="H11" s="36">
        <f>G11*0.05</f>
        <v>211.36085333333335</v>
      </c>
      <c r="I11" s="36">
        <f>G11*0.1</f>
        <v>422.72170666666671</v>
      </c>
      <c r="J11" s="63">
        <f>G11*$M$3+H11*$M$4+I11*$M$5</f>
        <v>553731.61799680011</v>
      </c>
      <c r="L11" s="56"/>
    </row>
    <row r="12" spans="1:13" x14ac:dyDescent="0.25">
      <c r="B12" s="13" t="s">
        <v>36</v>
      </c>
      <c r="C12" s="25"/>
      <c r="D12" s="25"/>
      <c r="E12" s="25"/>
      <c r="F12" s="25"/>
      <c r="G12" s="25"/>
      <c r="H12" s="25"/>
      <c r="I12" s="25"/>
      <c r="J12" s="64"/>
      <c r="L12" s="58"/>
    </row>
    <row r="13" spans="1:13" ht="15.75" x14ac:dyDescent="0.25">
      <c r="B13" s="10" t="s">
        <v>38</v>
      </c>
      <c r="C13" s="16">
        <v>24</v>
      </c>
      <c r="D13" s="16">
        <v>1</v>
      </c>
      <c r="E13" s="16">
        <f>C13*D13</f>
        <v>24</v>
      </c>
      <c r="F13" s="16">
        <v>0.2</v>
      </c>
      <c r="G13" s="16">
        <f>E13*F13</f>
        <v>4.8000000000000007</v>
      </c>
      <c r="H13" s="62">
        <f>G13*0.05</f>
        <v>0.24000000000000005</v>
      </c>
      <c r="I13" s="62">
        <f>G13*0.1</f>
        <v>0.48000000000000009</v>
      </c>
      <c r="J13" s="63">
        <f>G13*$M$3+H13*$M$4+I13*$M$5</f>
        <v>628.76160000000004</v>
      </c>
      <c r="L13" s="58"/>
    </row>
    <row r="14" spans="1:13" ht="15.75" x14ac:dyDescent="0.25">
      <c r="B14" s="10" t="s">
        <v>39</v>
      </c>
      <c r="C14" s="16">
        <v>40</v>
      </c>
      <c r="D14" s="16">
        <v>1</v>
      </c>
      <c r="E14" s="16">
        <f>C14*D14</f>
        <v>40</v>
      </c>
      <c r="F14" s="16">
        <v>0.8</v>
      </c>
      <c r="G14" s="27">
        <f>E14*F14</f>
        <v>32</v>
      </c>
      <c r="H14" s="36">
        <f>G14*0.05</f>
        <v>1.6</v>
      </c>
      <c r="I14" s="36">
        <f>G14*0.1</f>
        <v>3.2</v>
      </c>
      <c r="J14" s="63">
        <f>G14*$M$3+H14*$M$4+I14*$M$5</f>
        <v>4191.7440000000006</v>
      </c>
      <c r="L14" s="58"/>
    </row>
    <row r="15" spans="1:13" ht="15.75" x14ac:dyDescent="0.25">
      <c r="B15" s="10" t="s">
        <v>40</v>
      </c>
      <c r="C15" s="16">
        <v>24</v>
      </c>
      <c r="D15" s="16">
        <v>1</v>
      </c>
      <c r="E15" s="16">
        <f>C15*D15</f>
        <v>24</v>
      </c>
      <c r="F15" s="16">
        <v>0</v>
      </c>
      <c r="G15" s="16">
        <f>E15*F15</f>
        <v>0</v>
      </c>
      <c r="H15" s="27">
        <f>G15*0.05</f>
        <v>0</v>
      </c>
      <c r="I15" s="27">
        <f>G15*0.1</f>
        <v>0</v>
      </c>
      <c r="J15" s="72">
        <f>G15*$M$3+H15*$M$4+I15*$M$5</f>
        <v>0</v>
      </c>
      <c r="L15" s="58"/>
    </row>
    <row r="16" spans="1:13" ht="15.75" customHeight="1" x14ac:dyDescent="0.25">
      <c r="B16" s="10" t="s">
        <v>37</v>
      </c>
      <c r="C16" s="25" t="s">
        <v>6</v>
      </c>
      <c r="D16" s="25"/>
      <c r="E16" s="25"/>
      <c r="F16" s="25"/>
      <c r="G16" s="25"/>
      <c r="H16" s="25"/>
      <c r="I16" s="25"/>
      <c r="J16" s="64"/>
      <c r="L16" s="58"/>
    </row>
    <row r="17" spans="2:12" x14ac:dyDescent="0.25">
      <c r="B17" s="10" t="s">
        <v>41</v>
      </c>
      <c r="C17" s="25" t="s">
        <v>7</v>
      </c>
      <c r="D17" s="25"/>
      <c r="E17" s="25"/>
      <c r="F17" s="25"/>
      <c r="G17" s="25"/>
      <c r="H17" s="25"/>
      <c r="I17" s="25"/>
      <c r="J17" s="64"/>
    </row>
    <row r="18" spans="2:12" x14ac:dyDescent="0.25">
      <c r="B18" s="10" t="s">
        <v>42</v>
      </c>
      <c r="C18" s="31"/>
      <c r="D18" s="25"/>
      <c r="E18" s="25"/>
      <c r="F18" s="25"/>
      <c r="G18" s="25"/>
      <c r="H18" s="25"/>
      <c r="I18" s="25"/>
      <c r="J18" s="64"/>
    </row>
    <row r="19" spans="2:12" ht="15.75" x14ac:dyDescent="0.25">
      <c r="B19" s="10" t="s">
        <v>35</v>
      </c>
      <c r="C19" s="16">
        <v>2</v>
      </c>
      <c r="D19" s="16">
        <v>1</v>
      </c>
      <c r="E19" s="16">
        <f>C19*D19</f>
        <v>2</v>
      </c>
      <c r="F19" s="27">
        <f>Additional!D9</f>
        <v>10.1744</v>
      </c>
      <c r="G19" s="28">
        <f>E19*F19</f>
        <v>20.348800000000001</v>
      </c>
      <c r="H19" s="37">
        <f>G19*0.05</f>
        <v>1.0174400000000001</v>
      </c>
      <c r="I19" s="37">
        <f>G19*0.1</f>
        <v>2.0348800000000002</v>
      </c>
      <c r="J19" s="63">
        <f>G19*$M$3+H19*$M$4+I19*$M$5</f>
        <v>2665.5300096000001</v>
      </c>
    </row>
    <row r="20" spans="2:12" ht="15.75" x14ac:dyDescent="0.25">
      <c r="B20" s="14" t="s">
        <v>43</v>
      </c>
      <c r="C20" s="16">
        <v>2</v>
      </c>
      <c r="D20" s="16">
        <v>1</v>
      </c>
      <c r="E20" s="16">
        <f>C20*D20</f>
        <v>2</v>
      </c>
      <c r="F20" s="27">
        <f>Additional!D9</f>
        <v>10.1744</v>
      </c>
      <c r="G20" s="28">
        <f>E20*F20</f>
        <v>20.348800000000001</v>
      </c>
      <c r="H20" s="37">
        <f>G20*0.05</f>
        <v>1.0174400000000001</v>
      </c>
      <c r="I20" s="37">
        <f>G20*0.1</f>
        <v>2.0348800000000002</v>
      </c>
      <c r="J20" s="63">
        <f>G20*$M$3+H20*$M$4+I20*$M$5</f>
        <v>2665.5300096000001</v>
      </c>
    </row>
    <row r="21" spans="2:12" ht="15.75" x14ac:dyDescent="0.25">
      <c r="B21" s="14" t="s">
        <v>44</v>
      </c>
      <c r="C21" s="74">
        <v>8</v>
      </c>
      <c r="D21" s="16">
        <v>1</v>
      </c>
      <c r="E21" s="16">
        <f>C21*D21</f>
        <v>8</v>
      </c>
      <c r="F21" s="27">
        <f>Additional!D9</f>
        <v>10.1744</v>
      </c>
      <c r="G21" s="28">
        <f>E21*F21</f>
        <v>81.395200000000003</v>
      </c>
      <c r="H21" s="37">
        <f>G21*0.05</f>
        <v>4.0697600000000005</v>
      </c>
      <c r="I21" s="37">
        <f>G21*0.1</f>
        <v>8.139520000000001</v>
      </c>
      <c r="J21" s="63">
        <f>G21*$M$3+H21*$M$4+I21*$M$5</f>
        <v>10662.1200384</v>
      </c>
    </row>
    <row r="22" spans="2:12" ht="15.75" x14ac:dyDescent="0.25">
      <c r="B22" s="14" t="s">
        <v>45</v>
      </c>
      <c r="C22" s="74">
        <v>2</v>
      </c>
      <c r="D22" s="16">
        <v>1</v>
      </c>
      <c r="E22" s="16">
        <f>C22*D22</f>
        <v>2</v>
      </c>
      <c r="F22" s="16">
        <f>F13</f>
        <v>0.2</v>
      </c>
      <c r="G22" s="37">
        <f>E22*F22</f>
        <v>0.4</v>
      </c>
      <c r="H22" s="29">
        <f>G22*0.05</f>
        <v>2.0000000000000004E-2</v>
      </c>
      <c r="I22" s="29">
        <f>G22*0.1</f>
        <v>4.0000000000000008E-2</v>
      </c>
      <c r="J22" s="63">
        <f>G22*$M$3+H22*$M$4+I22*$M$5</f>
        <v>52.396800000000006</v>
      </c>
      <c r="L22" s="56"/>
    </row>
    <row r="23" spans="2:12" ht="15.75" customHeight="1" x14ac:dyDescent="0.25">
      <c r="B23" s="10" t="s">
        <v>46</v>
      </c>
      <c r="C23" s="16" t="s">
        <v>6</v>
      </c>
      <c r="D23" s="16"/>
      <c r="E23" s="16"/>
      <c r="F23" s="16"/>
      <c r="G23" s="28"/>
      <c r="H23" s="28"/>
      <c r="I23" s="28"/>
      <c r="J23" s="65"/>
      <c r="L23" s="58"/>
    </row>
    <row r="24" spans="2:12" ht="16.5" x14ac:dyDescent="0.25">
      <c r="B24" s="13" t="s">
        <v>49</v>
      </c>
      <c r="C24" s="16">
        <v>8</v>
      </c>
      <c r="D24" s="16">
        <v>2</v>
      </c>
      <c r="E24" s="16">
        <f>C24*D24</f>
        <v>16</v>
      </c>
      <c r="F24" s="36">
        <f>0.2*Additional!H9</f>
        <v>105.68042666666668</v>
      </c>
      <c r="G24" s="29">
        <f>E24*F24</f>
        <v>1690.8868266666668</v>
      </c>
      <c r="H24" s="28">
        <f>G24*0.05</f>
        <v>84.54434133333335</v>
      </c>
      <c r="I24" s="28">
        <f>G24*0.1</f>
        <v>169.0886826666667</v>
      </c>
      <c r="J24" s="63">
        <f>G24*$M$3+H24*$M$4+I24*$M$5</f>
        <v>221492.64719872005</v>
      </c>
      <c r="L24" s="56"/>
    </row>
    <row r="25" spans="2:12" s="117" customFormat="1" x14ac:dyDescent="0.25">
      <c r="B25" s="122" t="s">
        <v>50</v>
      </c>
      <c r="C25" s="123"/>
      <c r="D25" s="123"/>
      <c r="E25" s="123"/>
      <c r="F25" s="123"/>
      <c r="G25" s="216">
        <f>SUM(G8:I24)</f>
        <v>7023.5061973333322</v>
      </c>
      <c r="H25" s="217"/>
      <c r="I25" s="218"/>
      <c r="J25" s="124">
        <f>SUM(J8:J24)</f>
        <v>800020.10765312007</v>
      </c>
      <c r="L25" s="125"/>
    </row>
    <row r="26" spans="2:12" x14ac:dyDescent="0.25">
      <c r="B26" s="13" t="s">
        <v>32</v>
      </c>
      <c r="C26" s="16"/>
      <c r="D26" s="16"/>
      <c r="E26" s="16"/>
      <c r="F26" s="25"/>
      <c r="G26" s="29"/>
      <c r="H26" s="29"/>
      <c r="I26" s="29"/>
      <c r="J26" s="65"/>
      <c r="L26" s="56"/>
    </row>
    <row r="27" spans="2:12" ht="15.75" customHeight="1" x14ac:dyDescent="0.25">
      <c r="B27" s="13" t="s">
        <v>171</v>
      </c>
      <c r="C27" s="16" t="s">
        <v>193</v>
      </c>
      <c r="D27" s="16"/>
      <c r="E27" s="16"/>
      <c r="F27" s="25"/>
      <c r="G27" s="29"/>
      <c r="H27" s="29"/>
      <c r="I27" s="29"/>
      <c r="J27" s="65"/>
      <c r="L27" s="58"/>
    </row>
    <row r="28" spans="2:12" ht="15.75" customHeight="1" x14ac:dyDescent="0.25">
      <c r="B28" s="13" t="s">
        <v>47</v>
      </c>
      <c r="C28" s="16" t="s">
        <v>6</v>
      </c>
      <c r="D28" s="16"/>
      <c r="E28" s="16"/>
      <c r="F28" s="25"/>
      <c r="G28" s="29"/>
      <c r="H28" s="29"/>
      <c r="I28" s="29"/>
      <c r="J28" s="65"/>
    </row>
    <row r="29" spans="2:12" x14ac:dyDescent="0.25">
      <c r="B29" s="13" t="s">
        <v>51</v>
      </c>
      <c r="C29" s="16"/>
      <c r="D29" s="16"/>
      <c r="E29" s="16"/>
      <c r="F29" s="25"/>
      <c r="G29" s="29"/>
      <c r="H29" s="29"/>
      <c r="I29" s="29"/>
      <c r="J29" s="65"/>
    </row>
    <row r="30" spans="2:12" x14ac:dyDescent="0.25">
      <c r="B30" s="13" t="s">
        <v>52</v>
      </c>
      <c r="C30" s="16"/>
      <c r="D30" s="16"/>
      <c r="E30" s="16"/>
      <c r="F30" s="25"/>
      <c r="G30" s="29"/>
      <c r="H30" s="29"/>
      <c r="I30" s="29"/>
      <c r="J30" s="65"/>
    </row>
    <row r="31" spans="2:12" ht="29.25" customHeight="1" x14ac:dyDescent="0.25">
      <c r="B31" s="73" t="s">
        <v>53</v>
      </c>
      <c r="C31" s="16">
        <v>3</v>
      </c>
      <c r="D31" s="16">
        <v>1</v>
      </c>
      <c r="E31" s="16">
        <f t="shared" ref="E31:E36" si="0">C31*D31</f>
        <v>3</v>
      </c>
      <c r="F31" s="62">
        <f>0.25*(Additional!E44+Additional!G44)</f>
        <v>1.568853489583333</v>
      </c>
      <c r="G31" s="29">
        <f t="shared" ref="G31:G36" si="1">E31*F31</f>
        <v>4.7065604687499993</v>
      </c>
      <c r="H31" s="29">
        <f t="shared" ref="H31:H36" si="2">G31*0.05</f>
        <v>0.23532802343749998</v>
      </c>
      <c r="I31" s="29">
        <f t="shared" ref="I31:I36" si="3">G31*0.1</f>
        <v>0.47065604687499996</v>
      </c>
      <c r="J31" s="63">
        <f t="shared" ref="J31:J36" si="4">G31*$M$3+H31*$M$4+I31*$M$5</f>
        <v>616.52176892249986</v>
      </c>
      <c r="L31" s="56"/>
    </row>
    <row r="32" spans="2:12" ht="16.5" x14ac:dyDescent="0.25">
      <c r="B32" s="13" t="s">
        <v>54</v>
      </c>
      <c r="C32" s="16">
        <v>6</v>
      </c>
      <c r="D32" s="16">
        <v>1</v>
      </c>
      <c r="E32" s="16">
        <f t="shared" si="0"/>
        <v>6</v>
      </c>
      <c r="F32" s="62">
        <f>0.75*(Additional!E44+Additional!G44)</f>
        <v>4.7065604687499993</v>
      </c>
      <c r="G32" s="37">
        <f t="shared" si="1"/>
        <v>28.239362812499998</v>
      </c>
      <c r="H32" s="29">
        <f t="shared" si="2"/>
        <v>1.411968140625</v>
      </c>
      <c r="I32" s="29">
        <f t="shared" si="3"/>
        <v>2.82393628125</v>
      </c>
      <c r="J32" s="63">
        <f t="shared" si="4"/>
        <v>3699.1306135349996</v>
      </c>
      <c r="L32" s="58"/>
    </row>
    <row r="33" spans="2:12" ht="16.5" x14ac:dyDescent="0.25">
      <c r="B33" s="13" t="s">
        <v>55</v>
      </c>
      <c r="C33" s="16">
        <v>2</v>
      </c>
      <c r="D33" s="16">
        <v>1</v>
      </c>
      <c r="E33" s="16">
        <f t="shared" si="0"/>
        <v>2</v>
      </c>
      <c r="F33" s="16">
        <v>2</v>
      </c>
      <c r="G33" s="28">
        <f t="shared" si="1"/>
        <v>4</v>
      </c>
      <c r="H33" s="37">
        <f t="shared" si="2"/>
        <v>0.2</v>
      </c>
      <c r="I33" s="37">
        <f t="shared" si="3"/>
        <v>0.4</v>
      </c>
      <c r="J33" s="63">
        <f t="shared" si="4"/>
        <v>523.96800000000007</v>
      </c>
    </row>
    <row r="34" spans="2:12" ht="29.25" x14ac:dyDescent="0.25">
      <c r="B34" s="13" t="s">
        <v>56</v>
      </c>
      <c r="C34" s="16">
        <v>1</v>
      </c>
      <c r="D34" s="16">
        <v>1</v>
      </c>
      <c r="E34" s="16">
        <f t="shared" si="0"/>
        <v>1</v>
      </c>
      <c r="F34" s="16">
        <v>0</v>
      </c>
      <c r="G34" s="28">
        <f t="shared" si="1"/>
        <v>0</v>
      </c>
      <c r="H34" s="28">
        <f t="shared" si="2"/>
        <v>0</v>
      </c>
      <c r="I34" s="28">
        <f t="shared" si="3"/>
        <v>0</v>
      </c>
      <c r="J34" s="72">
        <f t="shared" si="4"/>
        <v>0</v>
      </c>
    </row>
    <row r="35" spans="2:12" ht="29.25" x14ac:dyDescent="0.25">
      <c r="B35" s="13" t="s">
        <v>57</v>
      </c>
      <c r="C35" s="16">
        <v>2</v>
      </c>
      <c r="D35" s="16">
        <v>1</v>
      </c>
      <c r="E35" s="16">
        <f t="shared" si="0"/>
        <v>2</v>
      </c>
      <c r="F35" s="16">
        <v>0</v>
      </c>
      <c r="G35" s="28">
        <f t="shared" si="1"/>
        <v>0</v>
      </c>
      <c r="H35" s="28">
        <f t="shared" si="2"/>
        <v>0</v>
      </c>
      <c r="I35" s="28">
        <f t="shared" si="3"/>
        <v>0</v>
      </c>
      <c r="J35" s="72">
        <f t="shared" si="4"/>
        <v>0</v>
      </c>
    </row>
    <row r="36" spans="2:12" ht="29.25" x14ac:dyDescent="0.25">
      <c r="B36" s="13" t="s">
        <v>58</v>
      </c>
      <c r="C36" s="16">
        <v>20</v>
      </c>
      <c r="D36" s="16">
        <v>1</v>
      </c>
      <c r="E36" s="16">
        <f t="shared" si="0"/>
        <v>20</v>
      </c>
      <c r="F36" s="62">
        <f>0.5*(Additional!E44+Additional!G44)</f>
        <v>3.1377069791666661</v>
      </c>
      <c r="G36" s="28">
        <f t="shared" si="1"/>
        <v>62.75413958333332</v>
      </c>
      <c r="H36" s="37">
        <f t="shared" si="2"/>
        <v>3.1377069791666661</v>
      </c>
      <c r="I36" s="28">
        <f t="shared" si="3"/>
        <v>6.2754139583333322</v>
      </c>
      <c r="J36" s="63">
        <f t="shared" si="4"/>
        <v>8220.2902522999993</v>
      </c>
    </row>
    <row r="37" spans="2:12" ht="26.25" x14ac:dyDescent="0.25">
      <c r="B37" s="13" t="s">
        <v>59</v>
      </c>
      <c r="C37" s="16"/>
      <c r="D37" s="16"/>
      <c r="E37" s="16"/>
      <c r="F37" s="25"/>
      <c r="G37" s="28"/>
      <c r="H37" s="38"/>
      <c r="I37" s="38"/>
      <c r="J37" s="65"/>
    </row>
    <row r="38" spans="2:12" ht="16.5" x14ac:dyDescent="0.25">
      <c r="B38" s="13" t="s">
        <v>69</v>
      </c>
      <c r="C38" s="16">
        <v>0.5</v>
      </c>
      <c r="D38" s="16">
        <v>12</v>
      </c>
      <c r="E38" s="47">
        <f>C38*D38</f>
        <v>6</v>
      </c>
      <c r="F38" s="62">
        <f>0.75*(Additional!E44+Additional!G44)</f>
        <v>4.7065604687499993</v>
      </c>
      <c r="G38" s="28">
        <f>E38*F38</f>
        <v>28.239362812499998</v>
      </c>
      <c r="H38" s="29">
        <f>G38*0.05</f>
        <v>1.411968140625</v>
      </c>
      <c r="I38" s="37">
        <f>G38*0.1</f>
        <v>2.82393628125</v>
      </c>
      <c r="J38" s="63">
        <f>G38*$M$3+H38*$M$4+I38*$M$5</f>
        <v>3699.1306135349996</v>
      </c>
      <c r="L38" s="56"/>
    </row>
    <row r="39" spans="2:12" ht="16.5" x14ac:dyDescent="0.25">
      <c r="B39" s="13" t="s">
        <v>68</v>
      </c>
      <c r="C39" s="16">
        <v>0.5</v>
      </c>
      <c r="D39" s="16">
        <v>12</v>
      </c>
      <c r="E39" s="16">
        <f>C39*D39</f>
        <v>6</v>
      </c>
      <c r="F39" s="27">
        <v>1</v>
      </c>
      <c r="G39" s="28">
        <f>E39*F39</f>
        <v>6</v>
      </c>
      <c r="H39" s="37">
        <f>G39*0.05</f>
        <v>0.30000000000000004</v>
      </c>
      <c r="I39" s="37">
        <f>G39*0.1</f>
        <v>0.60000000000000009</v>
      </c>
      <c r="J39" s="63">
        <f>G39*$M$3+H39*$M$4+I39*$M$5</f>
        <v>785.952</v>
      </c>
      <c r="L39" s="56"/>
    </row>
    <row r="40" spans="2:12" ht="29.25" x14ac:dyDescent="0.25">
      <c r="B40" s="13" t="s">
        <v>60</v>
      </c>
      <c r="C40" s="16">
        <v>3</v>
      </c>
      <c r="D40" s="16">
        <v>4</v>
      </c>
      <c r="E40" s="16">
        <f>C40*D40</f>
        <v>12</v>
      </c>
      <c r="F40" s="16">
        <v>0</v>
      </c>
      <c r="G40" s="28">
        <f>E40*F40</f>
        <v>0</v>
      </c>
      <c r="H40" s="28">
        <f>G40*0.05</f>
        <v>0</v>
      </c>
      <c r="I40" s="28">
        <f>G40*0.1</f>
        <v>0</v>
      </c>
      <c r="J40" s="72">
        <f>G40*$M$3+H40*$M$4+I40*$M$5</f>
        <v>0</v>
      </c>
      <c r="L40" s="58"/>
    </row>
    <row r="41" spans="2:12" x14ac:dyDescent="0.25">
      <c r="B41" s="13" t="s">
        <v>61</v>
      </c>
      <c r="C41" s="16">
        <v>20</v>
      </c>
      <c r="D41" s="16">
        <v>1</v>
      </c>
      <c r="E41" s="16">
        <f>C41*D41</f>
        <v>20</v>
      </c>
      <c r="F41" s="27">
        <f>Additional!D9</f>
        <v>10.1744</v>
      </c>
      <c r="G41" s="28">
        <f>E41*F41</f>
        <v>203.488</v>
      </c>
      <c r="H41" s="28">
        <f>G41*0.05</f>
        <v>10.1744</v>
      </c>
      <c r="I41" s="28">
        <f>G41*0.1</f>
        <v>20.348800000000001</v>
      </c>
      <c r="J41" s="63">
        <f>G41*$M$3+H41*$M$4+I41*$M$5</f>
        <v>26655.300095999999</v>
      </c>
    </row>
    <row r="42" spans="2:12" x14ac:dyDescent="0.25">
      <c r="B42" s="13" t="s">
        <v>62</v>
      </c>
      <c r="C42" s="47"/>
      <c r="D42" s="47"/>
      <c r="E42" s="47"/>
      <c r="F42" s="47"/>
      <c r="G42" s="47"/>
      <c r="H42" s="47"/>
      <c r="I42" s="30"/>
      <c r="J42" s="66"/>
    </row>
    <row r="43" spans="2:12" ht="29.25" x14ac:dyDescent="0.25">
      <c r="B43" s="13" t="s">
        <v>63</v>
      </c>
      <c r="C43" s="47">
        <v>0.25</v>
      </c>
      <c r="D43" s="47">
        <v>52</v>
      </c>
      <c r="E43" s="16">
        <f>C43*D43</f>
        <v>13</v>
      </c>
      <c r="F43" s="209">
        <f>0.07*(Additional!E42+Additional!G42+Additional!E44+Additional!G44)</f>
        <v>22.40322783125</v>
      </c>
      <c r="G43" s="28">
        <f>E43*F43</f>
        <v>291.24196180625</v>
      </c>
      <c r="H43" s="28">
        <f>G43*0.05</f>
        <v>14.562098090312501</v>
      </c>
      <c r="I43" s="28">
        <f>G43*0.1</f>
        <v>29.124196180625002</v>
      </c>
      <c r="J43" s="63">
        <f>G43*$M$3+H43*$M$4+I43*$M$5</f>
        <v>38150.367060924298</v>
      </c>
      <c r="L43" s="56"/>
    </row>
    <row r="44" spans="2:12" x14ac:dyDescent="0.25">
      <c r="B44" s="13" t="s">
        <v>64</v>
      </c>
      <c r="C44" s="16" t="s">
        <v>199</v>
      </c>
      <c r="D44" s="47"/>
      <c r="E44" s="16"/>
      <c r="F44" s="47"/>
      <c r="G44" s="16"/>
      <c r="H44" s="16"/>
      <c r="I44" s="16"/>
      <c r="J44" s="65"/>
      <c r="L44" s="58"/>
    </row>
    <row r="45" spans="2:12" x14ac:dyDescent="0.25">
      <c r="B45" s="13" t="s">
        <v>200</v>
      </c>
      <c r="C45" s="16" t="s">
        <v>201</v>
      </c>
      <c r="D45" s="47"/>
      <c r="E45" s="16"/>
      <c r="F45" s="47"/>
      <c r="G45" s="16"/>
      <c r="H45" s="16"/>
      <c r="I45" s="16"/>
      <c r="J45" s="65"/>
    </row>
    <row r="46" spans="2:12" ht="29.25" x14ac:dyDescent="0.25">
      <c r="B46" s="13" t="s">
        <v>71</v>
      </c>
      <c r="C46" s="47">
        <v>2</v>
      </c>
      <c r="D46" s="47">
        <v>4</v>
      </c>
      <c r="E46" s="16">
        <f>C46*D46</f>
        <v>8</v>
      </c>
      <c r="F46" s="210">
        <f>Additional!F42+Additional!G42+Additional!F44+Additional!G44</f>
        <v>262.23133037499997</v>
      </c>
      <c r="G46" s="29">
        <f>E46*F46</f>
        <v>2097.8506429999998</v>
      </c>
      <c r="H46" s="36">
        <f>G46*0.05</f>
        <v>104.89253214999999</v>
      </c>
      <c r="I46" s="36">
        <f>G46*0.1</f>
        <v>209.78506429999999</v>
      </c>
      <c r="J46" s="63">
        <f>G46*$M$3+H46*$M$4+I46*$M$5</f>
        <v>274801.65142785595</v>
      </c>
      <c r="L46" s="56"/>
    </row>
    <row r="47" spans="2:12" ht="39" x14ac:dyDescent="0.25">
      <c r="B47" s="13" t="s">
        <v>85</v>
      </c>
      <c r="C47" s="16" t="s">
        <v>199</v>
      </c>
      <c r="D47" s="47"/>
      <c r="E47" s="47"/>
      <c r="F47" s="47"/>
      <c r="G47" s="47"/>
      <c r="H47" s="75"/>
      <c r="I47" s="31"/>
      <c r="J47" s="67"/>
      <c r="L47" s="58"/>
    </row>
    <row r="48" spans="2:12" x14ac:dyDescent="0.25">
      <c r="B48" s="10" t="s">
        <v>65</v>
      </c>
      <c r="C48" s="32"/>
      <c r="D48" s="32"/>
      <c r="E48" s="32"/>
      <c r="F48" s="32"/>
      <c r="G48" s="32"/>
      <c r="H48" s="32"/>
      <c r="I48" s="32"/>
      <c r="J48" s="68"/>
    </row>
    <row r="49" spans="2:12" x14ac:dyDescent="0.25">
      <c r="B49" s="10" t="s">
        <v>66</v>
      </c>
      <c r="C49" s="15" t="s">
        <v>3</v>
      </c>
      <c r="D49" s="13"/>
      <c r="E49" s="13"/>
      <c r="F49" s="13"/>
      <c r="G49" s="13"/>
      <c r="H49" s="13"/>
      <c r="I49" s="32"/>
      <c r="J49" s="68"/>
    </row>
    <row r="50" spans="2:12" x14ac:dyDescent="0.25">
      <c r="B50" s="10" t="s">
        <v>67</v>
      </c>
      <c r="C50" s="15" t="s">
        <v>3</v>
      </c>
      <c r="D50" s="13"/>
      <c r="E50" s="13"/>
      <c r="F50" s="13"/>
      <c r="G50" s="13"/>
      <c r="H50" s="13"/>
      <c r="I50" s="32"/>
      <c r="J50" s="68"/>
    </row>
    <row r="51" spans="2:12" x14ac:dyDescent="0.25">
      <c r="B51" s="10" t="s">
        <v>48</v>
      </c>
      <c r="C51" s="15" t="s">
        <v>3</v>
      </c>
      <c r="D51" s="13"/>
      <c r="E51" s="13"/>
      <c r="F51" s="13"/>
      <c r="G51" s="13"/>
      <c r="H51" s="13"/>
      <c r="I51" s="32"/>
      <c r="J51" s="68"/>
    </row>
    <row r="52" spans="2:12" s="117" customFormat="1" x14ac:dyDescent="0.25">
      <c r="B52" s="118" t="s">
        <v>70</v>
      </c>
      <c r="C52" s="119"/>
      <c r="D52" s="119"/>
      <c r="E52" s="119"/>
      <c r="F52" s="119"/>
      <c r="G52" s="219">
        <f>SUM(G27:I51)</f>
        <v>3135.4980350558335</v>
      </c>
      <c r="H52" s="220"/>
      <c r="I52" s="221"/>
      <c r="J52" s="120">
        <f>SUM(J27:J51)</f>
        <v>357152.31183307274</v>
      </c>
      <c r="L52" s="121"/>
    </row>
    <row r="53" spans="2:12" ht="15.75" x14ac:dyDescent="0.25">
      <c r="B53" s="17" t="s">
        <v>164</v>
      </c>
      <c r="C53" s="18"/>
      <c r="D53" s="19"/>
      <c r="E53" s="19"/>
      <c r="F53" s="19"/>
      <c r="G53" s="222">
        <f>ROUND(G25+G52,-2)</f>
        <v>10200</v>
      </c>
      <c r="H53" s="223"/>
      <c r="I53" s="224"/>
      <c r="J53" s="79">
        <f>ROUND(J25+J52,-4)</f>
        <v>1160000</v>
      </c>
    </row>
    <row r="54" spans="2:12" s="102" customFormat="1" ht="15.75" x14ac:dyDescent="0.2">
      <c r="B54" s="112" t="s">
        <v>163</v>
      </c>
      <c r="C54" s="113"/>
      <c r="D54" s="113"/>
      <c r="E54" s="113"/>
      <c r="F54" s="113"/>
      <c r="G54" s="114"/>
      <c r="H54" s="113"/>
      <c r="I54" s="113"/>
      <c r="J54" s="115">
        <f>ROUND('Capital and O&amp;M'!E11+'Capital and O&amp;M'!H11,-4)</f>
        <v>1490000</v>
      </c>
      <c r="L54" s="116"/>
    </row>
    <row r="55" spans="2:12" s="102" customFormat="1" ht="15.75" x14ac:dyDescent="0.2">
      <c r="B55" s="112" t="s">
        <v>162</v>
      </c>
      <c r="C55" s="113"/>
      <c r="D55" s="113"/>
      <c r="E55" s="113"/>
      <c r="F55" s="113"/>
      <c r="G55" s="113"/>
      <c r="H55" s="113"/>
      <c r="I55" s="113"/>
      <c r="J55" s="115">
        <f>ROUND(J53+J54,-4)</f>
        <v>2650000</v>
      </c>
    </row>
    <row r="56" spans="2:12" s="5" customFormat="1" x14ac:dyDescent="0.25">
      <c r="B56" s="23"/>
      <c r="C56" s="23"/>
      <c r="D56" s="23"/>
      <c r="E56" s="23"/>
      <c r="F56" s="23"/>
      <c r="G56" s="23"/>
      <c r="H56" s="23"/>
      <c r="I56" s="33"/>
      <c r="J56" s="23"/>
      <c r="L56" s="52"/>
    </row>
    <row r="57" spans="2:12" x14ac:dyDescent="0.25">
      <c r="B57" s="139" t="s">
        <v>100</v>
      </c>
      <c r="C57" s="24"/>
      <c r="D57" s="24"/>
      <c r="E57" s="24"/>
      <c r="F57" s="24"/>
      <c r="G57" s="24"/>
      <c r="H57" s="24"/>
      <c r="I57" s="34"/>
      <c r="J57" s="24"/>
    </row>
    <row r="58" spans="2:12" ht="39.75" customHeight="1" x14ac:dyDescent="0.25">
      <c r="B58" s="215" t="s">
        <v>194</v>
      </c>
      <c r="C58" s="215"/>
      <c r="D58" s="215"/>
      <c r="E58" s="215"/>
      <c r="F58" s="215"/>
      <c r="G58" s="215"/>
      <c r="H58" s="215"/>
      <c r="I58" s="215"/>
      <c r="J58" s="215"/>
      <c r="L58" s="58"/>
    </row>
    <row r="59" spans="2:12" ht="51.75" customHeight="1" x14ac:dyDescent="0.25">
      <c r="B59" s="213" t="s">
        <v>191</v>
      </c>
      <c r="C59" s="213"/>
      <c r="D59" s="213"/>
      <c r="E59" s="213"/>
      <c r="F59" s="213"/>
      <c r="G59" s="213"/>
      <c r="H59" s="213"/>
      <c r="I59" s="213"/>
      <c r="J59" s="213"/>
      <c r="L59" s="58"/>
    </row>
    <row r="60" spans="2:12" ht="26.25" customHeight="1" x14ac:dyDescent="0.25">
      <c r="B60" s="214" t="s">
        <v>145</v>
      </c>
      <c r="C60" s="214"/>
      <c r="D60" s="214"/>
      <c r="E60" s="214"/>
      <c r="F60" s="214"/>
      <c r="G60" s="214"/>
      <c r="H60" s="214"/>
      <c r="I60" s="214"/>
      <c r="J60" s="214"/>
    </row>
    <row r="61" spans="2:12" ht="39" customHeight="1" x14ac:dyDescent="0.25">
      <c r="B61" s="213" t="s">
        <v>144</v>
      </c>
      <c r="C61" s="213"/>
      <c r="D61" s="213"/>
      <c r="E61" s="213"/>
      <c r="F61" s="213"/>
      <c r="G61" s="213"/>
      <c r="H61" s="213"/>
      <c r="I61" s="213"/>
      <c r="J61" s="213"/>
    </row>
    <row r="62" spans="2:12" ht="14.25" customHeight="1" x14ac:dyDescent="0.25">
      <c r="B62" s="214" t="s">
        <v>195</v>
      </c>
      <c r="C62" s="214"/>
      <c r="D62" s="214"/>
      <c r="E62" s="214"/>
      <c r="F62" s="214"/>
      <c r="G62" s="214"/>
      <c r="H62" s="214"/>
      <c r="I62" s="214"/>
      <c r="J62" s="214"/>
      <c r="L62" s="58"/>
    </row>
    <row r="63" spans="2:12" ht="52.5" customHeight="1" x14ac:dyDescent="0.25">
      <c r="B63" s="213" t="s">
        <v>146</v>
      </c>
      <c r="C63" s="213"/>
      <c r="D63" s="213"/>
      <c r="E63" s="213"/>
      <c r="F63" s="213"/>
      <c r="G63" s="213"/>
      <c r="H63" s="213"/>
      <c r="I63" s="213"/>
      <c r="J63" s="213"/>
      <c r="L63" s="106"/>
    </row>
    <row r="64" spans="2:12" ht="39" customHeight="1" x14ac:dyDescent="0.25">
      <c r="B64" s="213" t="s">
        <v>143</v>
      </c>
      <c r="C64" s="213"/>
      <c r="D64" s="213"/>
      <c r="E64" s="213"/>
      <c r="F64" s="213"/>
      <c r="G64" s="213"/>
      <c r="H64" s="213"/>
      <c r="I64" s="213"/>
      <c r="J64" s="213"/>
      <c r="L64" s="106"/>
    </row>
    <row r="65" spans="2:19" x14ac:dyDescent="0.25">
      <c r="B65" s="213" t="s">
        <v>142</v>
      </c>
      <c r="C65" s="213"/>
      <c r="D65" s="213"/>
      <c r="E65" s="213"/>
      <c r="F65" s="213"/>
      <c r="G65" s="213"/>
      <c r="H65" s="213"/>
      <c r="I65" s="213"/>
      <c r="J65" s="213"/>
    </row>
    <row r="66" spans="2:19" x14ac:dyDescent="0.25">
      <c r="B66" s="213" t="s">
        <v>141</v>
      </c>
      <c r="C66" s="213"/>
      <c r="D66" s="213"/>
      <c r="E66" s="213"/>
      <c r="F66" s="213"/>
      <c r="G66" s="213"/>
      <c r="H66" s="213"/>
      <c r="I66" s="213"/>
      <c r="J66" s="213"/>
    </row>
    <row r="67" spans="2:19" ht="26.25" customHeight="1" x14ac:dyDescent="0.25">
      <c r="B67" s="213" t="s">
        <v>140</v>
      </c>
      <c r="C67" s="213"/>
      <c r="D67" s="213"/>
      <c r="E67" s="213"/>
      <c r="F67" s="213"/>
      <c r="G67" s="213"/>
      <c r="H67" s="213"/>
      <c r="I67" s="213"/>
      <c r="J67" s="213"/>
    </row>
    <row r="68" spans="2:19" x14ac:dyDescent="0.25">
      <c r="B68" s="213" t="s">
        <v>139</v>
      </c>
      <c r="C68" s="213"/>
      <c r="D68" s="213"/>
      <c r="E68" s="213"/>
      <c r="F68" s="213"/>
      <c r="G68" s="213"/>
      <c r="H68" s="213"/>
      <c r="I68" s="213"/>
      <c r="J68" s="213"/>
    </row>
    <row r="69" spans="2:19" ht="15.75" customHeight="1" x14ac:dyDescent="0.25">
      <c r="B69" s="213" t="s">
        <v>138</v>
      </c>
      <c r="C69" s="213"/>
      <c r="D69" s="213"/>
      <c r="E69" s="213"/>
      <c r="F69" s="213"/>
      <c r="G69" s="213"/>
      <c r="H69" s="213"/>
      <c r="I69" s="213"/>
      <c r="J69" s="213"/>
    </row>
    <row r="70" spans="2:19" ht="28.5" customHeight="1" x14ac:dyDescent="0.25">
      <c r="B70" s="213" t="s">
        <v>137</v>
      </c>
      <c r="C70" s="213"/>
      <c r="D70" s="213"/>
      <c r="E70" s="213"/>
      <c r="F70" s="213"/>
      <c r="G70" s="213"/>
      <c r="H70" s="213"/>
      <c r="I70" s="213"/>
      <c r="J70" s="213"/>
    </row>
    <row r="71" spans="2:19" ht="28.5" customHeight="1" x14ac:dyDescent="0.25">
      <c r="B71" s="213" t="s">
        <v>136</v>
      </c>
      <c r="C71" s="213"/>
      <c r="D71" s="213"/>
      <c r="E71" s="213"/>
      <c r="F71" s="213"/>
      <c r="G71" s="213"/>
      <c r="H71" s="213"/>
      <c r="I71" s="213"/>
      <c r="J71" s="213"/>
    </row>
    <row r="72" spans="2:19" s="1" customFormat="1" ht="19.5" customHeight="1" x14ac:dyDescent="0.2">
      <c r="B72" s="213" t="s">
        <v>135</v>
      </c>
      <c r="C72" s="213"/>
      <c r="D72" s="213"/>
      <c r="E72" s="213"/>
      <c r="F72" s="213"/>
      <c r="G72" s="213"/>
      <c r="H72" s="213"/>
      <c r="I72" s="213"/>
      <c r="J72" s="213"/>
    </row>
    <row r="73" spans="2:19" s="1" customFormat="1" ht="27" customHeight="1" x14ac:dyDescent="0.25">
      <c r="B73" s="213" t="s">
        <v>196</v>
      </c>
      <c r="C73" s="213"/>
      <c r="D73" s="213"/>
      <c r="E73" s="213"/>
      <c r="F73" s="213"/>
      <c r="G73" s="213"/>
      <c r="H73" s="213"/>
      <c r="I73" s="213"/>
      <c r="J73" s="213"/>
      <c r="L73" s="55"/>
      <c r="M73"/>
      <c r="N73"/>
      <c r="O73"/>
      <c r="P73"/>
      <c r="Q73"/>
      <c r="R73"/>
      <c r="S73"/>
    </row>
    <row r="74" spans="2:19" s="1" customFormat="1" ht="14.25" customHeight="1" x14ac:dyDescent="0.2">
      <c r="B74" s="213" t="s">
        <v>197</v>
      </c>
      <c r="C74" s="213"/>
      <c r="D74" s="213"/>
      <c r="E74" s="213"/>
      <c r="F74" s="213"/>
      <c r="G74" s="213"/>
      <c r="H74" s="213"/>
      <c r="I74" s="213"/>
      <c r="J74" s="213"/>
    </row>
    <row r="75" spans="2:19" s="1" customFormat="1" ht="37.5" customHeight="1" x14ac:dyDescent="0.2">
      <c r="B75" s="213" t="s">
        <v>134</v>
      </c>
      <c r="C75" s="213"/>
      <c r="D75" s="213"/>
      <c r="E75" s="213"/>
      <c r="F75" s="213"/>
      <c r="G75" s="213"/>
      <c r="H75" s="213"/>
      <c r="I75" s="213"/>
      <c r="J75" s="213"/>
    </row>
    <row r="76" spans="2:19" s="1" customFormat="1" ht="29.1" customHeight="1" x14ac:dyDescent="0.2">
      <c r="B76" s="213" t="s">
        <v>133</v>
      </c>
      <c r="C76" s="213"/>
      <c r="D76" s="213"/>
      <c r="E76" s="213"/>
      <c r="F76" s="213"/>
      <c r="G76" s="213"/>
      <c r="H76" s="213"/>
      <c r="I76" s="213"/>
      <c r="J76" s="213"/>
    </row>
    <row r="77" spans="2:19" s="1" customFormat="1" ht="25.5" customHeight="1" x14ac:dyDescent="0.2">
      <c r="B77" s="213" t="s">
        <v>132</v>
      </c>
      <c r="C77" s="213"/>
      <c r="D77" s="213"/>
      <c r="E77" s="213"/>
      <c r="F77" s="213"/>
      <c r="G77" s="213"/>
      <c r="H77" s="213"/>
      <c r="I77" s="213"/>
      <c r="J77" s="213"/>
    </row>
    <row r="78" spans="2:19" s="1" customFormat="1" ht="25.5" customHeight="1" x14ac:dyDescent="0.2">
      <c r="B78" s="213" t="s">
        <v>131</v>
      </c>
      <c r="C78" s="213"/>
      <c r="D78" s="213"/>
      <c r="E78" s="213"/>
      <c r="F78" s="213"/>
      <c r="G78" s="213"/>
      <c r="H78" s="213"/>
      <c r="I78" s="213"/>
      <c r="J78" s="213"/>
    </row>
    <row r="79" spans="2:19" s="1" customFormat="1" ht="38.450000000000003" customHeight="1" x14ac:dyDescent="0.2">
      <c r="B79" s="213" t="s">
        <v>130</v>
      </c>
      <c r="C79" s="213"/>
      <c r="D79" s="213"/>
      <c r="E79" s="213"/>
      <c r="F79" s="213"/>
      <c r="G79" s="213"/>
      <c r="H79" s="213"/>
      <c r="I79" s="213"/>
      <c r="J79" s="213"/>
    </row>
    <row r="80" spans="2:19" s="1" customFormat="1" ht="25.5" customHeight="1" x14ac:dyDescent="0.2">
      <c r="B80" s="213" t="s">
        <v>198</v>
      </c>
      <c r="C80" s="213"/>
      <c r="D80" s="213"/>
      <c r="E80" s="213"/>
      <c r="F80" s="213"/>
      <c r="G80" s="213"/>
      <c r="H80" s="213"/>
      <c r="I80" s="213"/>
      <c r="J80" s="213"/>
    </row>
    <row r="81" spans="2:9" s="1" customFormat="1" ht="12.75" customHeight="1" x14ac:dyDescent="0.2">
      <c r="B81" s="109" t="s">
        <v>161</v>
      </c>
      <c r="I81" s="35"/>
    </row>
    <row r="82" spans="2:9" s="1" customFormat="1" ht="12.75" x14ac:dyDescent="0.2">
      <c r="I82" s="35"/>
    </row>
    <row r="83" spans="2:9" s="1" customFormat="1" ht="38.25" customHeight="1" x14ac:dyDescent="0.2">
      <c r="I83" s="35"/>
    </row>
    <row r="92" spans="2:9" s="1" customFormat="1" ht="24.75" customHeight="1" x14ac:dyDescent="0.2">
      <c r="I92" s="35"/>
    </row>
    <row r="93" spans="2:9" s="1" customFormat="1" ht="63" customHeight="1" x14ac:dyDescent="0.2">
      <c r="I93" s="35"/>
    </row>
    <row r="94" spans="2:9" s="1" customFormat="1" ht="24.75" customHeight="1" x14ac:dyDescent="0.2">
      <c r="I94" s="35"/>
    </row>
    <row r="95" spans="2:9" s="1" customFormat="1" ht="24.75" customHeight="1" x14ac:dyDescent="0.2">
      <c r="I95" s="35"/>
    </row>
    <row r="96" spans="2:9" s="1" customFormat="1" ht="12.75" x14ac:dyDescent="0.2">
      <c r="I96" s="35"/>
    </row>
    <row r="97" spans="2:10" s="1" customFormat="1" ht="12.75" x14ac:dyDescent="0.2">
      <c r="I97" s="35"/>
    </row>
    <row r="98" spans="2:10" s="1" customFormat="1" ht="12.75" x14ac:dyDescent="0.2">
      <c r="I98" s="35"/>
    </row>
    <row r="99" spans="2:10" s="1" customFormat="1" ht="34.5" customHeight="1" x14ac:dyDescent="0.2">
      <c r="I99" s="35"/>
    </row>
    <row r="100" spans="2:10" s="1" customFormat="1" ht="30.75" customHeight="1" x14ac:dyDescent="0.2">
      <c r="I100" s="35"/>
    </row>
    <row r="101" spans="2:10" s="1" customFormat="1" ht="44.25" customHeight="1" x14ac:dyDescent="0.2">
      <c r="I101" s="35"/>
    </row>
    <row r="102" spans="2:10" s="1" customFormat="1" ht="30" customHeight="1" x14ac:dyDescent="0.2">
      <c r="I102" s="35"/>
    </row>
    <row r="103" spans="2:10" s="1" customFormat="1" ht="43.5" customHeight="1" x14ac:dyDescent="0.2">
      <c r="I103" s="35"/>
    </row>
    <row r="104" spans="2:10" s="1" customFormat="1" ht="16.5" customHeight="1" x14ac:dyDescent="0.2">
      <c r="I104" s="35"/>
    </row>
    <row r="105" spans="2:10" s="1" customFormat="1" ht="29.25" customHeight="1" x14ac:dyDescent="0.2">
      <c r="I105" s="35"/>
    </row>
    <row r="106" spans="2:10" s="1" customFormat="1" ht="128.25" customHeight="1" x14ac:dyDescent="0.2">
      <c r="I106" s="35"/>
    </row>
    <row r="107" spans="2:10" s="1" customFormat="1" ht="12.75" x14ac:dyDescent="0.2">
      <c r="I107" s="35"/>
    </row>
    <row r="108" spans="2:10" s="1" customFormat="1" ht="12.75" x14ac:dyDescent="0.2">
      <c r="I108" s="35"/>
    </row>
    <row r="109" spans="2:10" s="1" customFormat="1" ht="12.75" x14ac:dyDescent="0.2">
      <c r="I109" s="35"/>
    </row>
    <row r="110" spans="2:10" s="1" customFormat="1" ht="12.75" x14ac:dyDescent="0.2">
      <c r="I110" s="35"/>
    </row>
    <row r="111" spans="2:10" s="1" customFormat="1" ht="12.75" x14ac:dyDescent="0.2">
      <c r="I111" s="35"/>
    </row>
    <row r="112" spans="2:10" s="1" customFormat="1" x14ac:dyDescent="0.25">
      <c r="B112"/>
      <c r="C112"/>
      <c r="D112"/>
      <c r="E112"/>
      <c r="F112"/>
      <c r="G112"/>
      <c r="H112"/>
      <c r="I112" s="6"/>
      <c r="J112"/>
    </row>
    <row r="113" spans="2:10" s="1" customFormat="1" x14ac:dyDescent="0.25">
      <c r="B113"/>
      <c r="C113"/>
      <c r="D113"/>
      <c r="E113"/>
      <c r="F113"/>
      <c r="G113"/>
      <c r="H113"/>
      <c r="I113" s="6"/>
      <c r="J113"/>
    </row>
    <row r="114" spans="2:10" s="1" customFormat="1" x14ac:dyDescent="0.25">
      <c r="B114"/>
      <c r="C114"/>
      <c r="D114"/>
      <c r="E114"/>
      <c r="F114"/>
      <c r="G114"/>
      <c r="H114"/>
      <c r="I114" s="6"/>
      <c r="J114"/>
    </row>
    <row r="115" spans="2:10" s="1" customFormat="1" x14ac:dyDescent="0.25">
      <c r="B115"/>
      <c r="C115"/>
      <c r="D115"/>
      <c r="E115"/>
      <c r="F115"/>
      <c r="G115"/>
      <c r="H115"/>
      <c r="I115" s="6"/>
      <c r="J115"/>
    </row>
    <row r="116" spans="2:10" s="1" customFormat="1" x14ac:dyDescent="0.25">
      <c r="B116"/>
      <c r="C116"/>
      <c r="D116"/>
      <c r="E116"/>
      <c r="F116"/>
      <c r="G116"/>
      <c r="H116"/>
      <c r="I116" s="6"/>
      <c r="J116"/>
    </row>
    <row r="117" spans="2:10" s="1" customFormat="1" x14ac:dyDescent="0.25">
      <c r="B117"/>
      <c r="C117"/>
      <c r="D117"/>
      <c r="E117"/>
      <c r="F117"/>
      <c r="G117"/>
      <c r="H117"/>
      <c r="I117" s="6"/>
      <c r="J117"/>
    </row>
    <row r="118" spans="2:10" s="1" customFormat="1" x14ac:dyDescent="0.25">
      <c r="B118"/>
      <c r="C118"/>
      <c r="D118"/>
      <c r="E118"/>
      <c r="F118"/>
      <c r="G118"/>
      <c r="H118"/>
      <c r="I118" s="6"/>
      <c r="J118"/>
    </row>
    <row r="119" spans="2:10" s="1" customFormat="1" x14ac:dyDescent="0.25">
      <c r="B119"/>
      <c r="C119"/>
      <c r="D119"/>
      <c r="E119"/>
      <c r="F119"/>
      <c r="G119"/>
      <c r="H119"/>
      <c r="I119" s="6"/>
      <c r="J119"/>
    </row>
    <row r="120" spans="2:10" s="1" customFormat="1" x14ac:dyDescent="0.25">
      <c r="B120"/>
      <c r="C120"/>
      <c r="D120"/>
      <c r="E120"/>
      <c r="F120"/>
      <c r="G120"/>
      <c r="H120"/>
      <c r="I120" s="6"/>
      <c r="J120"/>
    </row>
    <row r="121" spans="2:10" s="1" customFormat="1" x14ac:dyDescent="0.25">
      <c r="B121"/>
      <c r="C121"/>
      <c r="D121"/>
      <c r="E121"/>
      <c r="F121"/>
      <c r="G121"/>
      <c r="H121"/>
      <c r="I121" s="6"/>
      <c r="J121"/>
    </row>
    <row r="122" spans="2:10" s="1" customFormat="1" x14ac:dyDescent="0.25">
      <c r="B122"/>
      <c r="C122"/>
      <c r="D122"/>
      <c r="E122"/>
      <c r="F122"/>
      <c r="G122"/>
      <c r="H122"/>
      <c r="I122" s="6"/>
      <c r="J122"/>
    </row>
    <row r="123" spans="2:10" s="1" customFormat="1" x14ac:dyDescent="0.25">
      <c r="B123"/>
      <c r="C123"/>
      <c r="D123"/>
      <c r="E123"/>
      <c r="F123"/>
      <c r="G123"/>
      <c r="H123"/>
      <c r="I123" s="6"/>
      <c r="J123"/>
    </row>
    <row r="124" spans="2:10" s="1" customFormat="1" x14ac:dyDescent="0.25">
      <c r="B124"/>
      <c r="C124"/>
      <c r="D124"/>
      <c r="E124"/>
      <c r="F124"/>
      <c r="G124"/>
      <c r="H124"/>
      <c r="I124" s="6"/>
      <c r="J124"/>
    </row>
    <row r="125" spans="2:10" s="1" customFormat="1" x14ac:dyDescent="0.25">
      <c r="B125"/>
      <c r="C125"/>
      <c r="D125"/>
      <c r="E125"/>
      <c r="F125"/>
      <c r="G125"/>
      <c r="H125"/>
      <c r="I125" s="6"/>
      <c r="J125"/>
    </row>
    <row r="126" spans="2:10" s="1" customFormat="1" x14ac:dyDescent="0.25">
      <c r="B126"/>
      <c r="C126"/>
      <c r="D126"/>
      <c r="E126"/>
      <c r="F126"/>
      <c r="G126"/>
      <c r="H126"/>
      <c r="I126" s="6"/>
      <c r="J126"/>
    </row>
  </sheetData>
  <mergeCells count="26">
    <mergeCell ref="B58:J58"/>
    <mergeCell ref="G25:I25"/>
    <mergeCell ref="G52:I52"/>
    <mergeCell ref="G53:I53"/>
    <mergeCell ref="B64:J64"/>
    <mergeCell ref="B65:J65"/>
    <mergeCell ref="B66:J66"/>
    <mergeCell ref="B67:J67"/>
    <mergeCell ref="B68:J68"/>
    <mergeCell ref="B59:J59"/>
    <mergeCell ref="B60:J60"/>
    <mergeCell ref="B61:J61"/>
    <mergeCell ref="B62:J62"/>
    <mergeCell ref="B63:J63"/>
    <mergeCell ref="B77:J77"/>
    <mergeCell ref="B80:J80"/>
    <mergeCell ref="B78:J78"/>
    <mergeCell ref="B79:J79"/>
    <mergeCell ref="B69:J69"/>
    <mergeCell ref="B76:J76"/>
    <mergeCell ref="B70:J70"/>
    <mergeCell ref="B71:J71"/>
    <mergeCell ref="B72:J72"/>
    <mergeCell ref="B73:J73"/>
    <mergeCell ref="B74:J74"/>
    <mergeCell ref="B75:J75"/>
  </mergeCells>
  <pageMargins left="0.7" right="0.7" top="0.75" bottom="0.75" header="0.3" footer="0.3"/>
  <pageSetup scale="64" orientation="landscape" r:id="rId1"/>
  <rowBreaks count="1" manualBreakCount="1">
    <brk id="56"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0"/>
  <sheetViews>
    <sheetView zoomScaleNormal="100" workbookViewId="0">
      <selection activeCell="B1" sqref="B1"/>
    </sheetView>
  </sheetViews>
  <sheetFormatPr defaultRowHeight="15" x14ac:dyDescent="0.25"/>
  <cols>
    <col min="1" max="1" width="1.85546875" customWidth="1"/>
    <col min="2" max="2" width="34" customWidth="1"/>
    <col min="3" max="3" width="12.7109375" bestFit="1" customWidth="1"/>
    <col min="4" max="4" width="12.5703125" bestFit="1" customWidth="1"/>
    <col min="5" max="5" width="12.85546875" customWidth="1"/>
    <col min="6" max="6" width="11.85546875" bestFit="1" customWidth="1"/>
    <col min="7" max="7" width="12.28515625" customWidth="1"/>
    <col min="8" max="8" width="14.28515625" customWidth="1"/>
    <col min="9" max="9" width="11.28515625" bestFit="1" customWidth="1"/>
    <col min="10" max="10" width="10.42578125" customWidth="1"/>
    <col min="11" max="11" width="4.140625" customWidth="1"/>
    <col min="12" max="12" width="5.42578125" bestFit="1" customWidth="1"/>
    <col min="13" max="13" width="6" bestFit="1" customWidth="1"/>
  </cols>
  <sheetData>
    <row r="1" spans="1:13" ht="15.75" x14ac:dyDescent="0.25">
      <c r="A1" s="8" t="s">
        <v>83</v>
      </c>
    </row>
    <row r="3" spans="1:13" x14ac:dyDescent="0.25">
      <c r="B3" s="140"/>
      <c r="C3" s="141" t="s">
        <v>9</v>
      </c>
      <c r="D3" s="141" t="s">
        <v>10</v>
      </c>
      <c r="E3" s="141" t="s">
        <v>11</v>
      </c>
      <c r="F3" s="141" t="s">
        <v>12</v>
      </c>
      <c r="G3" s="141" t="s">
        <v>13</v>
      </c>
      <c r="H3" s="141" t="s">
        <v>14</v>
      </c>
      <c r="I3" s="141" t="s">
        <v>15</v>
      </c>
      <c r="J3" s="141" t="s">
        <v>16</v>
      </c>
      <c r="L3" t="s">
        <v>17</v>
      </c>
      <c r="M3">
        <v>48.75</v>
      </c>
    </row>
    <row r="4" spans="1:13" ht="51.75" x14ac:dyDescent="0.25">
      <c r="B4" s="142" t="s">
        <v>8</v>
      </c>
      <c r="C4" s="142" t="s">
        <v>72</v>
      </c>
      <c r="D4" s="142" t="s">
        <v>73</v>
      </c>
      <c r="E4" s="142" t="s">
        <v>74</v>
      </c>
      <c r="F4" s="142" t="s">
        <v>147</v>
      </c>
      <c r="G4" s="142" t="s">
        <v>75</v>
      </c>
      <c r="H4" s="142" t="s">
        <v>76</v>
      </c>
      <c r="I4" s="142" t="s">
        <v>77</v>
      </c>
      <c r="J4" s="142" t="s">
        <v>148</v>
      </c>
      <c r="L4" t="s">
        <v>24</v>
      </c>
      <c r="M4">
        <v>65.709999999999994</v>
      </c>
    </row>
    <row r="5" spans="1:13" ht="15.75" customHeight="1" x14ac:dyDescent="0.25">
      <c r="B5" s="143"/>
      <c r="C5" s="144"/>
      <c r="D5" s="144"/>
      <c r="E5" s="145" t="s">
        <v>25</v>
      </c>
      <c r="F5" s="144"/>
      <c r="G5" s="145" t="s">
        <v>26</v>
      </c>
      <c r="H5" s="145" t="s">
        <v>27</v>
      </c>
      <c r="I5" s="145" t="s">
        <v>28</v>
      </c>
      <c r="J5" s="146"/>
      <c r="L5" t="s">
        <v>29</v>
      </c>
      <c r="M5">
        <v>26.38</v>
      </c>
    </row>
    <row r="6" spans="1:13" ht="15.75" x14ac:dyDescent="0.25">
      <c r="B6" s="14" t="s">
        <v>151</v>
      </c>
      <c r="C6" s="25">
        <v>24</v>
      </c>
      <c r="D6" s="25">
        <v>1</v>
      </c>
      <c r="E6" s="25">
        <f>C6*D6</f>
        <v>24</v>
      </c>
      <c r="F6" s="25">
        <f>Respondent!F13</f>
        <v>0.2</v>
      </c>
      <c r="G6" s="76">
        <f>E6*F6</f>
        <v>4.8000000000000007</v>
      </c>
      <c r="H6" s="77">
        <f>G6*0.05</f>
        <v>0.24000000000000005</v>
      </c>
      <c r="I6" s="77">
        <f>G6*0.1</f>
        <v>0.48000000000000009</v>
      </c>
      <c r="J6" s="71">
        <f>G6*$M$3+H6*$M$4+I6*$M$5</f>
        <v>262.43280000000004</v>
      </c>
    </row>
    <row r="7" spans="1:13" ht="15.75" x14ac:dyDescent="0.25">
      <c r="B7" s="14" t="s">
        <v>78</v>
      </c>
      <c r="C7" s="25">
        <v>24</v>
      </c>
      <c r="D7" s="25">
        <v>1</v>
      </c>
      <c r="E7" s="25">
        <f>C7*D7</f>
        <v>24</v>
      </c>
      <c r="F7" s="25">
        <f>Respondent!F15</f>
        <v>0</v>
      </c>
      <c r="G7" s="76">
        <f>E7*F7</f>
        <v>0</v>
      </c>
      <c r="H7" s="76">
        <f>G7*0.05</f>
        <v>0</v>
      </c>
      <c r="I7" s="76">
        <f>G7*0.1</f>
        <v>0</v>
      </c>
      <c r="J7" s="71">
        <f>G7*$M$3+H7*$M$4+I7*$M$5</f>
        <v>0</v>
      </c>
    </row>
    <row r="8" spans="1:13" x14ac:dyDescent="0.25">
      <c r="B8" s="14" t="s">
        <v>79</v>
      </c>
      <c r="C8" s="25"/>
      <c r="D8" s="25"/>
      <c r="E8" s="25"/>
      <c r="F8" s="25"/>
      <c r="G8" s="77"/>
      <c r="H8" s="77"/>
      <c r="I8" s="77"/>
      <c r="J8" s="70"/>
    </row>
    <row r="9" spans="1:13" ht="28.5" x14ac:dyDescent="0.25">
      <c r="B9" s="40" t="s">
        <v>81</v>
      </c>
      <c r="C9" s="25">
        <v>2</v>
      </c>
      <c r="D9" s="25">
        <v>1</v>
      </c>
      <c r="E9" s="25">
        <f t="shared" ref="E9:E14" si="0">C9*D9</f>
        <v>2</v>
      </c>
      <c r="F9" s="107">
        <f>Respondent!F19</f>
        <v>10.1744</v>
      </c>
      <c r="G9" s="76">
        <f t="shared" ref="G9:G14" si="1">E9*F9</f>
        <v>20.348800000000001</v>
      </c>
      <c r="H9" s="78">
        <f t="shared" ref="H9:H14" si="2">G9*0.05</f>
        <v>1.0174400000000001</v>
      </c>
      <c r="I9" s="78">
        <f t="shared" ref="I9:I14" si="3">G9*0.1</f>
        <v>2.0348800000000002</v>
      </c>
      <c r="J9" s="69">
        <f t="shared" ref="J9:J14" si="4">G9*$M$3+H9*$M$4+I9*$M$5</f>
        <v>1112.5401168000001</v>
      </c>
    </row>
    <row r="10" spans="1:13" ht="15.75" x14ac:dyDescent="0.25">
      <c r="B10" s="40" t="s">
        <v>154</v>
      </c>
      <c r="C10" s="25">
        <v>0.5</v>
      </c>
      <c r="D10" s="25">
        <v>1</v>
      </c>
      <c r="E10" s="25">
        <f t="shared" si="0"/>
        <v>0.5</v>
      </c>
      <c r="F10" s="107">
        <f>Respondent!F20</f>
        <v>10.1744</v>
      </c>
      <c r="G10" s="78">
        <f t="shared" si="1"/>
        <v>5.0872000000000002</v>
      </c>
      <c r="H10" s="77">
        <f t="shared" si="2"/>
        <v>0.25436000000000003</v>
      </c>
      <c r="I10" s="77">
        <f t="shared" si="3"/>
        <v>0.50872000000000006</v>
      </c>
      <c r="J10" s="69">
        <f t="shared" si="4"/>
        <v>278.13502920000002</v>
      </c>
    </row>
    <row r="11" spans="1:13" ht="15.75" x14ac:dyDescent="0.25">
      <c r="B11" s="40" t="s">
        <v>155</v>
      </c>
      <c r="C11" s="25">
        <v>2.5</v>
      </c>
      <c r="D11" s="25">
        <v>1</v>
      </c>
      <c r="E11" s="25">
        <f t="shared" si="0"/>
        <v>2.5</v>
      </c>
      <c r="F11" s="107">
        <f>Respondent!F21</f>
        <v>10.1744</v>
      </c>
      <c r="G11" s="78">
        <f t="shared" si="1"/>
        <v>25.436</v>
      </c>
      <c r="H11" s="77">
        <f t="shared" si="2"/>
        <v>1.2718</v>
      </c>
      <c r="I11" s="77">
        <f t="shared" si="3"/>
        <v>2.5436000000000001</v>
      </c>
      <c r="J11" s="69">
        <f t="shared" si="4"/>
        <v>1390.675146</v>
      </c>
    </row>
    <row r="12" spans="1:13" ht="15.75" x14ac:dyDescent="0.25">
      <c r="B12" s="40" t="s">
        <v>159</v>
      </c>
      <c r="C12" s="25">
        <v>0.5</v>
      </c>
      <c r="D12" s="25">
        <v>1</v>
      </c>
      <c r="E12" s="25">
        <f t="shared" si="0"/>
        <v>0.5</v>
      </c>
      <c r="F12" s="25">
        <f>Respondent!F22</f>
        <v>0.2</v>
      </c>
      <c r="G12" s="76">
        <f t="shared" si="1"/>
        <v>0.1</v>
      </c>
      <c r="H12" s="76">
        <f t="shared" si="2"/>
        <v>5.000000000000001E-3</v>
      </c>
      <c r="I12" s="76">
        <f t="shared" si="3"/>
        <v>1.0000000000000002E-2</v>
      </c>
      <c r="J12" s="69">
        <f t="shared" si="4"/>
        <v>5.4673499999999997</v>
      </c>
      <c r="L12" s="55"/>
    </row>
    <row r="13" spans="1:13" ht="15.75" x14ac:dyDescent="0.25">
      <c r="B13" s="40" t="s">
        <v>160</v>
      </c>
      <c r="C13" s="25">
        <v>0.5</v>
      </c>
      <c r="D13" s="25">
        <v>1</v>
      </c>
      <c r="E13" s="25">
        <f t="shared" si="0"/>
        <v>0.5</v>
      </c>
      <c r="F13" s="25">
        <f>F12</f>
        <v>0.2</v>
      </c>
      <c r="G13" s="76">
        <f t="shared" si="1"/>
        <v>0.1</v>
      </c>
      <c r="H13" s="76">
        <f t="shared" si="2"/>
        <v>5.000000000000001E-3</v>
      </c>
      <c r="I13" s="76">
        <f t="shared" si="3"/>
        <v>1.0000000000000002E-2</v>
      </c>
      <c r="J13" s="69">
        <f t="shared" si="4"/>
        <v>5.4673499999999997</v>
      </c>
      <c r="L13" s="59"/>
    </row>
    <row r="14" spans="1:13" ht="15.75" x14ac:dyDescent="0.25">
      <c r="B14" s="40" t="s">
        <v>82</v>
      </c>
      <c r="C14" s="25">
        <v>2</v>
      </c>
      <c r="D14" s="25">
        <v>2</v>
      </c>
      <c r="E14" s="25">
        <f t="shared" si="0"/>
        <v>4</v>
      </c>
      <c r="F14" s="108">
        <f>Respondent!F24</f>
        <v>105.68042666666668</v>
      </c>
      <c r="G14" s="76">
        <f t="shared" si="1"/>
        <v>422.72170666666671</v>
      </c>
      <c r="H14" s="78">
        <f t="shared" si="2"/>
        <v>21.136085333333337</v>
      </c>
      <c r="I14" s="76">
        <f t="shared" si="3"/>
        <v>42.272170666666675</v>
      </c>
      <c r="J14" s="69">
        <f t="shared" si="4"/>
        <v>23111.675229440007</v>
      </c>
      <c r="L14" s="55"/>
    </row>
    <row r="15" spans="1:13" x14ac:dyDescent="0.25">
      <c r="B15" s="14" t="s">
        <v>80</v>
      </c>
      <c r="C15" s="14"/>
      <c r="D15" s="14"/>
      <c r="E15" s="14"/>
      <c r="F15" s="39"/>
      <c r="G15" s="228">
        <f>SUM(G6:I14)</f>
        <v>550.38276266666662</v>
      </c>
      <c r="H15" s="229"/>
      <c r="I15" s="230"/>
      <c r="J15" s="69">
        <f>SUM(J6:J14)</f>
        <v>26166.393021440006</v>
      </c>
      <c r="L15" s="59"/>
    </row>
    <row r="16" spans="1:13" ht="15.75" x14ac:dyDescent="0.25">
      <c r="B16" s="128" t="s">
        <v>167</v>
      </c>
      <c r="C16" s="41"/>
      <c r="D16" s="41"/>
      <c r="E16" s="41"/>
      <c r="F16" s="129"/>
      <c r="G16" s="103"/>
      <c r="H16" s="104"/>
      <c r="I16" s="105"/>
      <c r="J16" s="130">
        <v>130</v>
      </c>
      <c r="L16" s="59"/>
    </row>
    <row r="17" spans="2:14" ht="15.75" x14ac:dyDescent="0.25">
      <c r="B17" s="17" t="s">
        <v>168</v>
      </c>
      <c r="C17" s="41"/>
      <c r="D17" s="41"/>
      <c r="E17" s="41"/>
      <c r="F17" s="41"/>
      <c r="G17" s="231">
        <f>G15</f>
        <v>550.38276266666662</v>
      </c>
      <c r="H17" s="232"/>
      <c r="I17" s="233"/>
      <c r="J17" s="110">
        <f>ROUND(J15+J16,-2)</f>
        <v>26300</v>
      </c>
      <c r="K17" s="6"/>
      <c r="L17" s="7"/>
      <c r="M17" s="6"/>
    </row>
    <row r="18" spans="2:14" x14ac:dyDescent="0.25">
      <c r="B18" s="23"/>
      <c r="C18" s="23"/>
      <c r="D18" s="23"/>
      <c r="E18" s="23"/>
      <c r="F18" s="23"/>
      <c r="G18" s="23"/>
      <c r="H18" s="23"/>
      <c r="I18" s="23"/>
      <c r="J18" s="23"/>
    </row>
    <row r="19" spans="2:14" x14ac:dyDescent="0.25">
      <c r="B19" s="147" t="s">
        <v>100</v>
      </c>
      <c r="C19" s="24"/>
      <c r="D19" s="24"/>
      <c r="E19" s="24"/>
      <c r="F19" s="24"/>
      <c r="G19" s="24"/>
      <c r="H19" s="24"/>
      <c r="I19" s="24"/>
      <c r="J19" s="24"/>
    </row>
    <row r="20" spans="2:14" s="111" customFormat="1" ht="52.5" customHeight="1" x14ac:dyDescent="0.25">
      <c r="B20" s="225" t="s">
        <v>192</v>
      </c>
      <c r="C20" s="225"/>
      <c r="D20" s="225"/>
      <c r="E20" s="225"/>
      <c r="F20" s="225"/>
      <c r="G20" s="225"/>
      <c r="H20" s="225"/>
      <c r="I20" s="225"/>
      <c r="J20" s="225"/>
      <c r="K20" s="205"/>
      <c r="L20" s="205"/>
      <c r="M20" s="206"/>
      <c r="N20" s="206"/>
    </row>
    <row r="21" spans="2:14" ht="39" customHeight="1" x14ac:dyDescent="0.25">
      <c r="B21" s="213" t="s">
        <v>149</v>
      </c>
      <c r="C21" s="213"/>
      <c r="D21" s="213"/>
      <c r="E21" s="213"/>
      <c r="F21" s="213"/>
      <c r="G21" s="213"/>
      <c r="H21" s="213"/>
      <c r="I21" s="213"/>
      <c r="J21" s="213"/>
      <c r="L21" s="51"/>
    </row>
    <row r="22" spans="2:14" ht="52.5" customHeight="1" x14ac:dyDescent="0.25">
      <c r="B22" s="213" t="s">
        <v>150</v>
      </c>
      <c r="C22" s="213"/>
      <c r="D22" s="213"/>
      <c r="E22" s="213"/>
      <c r="F22" s="213"/>
      <c r="G22" s="213"/>
      <c r="H22" s="213"/>
      <c r="I22" s="213"/>
      <c r="J22" s="213"/>
      <c r="L22" s="106"/>
    </row>
    <row r="23" spans="2:14" ht="39" customHeight="1" x14ac:dyDescent="0.25">
      <c r="B23" s="213" t="s">
        <v>152</v>
      </c>
      <c r="C23" s="213"/>
      <c r="D23" s="213"/>
      <c r="E23" s="213"/>
      <c r="F23" s="213"/>
      <c r="G23" s="213"/>
      <c r="H23" s="213"/>
      <c r="I23" s="213"/>
      <c r="J23" s="213"/>
      <c r="L23" s="106"/>
    </row>
    <row r="24" spans="2:14" x14ac:dyDescent="0.25">
      <c r="B24" s="213" t="s">
        <v>153</v>
      </c>
      <c r="C24" s="213"/>
      <c r="D24" s="213"/>
      <c r="E24" s="213"/>
      <c r="F24" s="213"/>
      <c r="G24" s="213"/>
      <c r="H24" s="213"/>
      <c r="I24" s="213"/>
      <c r="J24" s="213"/>
      <c r="L24" s="51"/>
    </row>
    <row r="25" spans="2:14" ht="26.25" customHeight="1" x14ac:dyDescent="0.25">
      <c r="B25" s="213" t="s">
        <v>156</v>
      </c>
      <c r="C25" s="213"/>
      <c r="D25" s="213"/>
      <c r="E25" s="213"/>
      <c r="F25" s="213"/>
      <c r="G25" s="213"/>
      <c r="H25" s="213"/>
      <c r="I25" s="213"/>
      <c r="J25" s="213"/>
      <c r="L25" s="51"/>
    </row>
    <row r="26" spans="2:14" x14ac:dyDescent="0.25">
      <c r="B26" s="213" t="s">
        <v>157</v>
      </c>
      <c r="C26" s="213"/>
      <c r="D26" s="213"/>
      <c r="E26" s="213"/>
      <c r="F26" s="213"/>
      <c r="G26" s="213"/>
      <c r="H26" s="213"/>
      <c r="I26" s="213"/>
      <c r="J26" s="213"/>
      <c r="L26" s="51"/>
    </row>
    <row r="27" spans="2:14" ht="15.75" customHeight="1" x14ac:dyDescent="0.25">
      <c r="B27" s="213" t="s">
        <v>158</v>
      </c>
      <c r="C27" s="213"/>
      <c r="D27" s="213"/>
      <c r="E27" s="213"/>
      <c r="F27" s="213"/>
      <c r="G27" s="213"/>
      <c r="H27" s="213"/>
      <c r="I27" s="213"/>
      <c r="J27" s="213"/>
      <c r="L27" s="51"/>
    </row>
    <row r="28" spans="2:14" ht="27" customHeight="1" x14ac:dyDescent="0.25">
      <c r="B28" s="227" t="s">
        <v>170</v>
      </c>
      <c r="C28" s="227"/>
      <c r="D28" s="227"/>
      <c r="E28" s="227"/>
      <c r="F28" s="227"/>
      <c r="G28" s="227"/>
      <c r="H28" s="227"/>
      <c r="I28" s="227"/>
      <c r="J28" s="227"/>
      <c r="L28" s="51">
        <f>(0.2*3*50)+(500*0.2)</f>
        <v>130</v>
      </c>
    </row>
    <row r="29" spans="2:14" x14ac:dyDescent="0.25">
      <c r="B29" s="226" t="s">
        <v>166</v>
      </c>
      <c r="C29" s="226"/>
      <c r="D29" s="226"/>
      <c r="E29" s="226"/>
      <c r="F29" s="226"/>
      <c r="G29" s="226"/>
      <c r="H29" s="226"/>
      <c r="I29" s="226"/>
      <c r="J29" s="226"/>
    </row>
    <row r="30" spans="2:14" x14ac:dyDescent="0.25">
      <c r="B30" s="226"/>
      <c r="C30" s="226"/>
      <c r="D30" s="226"/>
      <c r="E30" s="226"/>
      <c r="F30" s="226"/>
      <c r="G30" s="226"/>
      <c r="H30" s="226"/>
      <c r="I30" s="226"/>
      <c r="J30" s="226"/>
    </row>
  </sheetData>
  <mergeCells count="13">
    <mergeCell ref="G15:I15"/>
    <mergeCell ref="G17:I17"/>
    <mergeCell ref="B23:J23"/>
    <mergeCell ref="B24:J24"/>
    <mergeCell ref="B25:J25"/>
    <mergeCell ref="B27:J27"/>
    <mergeCell ref="B20:J20"/>
    <mergeCell ref="B30:J30"/>
    <mergeCell ref="B21:J21"/>
    <mergeCell ref="B22:J22"/>
    <mergeCell ref="B28:J28"/>
    <mergeCell ref="B29:J29"/>
    <mergeCell ref="B26:J26"/>
  </mergeCells>
  <pageMargins left="0.7" right="0.7" top="0.75" bottom="0.75" header="0.3" footer="0.3"/>
  <pageSetup scale="83"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24"/>
  <sheetViews>
    <sheetView zoomScaleNormal="100" workbookViewId="0">
      <selection activeCell="G18" sqref="G18"/>
    </sheetView>
  </sheetViews>
  <sheetFormatPr defaultColWidth="9.140625" defaultRowHeight="12.75" x14ac:dyDescent="0.2"/>
  <cols>
    <col min="1" max="1" width="2.140625" style="1" customWidth="1"/>
    <col min="2" max="2" width="64.140625" style="1" bestFit="1" customWidth="1"/>
    <col min="3" max="3" width="12.28515625" style="1" customWidth="1"/>
    <col min="4" max="4" width="11.140625" style="1" bestFit="1" customWidth="1"/>
    <col min="5" max="5" width="12.28515625" style="1" customWidth="1"/>
    <col min="6" max="8" width="11.85546875" style="1" customWidth="1"/>
    <col min="9" max="16384" width="9.140625" style="1"/>
  </cols>
  <sheetData>
    <row r="1" spans="1:10" x14ac:dyDescent="0.2">
      <c r="A1" s="53" t="s">
        <v>86</v>
      </c>
      <c r="B1" s="49"/>
      <c r="C1" s="50"/>
      <c r="D1" s="50"/>
      <c r="E1" s="50"/>
      <c r="F1" s="50"/>
      <c r="G1" s="50"/>
      <c r="H1" s="50"/>
    </row>
    <row r="2" spans="1:10" x14ac:dyDescent="0.2">
      <c r="A2" s="53"/>
      <c r="B2" s="49"/>
      <c r="C2" s="50"/>
      <c r="D2" s="50"/>
      <c r="E2" s="50"/>
      <c r="F2" s="50"/>
      <c r="G2" s="50"/>
      <c r="H2" s="50"/>
    </row>
    <row r="3" spans="1:10" x14ac:dyDescent="0.2">
      <c r="A3" s="54"/>
      <c r="B3" s="25" t="s">
        <v>87</v>
      </c>
      <c r="C3" s="25" t="s">
        <v>89</v>
      </c>
      <c r="D3" s="25" t="s">
        <v>91</v>
      </c>
      <c r="E3" s="25" t="s">
        <v>92</v>
      </c>
      <c r="F3" s="25" t="s">
        <v>93</v>
      </c>
      <c r="G3" s="25" t="s">
        <v>95</v>
      </c>
      <c r="H3" s="25" t="s">
        <v>97</v>
      </c>
    </row>
    <row r="4" spans="1:10" ht="40.5" customHeight="1" x14ac:dyDescent="0.2">
      <c r="A4" s="54"/>
      <c r="B4" s="26" t="s">
        <v>88</v>
      </c>
      <c r="C4" s="25" t="s">
        <v>90</v>
      </c>
      <c r="D4" s="25" t="s">
        <v>99</v>
      </c>
      <c r="E4" s="25" t="s">
        <v>101</v>
      </c>
      <c r="F4" s="25" t="s">
        <v>94</v>
      </c>
      <c r="G4" s="25" t="s">
        <v>96</v>
      </c>
      <c r="H4" s="25" t="s">
        <v>98</v>
      </c>
    </row>
    <row r="5" spans="1:10" ht="15" customHeight="1" x14ac:dyDescent="0.2">
      <c r="A5" s="54"/>
      <c r="B5" s="26" t="s">
        <v>169</v>
      </c>
      <c r="C5" s="162">
        <v>8740</v>
      </c>
      <c r="D5" s="26">
        <f>Respondent!F13</f>
        <v>0.2</v>
      </c>
      <c r="E5" s="162">
        <f>C5*D5</f>
        <v>1748</v>
      </c>
      <c r="F5" s="26"/>
      <c r="G5" s="26"/>
      <c r="H5" s="26"/>
      <c r="I5" s="55"/>
    </row>
    <row r="6" spans="1:10" s="24" customFormat="1" ht="15.75" x14ac:dyDescent="0.2">
      <c r="B6" s="46" t="s">
        <v>203</v>
      </c>
      <c r="C6" s="163">
        <v>17533</v>
      </c>
      <c r="D6" s="32">
        <f>D5</f>
        <v>0.2</v>
      </c>
      <c r="E6" s="164">
        <f>C6*D6</f>
        <v>3506.6000000000004</v>
      </c>
      <c r="F6" s="164">
        <f>1219+(Respondent!M3*36)</f>
        <v>5464.12</v>
      </c>
      <c r="G6" s="202">
        <f>SUM(Additional!F42:G44)</f>
        <v>262.23133037499997</v>
      </c>
      <c r="H6" s="164">
        <f>F6*G6</f>
        <v>1432863.4569286448</v>
      </c>
      <c r="I6" s="57"/>
    </row>
    <row r="7" spans="1:10" s="24" customFormat="1" ht="15.75" x14ac:dyDescent="0.2">
      <c r="B7" s="158" t="s">
        <v>204</v>
      </c>
      <c r="C7" s="165">
        <v>24420</v>
      </c>
      <c r="D7" s="157">
        <v>0</v>
      </c>
      <c r="E7" s="165">
        <v>0</v>
      </c>
      <c r="F7" s="166"/>
      <c r="G7" s="166"/>
      <c r="H7" s="167"/>
      <c r="I7" s="57"/>
    </row>
    <row r="8" spans="1:10" s="24" customFormat="1" ht="15.75" customHeight="1" x14ac:dyDescent="0.2">
      <c r="B8" s="159" t="s">
        <v>205</v>
      </c>
      <c r="C8" s="163">
        <v>3620</v>
      </c>
      <c r="D8" s="32">
        <v>0</v>
      </c>
      <c r="E8" s="164">
        <f>C8*D8</f>
        <v>0</v>
      </c>
      <c r="F8" s="165">
        <v>1202</v>
      </c>
      <c r="G8" s="157">
        <v>33</v>
      </c>
      <c r="H8" s="165">
        <v>39666</v>
      </c>
      <c r="I8" s="57"/>
    </row>
    <row r="9" spans="1:10" s="24" customFormat="1" ht="15.75" x14ac:dyDescent="0.2">
      <c r="B9" s="46" t="s">
        <v>206</v>
      </c>
      <c r="C9" s="163">
        <f>2*1*435 + 125*20</f>
        <v>3370</v>
      </c>
      <c r="D9" s="168">
        <f>Respondent!F36</f>
        <v>3.1377069791666661</v>
      </c>
      <c r="E9" s="164">
        <f>C9*D9</f>
        <v>10574.072519791665</v>
      </c>
      <c r="F9" s="164"/>
      <c r="G9" s="169"/>
      <c r="H9" s="170"/>
      <c r="I9" s="57"/>
    </row>
    <row r="10" spans="1:10" s="24" customFormat="1" ht="15.75" x14ac:dyDescent="0.2">
      <c r="B10" s="172" t="s">
        <v>207</v>
      </c>
      <c r="C10" s="163"/>
      <c r="D10" s="168"/>
      <c r="E10" s="164">
        <v>0</v>
      </c>
      <c r="F10" s="164"/>
      <c r="G10" s="169"/>
      <c r="H10" s="176" t="s">
        <v>180</v>
      </c>
      <c r="I10" s="57"/>
    </row>
    <row r="11" spans="1:10" s="24" customFormat="1" ht="15.75" x14ac:dyDescent="0.2">
      <c r="B11" s="46" t="s">
        <v>208</v>
      </c>
      <c r="C11" s="173"/>
      <c r="D11" s="173"/>
      <c r="E11" s="174">
        <f>ROUND(SUM(E5:E9),-2)</f>
        <v>15800</v>
      </c>
      <c r="F11" s="175"/>
      <c r="G11" s="175"/>
      <c r="H11" s="174">
        <f>ROUND(SUM(H6:H9),-4)</f>
        <v>1470000</v>
      </c>
      <c r="I11" s="60"/>
    </row>
    <row r="12" spans="1:10" s="43" customFormat="1" x14ac:dyDescent="0.2">
      <c r="B12" s="20"/>
      <c r="C12" s="21"/>
      <c r="D12" s="22"/>
      <c r="E12" s="48"/>
      <c r="G12" s="44"/>
      <c r="H12" s="45"/>
      <c r="I12" s="61"/>
    </row>
    <row r="13" spans="1:10" s="24" customFormat="1" x14ac:dyDescent="0.2">
      <c r="E13" s="48"/>
      <c r="I13" s="60"/>
    </row>
    <row r="14" spans="1:10" s="24" customFormat="1" x14ac:dyDescent="0.2">
      <c r="B14" s="42" t="s">
        <v>100</v>
      </c>
      <c r="I14" s="212"/>
    </row>
    <row r="15" spans="1:10" s="24" customFormat="1" ht="54" customHeight="1" x14ac:dyDescent="0.2">
      <c r="B15" s="234" t="s">
        <v>177</v>
      </c>
      <c r="C15" s="234"/>
      <c r="D15" s="234"/>
      <c r="E15" s="234"/>
      <c r="F15" s="234"/>
      <c r="I15" s="60"/>
    </row>
    <row r="16" spans="1:10" s="24" customFormat="1" ht="54" customHeight="1" x14ac:dyDescent="0.2">
      <c r="B16" s="234" t="s">
        <v>178</v>
      </c>
      <c r="C16" s="234"/>
      <c r="D16" s="234"/>
      <c r="E16" s="234"/>
      <c r="F16" s="234"/>
      <c r="G16" s="148"/>
      <c r="H16" s="211"/>
      <c r="I16" s="148"/>
      <c r="J16" s="148"/>
    </row>
    <row r="17" spans="2:10" s="24" customFormat="1" ht="28.5" customHeight="1" x14ac:dyDescent="0.2">
      <c r="B17" s="235" t="s">
        <v>179</v>
      </c>
      <c r="C17" s="235"/>
      <c r="D17" s="235"/>
      <c r="E17" s="235"/>
      <c r="F17" s="235"/>
      <c r="G17" s="148"/>
      <c r="H17" s="148"/>
      <c r="I17" s="148"/>
      <c r="J17" s="148"/>
    </row>
    <row r="18" spans="2:10" s="24" customFormat="1" ht="41.25" customHeight="1" x14ac:dyDescent="0.2">
      <c r="B18" s="234" t="s">
        <v>202</v>
      </c>
      <c r="C18" s="234"/>
      <c r="D18" s="234"/>
      <c r="E18" s="234"/>
      <c r="F18" s="234"/>
      <c r="G18" s="203" t="s">
        <v>190</v>
      </c>
      <c r="H18" s="204"/>
      <c r="I18" s="204"/>
      <c r="J18" s="204"/>
    </row>
    <row r="19" spans="2:10" s="24" customFormat="1" ht="41.25" customHeight="1" x14ac:dyDescent="0.2">
      <c r="B19" s="234" t="s">
        <v>209</v>
      </c>
      <c r="C19" s="234"/>
      <c r="D19" s="234"/>
      <c r="E19" s="234"/>
      <c r="F19" s="234"/>
      <c r="G19" s="203"/>
      <c r="H19" s="204"/>
      <c r="I19" s="204"/>
      <c r="J19" s="204"/>
    </row>
    <row r="20" spans="2:10" s="24" customFormat="1" ht="40.5" customHeight="1" x14ac:dyDescent="0.2">
      <c r="B20" s="234" t="s">
        <v>214</v>
      </c>
      <c r="C20" s="234"/>
      <c r="D20" s="234"/>
      <c r="E20" s="234"/>
      <c r="F20" s="234"/>
      <c r="G20" s="153"/>
      <c r="H20" s="153"/>
      <c r="I20" s="153"/>
      <c r="J20" s="153"/>
    </row>
    <row r="21" spans="2:10" s="24" customFormat="1" ht="47.25" customHeight="1" x14ac:dyDescent="0.2">
      <c r="B21" s="234" t="s">
        <v>210</v>
      </c>
      <c r="C21" s="234"/>
      <c r="D21" s="234"/>
      <c r="E21" s="234"/>
      <c r="F21" s="234"/>
      <c r="G21" s="20"/>
      <c r="H21" s="20"/>
      <c r="I21" s="20"/>
      <c r="J21" s="20"/>
    </row>
    <row r="22" spans="2:10" ht="54" customHeight="1" x14ac:dyDescent="0.2">
      <c r="B22" s="234" t="s">
        <v>211</v>
      </c>
      <c r="C22" s="234"/>
      <c r="D22" s="234"/>
      <c r="E22" s="234"/>
      <c r="F22" s="234"/>
    </row>
    <row r="23" spans="2:10" ht="15.75" x14ac:dyDescent="0.2">
      <c r="B23" s="171" t="s">
        <v>212</v>
      </c>
    </row>
    <row r="24" spans="2:10" ht="15.75" x14ac:dyDescent="0.2">
      <c r="B24" s="160" t="s">
        <v>213</v>
      </c>
      <c r="F24" s="161"/>
    </row>
  </sheetData>
  <mergeCells count="8">
    <mergeCell ref="B22:F22"/>
    <mergeCell ref="B15:F15"/>
    <mergeCell ref="B16:F16"/>
    <mergeCell ref="B17:F17"/>
    <mergeCell ref="B18:F18"/>
    <mergeCell ref="B20:F20"/>
    <mergeCell ref="B21:F21"/>
    <mergeCell ref="B19:F19"/>
  </mergeCells>
  <pageMargins left="0.7" right="0.7" top="0.75" bottom="0.75" header="0.3" footer="0.3"/>
  <pageSetup scale="88"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49"/>
  <sheetViews>
    <sheetView workbookViewId="0">
      <selection activeCell="D30" sqref="D30"/>
    </sheetView>
  </sheetViews>
  <sheetFormatPr defaultRowHeight="15" x14ac:dyDescent="0.25"/>
  <cols>
    <col min="3" max="3" width="27.5703125" customWidth="1"/>
    <col min="4" max="5" width="13.5703125" customWidth="1"/>
    <col min="6" max="6" width="16.140625" customWidth="1"/>
    <col min="7" max="7" width="13.5703125" customWidth="1"/>
    <col min="8" max="8" width="13.140625" customWidth="1"/>
    <col min="11" max="11" width="3.5703125" bestFit="1" customWidth="1"/>
    <col min="12" max="12" width="16.5703125" bestFit="1" customWidth="1"/>
    <col min="13" max="14" width="11.140625" customWidth="1"/>
    <col min="15" max="15" width="13.42578125" customWidth="1"/>
  </cols>
  <sheetData>
    <row r="1" spans="3:10" x14ac:dyDescent="0.25">
      <c r="C1" s="181" t="s">
        <v>184</v>
      </c>
      <c r="D1" s="182"/>
      <c r="E1" s="182"/>
      <c r="F1" s="182"/>
      <c r="G1" s="182"/>
      <c r="H1" s="182"/>
    </row>
    <row r="2" spans="3:10" x14ac:dyDescent="0.25">
      <c r="C2" s="183"/>
      <c r="D2" s="184"/>
      <c r="E2" s="184"/>
      <c r="F2" s="184"/>
      <c r="G2" s="184"/>
      <c r="H2" s="184"/>
    </row>
    <row r="3" spans="3:10" x14ac:dyDescent="0.25">
      <c r="C3" s="185"/>
      <c r="D3" s="186" t="s">
        <v>87</v>
      </c>
      <c r="E3" s="186" t="s">
        <v>89</v>
      </c>
      <c r="F3" s="186" t="s">
        <v>91</v>
      </c>
      <c r="G3" s="186" t="s">
        <v>92</v>
      </c>
      <c r="H3" s="186" t="s">
        <v>93</v>
      </c>
    </row>
    <row r="4" spans="3:10" ht="76.5" x14ac:dyDescent="0.25">
      <c r="C4" s="186" t="s">
        <v>102</v>
      </c>
      <c r="D4" s="185" t="s">
        <v>185</v>
      </c>
      <c r="E4" s="185" t="s">
        <v>104</v>
      </c>
      <c r="F4" s="185" t="s">
        <v>105</v>
      </c>
      <c r="G4" s="185" t="s">
        <v>106</v>
      </c>
      <c r="H4" s="185" t="s">
        <v>107</v>
      </c>
    </row>
    <row r="5" spans="3:10" x14ac:dyDescent="0.25">
      <c r="C5" s="187"/>
      <c r="D5" s="187"/>
      <c r="E5" s="187"/>
      <c r="F5" s="187"/>
      <c r="G5" s="187"/>
      <c r="H5" s="188" t="s">
        <v>108</v>
      </c>
    </row>
    <row r="6" spans="3:10" x14ac:dyDescent="0.25">
      <c r="C6" s="189">
        <v>1</v>
      </c>
      <c r="D6" s="192">
        <f>E6*0.02</f>
        <v>10.16</v>
      </c>
      <c r="E6" s="192">
        <v>508</v>
      </c>
      <c r="F6" s="192">
        <v>0</v>
      </c>
      <c r="G6" s="192">
        <v>0</v>
      </c>
      <c r="H6" s="192">
        <f>SUM(D6:G6)</f>
        <v>518.16</v>
      </c>
    </row>
    <row r="7" spans="3:10" x14ac:dyDescent="0.25">
      <c r="C7" s="189">
        <v>2</v>
      </c>
      <c r="D7" s="192">
        <f>E7*0.02</f>
        <v>10.363199999999999</v>
      </c>
      <c r="E7" s="192">
        <f>H6</f>
        <v>518.16</v>
      </c>
      <c r="F7" s="192">
        <v>0</v>
      </c>
      <c r="G7" s="192">
        <v>0</v>
      </c>
      <c r="H7" s="192">
        <f>SUM(D7:G7)</f>
        <v>528.52319999999997</v>
      </c>
    </row>
    <row r="8" spans="3:10" x14ac:dyDescent="0.25">
      <c r="C8" s="189">
        <v>3</v>
      </c>
      <c r="D8" s="192">
        <v>10</v>
      </c>
      <c r="E8" s="192">
        <f>H7</f>
        <v>528.52319999999997</v>
      </c>
      <c r="F8" s="192">
        <v>0</v>
      </c>
      <c r="G8" s="192">
        <v>0</v>
      </c>
      <c r="H8" s="192">
        <f>SUM(D8:G8)</f>
        <v>538.52319999999997</v>
      </c>
    </row>
    <row r="9" spans="3:10" x14ac:dyDescent="0.25">
      <c r="C9" s="189" t="s">
        <v>109</v>
      </c>
      <c r="D9" s="192">
        <f>AVERAGE(D6:D8)</f>
        <v>10.1744</v>
      </c>
      <c r="E9" s="192">
        <f>AVERAGE(E6:E8)</f>
        <v>518.22773333333328</v>
      </c>
      <c r="F9" s="192">
        <v>0</v>
      </c>
      <c r="G9" s="192">
        <v>0</v>
      </c>
      <c r="H9" s="192">
        <f>AVERAGE(H6:H8)</f>
        <v>528.40213333333338</v>
      </c>
    </row>
    <row r="11" spans="3:10" x14ac:dyDescent="0.25">
      <c r="C11" s="88" t="s">
        <v>183</v>
      </c>
    </row>
    <row r="12" spans="3:10" x14ac:dyDescent="0.25">
      <c r="C12" s="82"/>
      <c r="D12" s="83"/>
      <c r="E12" s="83"/>
      <c r="F12" s="83"/>
      <c r="G12" s="83"/>
      <c r="H12" s="83"/>
    </row>
    <row r="13" spans="3:10" x14ac:dyDescent="0.25">
      <c r="C13" s="84"/>
      <c r="D13" s="85" t="s">
        <v>87</v>
      </c>
      <c r="E13" s="85" t="s">
        <v>89</v>
      </c>
      <c r="F13" s="85" t="s">
        <v>91</v>
      </c>
      <c r="G13" s="85" t="s">
        <v>92</v>
      </c>
      <c r="H13" s="85" t="s">
        <v>93</v>
      </c>
    </row>
    <row r="14" spans="3:10" ht="76.5" x14ac:dyDescent="0.25">
      <c r="C14" s="85" t="s">
        <v>102</v>
      </c>
      <c r="D14" s="84" t="s">
        <v>103</v>
      </c>
      <c r="E14" s="84" t="s">
        <v>104</v>
      </c>
      <c r="F14" s="84" t="s">
        <v>105</v>
      </c>
      <c r="G14" s="84" t="s">
        <v>106</v>
      </c>
      <c r="H14" s="84" t="s">
        <v>107</v>
      </c>
      <c r="J14" s="80"/>
    </row>
    <row r="15" spans="3:10" x14ac:dyDescent="0.25">
      <c r="C15" s="86"/>
      <c r="D15" s="86"/>
      <c r="E15" s="86"/>
      <c r="F15" s="86"/>
      <c r="G15" s="86"/>
      <c r="H15" s="87" t="s">
        <v>108</v>
      </c>
    </row>
    <row r="16" spans="3:10" x14ac:dyDescent="0.25">
      <c r="C16" s="81">
        <v>1</v>
      </c>
      <c r="D16" s="89">
        <f>E16*0.02</f>
        <v>9.58</v>
      </c>
      <c r="E16" s="89">
        <v>479</v>
      </c>
      <c r="F16" s="89">
        <v>0</v>
      </c>
      <c r="G16" s="89">
        <v>0</v>
      </c>
      <c r="H16" s="89">
        <f>SUM(D16:G16)</f>
        <v>488.58</v>
      </c>
    </row>
    <row r="17" spans="3:8" x14ac:dyDescent="0.25">
      <c r="C17" s="81">
        <v>2</v>
      </c>
      <c r="D17" s="89">
        <f>E17*0.02</f>
        <v>9.7715999999999994</v>
      </c>
      <c r="E17" s="89">
        <f>H16</f>
        <v>488.58</v>
      </c>
      <c r="F17" s="89">
        <v>0</v>
      </c>
      <c r="G17" s="89">
        <v>0</v>
      </c>
      <c r="H17" s="89">
        <f>SUM(D17:G17)</f>
        <v>498.35159999999996</v>
      </c>
    </row>
    <row r="18" spans="3:8" x14ac:dyDescent="0.25">
      <c r="C18" s="81">
        <v>3</v>
      </c>
      <c r="D18" s="89">
        <f>E18*0.02</f>
        <v>9.9670319999999997</v>
      </c>
      <c r="E18" s="89">
        <f>H17</f>
        <v>498.35159999999996</v>
      </c>
      <c r="F18" s="89">
        <v>0</v>
      </c>
      <c r="G18" s="89">
        <v>0</v>
      </c>
      <c r="H18" s="89">
        <f>SUM(D18:G18)</f>
        <v>508.31863199999998</v>
      </c>
    </row>
    <row r="19" spans="3:8" x14ac:dyDescent="0.25">
      <c r="C19" s="81" t="s">
        <v>109</v>
      </c>
      <c r="D19" s="89">
        <f>AVERAGE(D16:D18)</f>
        <v>9.7728773333333319</v>
      </c>
      <c r="E19" s="89">
        <f>AVERAGE(E16:E18)</f>
        <v>488.64386666666661</v>
      </c>
      <c r="F19" s="89">
        <v>0</v>
      </c>
      <c r="G19" s="89">
        <v>0</v>
      </c>
      <c r="H19" s="90">
        <f>AVERAGE(H16:H18)</f>
        <v>498.41674399999994</v>
      </c>
    </row>
    <row r="22" spans="3:8" x14ac:dyDescent="0.25">
      <c r="C22" s="88" t="s">
        <v>119</v>
      </c>
    </row>
    <row r="23" spans="3:8" x14ac:dyDescent="0.25">
      <c r="C23" s="92"/>
      <c r="D23" s="93"/>
      <c r="E23" s="93"/>
      <c r="F23" s="93"/>
      <c r="G23" s="93"/>
    </row>
    <row r="24" spans="3:8" x14ac:dyDescent="0.25">
      <c r="C24" s="94" t="s">
        <v>87</v>
      </c>
      <c r="D24" s="94" t="s">
        <v>89</v>
      </c>
      <c r="E24" s="94" t="s">
        <v>91</v>
      </c>
      <c r="F24" s="94" t="s">
        <v>92</v>
      </c>
      <c r="G24" s="94" t="s">
        <v>93</v>
      </c>
    </row>
    <row r="25" spans="3:8" ht="60" x14ac:dyDescent="0.25">
      <c r="C25" s="94" t="s">
        <v>110</v>
      </c>
      <c r="D25" s="94" t="s">
        <v>107</v>
      </c>
      <c r="E25" s="94" t="s">
        <v>111</v>
      </c>
      <c r="F25" s="94" t="s">
        <v>112</v>
      </c>
      <c r="G25" s="94" t="s">
        <v>113</v>
      </c>
    </row>
    <row r="26" spans="3:8" x14ac:dyDescent="0.25">
      <c r="C26" s="96"/>
      <c r="D26" s="96"/>
      <c r="E26" s="96"/>
      <c r="F26" s="86"/>
      <c r="G26" s="95" t="s">
        <v>114</v>
      </c>
    </row>
    <row r="27" spans="3:8" ht="24" x14ac:dyDescent="0.25">
      <c r="C27" s="91" t="s">
        <v>115</v>
      </c>
      <c r="D27" s="193">
        <f>D9</f>
        <v>10.1744</v>
      </c>
      <c r="E27" s="90">
        <v>1</v>
      </c>
      <c r="F27" s="90">
        <v>0</v>
      </c>
      <c r="G27" s="90">
        <f>(D27*E27)+F27</f>
        <v>10.1744</v>
      </c>
    </row>
    <row r="28" spans="3:8" x14ac:dyDescent="0.25">
      <c r="C28" s="91" t="s">
        <v>116</v>
      </c>
      <c r="D28" s="193">
        <f>D9</f>
        <v>10.1744</v>
      </c>
      <c r="E28" s="90">
        <v>1</v>
      </c>
      <c r="F28" s="90">
        <v>0</v>
      </c>
      <c r="G28" s="90">
        <f t="shared" ref="G28:G30" si="0">(D28*E28)+F28</f>
        <v>10.1744</v>
      </c>
    </row>
    <row r="29" spans="3:8" x14ac:dyDescent="0.25">
      <c r="C29" s="91" t="s">
        <v>117</v>
      </c>
      <c r="D29" s="193">
        <f>D9</f>
        <v>10.1744</v>
      </c>
      <c r="E29" s="90">
        <v>1</v>
      </c>
      <c r="F29" s="90">
        <v>0</v>
      </c>
      <c r="G29" s="90">
        <f t="shared" si="0"/>
        <v>10.1744</v>
      </c>
    </row>
    <row r="30" spans="3:8" ht="24" x14ac:dyDescent="0.25">
      <c r="C30" s="149" t="s">
        <v>172</v>
      </c>
      <c r="D30" s="194">
        <f>0.2</f>
        <v>0.2</v>
      </c>
      <c r="E30" s="150">
        <v>1</v>
      </c>
      <c r="F30" s="150">
        <v>0</v>
      </c>
      <c r="G30" s="151">
        <f t="shared" si="0"/>
        <v>0.2</v>
      </c>
    </row>
    <row r="31" spans="3:8" x14ac:dyDescent="0.25">
      <c r="C31" s="91" t="s">
        <v>118</v>
      </c>
      <c r="D31" s="194">
        <f>H9*0.2</f>
        <v>105.68042666666668</v>
      </c>
      <c r="E31" s="90">
        <v>2</v>
      </c>
      <c r="F31" s="90">
        <f>E9*0.8</f>
        <v>414.58218666666664</v>
      </c>
      <c r="G31" s="90">
        <f>(D31*E31)+F31</f>
        <v>625.94304</v>
      </c>
    </row>
    <row r="32" spans="3:8" x14ac:dyDescent="0.25">
      <c r="C32" s="242"/>
      <c r="D32" s="243"/>
      <c r="E32" s="243"/>
      <c r="F32" s="244" t="s">
        <v>31</v>
      </c>
      <c r="G32" s="244">
        <f>SUM(G27:G31)</f>
        <v>656.66624000000002</v>
      </c>
    </row>
    <row r="33" spans="2:15" x14ac:dyDescent="0.25">
      <c r="C33" s="242"/>
      <c r="D33" s="243"/>
      <c r="E33" s="243"/>
      <c r="F33" s="244"/>
      <c r="G33" s="244"/>
    </row>
    <row r="36" spans="2:15" ht="15.75" x14ac:dyDescent="0.25">
      <c r="C36" s="88" t="s">
        <v>128</v>
      </c>
      <c r="L36" s="239" t="s">
        <v>186</v>
      </c>
      <c r="M36" s="240"/>
      <c r="N36" s="240"/>
      <c r="O36" s="241"/>
    </row>
    <row r="37" spans="2:15" ht="26.25" x14ac:dyDescent="0.25">
      <c r="B37" s="51"/>
      <c r="C37" s="97" t="s">
        <v>124</v>
      </c>
      <c r="D37" s="98" t="s">
        <v>121</v>
      </c>
      <c r="E37" s="99" t="s">
        <v>122</v>
      </c>
      <c r="F37" s="99" t="s">
        <v>123</v>
      </c>
      <c r="G37" s="99" t="s">
        <v>30</v>
      </c>
      <c r="H37" s="51"/>
      <c r="L37" s="154" t="s">
        <v>173</v>
      </c>
      <c r="M37" s="154" t="s">
        <v>121</v>
      </c>
      <c r="N37" s="154" t="s">
        <v>176</v>
      </c>
      <c r="O37" s="155" t="s">
        <v>181</v>
      </c>
    </row>
    <row r="38" spans="2:15" x14ac:dyDescent="0.25">
      <c r="B38" s="51"/>
      <c r="C38" s="100" t="s">
        <v>120</v>
      </c>
      <c r="D38" s="97">
        <v>512</v>
      </c>
      <c r="E38" s="97">
        <v>258</v>
      </c>
      <c r="F38" s="97">
        <v>202</v>
      </c>
      <c r="G38" s="97">
        <v>52</v>
      </c>
      <c r="H38" s="51"/>
      <c r="L38" s="97" t="s">
        <v>122</v>
      </c>
      <c r="M38" s="101">
        <f>E41</f>
        <v>246.23069843749997</v>
      </c>
      <c r="N38" s="152">
        <f>E44</f>
        <v>5.2227638749999992</v>
      </c>
      <c r="O38" s="101">
        <f>SUM(M38:N38)</f>
        <v>251.45346231249997</v>
      </c>
    </row>
    <row r="39" spans="2:15" x14ac:dyDescent="0.25">
      <c r="B39" s="51"/>
      <c r="C39" s="100" t="s">
        <v>125</v>
      </c>
      <c r="D39" s="97">
        <v>452</v>
      </c>
      <c r="E39" s="97">
        <v>228</v>
      </c>
      <c r="F39" s="97">
        <v>178</v>
      </c>
      <c r="G39" s="97">
        <v>46</v>
      </c>
      <c r="H39" s="51"/>
      <c r="L39" s="97" t="s">
        <v>174</v>
      </c>
      <c r="M39" s="101">
        <f>F41</f>
        <v>192.78527552083332</v>
      </c>
      <c r="N39" s="152">
        <f>F44</f>
        <v>4.0891407083333329</v>
      </c>
      <c r="O39" s="101">
        <f t="shared" ref="O39:O41" si="1">SUM(M39:N39)</f>
        <v>196.87441622916666</v>
      </c>
    </row>
    <row r="40" spans="2:15" x14ac:dyDescent="0.25">
      <c r="B40" s="51"/>
      <c r="C40" s="100" t="s">
        <v>126</v>
      </c>
      <c r="D40" s="97"/>
      <c r="E40" s="101">
        <f>E38*$H$40</f>
        <v>227.765625</v>
      </c>
      <c r="F40" s="101">
        <f t="shared" ref="F40:G40" si="2">F38*$H$40</f>
        <v>178.328125</v>
      </c>
      <c r="G40" s="101">
        <f t="shared" si="2"/>
        <v>45.90625</v>
      </c>
      <c r="H40" s="51">
        <f>D39/D38</f>
        <v>0.8828125</v>
      </c>
      <c r="L40" s="97" t="s">
        <v>175</v>
      </c>
      <c r="M40" s="101">
        <f>G41</f>
        <v>49.627892708333327</v>
      </c>
      <c r="N40" s="152">
        <f>G44</f>
        <v>1.0526500833333332</v>
      </c>
      <c r="O40" s="101">
        <f t="shared" si="1"/>
        <v>50.68054279166666</v>
      </c>
    </row>
    <row r="41" spans="2:15" x14ac:dyDescent="0.25">
      <c r="B41" s="51"/>
      <c r="C41" s="100" t="s">
        <v>127</v>
      </c>
      <c r="D41" s="101">
        <f>E19</f>
        <v>488.64386666666661</v>
      </c>
      <c r="E41" s="101">
        <f>E38*$H$41</f>
        <v>246.23069843749997</v>
      </c>
      <c r="F41" s="101">
        <f t="shared" ref="F41:G41" si="3">F38*$H$41</f>
        <v>192.78527552083332</v>
      </c>
      <c r="G41" s="101">
        <f t="shared" si="3"/>
        <v>49.627892708333327</v>
      </c>
      <c r="H41" s="51">
        <f>D41/D38</f>
        <v>0.95438255208333322</v>
      </c>
      <c r="L41" s="177" t="s">
        <v>31</v>
      </c>
      <c r="M41" s="178">
        <f>SUM(M38:M40)</f>
        <v>488.64386666666661</v>
      </c>
      <c r="N41" s="178">
        <f>SUM(N38:N40)</f>
        <v>10.364554666666665</v>
      </c>
      <c r="O41" s="101">
        <f t="shared" si="1"/>
        <v>499.00842133333327</v>
      </c>
    </row>
    <row r="42" spans="2:15" x14ac:dyDescent="0.25">
      <c r="B42" s="51"/>
      <c r="C42" s="190" t="s">
        <v>182</v>
      </c>
      <c r="D42" s="191">
        <f>E9</f>
        <v>518.22773333333328</v>
      </c>
      <c r="E42" s="191">
        <f>E38*H42</f>
        <v>261.13819374999997</v>
      </c>
      <c r="F42" s="191">
        <f>F38*H42</f>
        <v>204.45703541666666</v>
      </c>
      <c r="G42" s="191">
        <f>G38*H42</f>
        <v>52.632504166666664</v>
      </c>
      <c r="H42" s="51">
        <f>D42/D38</f>
        <v>1.0121635416666666</v>
      </c>
      <c r="L42" s="43"/>
      <c r="M42" s="180"/>
      <c r="N42" s="180"/>
      <c r="O42" s="179"/>
    </row>
    <row r="43" spans="2:15" ht="15.75" x14ac:dyDescent="0.25">
      <c r="B43" s="51"/>
      <c r="C43" s="102" t="s">
        <v>129</v>
      </c>
      <c r="D43" s="1"/>
      <c r="E43" s="1"/>
      <c r="F43" s="1"/>
      <c r="G43" s="1"/>
      <c r="H43" s="51"/>
      <c r="L43" s="236" t="s">
        <v>187</v>
      </c>
      <c r="M43" s="237"/>
      <c r="N43" s="237"/>
      <c r="O43" s="238"/>
    </row>
    <row r="44" spans="2:15" ht="25.5" x14ac:dyDescent="0.25">
      <c r="B44" s="51"/>
      <c r="C44" s="199" t="s">
        <v>188</v>
      </c>
      <c r="D44" s="200">
        <f>D42*0.02</f>
        <v>10.364554666666665</v>
      </c>
      <c r="E44" s="201">
        <f>E42*0.02</f>
        <v>5.2227638749999992</v>
      </c>
      <c r="F44" s="201">
        <f>F42*0.02</f>
        <v>4.0891407083333329</v>
      </c>
      <c r="G44" s="201">
        <f>G42*0.02</f>
        <v>1.0526500833333332</v>
      </c>
      <c r="H44" s="51"/>
      <c r="L44" s="195" t="s">
        <v>173</v>
      </c>
      <c r="M44" s="195" t="s">
        <v>121</v>
      </c>
      <c r="N44" s="195" t="s">
        <v>176</v>
      </c>
      <c r="O44" s="195" t="s">
        <v>181</v>
      </c>
    </row>
    <row r="45" spans="2:15" x14ac:dyDescent="0.25">
      <c r="B45" s="51"/>
      <c r="C45" s="1"/>
      <c r="D45" s="1"/>
      <c r="E45" s="1"/>
      <c r="F45" s="1"/>
      <c r="G45" s="1"/>
      <c r="H45" s="51"/>
      <c r="L45" s="196" t="s">
        <v>122</v>
      </c>
      <c r="M45" s="191">
        <f>E42</f>
        <v>261.13819374999997</v>
      </c>
      <c r="N45" s="197">
        <f>E44</f>
        <v>5.2227638749999992</v>
      </c>
      <c r="O45" s="191">
        <f>SUM(M45:N45)</f>
        <v>266.36095762499997</v>
      </c>
    </row>
    <row r="46" spans="2:15" x14ac:dyDescent="0.25">
      <c r="B46" s="51"/>
      <c r="C46" s="1"/>
      <c r="D46" s="1"/>
      <c r="E46" s="156">
        <f>E41/D41</f>
        <v>0.50390625</v>
      </c>
      <c r="F46" s="156">
        <f>F41/D41</f>
        <v>0.39453125</v>
      </c>
      <c r="G46" s="156">
        <f>G41/D41</f>
        <v>0.1015625</v>
      </c>
      <c r="H46" s="51"/>
      <c r="L46" s="196" t="s">
        <v>174</v>
      </c>
      <c r="M46" s="191">
        <f>F42</f>
        <v>204.45703541666666</v>
      </c>
      <c r="N46" s="197">
        <f>F44</f>
        <v>4.0891407083333329</v>
      </c>
      <c r="O46" s="191">
        <f t="shared" ref="O46:O48" si="4">SUM(M46:N46)</f>
        <v>208.54617612499999</v>
      </c>
    </row>
    <row r="47" spans="2:15" x14ac:dyDescent="0.25">
      <c r="B47" s="51"/>
      <c r="C47" s="51"/>
      <c r="D47" s="51"/>
      <c r="E47" s="51"/>
      <c r="F47" s="51"/>
      <c r="G47" s="51"/>
      <c r="H47" s="51"/>
      <c r="L47" s="196" t="s">
        <v>175</v>
      </c>
      <c r="M47" s="191">
        <f>G42</f>
        <v>52.632504166666664</v>
      </c>
      <c r="N47" s="197">
        <f>G44</f>
        <v>1.0526500833333332</v>
      </c>
      <c r="O47" s="191">
        <f t="shared" si="4"/>
        <v>53.685154249999997</v>
      </c>
    </row>
    <row r="48" spans="2:15" x14ac:dyDescent="0.25">
      <c r="B48" s="51"/>
      <c r="C48" s="51"/>
      <c r="D48" s="51"/>
      <c r="E48" s="51"/>
      <c r="F48" s="208"/>
      <c r="G48" s="207"/>
      <c r="H48" s="51"/>
      <c r="L48" s="196" t="s">
        <v>31</v>
      </c>
      <c r="M48" s="198">
        <f>SUM(M45:M47)</f>
        <v>518.22773333333328</v>
      </c>
      <c r="N48" s="198">
        <f>SUM(N45:N47)</f>
        <v>10.364554666666665</v>
      </c>
      <c r="O48" s="191">
        <f t="shared" si="4"/>
        <v>528.59228799999994</v>
      </c>
    </row>
    <row r="49" spans="2:8" x14ac:dyDescent="0.25">
      <c r="B49" s="51"/>
      <c r="C49" s="51"/>
      <c r="D49" s="51"/>
      <c r="E49" s="51"/>
      <c r="F49" s="51"/>
      <c r="G49" s="207"/>
      <c r="H49" s="51"/>
    </row>
  </sheetData>
  <mergeCells count="7">
    <mergeCell ref="L43:O43"/>
    <mergeCell ref="L36:O36"/>
    <mergeCell ref="C32:C33"/>
    <mergeCell ref="D32:D33"/>
    <mergeCell ref="E32:E33"/>
    <mergeCell ref="F32:F33"/>
    <mergeCell ref="G32:G3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Respondent</vt:lpstr>
      <vt:lpstr>Agency</vt:lpstr>
      <vt:lpstr>Capital and O&amp;M</vt:lpstr>
      <vt:lpstr>Additional</vt:lpstr>
      <vt:lpstr>Agency!Print_Area</vt:lpstr>
      <vt:lpstr>'Capital and O&amp;M'!Print_Area</vt:lpstr>
      <vt:lpstr>Respondent!Print_Area</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wwrigley</cp:lastModifiedBy>
  <cp:lastPrinted>2012-10-24T21:14:15Z</cp:lastPrinted>
  <dcterms:created xsi:type="dcterms:W3CDTF">2012-10-22T21:53:45Z</dcterms:created>
  <dcterms:modified xsi:type="dcterms:W3CDTF">2019-04-04T12:57:55Z</dcterms:modified>
</cp:coreProperties>
</file>