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New ICRs\"/>
    </mc:Choice>
  </mc:AlternateContent>
  <xr:revisionPtr revIDLastSave="0" documentId="8_{E28A87F8-A958-4D08-8351-EF4A0DCE57AA}" xr6:coauthVersionLast="36" xr6:coauthVersionMax="36" xr10:uidLastSave="{00000000-0000-0000-0000-000000000000}"/>
  <bookViews>
    <workbookView xWindow="2835" yWindow="180" windowWidth="21885" windowHeight="15000" xr2:uid="{00000000-000D-0000-FFFF-FFFF00000000}"/>
  </bookViews>
  <sheets>
    <sheet name="Table 1" sheetId="3" r:id="rId1"/>
    <sheet name="Table 2" sheetId="4" r:id="rId2"/>
    <sheet name="Capital and O&amp;M"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4" l="1"/>
  <c r="I15" i="4"/>
  <c r="E12" i="3" l="1"/>
  <c r="E29" i="3"/>
  <c r="E27" i="3"/>
  <c r="E25" i="3"/>
  <c r="E22" i="3"/>
  <c r="E20" i="3"/>
  <c r="E18" i="3"/>
  <c r="E16" i="3"/>
  <c r="E14" i="3"/>
  <c r="E61" i="3" l="1"/>
  <c r="E62" i="3"/>
  <c r="G12" i="5"/>
  <c r="E41" i="3" l="1"/>
  <c r="F41" i="3" s="1"/>
  <c r="G41" i="3" l="1"/>
  <c r="I41" i="3" s="1"/>
  <c r="H41" i="3"/>
  <c r="G8" i="5"/>
  <c r="D61" i="3" l="1"/>
  <c r="E63" i="3"/>
  <c r="E64" i="3"/>
  <c r="B32" i="3"/>
  <c r="D32" i="3" s="1"/>
  <c r="E46" i="3"/>
  <c r="F46" i="3" s="1"/>
  <c r="E32" i="3"/>
  <c r="E31" i="3"/>
  <c r="E26" i="3"/>
  <c r="E28" i="3"/>
  <c r="E24" i="3"/>
  <c r="D16" i="3"/>
  <c r="D12" i="3"/>
  <c r="L11" i="3"/>
  <c r="E17" i="3" s="1"/>
  <c r="D13" i="3"/>
  <c r="D14" i="3"/>
  <c r="D15" i="3"/>
  <c r="D17" i="3"/>
  <c r="D19" i="3"/>
  <c r="D20" i="3"/>
  <c r="D21" i="3"/>
  <c r="D22" i="3"/>
  <c r="D11" i="3"/>
  <c r="D18" i="3"/>
  <c r="D25" i="3"/>
  <c r="D27" i="3"/>
  <c r="D29" i="3"/>
  <c r="F27" i="3" l="1"/>
  <c r="G27" i="3" s="1"/>
  <c r="F32" i="3"/>
  <c r="H32" i="3" s="1"/>
  <c r="F17" i="3"/>
  <c r="G17" i="3" s="1"/>
  <c r="E47" i="3"/>
  <c r="H46" i="3"/>
  <c r="G46" i="3"/>
  <c r="F29" i="3"/>
  <c r="G29" i="3" s="1"/>
  <c r="F25" i="3"/>
  <c r="G25" i="3" s="1"/>
  <c r="H27" i="3"/>
  <c r="I27" i="3" s="1"/>
  <c r="E21" i="3"/>
  <c r="F21" i="3" s="1"/>
  <c r="G21" i="3" s="1"/>
  <c r="E13" i="3"/>
  <c r="F13" i="3" s="1"/>
  <c r="E11" i="3"/>
  <c r="E37" i="3" s="1"/>
  <c r="F20" i="3"/>
  <c r="F22" i="3"/>
  <c r="E19" i="3"/>
  <c r="F19" i="3" s="1"/>
  <c r="F16" i="3"/>
  <c r="F14" i="3"/>
  <c r="F18" i="3"/>
  <c r="E15" i="3"/>
  <c r="F15" i="3" s="1"/>
  <c r="G15" i="3" s="1"/>
  <c r="F12" i="3" l="1"/>
  <c r="H17" i="3"/>
  <c r="I17" i="3" s="1"/>
  <c r="G32" i="3"/>
  <c r="I32" i="3" s="1"/>
  <c r="F47" i="3"/>
  <c r="E48" i="3"/>
  <c r="F48" i="3" s="1"/>
  <c r="I46" i="3"/>
  <c r="H29" i="3"/>
  <c r="I29" i="3" s="1"/>
  <c r="H25" i="3"/>
  <c r="I25" i="3" s="1"/>
  <c r="G19" i="3"/>
  <c r="H19" i="3"/>
  <c r="H15" i="3"/>
  <c r="H18" i="3"/>
  <c r="G18" i="3"/>
  <c r="H14" i="3"/>
  <c r="G14" i="3"/>
  <c r="G13" i="3"/>
  <c r="H13" i="3"/>
  <c r="H16" i="3"/>
  <c r="G16" i="3"/>
  <c r="H22" i="3"/>
  <c r="G22" i="3"/>
  <c r="H20" i="3"/>
  <c r="G20" i="3"/>
  <c r="I15" i="3"/>
  <c r="H21" i="3"/>
  <c r="I21" i="3" s="1"/>
  <c r="D8" i="5"/>
  <c r="D9" i="5"/>
  <c r="F6" i="5"/>
  <c r="G6" i="5" s="1"/>
  <c r="G10" i="5" s="1"/>
  <c r="D7" i="5"/>
  <c r="D6" i="5"/>
  <c r="E58" i="3"/>
  <c r="E59" i="3" s="1"/>
  <c r="D62" i="3"/>
  <c r="D63" i="3"/>
  <c r="E38" i="3"/>
  <c r="F38" i="3" s="1"/>
  <c r="G38" i="3" s="1"/>
  <c r="I16" i="3" l="1"/>
  <c r="H12" i="3"/>
  <c r="G12" i="3"/>
  <c r="D10" i="5"/>
  <c r="I19" i="3"/>
  <c r="I20" i="3"/>
  <c r="G48" i="3"/>
  <c r="H48" i="3"/>
  <c r="H47" i="3"/>
  <c r="G47" i="3"/>
  <c r="I18" i="3"/>
  <c r="I13" i="3"/>
  <c r="I14" i="3"/>
  <c r="I22" i="3"/>
  <c r="F37" i="3"/>
  <c r="F44" i="3"/>
  <c r="G44" i="3" s="1"/>
  <c r="F11" i="3"/>
  <c r="G11" i="3" s="1"/>
  <c r="F62" i="3"/>
  <c r="H62" i="3" s="1"/>
  <c r="E43" i="3"/>
  <c r="F43" i="3" s="1"/>
  <c r="G43" i="3" s="1"/>
  <c r="F61" i="3"/>
  <c r="I68" i="3"/>
  <c r="E39" i="3"/>
  <c r="F39" i="3" s="1"/>
  <c r="G39" i="3" s="1"/>
  <c r="E40" i="3"/>
  <c r="F40" i="3" s="1"/>
  <c r="E42" i="3"/>
  <c r="H38" i="3"/>
  <c r="I38" i="3" s="1"/>
  <c r="F63" i="3"/>
  <c r="H63" i="3" s="1"/>
  <c r="E14" i="4"/>
  <c r="D59" i="3"/>
  <c r="D64" i="3"/>
  <c r="D58" i="3"/>
  <c r="D49" i="3"/>
  <c r="D26" i="3"/>
  <c r="F26" i="3" s="1"/>
  <c r="D28" i="3"/>
  <c r="F28" i="3" s="1"/>
  <c r="D31" i="3"/>
  <c r="F31" i="3" s="1"/>
  <c r="D24" i="3"/>
  <c r="F24" i="3" s="1"/>
  <c r="D8" i="3"/>
  <c r="D6" i="3"/>
  <c r="E6" i="3"/>
  <c r="I12" i="3" l="1"/>
  <c r="F50" i="3"/>
  <c r="G61" i="3"/>
  <c r="F42" i="3"/>
  <c r="G42" i="3" s="1"/>
  <c r="E6" i="4"/>
  <c r="I47" i="3"/>
  <c r="I48" i="3"/>
  <c r="G37" i="3"/>
  <c r="G31" i="3"/>
  <c r="H31" i="3"/>
  <c r="H28" i="3"/>
  <c r="G28" i="3"/>
  <c r="H24" i="3"/>
  <c r="G24" i="3"/>
  <c r="H26" i="3"/>
  <c r="G26" i="3"/>
  <c r="H11" i="3"/>
  <c r="I11" i="3" s="1"/>
  <c r="H61" i="3"/>
  <c r="I61" i="3" s="1"/>
  <c r="H37" i="3"/>
  <c r="H44" i="3"/>
  <c r="I44" i="3" s="1"/>
  <c r="G62" i="3"/>
  <c r="I62" i="3" s="1"/>
  <c r="H43" i="3"/>
  <c r="I43" i="3" s="1"/>
  <c r="H39" i="3"/>
  <c r="I39" i="3" s="1"/>
  <c r="H40" i="3"/>
  <c r="G40" i="3"/>
  <c r="G63" i="3"/>
  <c r="I63" i="3" s="1"/>
  <c r="D12" i="4"/>
  <c r="F66" i="3" l="1"/>
  <c r="F67" i="3" s="1"/>
  <c r="K67" i="3" s="1"/>
  <c r="H42" i="3"/>
  <c r="I24" i="3"/>
  <c r="E9" i="4"/>
  <c r="I37" i="3"/>
  <c r="I28" i="3"/>
  <c r="I26" i="3"/>
  <c r="I31" i="3"/>
  <c r="I40" i="3"/>
  <c r="I42" i="3"/>
  <c r="E10" i="4" l="1"/>
  <c r="E12" i="4"/>
  <c r="F12" i="4" s="1"/>
  <c r="G12" i="4" l="1"/>
  <c r="H12" i="4"/>
  <c r="D14" i="4"/>
  <c r="F14" i="4" s="1"/>
  <c r="D13" i="4"/>
  <c r="D11" i="4"/>
  <c r="F11" i="4" s="1"/>
  <c r="D10" i="4"/>
  <c r="F10" i="4" s="1"/>
  <c r="D9" i="4"/>
  <c r="D7" i="4"/>
  <c r="F7" i="4" s="1"/>
  <c r="D6" i="4"/>
  <c r="F6" i="4" s="1"/>
  <c r="F6" i="3"/>
  <c r="F49" i="3"/>
  <c r="F58" i="3"/>
  <c r="F59" i="3"/>
  <c r="F64" i="3"/>
  <c r="I12" i="4" l="1"/>
  <c r="G58" i="3"/>
  <c r="H49" i="3"/>
  <c r="H64" i="3"/>
  <c r="G6" i="3"/>
  <c r="G64" i="3"/>
  <c r="F8" i="3"/>
  <c r="G49" i="3"/>
  <c r="H14" i="4"/>
  <c r="H11" i="4"/>
  <c r="H10" i="4"/>
  <c r="H7" i="4"/>
  <c r="H6" i="4"/>
  <c r="G14" i="4"/>
  <c r="G11" i="4"/>
  <c r="G10" i="4"/>
  <c r="G7" i="4"/>
  <c r="G6" i="4"/>
  <c r="H59" i="3"/>
  <c r="G59" i="3"/>
  <c r="H58" i="3"/>
  <c r="H6" i="3"/>
  <c r="I6" i="3" l="1"/>
  <c r="G8" i="3"/>
  <c r="I49" i="3"/>
  <c r="I58" i="3"/>
  <c r="I59" i="3"/>
  <c r="I64" i="3"/>
  <c r="F13" i="4"/>
  <c r="F9" i="4"/>
  <c r="H8" i="3"/>
  <c r="I7" i="4"/>
  <c r="I10" i="4"/>
  <c r="I6" i="4"/>
  <c r="I11" i="4"/>
  <c r="I14" i="4"/>
  <c r="I66" i="3" l="1"/>
  <c r="I8" i="3"/>
  <c r="I50" i="3" s="1"/>
  <c r="G13" i="4"/>
  <c r="H13" i="4"/>
  <c r="G9" i="4"/>
  <c r="H9" i="4"/>
  <c r="I67" i="3" l="1"/>
  <c r="I13" i="4"/>
  <c r="I9" i="4"/>
  <c r="I69" i="3" l="1"/>
</calcChain>
</file>

<file path=xl/sharedStrings.xml><?xml version="1.0" encoding="utf-8"?>
<sst xmlns="http://schemas.openxmlformats.org/spreadsheetml/2006/main" count="167" uniqueCount="143">
  <si>
    <t>4. REPORT REQUIREMENTS</t>
  </si>
  <si>
    <t>C. Create Information (Included in 4B)</t>
  </si>
  <si>
    <t>D. Gather Existing Information (Included in 4E)</t>
  </si>
  <si>
    <t>E. Write Report</t>
  </si>
  <si>
    <t>5. RECORDKEEPING REQUIREMENTS</t>
  </si>
  <si>
    <t>E. Time to Transmit or Disclose Information</t>
  </si>
  <si>
    <t>B. Required Activities</t>
  </si>
  <si>
    <t>F. Time to Train Personnel</t>
  </si>
  <si>
    <t>(A)
Hours per Occurrence</t>
  </si>
  <si>
    <t>(B)
Occurrences/ Respondent/ Year</t>
  </si>
  <si>
    <t>Burden Item</t>
  </si>
  <si>
    <t>Assumptions:</t>
  </si>
  <si>
    <t xml:space="preserve">         Notification of actual startup</t>
  </si>
  <si>
    <t xml:space="preserve">         Notification of construction</t>
  </si>
  <si>
    <t xml:space="preserve">    Report Review</t>
  </si>
  <si>
    <t>(Ex0.1)</t>
  </si>
  <si>
    <t>(Ex0.05)</t>
  </si>
  <si>
    <t>(E=CxD)</t>
  </si>
  <si>
    <t>(C=AxB)</t>
  </si>
  <si>
    <t>Clerical person-hours per year</t>
  </si>
  <si>
    <t>Management person-hours per year</t>
  </si>
  <si>
    <t>Technical person- hours per year</t>
  </si>
  <si>
    <t>EPA person- hours per plant per year</t>
  </si>
  <si>
    <t>No. of occurrences per plant per year</t>
  </si>
  <si>
    <t>EPA person- hours per occurrence</t>
  </si>
  <si>
    <t>(H)</t>
  </si>
  <si>
    <t>(G)</t>
  </si>
  <si>
    <t>(F)</t>
  </si>
  <si>
    <t>(E)</t>
  </si>
  <si>
    <t>(D)</t>
  </si>
  <si>
    <t>(C)</t>
  </si>
  <si>
    <t>(B)</t>
  </si>
  <si>
    <t>(A)</t>
  </si>
  <si>
    <t>Activity</t>
  </si>
  <si>
    <t xml:space="preserve">         Notification of Physical or Operational 
         Change</t>
  </si>
  <si>
    <t xml:space="preserve">         Review semi-annual summary report</t>
  </si>
  <si>
    <t>A. Familiarize with regulatory requirement</t>
  </si>
  <si>
    <r>
      <t>(H)
Cost/ Year</t>
    </r>
    <r>
      <rPr>
        <vertAlign val="superscript"/>
        <sz val="10"/>
        <color theme="1"/>
        <rFont val="Times New Roman"/>
        <family val="1"/>
      </rPr>
      <t>b</t>
    </r>
  </si>
  <si>
    <t>(C)
Hours/ Respondent/ Year 
(A x B)</t>
  </si>
  <si>
    <t>(E)
Technical Hours/Year 
(C x D)</t>
  </si>
  <si>
    <t>(F) Managerial Hours/Year 
(E x 0.05)</t>
  </si>
  <si>
    <t>(G) 
Clerical Hours/Year 
(E x 0.10)</t>
  </si>
  <si>
    <t>Repeat Hg Performance Test</t>
  </si>
  <si>
    <t>Repeat HCl Performance Test</t>
  </si>
  <si>
    <t>Notification of construction/reconstruction</t>
  </si>
  <si>
    <t>Notification of actual startup</t>
  </si>
  <si>
    <t>Physical or Operational Change</t>
  </si>
  <si>
    <t>Notification of Demonstration of CEMS</t>
  </si>
  <si>
    <t>Notification of Initial Performance Test</t>
  </si>
  <si>
    <t>Data Collection</t>
  </si>
  <si>
    <t>Records of Startups, Shutdowns, malfunctions, etc</t>
  </si>
  <si>
    <t>Number of kilns</t>
  </si>
  <si>
    <t xml:space="preserve">New </t>
  </si>
  <si>
    <t>Existing</t>
  </si>
  <si>
    <t>3.ACQUISITION, INSTALLATION, AND UTILIZATION OF TECHNOLOGY AND SYSTEMS</t>
  </si>
  <si>
    <t>Coal mill parameter monitoring</t>
  </si>
  <si>
    <t>Existing Sources</t>
  </si>
  <si>
    <t>New Sources</t>
  </si>
  <si>
    <t>Capital/Startup vs. Operation and Maintenance (O&amp;M) Costs</t>
  </si>
  <si>
    <t>Continuous Monitoring Device</t>
  </si>
  <si>
    <t>Capital/Startup Cost for One Respondent</t>
  </si>
  <si>
    <t xml:space="preserve">Number of New Respondents </t>
  </si>
  <si>
    <t>Total Capital/Startup Cost,  (B X C)</t>
  </si>
  <si>
    <t>Annual O&amp;M Costs for One Respondent</t>
  </si>
  <si>
    <t>Number of Respondents  with O&amp;M</t>
  </si>
  <si>
    <t>Continuous Emission Monitors</t>
  </si>
  <si>
    <t>Total O&amp;M, (E X F)</t>
  </si>
  <si>
    <t>Initial CEMS testing</t>
  </si>
  <si>
    <t>Flow monitoring device for coal mills</t>
  </si>
  <si>
    <t>Coal mill testing</t>
  </si>
  <si>
    <t>TOTAL</t>
  </si>
  <si>
    <t>NA</t>
  </si>
  <si>
    <t xml:space="preserve">2. SURVEY AND STUDIES </t>
  </si>
  <si>
    <t xml:space="preserve">1. APPLICATIONS </t>
  </si>
  <si>
    <t>See 4A</t>
  </si>
  <si>
    <t>See 4B</t>
  </si>
  <si>
    <t xml:space="preserve">B. Plan Activities </t>
  </si>
  <si>
    <t xml:space="preserve">C. Implement Activities </t>
  </si>
  <si>
    <t xml:space="preserve">D. Record Data </t>
  </si>
  <si>
    <t>See 4E</t>
  </si>
  <si>
    <t xml:space="preserve">G. Time for Audits </t>
  </si>
  <si>
    <t>Labor Rates:</t>
  </si>
  <si>
    <t>Management</t>
  </si>
  <si>
    <t>These rates were updated 2/4/19 to match the United States Department of Labor, Bureau of Labor Statistics, June 2018, “Table 2. Civilian Workers, by occupational and industry group</t>
  </si>
  <si>
    <t>Technical</t>
  </si>
  <si>
    <t>Clerical</t>
  </si>
  <si>
    <r>
      <t>b</t>
    </r>
    <r>
      <rPr>
        <sz val="10"/>
        <color theme="1"/>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</si>
  <si>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t>These rates were updated 2/4/19 to match the rates from the Office of Personnel Management (OPM), 2018 General Schedule.</t>
  </si>
  <si>
    <t xml:space="preserve">Repeat PM Performance Test </t>
  </si>
  <si>
    <t>New, Reconstructed, Modified Sources</t>
  </si>
  <si>
    <t>Repeat PM Performance Test</t>
  </si>
  <si>
    <t>Subtotal for Reporting Requirements</t>
  </si>
  <si>
    <r>
      <t xml:space="preserve">Existing Sources - Annual Testing </t>
    </r>
    <r>
      <rPr>
        <vertAlign val="superscript"/>
        <sz val="10"/>
        <color theme="1"/>
        <rFont val="Times New Roman"/>
        <family val="1"/>
      </rPr>
      <t>d</t>
    </r>
  </si>
  <si>
    <r>
      <t xml:space="preserve">New, Reconstructed, Modified Sources - Testing </t>
    </r>
    <r>
      <rPr>
        <vertAlign val="superscript"/>
        <sz val="10"/>
        <color theme="1"/>
        <rFont val="Times New Roman"/>
        <family val="1"/>
      </rPr>
      <t>c</t>
    </r>
  </si>
  <si>
    <t>Initial Hg Performance Test (kiln)</t>
  </si>
  <si>
    <t>Initial PM Performance Test (kiln and cooler)</t>
  </si>
  <si>
    <t>Initial THC/HAP Performance Test (kiln and dryer)</t>
  </si>
  <si>
    <t>Repeat THC/HAP Performance Test</t>
  </si>
  <si>
    <t>Initial D/F Performance Test (kiln)</t>
  </si>
  <si>
    <t>Repeat D/F Performance Test</t>
  </si>
  <si>
    <t>Annual PM Performance Test (kiln and cooler)</t>
  </si>
  <si>
    <t>Annual Hg Performance Test (kiln)</t>
  </si>
  <si>
    <r>
      <t>c</t>
    </r>
    <r>
      <rPr>
        <sz val="10"/>
        <color theme="1"/>
        <rFont val="Times New Roman"/>
        <family val="1"/>
      </rPr>
      <t xml:space="preserve">  New kilns test for PM, D/F, Hg, HCl, and THC or Total Organic HAP. New raw and finish mills test for opacity. New coolers test for PM. New dryers test for  THC or Total Organic HAP. All times for testing include calibration of the CEMS, COMS, or CPMS (temperature, pressure drop, air flow rate, sorbent flow rate, activated carbon injection rate) monitors on this equipment. We have assumed that 5 percent of respondents would repeat initial performance test due to failure.</t>
    </r>
  </si>
  <si>
    <t>Initial Opacity Performance Test (mills)</t>
  </si>
  <si>
    <t>Repeat Opacity Performance Test</t>
  </si>
  <si>
    <t>Initial HCl Performance Test (Method 321) (kiln)</t>
  </si>
  <si>
    <r>
      <t xml:space="preserve">New and Existing Sources - Monitoring </t>
    </r>
    <r>
      <rPr>
        <vertAlign val="superscript"/>
        <sz val="10"/>
        <color theme="1"/>
        <rFont val="Times New Roman"/>
        <family val="1"/>
      </rPr>
      <t>e</t>
    </r>
  </si>
  <si>
    <r>
      <t>e</t>
    </r>
    <r>
      <rPr>
        <sz val="10"/>
        <color theme="1"/>
        <rFont val="Times New Roman"/>
        <family val="1"/>
      </rPr>
      <t xml:space="preserve">  Opacity checks are required monthly. Calibration drift checks on the air flow sensor on the Hg CEMS are performed daily. </t>
    </r>
  </si>
  <si>
    <t>Daily Calibration Drift Tests - Hg CEMS</t>
  </si>
  <si>
    <t>Monthly Opacity Checks (Method 22) (mills)</t>
  </si>
  <si>
    <t>Semi-Annual Reports</t>
  </si>
  <si>
    <t>Reconstructed/modified</t>
  </si>
  <si>
    <t>Subtotal for Recordkeeping Requirements</t>
  </si>
  <si>
    <r>
      <rPr>
        <vertAlign val="superscript"/>
        <sz val="10"/>
        <color theme="1"/>
        <rFont val="Times New Roman"/>
        <family val="1"/>
      </rPr>
      <t>f</t>
    </r>
    <r>
      <rPr>
        <sz val="10"/>
        <color theme="1"/>
        <rFont val="Times New Roman"/>
        <family val="1"/>
      </rPr>
      <t xml:space="preserve">  Totals have been rounded to 3 significant figures.  Figures may not add exactly due to rounding.</t>
    </r>
  </si>
  <si>
    <t>Toal Capital and O&amp;M</t>
  </si>
  <si>
    <r>
      <t xml:space="preserve">Total Labor Burden and Cost (rounded) </t>
    </r>
    <r>
      <rPr>
        <b/>
        <vertAlign val="superscript"/>
        <sz val="10"/>
        <color rgb="FF000000"/>
        <rFont val="Times New Roman"/>
        <family val="1"/>
      </rPr>
      <t>f</t>
    </r>
  </si>
  <si>
    <r>
      <t xml:space="preserve">Total Capital and O&amp;M Cost (rounded) </t>
    </r>
    <r>
      <rPr>
        <b/>
        <vertAlign val="superscript"/>
        <sz val="10"/>
        <rFont val="Times New Roman"/>
        <family val="1"/>
      </rPr>
      <t>f</t>
    </r>
  </si>
  <si>
    <r>
      <t xml:space="preserve">Grand TOTAL (rounded) </t>
    </r>
    <r>
      <rPr>
        <b/>
        <vertAlign val="superscript"/>
        <sz val="10"/>
        <rFont val="Times New Roman"/>
        <family val="1"/>
      </rPr>
      <t>f</t>
    </r>
  </si>
  <si>
    <t xml:space="preserve">Table 1: Annual Respondent Burden and Cost – NESHAP for Portland Cement Manufacturing Industry (40 CFR Part 63, Subpart LLL) (Renewal) </t>
  </si>
  <si>
    <t xml:space="preserve">Table 2:  Average Annual EPA Burden and Cost - NESHAP for Portland Cement Manufacturing Industry (40 CFR Part 63, Subpart LLL) (Renewal) </t>
  </si>
  <si>
    <t xml:space="preserve">NESHAP for Portland Cement Manufacturing Industry (40 CFR Part 63, Subpart LLL) (Renewal) </t>
  </si>
  <si>
    <t>Notification of Annual Performance Test</t>
  </si>
  <si>
    <t>Report of Annual Performance Test Results</t>
  </si>
  <si>
    <t>Notification of Opacity Observations</t>
  </si>
  <si>
    <t>Report of Performance Tests</t>
  </si>
  <si>
    <t xml:space="preserve">hr/response  </t>
  </si>
  <si>
    <r>
      <t>a</t>
    </r>
    <r>
      <rPr>
        <sz val="10"/>
        <color theme="1"/>
        <rFont val="Times New Roman"/>
        <family val="1"/>
      </rPr>
      <t xml:space="preserve">  We have assumed that there are approximately 40 respondents operating kilns and that 10% of the existing facilities will have new construction/reconstruction.</t>
    </r>
  </si>
  <si>
    <r>
      <t>d</t>
    </r>
    <r>
      <rPr>
        <sz val="10"/>
        <rFont val="Times New Roman"/>
        <family val="1"/>
      </rPr>
      <t xml:space="preserve">  The rule requires existing kilns re-test annually for PM and Hg. New kilns and kilns that were modified or reconstructed after the rule was promulgated must also re-test annually for HCl. All times for testing include calibration of the CEMS or CPMS (pressure drop, air flow rate, sorbent flow rate, activated carbon injection rate) monitors on this equipment. We have assumed that 5 percent of respondents would repeat annual performance test due to failure.</t>
    </r>
  </si>
  <si>
    <t>Annual HCl Performance Test (Method 321) (new, modified, reconstructed kilns)</t>
  </si>
  <si>
    <r>
      <t>(D)
Respondents/
Year</t>
    </r>
    <r>
      <rPr>
        <vertAlign val="superscript"/>
        <sz val="10"/>
        <rFont val="Times New Roman"/>
        <family val="1"/>
      </rPr>
      <t>a</t>
    </r>
  </si>
  <si>
    <r>
      <t xml:space="preserve">Plants per year  </t>
    </r>
    <r>
      <rPr>
        <b/>
        <vertAlign val="superscript"/>
        <sz val="12"/>
        <rFont val="Times New Roman"/>
        <family val="1"/>
      </rPr>
      <t>a</t>
    </r>
  </si>
  <si>
    <r>
      <t xml:space="preserve">Cost, $ </t>
    </r>
    <r>
      <rPr>
        <b/>
        <vertAlign val="superscript"/>
        <sz val="12"/>
        <rFont val="Times New Roman"/>
        <family val="1"/>
      </rPr>
      <t>b</t>
    </r>
  </si>
  <si>
    <r>
      <t xml:space="preserve">    Initial performance tests </t>
    </r>
    <r>
      <rPr>
        <vertAlign val="superscript"/>
        <sz val="10"/>
        <rFont val="Times New Roman"/>
        <family val="1"/>
      </rPr>
      <t>c</t>
    </r>
  </si>
  <si>
    <r>
      <t xml:space="preserve">    Repeat performance test </t>
    </r>
    <r>
      <rPr>
        <vertAlign val="superscript"/>
        <sz val="10"/>
        <rFont val="Times New Roman"/>
        <family val="1"/>
      </rPr>
      <t>d</t>
    </r>
  </si>
  <si>
    <r>
      <t xml:space="preserve">         Notification of performance test </t>
    </r>
    <r>
      <rPr>
        <vertAlign val="superscript"/>
        <sz val="10"/>
        <rFont val="Times New Roman"/>
        <family val="1"/>
      </rPr>
      <t>e</t>
    </r>
  </si>
  <si>
    <r>
      <t xml:space="preserve">         Review test results/CEMS Results </t>
    </r>
    <r>
      <rPr>
        <vertAlign val="superscript"/>
        <sz val="10"/>
        <rFont val="Times New Roman"/>
        <family val="1"/>
      </rPr>
      <t>e</t>
    </r>
  </si>
  <si>
    <r>
      <t xml:space="preserve">TOTAL (rounded) </t>
    </r>
    <r>
      <rPr>
        <b/>
        <vertAlign val="superscript"/>
        <sz val="10"/>
        <rFont val="Times New Roman"/>
        <family val="1"/>
      </rPr>
      <t>f</t>
    </r>
  </si>
  <si>
    <r>
      <t>a</t>
    </r>
    <r>
      <rPr>
        <sz val="10"/>
        <rFont val="Times New Roman"/>
        <family val="1"/>
      </rPr>
      <t xml:space="preserve">  We have assumed that there are approximately 40 respondents with kilns and that 10% of the existing facilities will be re-constructed or modified. </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</si>
  <si>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</si>
  <si>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c</t>
    </r>
    <r>
      <rPr>
        <sz val="10"/>
        <rFont val="Times New Roman"/>
        <family val="1"/>
      </rPr>
      <t xml:space="preserve">  We have assumed that EPA personnel will attend the initial performance tests for facilities that are re-constructed or modified, but will not attend the annual performance tests for existing facilities.</t>
    </r>
  </si>
  <si>
    <r>
      <t>d</t>
    </r>
    <r>
      <rPr>
        <sz val="10"/>
        <rFont val="Times New Roman"/>
        <family val="1"/>
      </rPr>
      <t xml:space="preserve">  We have assumed that 5 percent of respondents would repeat performance test due to failure, but that EPA would not attend repeat performance tests.</t>
    </r>
  </si>
  <si>
    <r>
      <rPr>
        <vertAlign val="superscript"/>
        <sz val="10"/>
        <rFont val="Times New Roman"/>
        <family val="1"/>
      </rPr>
      <t>e</t>
    </r>
    <r>
      <rPr>
        <sz val="10"/>
        <rFont val="Times New Roman"/>
        <family val="1"/>
      </rPr>
      <t xml:space="preserve">  Modified or reconstructed facilities conduct initial testing, and existing facilities (kilns and coolers) conduct annual testing.</t>
    </r>
  </si>
  <si>
    <r>
      <rPr>
        <vertAlign val="superscript"/>
        <sz val="10"/>
        <rFont val="Times New Roman"/>
        <family val="1"/>
      </rPr>
      <t>f</t>
    </r>
    <r>
      <rPr>
        <sz val="10"/>
        <rFont val="Times New Roman"/>
        <family val="1"/>
      </rPr>
      <t xml:space="preserve">  Totals have been rounded to 3 significant figures.  Figures may not add exactly due to rounding.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</si>
</sst>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3" formatCode="_(* #,##0.00_);_(* \(#,##0.00\);_(* &quot;-&quot;??_);_(@_)"/>
    <numFmt numFmtId="164" formatCode="0.0"/>
    <numFmt numFmtId="165" formatCode="&quot;$&quot;#,##0"/>
    <numFmt numFmtId="166" formatCode="&quot;$&quot;#,##0.00"/>
  </numFmts>
  <fonts count="26" x14ac:knownFonts="1">
    <font>
      <sz val="11"/>
      <color theme="1"/>
      <name val="Calibri"/>
      <family val="2"/>
      <scheme val="minor"/>
    </font>
    <font>
      <b/>
      <sz val="12"/>
      <color theme="1"/>
      <name val="Times New Roman"/>
      <family val="1"/>
    </font>
    <font>
      <sz val="10"/>
      <name val="Arial"/>
      <family val="2"/>
    </font>
    <font>
      <b/>
      <sz val="10"/>
      <color theme="1"/>
      <name val="Times New Roman"/>
      <family val="1"/>
    </font>
    <font>
      <sz val="10"/>
      <color theme="1"/>
      <name val="Times New Roman"/>
      <family val="1"/>
    </font>
    <font>
      <vertAlign val="superscript"/>
      <sz val="10"/>
      <color theme="1"/>
      <name val="Times New Roman"/>
      <family val="1"/>
    </font>
    <font>
      <sz val="10"/>
      <name val="Times New Roman"/>
      <family val="1"/>
    </font>
    <font>
      <i/>
      <u/>
      <sz val="10"/>
      <color theme="1"/>
      <name val="Times New Roman"/>
      <family val="1"/>
    </font>
    <font>
      <b/>
      <sz val="12"/>
      <color rgb="FF000000"/>
      <name val="Times New Roman"/>
      <family val="1"/>
    </font>
    <font>
      <sz val="10"/>
      <color rgb="FF000000"/>
      <name val="Times New Roman"/>
      <family val="1"/>
    </font>
    <font>
      <b/>
      <sz val="10"/>
      <color rgb="FF000000"/>
      <name val="Times New Roman"/>
      <family val="1"/>
    </font>
    <font>
      <sz val="10"/>
      <color rgb="FFFF0000"/>
      <name val="Times New Roman"/>
      <family val="1"/>
    </font>
    <font>
      <b/>
      <sz val="10"/>
      <color rgb="FFFF0000"/>
      <name val="Times New Roman"/>
      <family val="1"/>
    </font>
    <font>
      <i/>
      <sz val="10"/>
      <color theme="1"/>
      <name val="Times New Roman"/>
      <family val="1"/>
    </font>
    <font>
      <b/>
      <vertAlign val="superscript"/>
      <sz val="10"/>
      <color rgb="FF000000"/>
      <name val="Times New Roman"/>
      <family val="1"/>
    </font>
    <font>
      <b/>
      <sz val="10"/>
      <name val="Times New Roman"/>
      <family val="1"/>
    </font>
    <font>
      <b/>
      <vertAlign val="superscript"/>
      <sz val="10"/>
      <name val="Times New Roman"/>
      <family val="1"/>
    </font>
    <font>
      <b/>
      <i/>
      <sz val="10"/>
      <color theme="1"/>
      <name val="Times New Roman"/>
      <family val="1"/>
    </font>
    <font>
      <vertAlign val="superscript"/>
      <sz val="10"/>
      <name val="Times New Roman"/>
      <family val="1"/>
    </font>
    <font>
      <b/>
      <i/>
      <sz val="10"/>
      <name val="Times New Roman"/>
      <family val="1"/>
    </font>
    <font>
      <b/>
      <sz val="12"/>
      <name val="Times New Roman"/>
      <family val="1"/>
    </font>
    <font>
      <sz val="11"/>
      <name val="Calibri"/>
      <family val="2"/>
      <scheme val="minor"/>
    </font>
    <font>
      <b/>
      <vertAlign val="superscript"/>
      <sz val="12"/>
      <name val="Times New Roman"/>
      <family val="1"/>
    </font>
    <font>
      <sz val="11"/>
      <name val="Times New Roman"/>
      <family val="1"/>
    </font>
    <font>
      <vertAlign val="superscript"/>
      <sz val="12"/>
      <name val="Times New Roman"/>
      <family val="1"/>
    </font>
    <font>
      <sz val="8"/>
      <name val="Calibri"/>
      <family val="2"/>
    </font>
  </fonts>
  <fills count="2">
    <fill>
      <patternFill patternType="none"/>
    </fill>
    <fill>
      <patternFill patternType="gray125"/>
    </fill>
  </fills>
  <borders count="12">
    <border>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FFFFFF"/>
      </bottom>
      <diagonal/>
    </border>
    <border>
      <left/>
      <right/>
      <top/>
      <bottom style="medium">
        <color rgb="FFFFFFFF"/>
      </bottom>
      <diagonal/>
    </border>
    <border>
      <left/>
      <right style="medium">
        <color rgb="FF000000"/>
      </right>
      <top/>
      <bottom style="medium">
        <color rgb="FFFFFFFF"/>
      </bottom>
      <diagonal/>
    </border>
    <border>
      <left style="medium">
        <color rgb="FF000000"/>
      </left>
      <right style="medium">
        <color rgb="FFFFFFFF"/>
      </right>
      <top/>
      <bottom/>
      <diagonal/>
    </border>
    <border>
      <left/>
      <right style="medium">
        <color rgb="FFFFFFFF"/>
      </right>
      <top/>
      <bottom/>
      <diagonal/>
    </border>
  </borders>
  <cellStyleXfs count="3">
    <xf numFmtId="0" fontId="0" fillId="0" borderId="0"/>
    <xf numFmtId="0" fontId="2" fillId="0" borderId="0"/>
    <xf numFmtId="43" fontId="2" fillId="0" borderId="0" applyFont="0" applyFill="0" applyBorder="0" applyAlignment="0" applyProtection="0"/>
  </cellStyleXfs>
  <cellXfs count="97">
    <xf numFmtId="0" fontId="0" fillId="0" borderId="0" xfId="0"/>
    <xf numFmtId="0" fontId="4" fillId="0" borderId="0" xfId="0" applyFont="1"/>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right" vertical="center" wrapText="1"/>
    </xf>
    <xf numFmtId="0" fontId="4" fillId="0" borderId="2" xfId="0" applyFont="1" applyBorder="1" applyAlignment="1">
      <alignment horizontal="left" vertical="center" indent="1"/>
    </xf>
    <xf numFmtId="0" fontId="4" fillId="0" borderId="2" xfId="0" applyFont="1" applyBorder="1" applyAlignment="1">
      <alignment horizontal="left" vertical="center" indent="2"/>
    </xf>
    <xf numFmtId="0" fontId="4" fillId="0" borderId="2" xfId="0" applyFont="1" applyBorder="1" applyAlignment="1">
      <alignment horizontal="left" vertical="center" wrapText="1" indent="2"/>
    </xf>
    <xf numFmtId="0" fontId="3" fillId="0" borderId="2" xfId="0" applyFont="1" applyBorder="1" applyAlignment="1">
      <alignment horizontal="right" vertical="center" wrapText="1"/>
    </xf>
    <xf numFmtId="6" fontId="3" fillId="0" borderId="2" xfId="0" applyNumberFormat="1" applyFont="1" applyBorder="1" applyAlignment="1">
      <alignment horizontal="right" vertical="center" wrapText="1"/>
    </xf>
    <xf numFmtId="8" fontId="4" fillId="0" borderId="2" xfId="0" applyNumberFormat="1" applyFont="1" applyBorder="1" applyAlignment="1">
      <alignment horizontal="right" vertical="center" wrapText="1"/>
    </xf>
    <xf numFmtId="0" fontId="4" fillId="0" borderId="2" xfId="0" applyFont="1" applyBorder="1"/>
    <xf numFmtId="0" fontId="6" fillId="0" borderId="2" xfId="0" applyFont="1" applyBorder="1" applyAlignment="1">
      <alignment horizontal="left" vertical="center" indent="2"/>
    </xf>
    <xf numFmtId="3" fontId="4" fillId="0" borderId="2" xfId="0" applyNumberFormat="1" applyFont="1" applyBorder="1" applyAlignment="1">
      <alignment horizontal="center" vertical="center" wrapText="1"/>
    </xf>
    <xf numFmtId="0" fontId="7" fillId="0" borderId="2" xfId="0" applyFont="1" applyBorder="1" applyAlignment="1">
      <alignment horizontal="left" vertical="center" indent="1"/>
    </xf>
    <xf numFmtId="0" fontId="4" fillId="0" borderId="3" xfId="0" applyFont="1" applyBorder="1" applyAlignment="1">
      <alignment horizontal="center" vertical="center" wrapText="1"/>
    </xf>
    <xf numFmtId="0" fontId="8" fillId="0" borderId="10" xfId="0" applyFont="1" applyBorder="1" applyAlignment="1">
      <alignment vertical="center" wrapText="1"/>
    </xf>
    <xf numFmtId="0" fontId="9" fillId="0" borderId="10" xfId="0" applyFont="1" applyBorder="1" applyAlignment="1">
      <alignment horizontal="center" vertical="center" wrapText="1"/>
    </xf>
    <xf numFmtId="0" fontId="9" fillId="0" borderId="11" xfId="0" applyFont="1" applyBorder="1" applyAlignment="1">
      <alignment vertical="center" wrapText="1"/>
    </xf>
    <xf numFmtId="0" fontId="9" fillId="0" borderId="1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65" fontId="0" fillId="0" borderId="0" xfId="0" applyNumberFormat="1"/>
    <xf numFmtId="0" fontId="9" fillId="0" borderId="2" xfId="0" applyFont="1" applyBorder="1" applyAlignment="1">
      <alignment vertical="center" wrapText="1"/>
    </xf>
    <xf numFmtId="165" fontId="9" fillId="0" borderId="2" xfId="0" applyNumberFormat="1" applyFont="1" applyBorder="1" applyAlignment="1">
      <alignment vertical="center" wrapText="1"/>
    </xf>
    <xf numFmtId="0" fontId="10" fillId="0" borderId="2" xfId="0" applyFont="1" applyBorder="1" applyAlignment="1">
      <alignment vertical="center" wrapText="1"/>
    </xf>
    <xf numFmtId="0" fontId="0" fillId="0" borderId="0" xfId="0" applyAlignment="1">
      <alignment horizontal="right"/>
    </xf>
    <xf numFmtId="0" fontId="11" fillId="0" borderId="0" xfId="0" applyFont="1"/>
    <xf numFmtId="0" fontId="6" fillId="0" borderId="2" xfId="0" applyFont="1" applyBorder="1" applyAlignment="1">
      <alignment horizontal="center" vertical="center" wrapText="1"/>
    </xf>
    <xf numFmtId="0" fontId="12" fillId="0" borderId="0" xfId="0" applyFont="1" applyAlignment="1">
      <alignment wrapText="1"/>
    </xf>
    <xf numFmtId="0" fontId="4" fillId="0" borderId="0" xfId="0" applyFont="1" applyAlignment="1">
      <alignment wrapText="1"/>
    </xf>
    <xf numFmtId="0" fontId="6" fillId="0" borderId="2" xfId="0" applyFont="1" applyBorder="1"/>
    <xf numFmtId="8" fontId="4" fillId="0" borderId="2" xfId="0" applyNumberFormat="1" applyFont="1" applyBorder="1"/>
    <xf numFmtId="0" fontId="13" fillId="0" borderId="2" xfId="0" applyFont="1" applyBorder="1" applyAlignment="1">
      <alignment horizontal="left" vertical="center" indent="1"/>
    </xf>
    <xf numFmtId="6" fontId="4" fillId="0" borderId="2" xfId="0" applyNumberFormat="1" applyFont="1" applyBorder="1" applyAlignment="1">
      <alignment horizontal="right" vertical="center" wrapText="1"/>
    </xf>
    <xf numFmtId="0" fontId="15" fillId="0" borderId="2"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right" vertical="center" wrapText="1"/>
    </xf>
    <xf numFmtId="6" fontId="17" fillId="0" borderId="2" xfId="0" applyNumberFormat="1" applyFont="1" applyBorder="1" applyAlignment="1">
      <alignment horizontal="right" vertical="center" wrapText="1"/>
    </xf>
    <xf numFmtId="0" fontId="17" fillId="0" borderId="3" xfId="0" applyFont="1" applyBorder="1" applyAlignment="1">
      <alignment horizontal="right" vertical="center" wrapText="1"/>
    </xf>
    <xf numFmtId="1" fontId="4" fillId="0" borderId="0" xfId="0" applyNumberFormat="1" applyFont="1"/>
    <xf numFmtId="0" fontId="6" fillId="0" borderId="0" xfId="0" applyFont="1"/>
    <xf numFmtId="0" fontId="6" fillId="0" borderId="2" xfId="0" applyFont="1" applyBorder="1" applyAlignment="1">
      <alignment horizontal="left" vertical="center" wrapText="1" indent="2"/>
    </xf>
    <xf numFmtId="0" fontId="6" fillId="0" borderId="2" xfId="0" applyFont="1" applyBorder="1" applyAlignment="1">
      <alignment horizontal="righ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right" vertical="center"/>
    </xf>
    <xf numFmtId="0" fontId="19" fillId="0" borderId="3" xfId="0" applyFont="1" applyBorder="1" applyAlignment="1">
      <alignment horizontal="right" vertical="center"/>
    </xf>
    <xf numFmtId="0" fontId="19" fillId="0" borderId="2" xfId="0" applyFont="1" applyBorder="1" applyAlignment="1">
      <alignment horizontal="right" vertical="center"/>
    </xf>
    <xf numFmtId="3" fontId="15" fillId="0" borderId="2" xfId="0" applyNumberFormat="1" applyFont="1" applyBorder="1" applyAlignment="1">
      <alignment horizontal="right" vertical="center" wrapText="1"/>
    </xf>
    <xf numFmtId="0" fontId="6" fillId="0" borderId="3" xfId="0" applyFont="1" applyBorder="1" applyAlignment="1">
      <alignment horizontal="center" vertical="center" wrapText="1"/>
    </xf>
    <xf numFmtId="0" fontId="19" fillId="0" borderId="3" xfId="0" applyFont="1" applyBorder="1" applyAlignment="1">
      <alignment horizontal="right" vertical="center" wrapText="1"/>
    </xf>
    <xf numFmtId="0" fontId="19" fillId="0" borderId="2" xfId="0" applyFont="1" applyBorder="1" applyAlignment="1">
      <alignment horizontal="right" vertical="center" wrapText="1"/>
    </xf>
    <xf numFmtId="3" fontId="15" fillId="0" borderId="2" xfId="0" applyNumberFormat="1" applyFont="1" applyBorder="1" applyAlignment="1">
      <alignment horizontal="center" vertical="center" wrapText="1"/>
    </xf>
    <xf numFmtId="0" fontId="21" fillId="0" borderId="0" xfId="0" applyFont="1"/>
    <xf numFmtId="0" fontId="21" fillId="0" borderId="0" xfId="0" applyFont="1" applyAlignment="1">
      <alignment horizontal="center"/>
    </xf>
    <xf numFmtId="0" fontId="15" fillId="0" borderId="2" xfId="0" applyFont="1" applyBorder="1" applyAlignment="1">
      <alignment horizontal="center" vertical="center" wrapText="1"/>
    </xf>
    <xf numFmtId="0" fontId="21" fillId="0" borderId="2" xfId="0" applyFont="1" applyBorder="1" applyAlignment="1">
      <alignment vertical="top" wrapText="1" indent="1"/>
    </xf>
    <xf numFmtId="0" fontId="23" fillId="0" borderId="0" xfId="0" applyFont="1"/>
    <xf numFmtId="0" fontId="6" fillId="0" borderId="2" xfId="0" applyFont="1" applyBorder="1" applyAlignment="1">
      <alignment horizontal="left" vertical="center" wrapText="1" indent="1"/>
    </xf>
    <xf numFmtId="164" fontId="6" fillId="0" borderId="2" xfId="0" applyNumberFormat="1" applyFont="1" applyBorder="1" applyAlignment="1">
      <alignment horizontal="center" vertical="center" wrapText="1"/>
    </xf>
    <xf numFmtId="8" fontId="6" fillId="0" borderId="2" xfId="0" applyNumberFormat="1" applyFont="1" applyBorder="1" applyAlignment="1">
      <alignment horizontal="right" vertical="center" wrapText="1" indent="1"/>
    </xf>
    <xf numFmtId="166" fontId="6" fillId="0" borderId="2" xfId="0" applyNumberFormat="1" applyFont="1" applyBorder="1" applyAlignment="1">
      <alignment horizontal="center"/>
    </xf>
    <xf numFmtId="1" fontId="6" fillId="0" borderId="2" xfId="0" applyNumberFormat="1" applyFont="1" applyBorder="1" applyAlignment="1">
      <alignment horizontal="center" vertical="center" wrapText="1"/>
    </xf>
    <xf numFmtId="6" fontId="6" fillId="0" borderId="2" xfId="0" applyNumberFormat="1" applyFont="1" applyBorder="1" applyAlignment="1">
      <alignment horizontal="right" vertical="center" wrapText="1" indent="1"/>
    </xf>
    <xf numFmtId="166" fontId="6" fillId="0" borderId="2" xfId="0" applyNumberFormat="1" applyFont="1" applyBorder="1" applyAlignment="1">
      <alignment horizontal="center" vertical="center" wrapText="1"/>
    </xf>
    <xf numFmtId="0" fontId="6" fillId="0" borderId="2" xfId="0" applyFont="1" applyBorder="1" applyAlignment="1">
      <alignment horizontal="right" vertical="center" wrapText="1" indent="1"/>
    </xf>
    <xf numFmtId="0" fontId="6" fillId="0" borderId="2" xfId="0" applyFont="1" applyBorder="1" applyAlignment="1">
      <alignment horizontal="left" vertical="center" wrapText="1"/>
    </xf>
    <xf numFmtId="2" fontId="6" fillId="0" borderId="2" xfId="0" applyNumberFormat="1" applyFont="1" applyBorder="1" applyAlignment="1">
      <alignment horizontal="center" vertical="center" wrapText="1"/>
    </xf>
    <xf numFmtId="3" fontId="15" fillId="0" borderId="2" xfId="0" applyNumberFormat="1" applyFont="1" applyBorder="1" applyAlignment="1">
      <alignment vertical="center" wrapText="1"/>
    </xf>
    <xf numFmtId="6" fontId="15" fillId="0" borderId="2" xfId="0" applyNumberFormat="1" applyFont="1" applyBorder="1" applyAlignment="1">
      <alignment vertical="center" wrapText="1"/>
    </xf>
    <xf numFmtId="0" fontId="15" fillId="0" borderId="0" xfId="0" applyFont="1" applyAlignment="1">
      <alignment vertical="center"/>
    </xf>
    <xf numFmtId="4" fontId="21" fillId="0" borderId="0" xfId="0" applyNumberFormat="1" applyFont="1"/>
    <xf numFmtId="0" fontId="25" fillId="0" borderId="0" xfId="0" applyFont="1" applyAlignment="1">
      <alignment vertical="center"/>
    </xf>
    <xf numFmtId="0" fontId="6" fillId="0" borderId="2" xfId="0" applyFont="1" applyBorder="1" applyAlignment="1">
      <alignment horizontal="center" vertical="top"/>
    </xf>
    <xf numFmtId="0" fontId="18" fillId="0" borderId="0" xfId="0" applyFont="1" applyAlignment="1">
      <alignment horizontal="left" vertical="center" wrapText="1"/>
    </xf>
    <xf numFmtId="0" fontId="4"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1" fillId="0" borderId="0" xfId="0" applyFont="1" applyAlignment="1">
      <alignment horizontal="left" vertical="top" wrapText="1"/>
    </xf>
    <xf numFmtId="3" fontId="3" fillId="0" borderId="2" xfId="0" applyNumberFormat="1" applyFont="1" applyBorder="1" applyAlignment="1">
      <alignment horizontal="center" vertical="center" wrapText="1"/>
    </xf>
    <xf numFmtId="0" fontId="5" fillId="0" borderId="0" xfId="0" applyFont="1" applyAlignment="1">
      <alignment horizontal="left" wrapText="1"/>
    </xf>
    <xf numFmtId="3" fontId="17" fillId="0" borderId="2" xfId="0" applyNumberFormat="1" applyFont="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left" vertical="top"/>
    </xf>
    <xf numFmtId="0" fontId="6" fillId="0" borderId="0" xfId="0" applyFont="1" applyAlignment="1">
      <alignment horizontal="left" vertical="top"/>
    </xf>
    <xf numFmtId="0" fontId="20" fillId="0" borderId="0" xfId="0" applyFont="1" applyAlignment="1">
      <alignment horizontal="center" vertical="center"/>
    </xf>
    <xf numFmtId="0" fontId="20" fillId="0" borderId="0" xfId="0" applyFont="1" applyAlignment="1">
      <alignment horizontal="left" vertical="top" wrapText="1"/>
    </xf>
    <xf numFmtId="0" fontId="24" fillId="0" borderId="0" xfId="0" applyFont="1" applyAlignment="1">
      <alignment horizontal="left" vertical="top" wrapText="1"/>
    </xf>
    <xf numFmtId="0" fontId="15"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cellXfs>
  <cellStyles count="3">
    <cellStyle name="Comm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Stephen Treimel" id="{E0B5C9C3-52D2-46BA-8CF2-9BBD8E3C52B7}" userId="Stephen Treimel"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tabSelected="1" zoomScaleNormal="100" workbookViewId="0">
      <selection activeCell="C2" sqref="C1:C1048576"/>
    </sheetView>
  </sheetViews>
  <sheetFormatPr defaultColWidth="9.140625" defaultRowHeight="12.75" x14ac:dyDescent="0.2"/>
  <cols>
    <col min="1" max="1" width="47.7109375" style="1" customWidth="1"/>
    <col min="2" max="2" width="10.140625" style="1" customWidth="1"/>
    <col min="3" max="3" width="12" style="42" customWidth="1"/>
    <col min="4" max="4" width="11.140625" style="1" customWidth="1"/>
    <col min="5" max="5" width="12.140625" style="42" customWidth="1"/>
    <col min="6" max="6" width="10.28515625" style="1" customWidth="1"/>
    <col min="7" max="7" width="11.7109375" style="1" customWidth="1"/>
    <col min="8" max="8" width="11.28515625" style="1" customWidth="1"/>
    <col min="9" max="9" width="14.28515625" style="1" customWidth="1"/>
    <col min="10" max="10" width="7.140625" style="1" customWidth="1"/>
    <col min="11" max="11" width="19.42578125" style="1" customWidth="1"/>
    <col min="12" max="12" width="12.85546875" style="1" customWidth="1"/>
    <col min="13" max="13" width="13.140625" style="1" bestFit="1" customWidth="1"/>
    <col min="14" max="14" width="20.42578125" style="1" customWidth="1"/>
    <col min="15" max="15" width="14.140625" style="1" customWidth="1"/>
    <col min="16" max="16384" width="9.140625" style="1"/>
  </cols>
  <sheetData>
    <row r="1" spans="1:13" ht="20.25" customHeight="1" x14ac:dyDescent="0.2">
      <c r="A1" s="80" t="s">
        <v>118</v>
      </c>
      <c r="B1" s="80"/>
      <c r="C1" s="80"/>
      <c r="D1" s="80"/>
      <c r="E1" s="80"/>
      <c r="F1" s="80"/>
      <c r="G1" s="80"/>
      <c r="H1" s="80"/>
      <c r="I1" s="80"/>
    </row>
    <row r="3" spans="1:13" ht="63.75" x14ac:dyDescent="0.2">
      <c r="A3" s="2" t="s">
        <v>10</v>
      </c>
      <c r="B3" s="3" t="s">
        <v>8</v>
      </c>
      <c r="C3" s="29" t="s">
        <v>9</v>
      </c>
      <c r="D3" s="3" t="s">
        <v>38</v>
      </c>
      <c r="E3" s="29" t="s">
        <v>129</v>
      </c>
      <c r="F3" s="3" t="s">
        <v>39</v>
      </c>
      <c r="G3" s="3" t="s">
        <v>40</v>
      </c>
      <c r="H3" s="3" t="s">
        <v>41</v>
      </c>
      <c r="I3" s="3" t="s">
        <v>37</v>
      </c>
      <c r="J3" s="30"/>
    </row>
    <row r="4" spans="1:13" x14ac:dyDescent="0.2">
      <c r="A4" s="4" t="s">
        <v>73</v>
      </c>
      <c r="B4" s="3" t="s">
        <v>71</v>
      </c>
      <c r="C4" s="44"/>
      <c r="D4" s="5"/>
      <c r="E4" s="44"/>
      <c r="F4" s="5"/>
      <c r="G4" s="5"/>
      <c r="H4" s="5"/>
      <c r="I4" s="5"/>
      <c r="K4" s="75" t="s">
        <v>81</v>
      </c>
      <c r="L4" s="75"/>
    </row>
    <row r="5" spans="1:13" x14ac:dyDescent="0.2">
      <c r="A5" s="4" t="s">
        <v>72</v>
      </c>
      <c r="B5" s="3" t="s">
        <v>71</v>
      </c>
      <c r="C5" s="44"/>
      <c r="D5" s="5"/>
      <c r="E5" s="44"/>
      <c r="F5" s="5"/>
      <c r="G5" s="5"/>
      <c r="H5" s="5"/>
      <c r="I5" s="5"/>
      <c r="K5" s="32" t="s">
        <v>82</v>
      </c>
      <c r="L5" s="33">
        <v>147.4</v>
      </c>
      <c r="M5" s="42" t="s">
        <v>83</v>
      </c>
    </row>
    <row r="6" spans="1:13" ht="27" customHeight="1" x14ac:dyDescent="0.2">
      <c r="A6" s="4" t="s">
        <v>54</v>
      </c>
      <c r="B6" s="3">
        <v>16</v>
      </c>
      <c r="C6" s="29">
        <v>1</v>
      </c>
      <c r="D6" s="3">
        <f>B6*C6</f>
        <v>16</v>
      </c>
      <c r="E6" s="29">
        <f>L10</f>
        <v>0</v>
      </c>
      <c r="F6" s="3">
        <f>D6*E6</f>
        <v>0</v>
      </c>
      <c r="G6" s="3">
        <f>F6*0.05</f>
        <v>0</v>
      </c>
      <c r="H6" s="3">
        <f>F6*0.1</f>
        <v>0</v>
      </c>
      <c r="I6" s="35">
        <f>F6*$L$6+G6*$L$5+H6*$L$7</f>
        <v>0</v>
      </c>
      <c r="K6" s="32" t="s">
        <v>84</v>
      </c>
      <c r="L6" s="33">
        <v>117.92</v>
      </c>
      <c r="M6" s="28"/>
    </row>
    <row r="7" spans="1:13" x14ac:dyDescent="0.2">
      <c r="A7" s="4" t="s">
        <v>0</v>
      </c>
      <c r="B7" s="3"/>
      <c r="C7" s="29"/>
      <c r="D7" s="3"/>
      <c r="E7" s="29"/>
      <c r="F7" s="3"/>
      <c r="G7" s="3"/>
      <c r="H7" s="3"/>
      <c r="I7" s="5"/>
      <c r="K7" s="32" t="s">
        <v>85</v>
      </c>
      <c r="L7" s="33">
        <v>57.02</v>
      </c>
      <c r="M7" s="28"/>
    </row>
    <row r="8" spans="1:13" x14ac:dyDescent="0.2">
      <c r="A8" s="6" t="s">
        <v>36</v>
      </c>
      <c r="B8" s="3">
        <v>1</v>
      </c>
      <c r="C8" s="29">
        <v>1</v>
      </c>
      <c r="D8" s="3">
        <f>B8*C8</f>
        <v>1</v>
      </c>
      <c r="E8" s="29">
        <v>40</v>
      </c>
      <c r="F8" s="3">
        <f>D8*E8</f>
        <v>40</v>
      </c>
      <c r="G8" s="3">
        <f>F8*0.05</f>
        <v>2</v>
      </c>
      <c r="H8" s="3">
        <f>F8*0.1</f>
        <v>4</v>
      </c>
      <c r="I8" s="11">
        <f>F8*$L$6+G8*$L$5+H8*$L$7</f>
        <v>5239.68</v>
      </c>
      <c r="K8" s="31"/>
    </row>
    <row r="9" spans="1:13" ht="15.75" customHeight="1" x14ac:dyDescent="0.2">
      <c r="A9" s="6" t="s">
        <v>6</v>
      </c>
      <c r="B9" s="3"/>
      <c r="C9" s="29"/>
      <c r="D9" s="3"/>
      <c r="E9" s="29"/>
      <c r="F9" s="3"/>
      <c r="G9" s="3"/>
      <c r="H9" s="3"/>
      <c r="I9" s="11"/>
      <c r="K9" s="12"/>
      <c r="L9" s="12" t="s">
        <v>51</v>
      </c>
    </row>
    <row r="10" spans="1:13" ht="15.75" x14ac:dyDescent="0.2">
      <c r="A10" s="34" t="s">
        <v>93</v>
      </c>
      <c r="B10" s="3"/>
      <c r="C10" s="29"/>
      <c r="D10" s="3"/>
      <c r="E10" s="45"/>
      <c r="F10" s="14"/>
      <c r="G10" s="3"/>
      <c r="H10" s="3"/>
      <c r="I10" s="11"/>
      <c r="K10" s="12" t="s">
        <v>52</v>
      </c>
      <c r="L10" s="12">
        <v>0</v>
      </c>
    </row>
    <row r="11" spans="1:13" ht="15" customHeight="1" x14ac:dyDescent="0.2">
      <c r="A11" s="13" t="s">
        <v>95</v>
      </c>
      <c r="B11" s="29">
        <v>24</v>
      </c>
      <c r="C11" s="29">
        <v>2</v>
      </c>
      <c r="D11" s="3">
        <f>B11*C11</f>
        <v>48</v>
      </c>
      <c r="E11" s="45">
        <f t="shared" ref="E11:E21" si="0">L$11</f>
        <v>4</v>
      </c>
      <c r="F11" s="14">
        <f>D11*E11</f>
        <v>192</v>
      </c>
      <c r="G11" s="3">
        <f>F11*0.05</f>
        <v>9.6000000000000014</v>
      </c>
      <c r="H11" s="3">
        <f>F11*0.1</f>
        <v>19.200000000000003</v>
      </c>
      <c r="I11" s="11">
        <f>F11*$L$6+G11*$L$5+H11*$L$7</f>
        <v>25150.464</v>
      </c>
      <c r="K11" s="12" t="s">
        <v>111</v>
      </c>
      <c r="L11" s="12">
        <f>L10+L12*0.1</f>
        <v>4</v>
      </c>
    </row>
    <row r="12" spans="1:13" x14ac:dyDescent="0.2">
      <c r="A12" s="13" t="s">
        <v>90</v>
      </c>
      <c r="B12" s="29">
        <v>24</v>
      </c>
      <c r="C12" s="29">
        <v>2</v>
      </c>
      <c r="D12" s="3">
        <f t="shared" ref="D12:D22" si="1">B12*C12</f>
        <v>48</v>
      </c>
      <c r="E12" s="45">
        <f>E11*0.05</f>
        <v>0.2</v>
      </c>
      <c r="F12" s="14">
        <f t="shared" ref="F12:F32" si="2">D12*E12</f>
        <v>9.6000000000000014</v>
      </c>
      <c r="G12" s="3">
        <f t="shared" ref="G12:G32" si="3">F12*0.05</f>
        <v>0.48000000000000009</v>
      </c>
      <c r="H12" s="3">
        <f t="shared" ref="H12:H32" si="4">F12*0.1</f>
        <v>0.96000000000000019</v>
      </c>
      <c r="I12" s="11">
        <f t="shared" ref="I12:I32" si="5">F12*$L$6+G12*$L$5+H12*$L$7</f>
        <v>1257.5232000000001</v>
      </c>
      <c r="J12" s="31"/>
      <c r="K12" s="12" t="s">
        <v>53</v>
      </c>
      <c r="L12" s="12">
        <v>40</v>
      </c>
    </row>
    <row r="13" spans="1:13" x14ac:dyDescent="0.2">
      <c r="A13" s="13" t="s">
        <v>98</v>
      </c>
      <c r="B13" s="29">
        <v>8</v>
      </c>
      <c r="C13" s="29">
        <v>1</v>
      </c>
      <c r="D13" s="3">
        <f t="shared" si="1"/>
        <v>8</v>
      </c>
      <c r="E13" s="45">
        <f t="shared" si="0"/>
        <v>4</v>
      </c>
      <c r="F13" s="14">
        <f t="shared" si="2"/>
        <v>32</v>
      </c>
      <c r="G13" s="3">
        <f t="shared" si="3"/>
        <v>1.6</v>
      </c>
      <c r="H13" s="3">
        <f t="shared" si="4"/>
        <v>3.2</v>
      </c>
      <c r="I13" s="11">
        <f t="shared" si="5"/>
        <v>4191.7440000000006</v>
      </c>
      <c r="J13" s="31"/>
    </row>
    <row r="14" spans="1:13" x14ac:dyDescent="0.2">
      <c r="A14" s="13" t="s">
        <v>99</v>
      </c>
      <c r="B14" s="29">
        <v>8</v>
      </c>
      <c r="C14" s="29">
        <v>1</v>
      </c>
      <c r="D14" s="3">
        <f t="shared" si="1"/>
        <v>8</v>
      </c>
      <c r="E14" s="45">
        <f>E13*0.05</f>
        <v>0.2</v>
      </c>
      <c r="F14" s="14">
        <f t="shared" si="2"/>
        <v>1.6</v>
      </c>
      <c r="G14" s="3">
        <f t="shared" si="3"/>
        <v>8.0000000000000016E-2</v>
      </c>
      <c r="H14" s="3">
        <f t="shared" si="4"/>
        <v>0.16000000000000003</v>
      </c>
      <c r="I14" s="11">
        <f t="shared" si="5"/>
        <v>209.58720000000002</v>
      </c>
      <c r="J14" s="31"/>
    </row>
    <row r="15" spans="1:13" x14ac:dyDescent="0.2">
      <c r="A15" s="13" t="s">
        <v>96</v>
      </c>
      <c r="B15" s="29">
        <v>8</v>
      </c>
      <c r="C15" s="29">
        <v>2</v>
      </c>
      <c r="D15" s="3">
        <f t="shared" si="1"/>
        <v>16</v>
      </c>
      <c r="E15" s="45">
        <f t="shared" si="0"/>
        <v>4</v>
      </c>
      <c r="F15" s="14">
        <f t="shared" si="2"/>
        <v>64</v>
      </c>
      <c r="G15" s="3">
        <f t="shared" si="3"/>
        <v>3.2</v>
      </c>
      <c r="H15" s="3">
        <f t="shared" si="4"/>
        <v>6.4</v>
      </c>
      <c r="I15" s="11">
        <f t="shared" si="5"/>
        <v>8383.4880000000012</v>
      </c>
      <c r="J15" s="28"/>
    </row>
    <row r="16" spans="1:13" x14ac:dyDescent="0.2">
      <c r="A16" s="13" t="s">
        <v>97</v>
      </c>
      <c r="B16" s="29">
        <v>8</v>
      </c>
      <c r="C16" s="29">
        <v>2</v>
      </c>
      <c r="D16" s="3">
        <f t="shared" si="1"/>
        <v>16</v>
      </c>
      <c r="E16" s="45">
        <f>E15*0.05</f>
        <v>0.2</v>
      </c>
      <c r="F16" s="14">
        <f t="shared" si="2"/>
        <v>3.2</v>
      </c>
      <c r="G16" s="3">
        <f t="shared" si="3"/>
        <v>0.16000000000000003</v>
      </c>
      <c r="H16" s="3">
        <f t="shared" si="4"/>
        <v>0.32000000000000006</v>
      </c>
      <c r="I16" s="11">
        <f t="shared" si="5"/>
        <v>419.17440000000005</v>
      </c>
    </row>
    <row r="17" spans="1:14" x14ac:dyDescent="0.2">
      <c r="A17" s="13" t="s">
        <v>94</v>
      </c>
      <c r="B17" s="29">
        <v>8</v>
      </c>
      <c r="C17" s="29">
        <v>1</v>
      </c>
      <c r="D17" s="3">
        <f t="shared" si="1"/>
        <v>8</v>
      </c>
      <c r="E17" s="45">
        <f t="shared" si="0"/>
        <v>4</v>
      </c>
      <c r="F17" s="14">
        <f t="shared" si="2"/>
        <v>32</v>
      </c>
      <c r="G17" s="3">
        <f t="shared" si="3"/>
        <v>1.6</v>
      </c>
      <c r="H17" s="3">
        <f t="shared" si="4"/>
        <v>3.2</v>
      </c>
      <c r="I17" s="11">
        <f t="shared" si="5"/>
        <v>4191.7440000000006</v>
      </c>
    </row>
    <row r="18" spans="1:14" x14ac:dyDescent="0.2">
      <c r="A18" s="13" t="s">
        <v>42</v>
      </c>
      <c r="B18" s="29">
        <v>8</v>
      </c>
      <c r="C18" s="29">
        <v>1</v>
      </c>
      <c r="D18" s="3">
        <f t="shared" si="1"/>
        <v>8</v>
      </c>
      <c r="E18" s="45">
        <f>E17*0.05</f>
        <v>0.2</v>
      </c>
      <c r="F18" s="14">
        <f t="shared" si="2"/>
        <v>1.6</v>
      </c>
      <c r="G18" s="3">
        <f t="shared" si="3"/>
        <v>8.0000000000000016E-2</v>
      </c>
      <c r="H18" s="3">
        <f t="shared" si="4"/>
        <v>0.16000000000000003</v>
      </c>
      <c r="I18" s="11">
        <f t="shared" si="5"/>
        <v>209.58720000000002</v>
      </c>
    </row>
    <row r="19" spans="1:14" x14ac:dyDescent="0.2">
      <c r="A19" s="13" t="s">
        <v>105</v>
      </c>
      <c r="B19" s="29">
        <v>8</v>
      </c>
      <c r="C19" s="29">
        <v>1</v>
      </c>
      <c r="D19" s="3">
        <f t="shared" si="1"/>
        <v>8</v>
      </c>
      <c r="E19" s="45">
        <f t="shared" si="0"/>
        <v>4</v>
      </c>
      <c r="F19" s="14">
        <f t="shared" si="2"/>
        <v>32</v>
      </c>
      <c r="G19" s="3">
        <f t="shared" si="3"/>
        <v>1.6</v>
      </c>
      <c r="H19" s="3">
        <f t="shared" si="4"/>
        <v>3.2</v>
      </c>
      <c r="I19" s="11">
        <f t="shared" si="5"/>
        <v>4191.7440000000006</v>
      </c>
      <c r="K19" s="31"/>
    </row>
    <row r="20" spans="1:14" x14ac:dyDescent="0.2">
      <c r="A20" s="13" t="s">
        <v>43</v>
      </c>
      <c r="B20" s="29">
        <v>8</v>
      </c>
      <c r="C20" s="29">
        <v>1</v>
      </c>
      <c r="D20" s="3">
        <f t="shared" si="1"/>
        <v>8</v>
      </c>
      <c r="E20" s="45">
        <f>E19*0.05</f>
        <v>0.2</v>
      </c>
      <c r="F20" s="14">
        <f t="shared" si="2"/>
        <v>1.6</v>
      </c>
      <c r="G20" s="3">
        <f t="shared" si="3"/>
        <v>8.0000000000000016E-2</v>
      </c>
      <c r="H20" s="3">
        <f t="shared" si="4"/>
        <v>0.16000000000000003</v>
      </c>
      <c r="I20" s="11">
        <f t="shared" si="5"/>
        <v>209.58720000000002</v>
      </c>
      <c r="K20" s="31"/>
    </row>
    <row r="21" spans="1:14" x14ac:dyDescent="0.2">
      <c r="A21" s="13" t="s">
        <v>103</v>
      </c>
      <c r="B21" s="29">
        <v>8</v>
      </c>
      <c r="C21" s="29">
        <v>1</v>
      </c>
      <c r="D21" s="3">
        <f t="shared" si="1"/>
        <v>8</v>
      </c>
      <c r="E21" s="45">
        <f t="shared" si="0"/>
        <v>4</v>
      </c>
      <c r="F21" s="14">
        <f t="shared" si="2"/>
        <v>32</v>
      </c>
      <c r="G21" s="3">
        <f t="shared" si="3"/>
        <v>1.6</v>
      </c>
      <c r="H21" s="3">
        <f t="shared" si="4"/>
        <v>3.2</v>
      </c>
      <c r="I21" s="11">
        <f t="shared" si="5"/>
        <v>4191.7440000000006</v>
      </c>
      <c r="K21" s="31"/>
    </row>
    <row r="22" spans="1:14" x14ac:dyDescent="0.2">
      <c r="A22" s="13" t="s">
        <v>104</v>
      </c>
      <c r="B22" s="29">
        <v>8</v>
      </c>
      <c r="C22" s="29">
        <v>1</v>
      </c>
      <c r="D22" s="3">
        <f t="shared" si="1"/>
        <v>8</v>
      </c>
      <c r="E22" s="45">
        <f>E21*0.05</f>
        <v>0.2</v>
      </c>
      <c r="F22" s="14">
        <f t="shared" si="2"/>
        <v>1.6</v>
      </c>
      <c r="G22" s="3">
        <f t="shared" si="3"/>
        <v>8.0000000000000016E-2</v>
      </c>
      <c r="H22" s="3">
        <f t="shared" si="4"/>
        <v>0.16000000000000003</v>
      </c>
      <c r="I22" s="11">
        <f t="shared" si="5"/>
        <v>209.58720000000002</v>
      </c>
      <c r="K22" s="31"/>
    </row>
    <row r="23" spans="1:14" ht="15.75" x14ac:dyDescent="0.2">
      <c r="A23" s="34" t="s">
        <v>92</v>
      </c>
      <c r="B23" s="3"/>
      <c r="C23" s="29"/>
      <c r="D23" s="3"/>
      <c r="E23" s="29"/>
      <c r="F23" s="14"/>
      <c r="G23" s="3"/>
      <c r="H23" s="3"/>
      <c r="I23" s="11"/>
      <c r="L23" s="31"/>
      <c r="M23" s="31"/>
    </row>
    <row r="24" spans="1:14" x14ac:dyDescent="0.2">
      <c r="A24" s="7" t="s">
        <v>100</v>
      </c>
      <c r="B24" s="3">
        <v>24</v>
      </c>
      <c r="C24" s="29">
        <v>2</v>
      </c>
      <c r="D24" s="3">
        <f>B24*C24</f>
        <v>48</v>
      </c>
      <c r="E24" s="45">
        <f t="shared" ref="E24:E28" si="6">L$12</f>
        <v>40</v>
      </c>
      <c r="F24" s="14">
        <f t="shared" si="2"/>
        <v>1920</v>
      </c>
      <c r="G24" s="3">
        <f t="shared" si="3"/>
        <v>96</v>
      </c>
      <c r="H24" s="3">
        <f t="shared" si="4"/>
        <v>192</v>
      </c>
      <c r="I24" s="11">
        <f t="shared" si="5"/>
        <v>251504.63999999998</v>
      </c>
      <c r="J24" s="28"/>
      <c r="N24" s="31"/>
    </row>
    <row r="25" spans="1:14" x14ac:dyDescent="0.2">
      <c r="A25" s="7" t="s">
        <v>88</v>
      </c>
      <c r="B25" s="29">
        <v>24</v>
      </c>
      <c r="C25" s="29">
        <v>2</v>
      </c>
      <c r="D25" s="3">
        <f t="shared" ref="D25:D29" si="7">B25*C25</f>
        <v>48</v>
      </c>
      <c r="E25" s="45">
        <f>E24*0.05</f>
        <v>2</v>
      </c>
      <c r="F25" s="14">
        <f t="shared" si="2"/>
        <v>96</v>
      </c>
      <c r="G25" s="3">
        <f t="shared" si="3"/>
        <v>4.8000000000000007</v>
      </c>
      <c r="H25" s="3">
        <f t="shared" si="4"/>
        <v>9.6000000000000014</v>
      </c>
      <c r="I25" s="11">
        <f t="shared" si="5"/>
        <v>12575.232</v>
      </c>
      <c r="J25" s="28"/>
    </row>
    <row r="26" spans="1:14" x14ac:dyDescent="0.2">
      <c r="A26" s="7" t="s">
        <v>101</v>
      </c>
      <c r="B26" s="3">
        <v>8</v>
      </c>
      <c r="C26" s="29">
        <v>1</v>
      </c>
      <c r="D26" s="3">
        <f t="shared" si="7"/>
        <v>8</v>
      </c>
      <c r="E26" s="45">
        <f t="shared" si="6"/>
        <v>40</v>
      </c>
      <c r="F26" s="14">
        <f t="shared" si="2"/>
        <v>320</v>
      </c>
      <c r="G26" s="3">
        <f t="shared" si="3"/>
        <v>16</v>
      </c>
      <c r="H26" s="3">
        <f t="shared" si="4"/>
        <v>32</v>
      </c>
      <c r="I26" s="11">
        <f t="shared" si="5"/>
        <v>41917.440000000002</v>
      </c>
      <c r="J26" s="28"/>
    </row>
    <row r="27" spans="1:14" x14ac:dyDescent="0.2">
      <c r="A27" s="7" t="s">
        <v>42</v>
      </c>
      <c r="B27" s="3">
        <v>8</v>
      </c>
      <c r="C27" s="29">
        <v>1</v>
      </c>
      <c r="D27" s="3">
        <f t="shared" si="7"/>
        <v>8</v>
      </c>
      <c r="E27" s="45">
        <f>E26*0.05</f>
        <v>2</v>
      </c>
      <c r="F27" s="14">
        <f t="shared" si="2"/>
        <v>16</v>
      </c>
      <c r="G27" s="3">
        <f t="shared" si="3"/>
        <v>0.8</v>
      </c>
      <c r="H27" s="3">
        <f t="shared" si="4"/>
        <v>1.6</v>
      </c>
      <c r="I27" s="11">
        <f t="shared" si="5"/>
        <v>2095.8720000000003</v>
      </c>
      <c r="J27" s="28"/>
    </row>
    <row r="28" spans="1:14" ht="25.5" x14ac:dyDescent="0.2">
      <c r="A28" s="43" t="s">
        <v>128</v>
      </c>
      <c r="B28" s="3">
        <v>8</v>
      </c>
      <c r="C28" s="29">
        <v>1</v>
      </c>
      <c r="D28" s="3">
        <f t="shared" si="7"/>
        <v>8</v>
      </c>
      <c r="E28" s="45">
        <f t="shared" si="6"/>
        <v>40</v>
      </c>
      <c r="F28" s="14">
        <f t="shared" si="2"/>
        <v>320</v>
      </c>
      <c r="G28" s="3">
        <f t="shared" si="3"/>
        <v>16</v>
      </c>
      <c r="H28" s="3">
        <f t="shared" si="4"/>
        <v>32</v>
      </c>
      <c r="I28" s="11">
        <f t="shared" si="5"/>
        <v>41917.440000000002</v>
      </c>
      <c r="J28" s="28"/>
    </row>
    <row r="29" spans="1:14" x14ac:dyDescent="0.2">
      <c r="A29" s="7" t="s">
        <v>43</v>
      </c>
      <c r="B29" s="3">
        <v>8</v>
      </c>
      <c r="C29" s="29">
        <v>1</v>
      </c>
      <c r="D29" s="3">
        <f t="shared" si="7"/>
        <v>8</v>
      </c>
      <c r="E29" s="45">
        <f>E28*0.05</f>
        <v>2</v>
      </c>
      <c r="F29" s="14">
        <f t="shared" si="2"/>
        <v>16</v>
      </c>
      <c r="G29" s="3">
        <f t="shared" si="3"/>
        <v>0.8</v>
      </c>
      <c r="H29" s="3">
        <f t="shared" si="4"/>
        <v>1.6</v>
      </c>
      <c r="I29" s="11">
        <f t="shared" si="5"/>
        <v>2095.8720000000003</v>
      </c>
      <c r="J29" s="28"/>
    </row>
    <row r="30" spans="1:14" ht="15.75" x14ac:dyDescent="0.2">
      <c r="A30" s="34" t="s">
        <v>106</v>
      </c>
      <c r="B30" s="16"/>
      <c r="C30" s="51"/>
      <c r="D30" s="16"/>
      <c r="E30" s="46"/>
      <c r="F30" s="14"/>
      <c r="G30" s="3"/>
      <c r="H30" s="3"/>
      <c r="I30" s="11"/>
    </row>
    <row r="31" spans="1:14" x14ac:dyDescent="0.2">
      <c r="A31" s="7" t="s">
        <v>108</v>
      </c>
      <c r="B31" s="3">
        <v>0.3</v>
      </c>
      <c r="C31" s="29">
        <v>330</v>
      </c>
      <c r="D31" s="3">
        <f>B31*C31</f>
        <v>99</v>
      </c>
      <c r="E31" s="45">
        <f>L12</f>
        <v>40</v>
      </c>
      <c r="F31" s="14">
        <f t="shared" si="2"/>
        <v>3960</v>
      </c>
      <c r="G31" s="3">
        <f t="shared" si="3"/>
        <v>198</v>
      </c>
      <c r="H31" s="3">
        <f t="shared" si="4"/>
        <v>396</v>
      </c>
      <c r="I31" s="11">
        <f t="shared" si="5"/>
        <v>518728.32</v>
      </c>
      <c r="N31" s="28"/>
    </row>
    <row r="32" spans="1:14" x14ac:dyDescent="0.2">
      <c r="A32" s="7" t="s">
        <v>109</v>
      </c>
      <c r="B32" s="16">
        <f>0.5</f>
        <v>0.5</v>
      </c>
      <c r="C32" s="51">
        <v>12</v>
      </c>
      <c r="D32" s="3">
        <f>B32*C32</f>
        <v>6</v>
      </c>
      <c r="E32" s="46">
        <f>L12</f>
        <v>40</v>
      </c>
      <c r="F32" s="14">
        <f t="shared" si="2"/>
        <v>240</v>
      </c>
      <c r="G32" s="3">
        <f t="shared" si="3"/>
        <v>12</v>
      </c>
      <c r="H32" s="3">
        <f t="shared" si="4"/>
        <v>24</v>
      </c>
      <c r="I32" s="11">
        <f t="shared" si="5"/>
        <v>31438.079999999998</v>
      </c>
      <c r="N32" s="28"/>
    </row>
    <row r="33" spans="1:14" x14ac:dyDescent="0.2">
      <c r="A33" s="6" t="s">
        <v>1</v>
      </c>
      <c r="B33" s="3" t="s">
        <v>75</v>
      </c>
      <c r="C33" s="44"/>
      <c r="D33" s="5"/>
      <c r="E33" s="47"/>
      <c r="F33" s="5"/>
      <c r="G33" s="5"/>
      <c r="H33" s="5"/>
      <c r="I33" s="5"/>
      <c r="N33" s="28"/>
    </row>
    <row r="34" spans="1:14" x14ac:dyDescent="0.2">
      <c r="A34" s="6" t="s">
        <v>2</v>
      </c>
      <c r="B34" s="3" t="s">
        <v>79</v>
      </c>
      <c r="C34" s="44"/>
      <c r="D34" s="5"/>
      <c r="E34" s="47"/>
      <c r="F34" s="5"/>
      <c r="G34" s="5"/>
      <c r="H34" s="5"/>
      <c r="I34" s="5"/>
      <c r="N34" s="28"/>
    </row>
    <row r="35" spans="1:14" x14ac:dyDescent="0.2">
      <c r="A35" s="6" t="s">
        <v>3</v>
      </c>
      <c r="B35" s="5"/>
      <c r="C35" s="44"/>
      <c r="D35" s="5"/>
      <c r="E35" s="47"/>
      <c r="F35" s="5"/>
      <c r="G35" s="5"/>
      <c r="H35" s="5"/>
      <c r="I35" s="5"/>
    </row>
    <row r="36" spans="1:14" x14ac:dyDescent="0.2">
      <c r="A36" s="15" t="s">
        <v>89</v>
      </c>
      <c r="B36" s="3"/>
      <c r="C36" s="29"/>
      <c r="D36" s="3"/>
      <c r="E36" s="45"/>
      <c r="F36" s="3"/>
      <c r="G36" s="3"/>
      <c r="H36" s="3"/>
      <c r="I36" s="11"/>
    </row>
    <row r="37" spans="1:14" x14ac:dyDescent="0.2">
      <c r="A37" s="8" t="s">
        <v>44</v>
      </c>
      <c r="B37" s="3">
        <v>2</v>
      </c>
      <c r="C37" s="29">
        <v>1</v>
      </c>
      <c r="D37" s="3">
        <v>2</v>
      </c>
      <c r="E37" s="45">
        <f>E11</f>
        <v>4</v>
      </c>
      <c r="F37" s="3">
        <f t="shared" ref="F37:F44" si="8">D37*E37</f>
        <v>8</v>
      </c>
      <c r="G37" s="3">
        <f t="shared" ref="G37:G44" si="9">F37*0.05</f>
        <v>0.4</v>
      </c>
      <c r="H37" s="3">
        <f t="shared" ref="H37:H44" si="10">F37*0.1</f>
        <v>0.8</v>
      </c>
      <c r="I37" s="11">
        <f t="shared" ref="I37:I44" si="11">F37*$L$6+G37*$L$5+H37*$L$7</f>
        <v>1047.9360000000001</v>
      </c>
    </row>
    <row r="38" spans="1:14" x14ac:dyDescent="0.2">
      <c r="A38" s="8" t="s">
        <v>45</v>
      </c>
      <c r="B38" s="3">
        <v>2</v>
      </c>
      <c r="C38" s="29">
        <v>1</v>
      </c>
      <c r="D38" s="3">
        <v>2</v>
      </c>
      <c r="E38" s="45">
        <f t="shared" ref="E38:E43" si="12">$E$37</f>
        <v>4</v>
      </c>
      <c r="F38" s="3">
        <f t="shared" si="8"/>
        <v>8</v>
      </c>
      <c r="G38" s="3">
        <f t="shared" si="9"/>
        <v>0.4</v>
      </c>
      <c r="H38" s="3">
        <f t="shared" si="10"/>
        <v>0.8</v>
      </c>
      <c r="I38" s="11">
        <f t="shared" si="11"/>
        <v>1047.9360000000001</v>
      </c>
    </row>
    <row r="39" spans="1:14" x14ac:dyDescent="0.2">
      <c r="A39" s="8" t="s">
        <v>46</v>
      </c>
      <c r="B39" s="3">
        <v>2</v>
      </c>
      <c r="C39" s="29">
        <v>1</v>
      </c>
      <c r="D39" s="3">
        <v>2</v>
      </c>
      <c r="E39" s="45">
        <f t="shared" si="12"/>
        <v>4</v>
      </c>
      <c r="F39" s="3">
        <f t="shared" si="8"/>
        <v>8</v>
      </c>
      <c r="G39" s="3">
        <f t="shared" si="9"/>
        <v>0.4</v>
      </c>
      <c r="H39" s="3">
        <f t="shared" si="10"/>
        <v>0.8</v>
      </c>
      <c r="I39" s="11">
        <f t="shared" si="11"/>
        <v>1047.9360000000001</v>
      </c>
    </row>
    <row r="40" spans="1:14" x14ac:dyDescent="0.2">
      <c r="A40" s="8" t="s">
        <v>47</v>
      </c>
      <c r="B40" s="3">
        <v>2</v>
      </c>
      <c r="C40" s="29">
        <v>1</v>
      </c>
      <c r="D40" s="3">
        <v>2</v>
      </c>
      <c r="E40" s="45">
        <f t="shared" si="12"/>
        <v>4</v>
      </c>
      <c r="F40" s="3">
        <f t="shared" si="8"/>
        <v>8</v>
      </c>
      <c r="G40" s="3">
        <f t="shared" si="9"/>
        <v>0.4</v>
      </c>
      <c r="H40" s="3">
        <f t="shared" si="10"/>
        <v>0.8</v>
      </c>
      <c r="I40" s="11">
        <f t="shared" si="11"/>
        <v>1047.9360000000001</v>
      </c>
    </row>
    <row r="41" spans="1:14" x14ac:dyDescent="0.2">
      <c r="A41" s="8" t="s">
        <v>123</v>
      </c>
      <c r="B41" s="3">
        <v>2</v>
      </c>
      <c r="C41" s="29">
        <v>1</v>
      </c>
      <c r="D41" s="3">
        <v>2</v>
      </c>
      <c r="E41" s="45">
        <f t="shared" si="12"/>
        <v>4</v>
      </c>
      <c r="F41" s="3">
        <f t="shared" si="8"/>
        <v>8</v>
      </c>
      <c r="G41" s="3">
        <f t="shared" si="9"/>
        <v>0.4</v>
      </c>
      <c r="H41" s="3">
        <f t="shared" si="10"/>
        <v>0.8</v>
      </c>
      <c r="I41" s="11">
        <f t="shared" si="11"/>
        <v>1047.9360000000001</v>
      </c>
    </row>
    <row r="42" spans="1:14" ht="15.75" customHeight="1" x14ac:dyDescent="0.2">
      <c r="A42" s="8" t="s">
        <v>48</v>
      </c>
      <c r="B42" s="3">
        <v>2</v>
      </c>
      <c r="C42" s="29">
        <v>1</v>
      </c>
      <c r="D42" s="3">
        <v>2</v>
      </c>
      <c r="E42" s="45">
        <f t="shared" si="12"/>
        <v>4</v>
      </c>
      <c r="F42" s="3">
        <f t="shared" si="8"/>
        <v>8</v>
      </c>
      <c r="G42" s="3">
        <f t="shared" si="9"/>
        <v>0.4</v>
      </c>
      <c r="H42" s="3">
        <f t="shared" si="10"/>
        <v>0.8</v>
      </c>
      <c r="I42" s="11">
        <f t="shared" si="11"/>
        <v>1047.9360000000001</v>
      </c>
    </row>
    <row r="43" spans="1:14" x14ac:dyDescent="0.2">
      <c r="A43" s="8" t="s">
        <v>124</v>
      </c>
      <c r="B43" s="3">
        <v>2</v>
      </c>
      <c r="C43" s="29">
        <v>1</v>
      </c>
      <c r="D43" s="3">
        <v>2</v>
      </c>
      <c r="E43" s="45">
        <f t="shared" si="12"/>
        <v>4</v>
      </c>
      <c r="F43" s="3">
        <f t="shared" si="8"/>
        <v>8</v>
      </c>
      <c r="G43" s="3">
        <f t="shared" si="9"/>
        <v>0.4</v>
      </c>
      <c r="H43" s="3">
        <f t="shared" si="10"/>
        <v>0.8</v>
      </c>
      <c r="I43" s="11">
        <f t="shared" si="11"/>
        <v>1047.9360000000001</v>
      </c>
    </row>
    <row r="44" spans="1:14" x14ac:dyDescent="0.2">
      <c r="A44" s="8" t="s">
        <v>110</v>
      </c>
      <c r="B44" s="3">
        <v>24</v>
      </c>
      <c r="C44" s="29">
        <v>2</v>
      </c>
      <c r="D44" s="3">
        <v>48</v>
      </c>
      <c r="E44" s="45">
        <v>4</v>
      </c>
      <c r="F44" s="3">
        <f t="shared" si="8"/>
        <v>192</v>
      </c>
      <c r="G44" s="3">
        <f t="shared" si="9"/>
        <v>9.6000000000000014</v>
      </c>
      <c r="H44" s="3">
        <f t="shared" si="10"/>
        <v>19.200000000000003</v>
      </c>
      <c r="I44" s="35">
        <f t="shared" si="11"/>
        <v>25150.464</v>
      </c>
    </row>
    <row r="45" spans="1:14" x14ac:dyDescent="0.2">
      <c r="A45" s="15" t="s">
        <v>56</v>
      </c>
      <c r="B45" s="5"/>
      <c r="C45" s="44"/>
      <c r="D45" s="5"/>
      <c r="E45" s="47"/>
      <c r="F45" s="5"/>
      <c r="G45" s="5"/>
      <c r="H45" s="5"/>
      <c r="I45" s="5"/>
    </row>
    <row r="46" spans="1:14" x14ac:dyDescent="0.2">
      <c r="A46" s="8" t="s">
        <v>47</v>
      </c>
      <c r="B46" s="3">
        <v>2</v>
      </c>
      <c r="C46" s="29">
        <v>1</v>
      </c>
      <c r="D46" s="3">
        <v>2</v>
      </c>
      <c r="E46" s="45">
        <f>L12</f>
        <v>40</v>
      </c>
      <c r="F46" s="3">
        <f>D46*E46</f>
        <v>80</v>
      </c>
      <c r="G46" s="3">
        <f>F46*0.05</f>
        <v>4</v>
      </c>
      <c r="H46" s="3">
        <f>F46*0.1</f>
        <v>8</v>
      </c>
      <c r="I46" s="11">
        <f>F46*$L$6+G46*$L$5+H46*$L$7</f>
        <v>10479.36</v>
      </c>
    </row>
    <row r="47" spans="1:14" x14ac:dyDescent="0.2">
      <c r="A47" s="8" t="s">
        <v>121</v>
      </c>
      <c r="B47" s="3">
        <v>2</v>
      </c>
      <c r="C47" s="29">
        <v>1</v>
      </c>
      <c r="D47" s="3">
        <v>2</v>
      </c>
      <c r="E47" s="45">
        <f>E46</f>
        <v>40</v>
      </c>
      <c r="F47" s="3">
        <f>D47*E47</f>
        <v>80</v>
      </c>
      <c r="G47" s="3">
        <f>F47*0.05</f>
        <v>4</v>
      </c>
      <c r="H47" s="3">
        <f>F47*0.1</f>
        <v>8</v>
      </c>
      <c r="I47" s="11">
        <f>F47*$L$6+G47*$L$5+H47*$L$7</f>
        <v>10479.36</v>
      </c>
    </row>
    <row r="48" spans="1:14" x14ac:dyDescent="0.2">
      <c r="A48" s="8" t="s">
        <v>122</v>
      </c>
      <c r="B48" s="3">
        <v>2</v>
      </c>
      <c r="C48" s="29">
        <v>1</v>
      </c>
      <c r="D48" s="3">
        <v>2</v>
      </c>
      <c r="E48" s="45">
        <f>E47</f>
        <v>40</v>
      </c>
      <c r="F48" s="3">
        <f>D48*E48</f>
        <v>80</v>
      </c>
      <c r="G48" s="3">
        <f>F48*0.05</f>
        <v>4</v>
      </c>
      <c r="H48" s="3">
        <f>F48*0.1</f>
        <v>8</v>
      </c>
      <c r="I48" s="11">
        <f>F48*$L$6+G48*$L$5+H48*$L$7</f>
        <v>10479.36</v>
      </c>
    </row>
    <row r="49" spans="1:9" x14ac:dyDescent="0.2">
      <c r="A49" s="8" t="s">
        <v>110</v>
      </c>
      <c r="B49" s="3">
        <v>2</v>
      </c>
      <c r="C49" s="29">
        <v>2</v>
      </c>
      <c r="D49" s="3">
        <f t="shared" ref="D49" si="13">B49*C49</f>
        <v>4</v>
      </c>
      <c r="E49" s="45">
        <v>40</v>
      </c>
      <c r="F49" s="3">
        <f t="shared" ref="F49" si="14">D49*E49</f>
        <v>160</v>
      </c>
      <c r="G49" s="3">
        <f t="shared" ref="G49" si="15">F49*0.05</f>
        <v>8</v>
      </c>
      <c r="H49" s="3">
        <f t="shared" ref="H49" si="16">F49*0.1</f>
        <v>16</v>
      </c>
      <c r="I49" s="11">
        <f>F49*$L$6+G49*$L$5+H49*$L$7</f>
        <v>20958.72</v>
      </c>
    </row>
    <row r="50" spans="1:9" ht="16.5" customHeight="1" x14ac:dyDescent="0.2">
      <c r="A50" s="37" t="s">
        <v>91</v>
      </c>
      <c r="B50" s="40"/>
      <c r="C50" s="52"/>
      <c r="D50" s="40"/>
      <c r="E50" s="48"/>
      <c r="F50" s="83">
        <f>SUM(F6:H49)</f>
        <v>9176.0799999999945</v>
      </c>
      <c r="G50" s="83"/>
      <c r="H50" s="83"/>
      <c r="I50" s="39">
        <f>SUM(I6:I49)</f>
        <v>1045211.3663999998</v>
      </c>
    </row>
    <row r="51" spans="1:9" x14ac:dyDescent="0.2">
      <c r="A51" s="4" t="s">
        <v>4</v>
      </c>
      <c r="B51" s="5"/>
      <c r="C51" s="44"/>
      <c r="D51" s="5"/>
      <c r="E51" s="47"/>
      <c r="F51" s="5"/>
      <c r="G51" s="5"/>
      <c r="H51" s="5"/>
      <c r="I51" s="5"/>
    </row>
    <row r="52" spans="1:9" x14ac:dyDescent="0.2">
      <c r="A52" s="6" t="s">
        <v>36</v>
      </c>
      <c r="B52" s="3" t="s">
        <v>74</v>
      </c>
      <c r="C52" s="44"/>
      <c r="D52" s="5"/>
      <c r="E52" s="44"/>
      <c r="F52" s="5"/>
      <c r="G52" s="5"/>
      <c r="H52" s="5"/>
      <c r="I52" s="5"/>
    </row>
    <row r="53" spans="1:9" x14ac:dyDescent="0.2">
      <c r="A53" s="6" t="s">
        <v>76</v>
      </c>
      <c r="B53" s="3" t="s">
        <v>75</v>
      </c>
      <c r="C53" s="44"/>
      <c r="D53" s="5"/>
      <c r="E53" s="44"/>
      <c r="F53" s="5"/>
      <c r="G53" s="5"/>
      <c r="H53" s="5"/>
      <c r="I53" s="5"/>
    </row>
    <row r="54" spans="1:9" x14ac:dyDescent="0.2">
      <c r="A54" s="6" t="s">
        <v>77</v>
      </c>
      <c r="B54" s="3" t="s">
        <v>75</v>
      </c>
      <c r="C54" s="44"/>
      <c r="D54" s="5"/>
      <c r="E54" s="44"/>
      <c r="F54" s="5"/>
      <c r="G54" s="5"/>
      <c r="H54" s="5"/>
      <c r="I54" s="5"/>
    </row>
    <row r="55" spans="1:9" x14ac:dyDescent="0.2">
      <c r="A55" s="6" t="s">
        <v>78</v>
      </c>
      <c r="B55" s="3" t="s">
        <v>71</v>
      </c>
      <c r="C55" s="44"/>
      <c r="D55" s="5"/>
      <c r="E55" s="44"/>
      <c r="F55" s="5"/>
      <c r="G55" s="5"/>
      <c r="H55" s="5"/>
      <c r="I55" s="5"/>
    </row>
    <row r="56" spans="1:9" x14ac:dyDescent="0.2">
      <c r="A56" s="6" t="s">
        <v>5</v>
      </c>
      <c r="B56" s="5"/>
      <c r="C56" s="44"/>
      <c r="D56" s="5"/>
      <c r="E56" s="44"/>
      <c r="F56" s="5"/>
      <c r="G56" s="5"/>
      <c r="H56" s="5"/>
      <c r="I56" s="5"/>
    </row>
    <row r="57" spans="1:9" x14ac:dyDescent="0.2">
      <c r="A57" s="15" t="s">
        <v>56</v>
      </c>
      <c r="B57" s="5"/>
      <c r="C57" s="44"/>
      <c r="D57" s="5"/>
      <c r="E57" s="44"/>
      <c r="F57" s="5"/>
      <c r="G57" s="5"/>
      <c r="H57" s="5"/>
      <c r="I57" s="5"/>
    </row>
    <row r="58" spans="1:9" x14ac:dyDescent="0.2">
      <c r="A58" s="7" t="s">
        <v>49</v>
      </c>
      <c r="B58" s="3">
        <v>0.1</v>
      </c>
      <c r="C58" s="29">
        <v>330</v>
      </c>
      <c r="D58" s="3">
        <f t="shared" ref="D58:D64" si="17">B58*C58</f>
        <v>33</v>
      </c>
      <c r="E58" s="45">
        <f>$L$12</f>
        <v>40</v>
      </c>
      <c r="F58" s="14">
        <f t="shared" ref="F58:F63" si="18">D58*E58</f>
        <v>1320</v>
      </c>
      <c r="G58" s="3">
        <f t="shared" ref="G58:G64" si="19">F58*0.05</f>
        <v>66</v>
      </c>
      <c r="H58" s="3">
        <f t="shared" ref="H58:H63" si="20">F58*0.1</f>
        <v>132</v>
      </c>
      <c r="I58" s="11">
        <f>F58*$L$6+G58*$L$5+H58*$L$7</f>
        <v>172909.44</v>
      </c>
    </row>
    <row r="59" spans="1:9" x14ac:dyDescent="0.2">
      <c r="A59" s="7" t="s">
        <v>50</v>
      </c>
      <c r="B59" s="3">
        <v>0.1</v>
      </c>
      <c r="C59" s="29">
        <v>330</v>
      </c>
      <c r="D59" s="3">
        <f t="shared" si="17"/>
        <v>33</v>
      </c>
      <c r="E59" s="45">
        <f>E58</f>
        <v>40</v>
      </c>
      <c r="F59" s="14">
        <f t="shared" si="18"/>
        <v>1320</v>
      </c>
      <c r="G59" s="3">
        <f t="shared" si="19"/>
        <v>66</v>
      </c>
      <c r="H59" s="3">
        <f t="shared" si="20"/>
        <v>132</v>
      </c>
      <c r="I59" s="11">
        <f>F59*$L$6+G59*$L$5+H59*$L$7</f>
        <v>172909.44</v>
      </c>
    </row>
    <row r="60" spans="1:9" x14ac:dyDescent="0.2">
      <c r="A60" s="15" t="s">
        <v>57</v>
      </c>
      <c r="B60" s="3"/>
      <c r="C60" s="29"/>
      <c r="D60" s="3"/>
      <c r="E60" s="45"/>
      <c r="F60" s="14"/>
      <c r="G60" s="3"/>
      <c r="H60" s="3"/>
      <c r="I60" s="11"/>
    </row>
    <row r="61" spans="1:9" x14ac:dyDescent="0.2">
      <c r="A61" s="7" t="s">
        <v>49</v>
      </c>
      <c r="B61" s="3">
        <v>1.5</v>
      </c>
      <c r="C61" s="29">
        <v>330</v>
      </c>
      <c r="D61" s="3">
        <f>B61*C61</f>
        <v>495</v>
      </c>
      <c r="E61" s="45">
        <f>$L$10</f>
        <v>0</v>
      </c>
      <c r="F61" s="14">
        <f t="shared" ref="F61:F62" si="21">D61*E61</f>
        <v>0</v>
      </c>
      <c r="G61" s="3">
        <f t="shared" ref="G61:G62" si="22">F61*0.05</f>
        <v>0</v>
      </c>
      <c r="H61" s="3">
        <f t="shared" ref="H61:H62" si="23">F61*0.1</f>
        <v>0</v>
      </c>
      <c r="I61" s="35">
        <f>F61*$L$6+G61*$L$5+H61*$L$7</f>
        <v>0</v>
      </c>
    </row>
    <row r="62" spans="1:9" x14ac:dyDescent="0.2">
      <c r="A62" s="7" t="s">
        <v>50</v>
      </c>
      <c r="B62" s="3">
        <v>0.1</v>
      </c>
      <c r="C62" s="29">
        <v>330</v>
      </c>
      <c r="D62" s="3">
        <f t="shared" ref="D62:D63" si="24">B62*C62</f>
        <v>33</v>
      </c>
      <c r="E62" s="45">
        <f>$L$10</f>
        <v>0</v>
      </c>
      <c r="F62" s="14">
        <f t="shared" si="21"/>
        <v>0</v>
      </c>
      <c r="G62" s="3">
        <f t="shared" si="22"/>
        <v>0</v>
      </c>
      <c r="H62" s="3">
        <f t="shared" si="23"/>
        <v>0</v>
      </c>
      <c r="I62" s="35">
        <f>F62*$L$6+G62*$L$5+H62*$L$7</f>
        <v>0</v>
      </c>
    </row>
    <row r="63" spans="1:9" x14ac:dyDescent="0.2">
      <c r="A63" s="7" t="s">
        <v>55</v>
      </c>
      <c r="B63" s="3">
        <v>2</v>
      </c>
      <c r="C63" s="29">
        <v>4</v>
      </c>
      <c r="D63" s="3">
        <f t="shared" si="24"/>
        <v>8</v>
      </c>
      <c r="E63" s="45">
        <f>$L$10</f>
        <v>0</v>
      </c>
      <c r="F63" s="14">
        <f t="shared" si="18"/>
        <v>0</v>
      </c>
      <c r="G63" s="3">
        <f t="shared" si="19"/>
        <v>0</v>
      </c>
      <c r="H63" s="3">
        <f t="shared" si="20"/>
        <v>0</v>
      </c>
      <c r="I63" s="35">
        <f>F63*$L$6+G63*$L$5+H63*$L$7</f>
        <v>0</v>
      </c>
    </row>
    <row r="64" spans="1:9" x14ac:dyDescent="0.2">
      <c r="A64" s="6" t="s">
        <v>7</v>
      </c>
      <c r="B64" s="3">
        <v>80</v>
      </c>
      <c r="C64" s="29">
        <v>1</v>
      </c>
      <c r="D64" s="3">
        <f t="shared" si="17"/>
        <v>80</v>
      </c>
      <c r="E64" s="45">
        <f>$L$10</f>
        <v>0</v>
      </c>
      <c r="F64" s="14">
        <f t="shared" ref="F64" si="25">D64*E64</f>
        <v>0</v>
      </c>
      <c r="G64" s="3">
        <f t="shared" si="19"/>
        <v>0</v>
      </c>
      <c r="H64" s="3">
        <f t="shared" ref="H64" si="26">F64*0.1</f>
        <v>0</v>
      </c>
      <c r="I64" s="35">
        <f>F64*$L$6+G64*$L$5+H64*$L$7</f>
        <v>0</v>
      </c>
    </row>
    <row r="65" spans="1:12" x14ac:dyDescent="0.2">
      <c r="A65" s="6" t="s">
        <v>80</v>
      </c>
      <c r="B65" s="3" t="s">
        <v>71</v>
      </c>
      <c r="C65" s="44"/>
      <c r="D65" s="5"/>
      <c r="E65" s="44"/>
      <c r="F65" s="5"/>
      <c r="G65" s="5"/>
      <c r="H65" s="5"/>
      <c r="I65" s="5"/>
    </row>
    <row r="66" spans="1:12" ht="17.25" customHeight="1" x14ac:dyDescent="0.2">
      <c r="A66" s="37" t="s">
        <v>112</v>
      </c>
      <c r="B66" s="38"/>
      <c r="C66" s="53"/>
      <c r="D66" s="38"/>
      <c r="E66" s="49"/>
      <c r="F66" s="83">
        <f>SUM(F58:H64)</f>
        <v>3036</v>
      </c>
      <c r="G66" s="83"/>
      <c r="H66" s="83"/>
      <c r="I66" s="39">
        <f>SUM(I58:I65)</f>
        <v>345818.88</v>
      </c>
    </row>
    <row r="67" spans="1:12" ht="15.75" x14ac:dyDescent="0.2">
      <c r="A67" s="26" t="s">
        <v>115</v>
      </c>
      <c r="B67" s="9"/>
      <c r="C67" s="54"/>
      <c r="D67" s="9"/>
      <c r="E67" s="50"/>
      <c r="F67" s="81">
        <f>ROUND(F66+F50, -2)</f>
        <v>12200</v>
      </c>
      <c r="G67" s="81"/>
      <c r="H67" s="81"/>
      <c r="I67" s="10">
        <f>ROUND(I66+I50, -4)</f>
        <v>1390000</v>
      </c>
      <c r="K67" s="41">
        <f>F67/212</f>
        <v>57.547169811320757</v>
      </c>
      <c r="L67" s="1" t="s">
        <v>125</v>
      </c>
    </row>
    <row r="68" spans="1:12" ht="15.75" x14ac:dyDescent="0.2">
      <c r="A68" s="36" t="s">
        <v>116</v>
      </c>
      <c r="B68" s="5"/>
      <c r="C68" s="44"/>
      <c r="D68" s="5"/>
      <c r="E68" s="44"/>
      <c r="F68" s="5"/>
      <c r="G68" s="5"/>
      <c r="H68" s="5"/>
      <c r="I68" s="10">
        <f>'Capital and O&amp;M'!G12</f>
        <v>4730000</v>
      </c>
    </row>
    <row r="69" spans="1:12" ht="15.75" x14ac:dyDescent="0.2">
      <c r="A69" s="36" t="s">
        <v>117</v>
      </c>
      <c r="B69" s="5"/>
      <c r="C69" s="44"/>
      <c r="D69" s="5"/>
      <c r="E69" s="44"/>
      <c r="F69" s="5"/>
      <c r="G69" s="5"/>
      <c r="H69" s="5"/>
      <c r="I69" s="10">
        <f>ROUND(I67+I68, -5)</f>
        <v>6100000</v>
      </c>
    </row>
    <row r="71" spans="1:12" ht="15.75" x14ac:dyDescent="0.2">
      <c r="A71" s="78" t="s">
        <v>126</v>
      </c>
      <c r="B71" s="78"/>
      <c r="C71" s="78"/>
      <c r="D71" s="78"/>
      <c r="E71" s="78"/>
      <c r="F71" s="78"/>
      <c r="G71" s="78"/>
      <c r="H71" s="78"/>
      <c r="I71" s="78"/>
    </row>
    <row r="72" spans="1:12" ht="47.25" customHeight="1" x14ac:dyDescent="0.2">
      <c r="A72" s="82" t="s">
        <v>86</v>
      </c>
      <c r="B72" s="82"/>
      <c r="C72" s="82"/>
      <c r="D72" s="82"/>
      <c r="E72" s="82"/>
      <c r="F72" s="82"/>
      <c r="G72" s="82"/>
      <c r="H72" s="82"/>
      <c r="I72" s="82"/>
    </row>
    <row r="73" spans="1:12" ht="46.5" customHeight="1" x14ac:dyDescent="0.2">
      <c r="A73" s="78" t="s">
        <v>102</v>
      </c>
      <c r="B73" s="78"/>
      <c r="C73" s="78"/>
      <c r="D73" s="78"/>
      <c r="E73" s="78"/>
      <c r="F73" s="78"/>
      <c r="G73" s="78"/>
      <c r="H73" s="78"/>
      <c r="I73" s="78"/>
    </row>
    <row r="74" spans="1:12" ht="39" customHeight="1" x14ac:dyDescent="0.2">
      <c r="A74" s="76" t="s">
        <v>127</v>
      </c>
      <c r="B74" s="76"/>
      <c r="C74" s="76"/>
      <c r="D74" s="76"/>
      <c r="E74" s="76"/>
      <c r="F74" s="76"/>
      <c r="G74" s="76"/>
      <c r="H74" s="76"/>
      <c r="I74" s="76"/>
    </row>
    <row r="75" spans="1:12" ht="15.75" x14ac:dyDescent="0.2">
      <c r="A75" s="79" t="s">
        <v>107</v>
      </c>
      <c r="B75" s="79"/>
      <c r="C75" s="79"/>
      <c r="D75" s="79"/>
      <c r="E75" s="79"/>
      <c r="F75" s="79"/>
      <c r="G75" s="79"/>
      <c r="H75" s="79"/>
      <c r="I75" s="79"/>
    </row>
    <row r="76" spans="1:12" ht="18.75" customHeight="1" x14ac:dyDescent="0.2">
      <c r="A76" s="77" t="s">
        <v>113</v>
      </c>
      <c r="B76" s="77"/>
      <c r="C76" s="77"/>
      <c r="D76" s="77"/>
      <c r="E76" s="77"/>
      <c r="F76" s="77"/>
      <c r="G76" s="77"/>
      <c r="H76" s="77"/>
      <c r="I76" s="77"/>
    </row>
  </sheetData>
  <mergeCells count="11">
    <mergeCell ref="A1:I1"/>
    <mergeCell ref="F67:H67"/>
    <mergeCell ref="A71:I71"/>
    <mergeCell ref="A72:I72"/>
    <mergeCell ref="F66:H66"/>
    <mergeCell ref="F50:H50"/>
    <mergeCell ref="K4:L4"/>
    <mergeCell ref="A74:I74"/>
    <mergeCell ref="A76:I76"/>
    <mergeCell ref="A73:I73"/>
    <mergeCell ref="A75:I7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workbookViewId="0">
      <selection activeCell="G15" sqref="G15"/>
    </sheetView>
  </sheetViews>
  <sheetFormatPr defaultRowHeight="15" x14ac:dyDescent="0.25"/>
  <cols>
    <col min="1" max="1" width="39.140625" style="55" customWidth="1"/>
    <col min="2" max="2" width="9.85546875" style="55" customWidth="1"/>
    <col min="3" max="8" width="9.140625" style="55"/>
    <col min="9" max="9" width="13.85546875" style="55" customWidth="1"/>
    <col min="10" max="10" width="9.140625" style="55"/>
    <col min="11" max="11" width="13.140625" style="56" customWidth="1"/>
    <col min="12" max="16384" width="9.140625" style="55"/>
  </cols>
  <sheetData>
    <row r="1" spans="1:13" ht="36.75" customHeight="1" x14ac:dyDescent="0.25">
      <c r="A1" s="88" t="s">
        <v>119</v>
      </c>
      <c r="B1" s="88"/>
      <c r="C1" s="88"/>
      <c r="D1" s="88"/>
      <c r="E1" s="88"/>
      <c r="F1" s="88"/>
      <c r="G1" s="88"/>
      <c r="H1" s="88"/>
      <c r="I1" s="88"/>
    </row>
    <row r="2" spans="1:13" ht="15.75" x14ac:dyDescent="0.25">
      <c r="A2" s="87"/>
      <c r="B2" s="87"/>
      <c r="C2" s="87"/>
      <c r="D2" s="87"/>
      <c r="E2" s="87"/>
      <c r="F2" s="87"/>
      <c r="G2" s="87"/>
      <c r="H2" s="87"/>
      <c r="I2" s="87"/>
    </row>
    <row r="3" spans="1:13" x14ac:dyDescent="0.25">
      <c r="A3" s="90" t="s">
        <v>33</v>
      </c>
      <c r="B3" s="57" t="s">
        <v>32</v>
      </c>
      <c r="C3" s="57" t="s">
        <v>31</v>
      </c>
      <c r="D3" s="57" t="s">
        <v>30</v>
      </c>
      <c r="E3" s="57" t="s">
        <v>29</v>
      </c>
      <c r="F3" s="57" t="s">
        <v>28</v>
      </c>
      <c r="G3" s="57" t="s">
        <v>27</v>
      </c>
      <c r="H3" s="57" t="s">
        <v>26</v>
      </c>
      <c r="I3" s="57" t="s">
        <v>25</v>
      </c>
    </row>
    <row r="4" spans="1:13" ht="63.75" x14ac:dyDescent="0.25">
      <c r="A4" s="90"/>
      <c r="B4" s="57" t="s">
        <v>24</v>
      </c>
      <c r="C4" s="57" t="s">
        <v>23</v>
      </c>
      <c r="D4" s="57" t="s">
        <v>22</v>
      </c>
      <c r="E4" s="57" t="s">
        <v>130</v>
      </c>
      <c r="F4" s="57" t="s">
        <v>21</v>
      </c>
      <c r="G4" s="57" t="s">
        <v>20</v>
      </c>
      <c r="H4" s="57" t="s">
        <v>19</v>
      </c>
      <c r="I4" s="57" t="s">
        <v>131</v>
      </c>
    </row>
    <row r="5" spans="1:13" x14ac:dyDescent="0.25">
      <c r="A5" s="90"/>
      <c r="B5" s="58"/>
      <c r="C5" s="58"/>
      <c r="D5" s="57" t="s">
        <v>18</v>
      </c>
      <c r="E5" s="58"/>
      <c r="F5" s="57" t="s">
        <v>17</v>
      </c>
      <c r="G5" s="57" t="s">
        <v>16</v>
      </c>
      <c r="H5" s="57" t="s">
        <v>15</v>
      </c>
      <c r="I5" s="58"/>
      <c r="K5" s="75" t="s">
        <v>81</v>
      </c>
      <c r="L5" s="75"/>
      <c r="M5" s="59"/>
    </row>
    <row r="6" spans="1:13" ht="15.75" x14ac:dyDescent="0.25">
      <c r="A6" s="60" t="s">
        <v>132</v>
      </c>
      <c r="B6" s="29">
        <v>24</v>
      </c>
      <c r="C6" s="29">
        <v>1</v>
      </c>
      <c r="D6" s="29">
        <f>B6*C6</f>
        <v>24</v>
      </c>
      <c r="E6" s="29">
        <f>'Table 1'!E42</f>
        <v>4</v>
      </c>
      <c r="F6" s="61">
        <f>D6*E6</f>
        <v>96</v>
      </c>
      <c r="G6" s="61">
        <f>F6*0.05</f>
        <v>4.8000000000000007</v>
      </c>
      <c r="H6" s="61">
        <f>F6*0.1</f>
        <v>9.6000000000000014</v>
      </c>
      <c r="I6" s="62">
        <f>(F6*$L$7)+(G6*$L$6)+(H6*$L$8)</f>
        <v>5248.6559999999999</v>
      </c>
      <c r="K6" s="32" t="s">
        <v>82</v>
      </c>
      <c r="L6" s="63">
        <v>65.709999999999994</v>
      </c>
      <c r="M6" s="42" t="s">
        <v>87</v>
      </c>
    </row>
    <row r="7" spans="1:13" ht="15.75" x14ac:dyDescent="0.25">
      <c r="A7" s="60" t="s">
        <v>133</v>
      </c>
      <c r="B7" s="29">
        <v>24</v>
      </c>
      <c r="C7" s="29">
        <v>1</v>
      </c>
      <c r="D7" s="29">
        <f>B7*C7</f>
        <v>24</v>
      </c>
      <c r="E7" s="29">
        <v>0</v>
      </c>
      <c r="F7" s="64">
        <f>D7*E7</f>
        <v>0</v>
      </c>
      <c r="G7" s="64">
        <f>F7*0.05</f>
        <v>0</v>
      </c>
      <c r="H7" s="64">
        <f>F7*0.1</f>
        <v>0</v>
      </c>
      <c r="I7" s="65">
        <f>(F7*$L$7)+(G7*$L$6)+(H7*$L$8)</f>
        <v>0</v>
      </c>
      <c r="K7" s="32" t="s">
        <v>84</v>
      </c>
      <c r="L7" s="66">
        <v>48.75</v>
      </c>
      <c r="M7" s="42"/>
    </row>
    <row r="8" spans="1:13" x14ac:dyDescent="0.25">
      <c r="A8" s="60" t="s">
        <v>14</v>
      </c>
      <c r="B8" s="29"/>
      <c r="C8" s="29"/>
      <c r="D8" s="29"/>
      <c r="E8" s="29"/>
      <c r="F8" s="61"/>
      <c r="G8" s="61"/>
      <c r="H8" s="61"/>
      <c r="I8" s="67"/>
      <c r="K8" s="32" t="s">
        <v>85</v>
      </c>
      <c r="L8" s="66">
        <v>26.38</v>
      </c>
      <c r="M8" s="42"/>
    </row>
    <row r="9" spans="1:13" x14ac:dyDescent="0.25">
      <c r="A9" s="68" t="s">
        <v>13</v>
      </c>
      <c r="B9" s="29">
        <v>0.5</v>
      </c>
      <c r="C9" s="29">
        <v>1</v>
      </c>
      <c r="D9" s="29">
        <f t="shared" ref="D9:D14" si="0">B9*C9</f>
        <v>0.5</v>
      </c>
      <c r="E9" s="29">
        <f>E6</f>
        <v>4</v>
      </c>
      <c r="F9" s="61">
        <f t="shared" ref="F9:F14" si="1">D9*E9</f>
        <v>2</v>
      </c>
      <c r="G9" s="61">
        <f t="shared" ref="G9:G14" si="2">F9*0.05</f>
        <v>0.1</v>
      </c>
      <c r="H9" s="61">
        <f t="shared" ref="H9:H14" si="3">F9*0.1</f>
        <v>0.2</v>
      </c>
      <c r="I9" s="62">
        <f t="shared" ref="I9:I14" si="4">(F9*$L$7)+(G9*$L$6)+(H9*$L$8)</f>
        <v>109.34699999999999</v>
      </c>
    </row>
    <row r="10" spans="1:13" x14ac:dyDescent="0.25">
      <c r="A10" s="68" t="s">
        <v>12</v>
      </c>
      <c r="B10" s="29">
        <v>0.5</v>
      </c>
      <c r="C10" s="29">
        <v>1</v>
      </c>
      <c r="D10" s="29">
        <f t="shared" si="0"/>
        <v>0.5</v>
      </c>
      <c r="E10" s="29">
        <f>E9</f>
        <v>4</v>
      </c>
      <c r="F10" s="61">
        <f t="shared" si="1"/>
        <v>2</v>
      </c>
      <c r="G10" s="61">
        <f t="shared" si="2"/>
        <v>0.1</v>
      </c>
      <c r="H10" s="61">
        <f t="shared" si="3"/>
        <v>0.2</v>
      </c>
      <c r="I10" s="62">
        <f t="shared" si="4"/>
        <v>109.34699999999999</v>
      </c>
    </row>
    <row r="11" spans="1:13" ht="15.75" x14ac:dyDescent="0.25">
      <c r="A11" s="68" t="s">
        <v>134</v>
      </c>
      <c r="B11" s="29">
        <v>0.5</v>
      </c>
      <c r="C11" s="29">
        <v>1.1000000000000001</v>
      </c>
      <c r="D11" s="29">
        <f t="shared" si="0"/>
        <v>0.55000000000000004</v>
      </c>
      <c r="E11" s="29">
        <v>44</v>
      </c>
      <c r="F11" s="61">
        <f t="shared" si="1"/>
        <v>24.200000000000003</v>
      </c>
      <c r="G11" s="61">
        <f t="shared" si="2"/>
        <v>1.2100000000000002</v>
      </c>
      <c r="H11" s="61">
        <f t="shared" si="3"/>
        <v>2.4200000000000004</v>
      </c>
      <c r="I11" s="62">
        <f t="shared" si="4"/>
        <v>1323.0987000000002</v>
      </c>
    </row>
    <row r="12" spans="1:13" ht="25.5" x14ac:dyDescent="0.25">
      <c r="A12" s="68" t="s">
        <v>34</v>
      </c>
      <c r="B12" s="29">
        <v>0.5</v>
      </c>
      <c r="C12" s="29">
        <v>1</v>
      </c>
      <c r="D12" s="29">
        <f t="shared" si="0"/>
        <v>0.5</v>
      </c>
      <c r="E12" s="29">
        <f>E9</f>
        <v>4</v>
      </c>
      <c r="F12" s="61">
        <f t="shared" si="1"/>
        <v>2</v>
      </c>
      <c r="G12" s="61">
        <f t="shared" si="2"/>
        <v>0.1</v>
      </c>
      <c r="H12" s="61">
        <f t="shared" si="3"/>
        <v>0.2</v>
      </c>
      <c r="I12" s="62">
        <f t="shared" si="4"/>
        <v>109.34699999999999</v>
      </c>
    </row>
    <row r="13" spans="1:13" ht="15.75" x14ac:dyDescent="0.25">
      <c r="A13" s="68" t="s">
        <v>135</v>
      </c>
      <c r="B13" s="29">
        <v>8</v>
      </c>
      <c r="C13" s="29">
        <v>1</v>
      </c>
      <c r="D13" s="29">
        <f t="shared" si="0"/>
        <v>8</v>
      </c>
      <c r="E13" s="29">
        <v>44</v>
      </c>
      <c r="F13" s="61">
        <f t="shared" si="1"/>
        <v>352</v>
      </c>
      <c r="G13" s="69">
        <f t="shared" si="2"/>
        <v>17.600000000000001</v>
      </c>
      <c r="H13" s="69">
        <f t="shared" si="3"/>
        <v>35.200000000000003</v>
      </c>
      <c r="I13" s="62">
        <f t="shared" si="4"/>
        <v>19245.072</v>
      </c>
    </row>
    <row r="14" spans="1:13" x14ac:dyDescent="0.25">
      <c r="A14" s="68" t="s">
        <v>35</v>
      </c>
      <c r="B14" s="29">
        <v>8</v>
      </c>
      <c r="C14" s="29">
        <v>2</v>
      </c>
      <c r="D14" s="29">
        <f t="shared" si="0"/>
        <v>16</v>
      </c>
      <c r="E14" s="29">
        <f>'Table 1'!E49</f>
        <v>40</v>
      </c>
      <c r="F14" s="64">
        <f t="shared" si="1"/>
        <v>640</v>
      </c>
      <c r="G14" s="61">
        <f t="shared" si="2"/>
        <v>32</v>
      </c>
      <c r="H14" s="61">
        <f t="shared" si="3"/>
        <v>64</v>
      </c>
      <c r="I14" s="62">
        <f t="shared" si="4"/>
        <v>34991.040000000001</v>
      </c>
    </row>
    <row r="15" spans="1:13" ht="20.25" customHeight="1" x14ac:dyDescent="0.25">
      <c r="A15" s="36" t="s">
        <v>136</v>
      </c>
      <c r="B15" s="36"/>
      <c r="C15" s="36"/>
      <c r="D15" s="36"/>
      <c r="E15" s="36"/>
      <c r="F15" s="54">
        <f>ROUND(SUM(F6:H14), -1)</f>
        <v>1290</v>
      </c>
      <c r="G15" s="70"/>
      <c r="H15" s="70"/>
      <c r="I15" s="71">
        <f>ROUND(SUM(I6:I14), -2)</f>
        <v>61100</v>
      </c>
    </row>
    <row r="16" spans="1:13" x14ac:dyDescent="0.25">
      <c r="A16" s="72"/>
      <c r="G16" s="73"/>
    </row>
    <row r="17" spans="1:9" x14ac:dyDescent="0.25">
      <c r="A17" s="72" t="s">
        <v>11</v>
      </c>
    </row>
    <row r="18" spans="1:9" ht="24.75" customHeight="1" x14ac:dyDescent="0.25">
      <c r="A18" s="89" t="s">
        <v>137</v>
      </c>
      <c r="B18" s="89"/>
      <c r="C18" s="89"/>
      <c r="D18" s="89"/>
      <c r="E18" s="89"/>
      <c r="F18" s="89"/>
      <c r="G18" s="89"/>
      <c r="H18" s="89"/>
      <c r="I18" s="89"/>
    </row>
    <row r="19" spans="1:9" ht="49.5" customHeight="1" x14ac:dyDescent="0.25">
      <c r="A19" s="89" t="s">
        <v>138</v>
      </c>
      <c r="B19" s="89"/>
      <c r="C19" s="89"/>
      <c r="D19" s="89"/>
      <c r="E19" s="89"/>
      <c r="F19" s="89"/>
      <c r="G19" s="89"/>
      <c r="H19" s="89"/>
      <c r="I19" s="89"/>
    </row>
    <row r="20" spans="1:9" ht="32.25" customHeight="1" x14ac:dyDescent="0.25">
      <c r="A20" s="84" t="s">
        <v>139</v>
      </c>
      <c r="B20" s="84"/>
      <c r="C20" s="84"/>
      <c r="D20" s="84"/>
      <c r="E20" s="84"/>
      <c r="F20" s="84"/>
      <c r="G20" s="84"/>
      <c r="H20" s="84"/>
      <c r="I20" s="84"/>
    </row>
    <row r="21" spans="1:9" ht="15.75" x14ac:dyDescent="0.25">
      <c r="A21" s="85" t="s">
        <v>140</v>
      </c>
      <c r="B21" s="85"/>
      <c r="C21" s="85"/>
      <c r="D21" s="85"/>
      <c r="E21" s="85"/>
      <c r="F21" s="85"/>
      <c r="G21" s="85"/>
      <c r="H21" s="85"/>
      <c r="I21" s="85"/>
    </row>
    <row r="22" spans="1:9" ht="15.75" x14ac:dyDescent="0.25">
      <c r="A22" s="86" t="s">
        <v>141</v>
      </c>
      <c r="B22" s="86"/>
      <c r="C22" s="86"/>
      <c r="D22" s="86"/>
      <c r="E22" s="86"/>
      <c r="F22" s="86"/>
      <c r="G22" s="86"/>
      <c r="H22" s="86"/>
      <c r="I22" s="86"/>
    </row>
    <row r="23" spans="1:9" ht="15.75" x14ac:dyDescent="0.25">
      <c r="A23" s="86" t="s">
        <v>142</v>
      </c>
      <c r="B23" s="86"/>
      <c r="C23" s="86"/>
      <c r="D23" s="86"/>
      <c r="E23" s="86"/>
      <c r="F23" s="86"/>
      <c r="G23" s="86"/>
      <c r="H23" s="86"/>
      <c r="I23" s="86"/>
    </row>
    <row r="25" spans="1:9" x14ac:dyDescent="0.25">
      <c r="A25" s="74"/>
    </row>
    <row r="26" spans="1:9" x14ac:dyDescent="0.25">
      <c r="A26" s="74"/>
    </row>
    <row r="27" spans="1:9" x14ac:dyDescent="0.25">
      <c r="A27" s="74"/>
    </row>
    <row r="28" spans="1:9" x14ac:dyDescent="0.25">
      <c r="A28" s="74"/>
    </row>
  </sheetData>
  <mergeCells count="10">
    <mergeCell ref="A2:I2"/>
    <mergeCell ref="A1:I1"/>
    <mergeCell ref="A19:I19"/>
    <mergeCell ref="A18:I18"/>
    <mergeCell ref="A3:A5"/>
    <mergeCell ref="K5:L5"/>
    <mergeCell ref="A20:I20"/>
    <mergeCell ref="A21:I21"/>
    <mergeCell ref="A22:I22"/>
    <mergeCell ref="A23:I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
  <sheetViews>
    <sheetView workbookViewId="0">
      <selection activeCell="G12" sqref="G12"/>
    </sheetView>
  </sheetViews>
  <sheetFormatPr defaultRowHeight="15" x14ac:dyDescent="0.25"/>
  <cols>
    <col min="1" max="1" width="17.7109375" customWidth="1"/>
    <col min="2" max="2" width="14" customWidth="1"/>
    <col min="3" max="3" width="13.140625" customWidth="1"/>
    <col min="4" max="4" width="12.85546875" customWidth="1"/>
    <col min="5" max="5" width="11.5703125" customWidth="1"/>
    <col min="6" max="6" width="11.28515625" customWidth="1"/>
    <col min="7" max="7" width="13.7109375" customWidth="1"/>
  </cols>
  <sheetData>
    <row r="1" spans="1:7" ht="15.75" x14ac:dyDescent="0.25">
      <c r="A1" s="91" t="s">
        <v>120</v>
      </c>
      <c r="B1" s="92"/>
      <c r="C1" s="92"/>
      <c r="D1" s="92"/>
      <c r="E1" s="92"/>
      <c r="F1" s="92"/>
      <c r="G1" s="93"/>
    </row>
    <row r="2" spans="1:7" ht="16.5" thickBot="1" x14ac:dyDescent="0.3">
      <c r="A2" s="94" t="s">
        <v>58</v>
      </c>
      <c r="B2" s="95"/>
      <c r="C2" s="95"/>
      <c r="D2" s="95"/>
      <c r="E2" s="95"/>
      <c r="F2" s="95"/>
      <c r="G2" s="96"/>
    </row>
    <row r="3" spans="1:7" ht="15.75" x14ac:dyDescent="0.25">
      <c r="A3" s="17"/>
      <c r="B3" s="19"/>
      <c r="C3" s="19"/>
      <c r="D3" s="19"/>
      <c r="E3" s="19"/>
      <c r="F3" s="19"/>
      <c r="G3" s="21"/>
    </row>
    <row r="4" spans="1:7" x14ac:dyDescent="0.25">
      <c r="A4" s="18" t="s">
        <v>32</v>
      </c>
      <c r="B4" s="20" t="s">
        <v>31</v>
      </c>
      <c r="C4" s="20" t="s">
        <v>30</v>
      </c>
      <c r="D4" s="20" t="s">
        <v>29</v>
      </c>
      <c r="E4" s="20" t="s">
        <v>28</v>
      </c>
      <c r="F4" s="20" t="s">
        <v>27</v>
      </c>
      <c r="G4" s="22" t="s">
        <v>26</v>
      </c>
    </row>
    <row r="5" spans="1:7" ht="38.25" x14ac:dyDescent="0.25">
      <c r="A5" s="24" t="s">
        <v>59</v>
      </c>
      <c r="B5" s="24" t="s">
        <v>60</v>
      </c>
      <c r="C5" s="24" t="s">
        <v>61</v>
      </c>
      <c r="D5" s="24" t="s">
        <v>62</v>
      </c>
      <c r="E5" s="24" t="s">
        <v>63</v>
      </c>
      <c r="F5" s="24" t="s">
        <v>64</v>
      </c>
      <c r="G5" s="24" t="s">
        <v>66</v>
      </c>
    </row>
    <row r="6" spans="1:7" ht="25.5" x14ac:dyDescent="0.25">
      <c r="A6" s="4" t="s">
        <v>65</v>
      </c>
      <c r="B6" s="25">
        <v>604456</v>
      </c>
      <c r="C6" s="24">
        <v>0</v>
      </c>
      <c r="D6" s="25">
        <f>B6*C6</f>
        <v>0</v>
      </c>
      <c r="E6" s="25">
        <v>116459</v>
      </c>
      <c r="F6" s="24">
        <f>'Table 1'!L12</f>
        <v>40</v>
      </c>
      <c r="G6" s="25">
        <f>E6*F6</f>
        <v>4658360</v>
      </c>
    </row>
    <row r="7" spans="1:7" x14ac:dyDescent="0.25">
      <c r="A7" s="24" t="s">
        <v>67</v>
      </c>
      <c r="B7" s="25">
        <v>131222</v>
      </c>
      <c r="C7" s="24">
        <v>0</v>
      </c>
      <c r="D7" s="25">
        <f>B7*C7</f>
        <v>0</v>
      </c>
      <c r="E7" s="25"/>
      <c r="F7" s="24"/>
      <c r="G7" s="25"/>
    </row>
    <row r="8" spans="1:7" ht="25.5" x14ac:dyDescent="0.25">
      <c r="A8" s="4" t="s">
        <v>68</v>
      </c>
      <c r="B8" s="25">
        <v>35780</v>
      </c>
      <c r="C8" s="24">
        <v>0</v>
      </c>
      <c r="D8" s="25">
        <f t="shared" ref="D8:D9" si="0">B8*C8</f>
        <v>0</v>
      </c>
      <c r="E8" s="25">
        <v>2589</v>
      </c>
      <c r="F8" s="24">
        <v>26</v>
      </c>
      <c r="G8" s="25">
        <f>E8*F8</f>
        <v>67314</v>
      </c>
    </row>
    <row r="9" spans="1:7" x14ac:dyDescent="0.25">
      <c r="A9" s="4" t="s">
        <v>69</v>
      </c>
      <c r="B9" s="25">
        <v>50800</v>
      </c>
      <c r="C9" s="24">
        <v>0</v>
      </c>
      <c r="D9" s="25">
        <f t="shared" si="0"/>
        <v>0</v>
      </c>
      <c r="E9" s="25"/>
      <c r="F9" s="24"/>
      <c r="G9" s="25"/>
    </row>
    <row r="10" spans="1:7" x14ac:dyDescent="0.25">
      <c r="A10" s="26" t="s">
        <v>70</v>
      </c>
      <c r="B10" s="25"/>
      <c r="C10" s="24"/>
      <c r="D10" s="25">
        <f>ROUND(SUM(D6:D9), -4)</f>
        <v>0</v>
      </c>
      <c r="E10" s="25"/>
      <c r="F10" s="24"/>
      <c r="G10" s="25">
        <f>ROUND(SUM(G6:G9), -4)</f>
        <v>4730000</v>
      </c>
    </row>
    <row r="11" spans="1:7" x14ac:dyDescent="0.25">
      <c r="B11" s="23"/>
      <c r="D11" s="23"/>
      <c r="E11" s="23"/>
      <c r="G11" s="23"/>
    </row>
    <row r="12" spans="1:7" x14ac:dyDescent="0.25">
      <c r="B12" s="23"/>
      <c r="D12" s="23"/>
      <c r="E12" s="23"/>
      <c r="F12" s="27" t="s">
        <v>114</v>
      </c>
      <c r="G12" s="23">
        <f>ROUND(SUM(D6:D9,G6:G9), -4)</f>
        <v>4730000</v>
      </c>
    </row>
    <row r="13" spans="1:7" x14ac:dyDescent="0.25">
      <c r="B13" s="23"/>
      <c r="E13" s="23"/>
    </row>
  </sheetData>
  <mergeCells count="2">
    <mergeCell ref="A1:G1"/>
    <mergeCell ref="A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Table 2</vt:lpstr>
      <vt:lpstr>Capital and O&amp;M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JShweky</dc:creator>
  <cp:lastModifiedBy>wwrigley</cp:lastModifiedBy>
  <dcterms:created xsi:type="dcterms:W3CDTF">2015-09-17T21:11:36Z</dcterms:created>
  <dcterms:modified xsi:type="dcterms:W3CDTF">2019-05-09T15:16:10Z</dcterms:modified>
</cp:coreProperties>
</file>