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730"/>
  <workbookPr/>
  <mc:AlternateContent xmlns:mc="http://schemas.openxmlformats.org/markup-compatibility/2006">
    <mc:Choice Requires="x15">
      <x15ac:absPath xmlns:x15ac="http://schemas.microsoft.com/office/spreadsheetml/2010/11/ac" url="C:\Users\eschultz\Desktop\"/>
    </mc:Choice>
  </mc:AlternateContent>
  <xr:revisionPtr revIDLastSave="0" documentId="8_{B00C0F80-785D-429A-9A22-AD1A7A05B84B}" xr6:coauthVersionLast="36" xr6:coauthVersionMax="36" xr10:uidLastSave="{00000000-0000-0000-0000-000000000000}"/>
  <bookViews>
    <workbookView xWindow="-105" yWindow="-105" windowWidth="19425" windowHeight="10425" xr2:uid="{00000000-000D-0000-FFFF-FFFF00000000}"/>
  </bookViews>
  <sheets>
    <sheet name="Table 1" sheetId="1" r:id="rId1"/>
    <sheet name="Table 2" sheetId="2" r:id="rId2"/>
    <sheet name="Additional" sheetId="3"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29" i="3" l="1"/>
  <c r="I36" i="1" l="1"/>
  <c r="E8" i="1"/>
  <c r="E24" i="3" l="1"/>
  <c r="D10" i="3"/>
  <c r="E11" i="2"/>
  <c r="E10" i="2"/>
  <c r="E9" i="2"/>
  <c r="E8" i="2"/>
  <c r="E7" i="2"/>
  <c r="E6" i="2"/>
  <c r="E31" i="1"/>
  <c r="E30" i="1"/>
  <c r="E29" i="1"/>
  <c r="E28" i="1"/>
  <c r="E17" i="1"/>
  <c r="E16" i="1"/>
  <c r="E15" i="1"/>
  <c r="E11" i="1"/>
  <c r="E28" i="3" l="1"/>
  <c r="E25" i="3"/>
  <c r="E26" i="3"/>
  <c r="E27" i="3"/>
  <c r="F8" i="3"/>
  <c r="G8" i="3" s="1"/>
  <c r="D12" i="3"/>
  <c r="D14" i="3" s="1"/>
  <c r="D15" i="3" s="1"/>
  <c r="F10" i="3"/>
  <c r="G10" i="3" s="1"/>
  <c r="E27" i="1"/>
  <c r="E19" i="1"/>
  <c r="E12" i="2" s="1"/>
  <c r="F12" i="3" l="1"/>
  <c r="G12" i="3" s="1"/>
  <c r="G14" i="3" s="1"/>
  <c r="K34" i="1"/>
  <c r="D8" i="1"/>
  <c r="F8" i="1" s="1"/>
  <c r="G15" i="3" l="1"/>
  <c r="G16" i="3"/>
  <c r="G8" i="1"/>
  <c r="H8" i="1"/>
  <c r="I8" i="1" l="1"/>
  <c r="D12" i="2"/>
  <c r="F12" i="2" s="1"/>
  <c r="D11" i="2"/>
  <c r="F11" i="2" s="1"/>
  <c r="D10" i="2"/>
  <c r="F10" i="2" s="1"/>
  <c r="D9" i="2"/>
  <c r="F9" i="2" s="1"/>
  <c r="D8" i="2"/>
  <c r="F8" i="2" s="1"/>
  <c r="D7" i="2"/>
  <c r="F7" i="2" s="1"/>
  <c r="D6" i="2"/>
  <c r="F6" i="2" s="1"/>
  <c r="D5" i="2"/>
  <c r="F5" i="2" s="1"/>
  <c r="G8" i="2" l="1"/>
  <c r="I8" i="2" s="1"/>
  <c r="H8" i="2"/>
  <c r="G10" i="2"/>
  <c r="H10" i="2"/>
  <c r="G6" i="2"/>
  <c r="I6" i="2" s="1"/>
  <c r="H6" i="2"/>
  <c r="H7" i="2"/>
  <c r="I7" i="2" s="1"/>
  <c r="G7" i="2"/>
  <c r="G9" i="2"/>
  <c r="H9" i="2"/>
  <c r="I9" i="2" s="1"/>
  <c r="G11" i="2"/>
  <c r="I11" i="2" s="1"/>
  <c r="H11" i="2"/>
  <c r="H5" i="2"/>
  <c r="G5" i="2"/>
  <c r="I5" i="2" s="1"/>
  <c r="G12" i="2"/>
  <c r="H12" i="2"/>
  <c r="F19" i="1"/>
  <c r="H19" i="1" s="1"/>
  <c r="F17" i="1"/>
  <c r="F16" i="1"/>
  <c r="H16" i="1" s="1"/>
  <c r="D31" i="1"/>
  <c r="F31" i="1" s="1"/>
  <c r="D30" i="1"/>
  <c r="F30" i="1" s="1"/>
  <c r="D29" i="1"/>
  <c r="F29" i="1" s="1"/>
  <c r="D28" i="1"/>
  <c r="F28" i="1" s="1"/>
  <c r="G28" i="1" s="1"/>
  <c r="D27" i="1"/>
  <c r="F27" i="1" s="1"/>
  <c r="D19" i="1"/>
  <c r="D17" i="1"/>
  <c r="D16" i="1"/>
  <c r="D15" i="1"/>
  <c r="F15" i="1" s="1"/>
  <c r="D11" i="1"/>
  <c r="F11" i="1" s="1"/>
  <c r="D10" i="1"/>
  <c r="F10" i="1" s="1"/>
  <c r="I12" i="2" l="1"/>
  <c r="F13" i="2"/>
  <c r="I10" i="2"/>
  <c r="I13" i="2" s="1"/>
  <c r="H11" i="1"/>
  <c r="G11" i="1"/>
  <c r="H15" i="1"/>
  <c r="G15" i="1"/>
  <c r="I15" i="1" s="1"/>
  <c r="H30" i="1"/>
  <c r="G30" i="1"/>
  <c r="H27" i="1"/>
  <c r="G27" i="1"/>
  <c r="H10" i="1"/>
  <c r="G10" i="1"/>
  <c r="G29" i="1"/>
  <c r="H29" i="1"/>
  <c r="G16" i="1"/>
  <c r="I16" i="1" s="1"/>
  <c r="G17" i="1"/>
  <c r="H17" i="1"/>
  <c r="G19" i="1"/>
  <c r="I19" i="1" s="1"/>
  <c r="H28" i="1"/>
  <c r="I28" i="1" s="1"/>
  <c r="G31" i="1"/>
  <c r="H31" i="1"/>
  <c r="I17" i="1" l="1"/>
  <c r="I10" i="1"/>
  <c r="I11" i="1"/>
  <c r="I30" i="1"/>
  <c r="F20" i="1"/>
  <c r="I29" i="1"/>
  <c r="I27" i="1"/>
  <c r="I31" i="1"/>
  <c r="I20" i="1"/>
  <c r="F34" i="1"/>
  <c r="F35" i="1" l="1"/>
  <c r="K35" i="1" s="1"/>
  <c r="I34" i="1"/>
  <c r="I35" i="1" s="1"/>
  <c r="I37" i="1" s="1"/>
</calcChain>
</file>

<file path=xl/sharedStrings.xml><?xml version="1.0" encoding="utf-8"?>
<sst xmlns="http://schemas.openxmlformats.org/spreadsheetml/2006/main" count="154" uniqueCount="125">
  <si>
    <t>(A)</t>
  </si>
  <si>
    <t xml:space="preserve">Respondent Hours per Occurrence  </t>
  </si>
  <si>
    <t>(B)</t>
  </si>
  <si>
    <t>Number of Occurrences per Respondent per Year</t>
  </si>
  <si>
    <t>(C)</t>
  </si>
  <si>
    <t>(D)</t>
  </si>
  <si>
    <t>(F)</t>
  </si>
  <si>
    <t>(H)</t>
  </si>
  <si>
    <t>1. Applications</t>
  </si>
  <si>
    <t>N/A</t>
  </si>
  <si>
    <t>2. Survey and Studies</t>
  </si>
  <si>
    <t>3. Reporting Requirements</t>
  </si>
  <si>
    <t>B. Required activities</t>
  </si>
  <si>
    <t>D. Gather Existing Information</t>
  </si>
  <si>
    <t xml:space="preserve">E. Write report </t>
  </si>
  <si>
    <t>Notification of actual startup</t>
  </si>
  <si>
    <t>Notification of initial performance test</t>
  </si>
  <si>
    <t>Reports of performance test results</t>
  </si>
  <si>
    <t>4. Recording Requirements</t>
  </si>
  <si>
    <t>B. Plan activities</t>
  </si>
  <si>
    <t>C. Implement activities</t>
  </si>
  <si>
    <t>D. Develop record system</t>
  </si>
  <si>
    <t>E. Time to enter and transmit information:</t>
  </si>
  <si>
    <t>F. Time to train personnel</t>
  </si>
  <si>
    <t>G. Time for audits</t>
  </si>
  <si>
    <t xml:space="preserve">Table 1: Annual Respondent Burden and Cost – NSPS for Steel Plants: Electric Arc Furnaces and Argon Oxygen Decarburization Vessels (40 CFR Part 60, Subparts AA and AAa) (Renewal)
</t>
  </si>
  <si>
    <t>Hours per Respondent per Year
(A x B)</t>
  </si>
  <si>
    <t xml:space="preserve">(E)            </t>
  </si>
  <si>
    <t>Technical Hours per Year
(C x D)</t>
  </si>
  <si>
    <t>Management Hours per Year
(E x 0.05)</t>
  </si>
  <si>
    <t>(G)</t>
  </si>
  <si>
    <t>Clerical Hours per Year              (Ex0.1)</t>
  </si>
  <si>
    <t>Assumptions:</t>
  </si>
  <si>
    <t xml:space="preserve">EPA Hours per Occurrence  </t>
  </si>
  <si>
    <t xml:space="preserve">(C)    </t>
  </si>
  <si>
    <t xml:space="preserve">(D)    </t>
  </si>
  <si>
    <t xml:space="preserve">(E)    </t>
  </si>
  <si>
    <t xml:space="preserve">(F)  </t>
  </si>
  <si>
    <t xml:space="preserve">(H)  </t>
  </si>
  <si>
    <t>Notification of construction/modification</t>
  </si>
  <si>
    <t>Initial performance test</t>
  </si>
  <si>
    <t>Notification of COMS Demonstration</t>
  </si>
  <si>
    <t xml:space="preserve">Semiannual reports </t>
  </si>
  <si>
    <t>Table 2: Average Annual EPA Burden and Cost – NSPS for Steel Plants: Electric Arc Furnaces and Argon Oxygen Decarburization Vessels (40 CFR Part 60, Subparts AA and AAa) (Renewal)</t>
  </si>
  <si>
    <t>Assumptions</t>
  </si>
  <si>
    <t>Number of Occurrences per Plant Per Year</t>
  </si>
  <si>
    <t>EPA Hours per Year
(AxB)</t>
  </si>
  <si>
    <t xml:space="preserve">          Management Hours per Year
(Ex0.05)</t>
  </si>
  <si>
    <t>Clerical Hours per Year
(Ex0.1)</t>
  </si>
  <si>
    <t>Technical Hours per Year 
(CxD)</t>
  </si>
  <si>
    <t>A. Read and understand rule requirements</t>
  </si>
  <si>
    <t>Subtotal for Recordkeeping Requirements</t>
  </si>
  <si>
    <t>------------------------See 3B----------------------------</t>
  </si>
  <si>
    <t>------------------------See 3A----------------------------</t>
  </si>
  <si>
    <t>------------------------See 4E----------------------------</t>
  </si>
  <si>
    <t>-------------------See 3B and 4E-----------------------</t>
  </si>
  <si>
    <t>hr/response</t>
  </si>
  <si>
    <t>Labor Rates:</t>
  </si>
  <si>
    <t>Management</t>
  </si>
  <si>
    <t>Technical</t>
  </si>
  <si>
    <t>Clerical</t>
  </si>
  <si>
    <t>Burden Item</t>
  </si>
  <si>
    <t>Activity</t>
  </si>
  <si>
    <r>
      <t xml:space="preserve">Total Capital and O&amp;M Cost (rounded) </t>
    </r>
    <r>
      <rPr>
        <b/>
        <vertAlign val="superscript"/>
        <sz val="10"/>
        <rFont val="Times New Roman"/>
        <family val="1"/>
      </rPr>
      <t>j</t>
    </r>
  </si>
  <si>
    <r>
      <t xml:space="preserve">Grand Total (rounded) </t>
    </r>
    <r>
      <rPr>
        <b/>
        <vertAlign val="superscript"/>
        <sz val="10"/>
        <rFont val="Times New Roman"/>
        <family val="1"/>
      </rPr>
      <t>j</t>
    </r>
  </si>
  <si>
    <t>Capital/Startup vs. Operation and Maintenance (O&amp;M) Costs</t>
  </si>
  <si>
    <t>Continuous Monitoring Device</t>
  </si>
  <si>
    <t>Capital/Startup Cost for One Respondent</t>
  </si>
  <si>
    <t>Number of New Respondents</t>
  </si>
  <si>
    <t>(E)</t>
  </si>
  <si>
    <t>Annual O&amp;M Costs for One Respondent</t>
  </si>
  <si>
    <t>Number of Respondents with O&amp;M</t>
  </si>
  <si>
    <t>Total O&amp;M,</t>
  </si>
  <si>
    <t>(E X F)</t>
  </si>
  <si>
    <t>Continuous Opacity Monitors</t>
  </si>
  <si>
    <t>Furnace Static Pressure Monitors</t>
  </si>
  <si>
    <t>Volumetric Flow Rate Monitor</t>
  </si>
  <si>
    <t>TOTAL</t>
  </si>
  <si>
    <t xml:space="preserve">Total Capital/Startup Cost, </t>
  </si>
  <si>
    <t>(B X C)</t>
  </si>
  <si>
    <t>Total Annual Responses</t>
  </si>
  <si>
    <t>Information Collection Activity</t>
  </si>
  <si>
    <t>Number of Respondents</t>
  </si>
  <si>
    <t>Number of Responses</t>
  </si>
  <si>
    <t>Number of Existing Respondents That Keep Records But Do Not Submit Reports</t>
  </si>
  <si>
    <r>
      <t>Notification of construction/ modification</t>
    </r>
    <r>
      <rPr>
        <vertAlign val="superscript"/>
        <sz val="10"/>
        <color theme="1"/>
        <rFont val="Times New Roman"/>
        <family val="1"/>
      </rPr>
      <t xml:space="preserve"> </t>
    </r>
  </si>
  <si>
    <t xml:space="preserve">Notification of performance test </t>
  </si>
  <si>
    <t>Semiannual reports</t>
  </si>
  <si>
    <t>Total</t>
  </si>
  <si>
    <t>Total Annual Responses E=(BxC)+D</t>
  </si>
  <si>
    <t>responses</t>
  </si>
  <si>
    <t>Rounded</t>
  </si>
  <si>
    <r>
      <t xml:space="preserve">Number of Respondents per Year </t>
    </r>
    <r>
      <rPr>
        <b/>
        <vertAlign val="superscript"/>
        <sz val="10"/>
        <rFont val="Times New Roman"/>
        <family val="1"/>
      </rPr>
      <t>a</t>
    </r>
  </si>
  <si>
    <r>
      <t xml:space="preserve">Total Labor Costs per Year, $ </t>
    </r>
    <r>
      <rPr>
        <b/>
        <vertAlign val="superscript"/>
        <sz val="10"/>
        <rFont val="Times New Roman"/>
        <family val="1"/>
      </rPr>
      <t>b</t>
    </r>
  </si>
  <si>
    <r>
      <t xml:space="preserve">Initial Performance tests </t>
    </r>
    <r>
      <rPr>
        <vertAlign val="superscript"/>
        <sz val="10"/>
        <rFont val="Times New Roman"/>
        <family val="1"/>
      </rPr>
      <t>c</t>
    </r>
  </si>
  <si>
    <r>
      <t xml:space="preserve">Repeat Performance tests </t>
    </r>
    <r>
      <rPr>
        <vertAlign val="superscript"/>
        <sz val="10"/>
        <rFont val="Times New Roman"/>
        <family val="1"/>
      </rPr>
      <t>c</t>
    </r>
  </si>
  <si>
    <r>
      <t xml:space="preserve">Monitoring of operations and emissions </t>
    </r>
    <r>
      <rPr>
        <vertAlign val="superscript"/>
        <sz val="10"/>
        <rFont val="Times New Roman"/>
        <family val="1"/>
      </rPr>
      <t>d, e</t>
    </r>
  </si>
  <si>
    <r>
      <t xml:space="preserve">Semiannual reports </t>
    </r>
    <r>
      <rPr>
        <vertAlign val="superscript"/>
        <sz val="10"/>
        <rFont val="Times New Roman"/>
        <family val="1"/>
      </rPr>
      <t>f</t>
    </r>
  </si>
  <si>
    <r>
      <t>Subtotal for Reporting</t>
    </r>
    <r>
      <rPr>
        <i/>
        <sz val="10"/>
        <rFont val="Times New Roman"/>
        <family val="1"/>
      </rPr>
      <t> </t>
    </r>
    <r>
      <rPr>
        <b/>
        <i/>
        <sz val="10"/>
        <rFont val="Times New Roman"/>
        <family val="1"/>
      </rPr>
      <t>Requirements</t>
    </r>
  </si>
  <si>
    <r>
      <t xml:space="preserve">      Records of daily monitoring of operations </t>
    </r>
    <r>
      <rPr>
        <vertAlign val="superscript"/>
        <sz val="10"/>
        <rFont val="Times New Roman"/>
        <family val="1"/>
      </rPr>
      <t>d</t>
    </r>
  </si>
  <si>
    <r>
      <t xml:space="preserve">Records of daily emissions monitoring by a certified observer  </t>
    </r>
    <r>
      <rPr>
        <vertAlign val="superscript"/>
        <sz val="10"/>
        <rFont val="Times New Roman"/>
        <family val="1"/>
      </rPr>
      <t>e, h</t>
    </r>
  </si>
  <si>
    <r>
      <t xml:space="preserve">Records of COMS </t>
    </r>
    <r>
      <rPr>
        <vertAlign val="superscript"/>
        <sz val="10"/>
        <rFont val="Times New Roman"/>
        <family val="1"/>
      </rPr>
      <t>g, i</t>
    </r>
  </si>
  <si>
    <r>
      <t xml:space="preserve">Records of BLDS </t>
    </r>
    <r>
      <rPr>
        <vertAlign val="superscript"/>
        <sz val="10"/>
        <rFont val="Times New Roman"/>
        <family val="1"/>
      </rPr>
      <t>h,  i</t>
    </r>
  </si>
  <si>
    <r>
      <t xml:space="preserve">Records of static pressure on furnace  </t>
    </r>
    <r>
      <rPr>
        <vertAlign val="superscript"/>
        <sz val="10"/>
        <rFont val="Times New Roman"/>
        <family val="1"/>
      </rPr>
      <t>h</t>
    </r>
  </si>
  <si>
    <r>
      <t xml:space="preserve">Total Labor Burden and Cost (rounded) </t>
    </r>
    <r>
      <rPr>
        <b/>
        <vertAlign val="superscript"/>
        <sz val="10"/>
        <rFont val="Times New Roman"/>
        <family val="1"/>
      </rPr>
      <t>j</t>
    </r>
  </si>
  <si>
    <r>
      <t>a</t>
    </r>
    <r>
      <rPr>
        <sz val="10"/>
        <rFont val="Times New Roman"/>
        <family val="1"/>
      </rPr>
      <t xml:space="preserve">  We have assumed that there are an annual average of 100.33 sources currently subject to the NSPS, subparts AA and AAa. We have further assumed that one minimill will become subject to the standard over the three-year period of this ICR (0.33 new respondents per year). Therefore, the average number of respondents per year is estimated to be 100.66.</t>
    </r>
  </si>
  <si>
    <r>
      <t>b</t>
    </r>
    <r>
      <rPr>
        <sz val="10"/>
        <rFont val="Times New Roman"/>
        <family val="1"/>
      </rPr>
      <t xml:space="preserve">  This ICR uses the following labor rates: $147.40 per hour for Executive, Administrative, and Managerial labor; $117.92 per hour for Technical labor, and $57.02 per hour for Clerical labor.  These rates are from the United States Department of Labor, Bureau of Labor Statistics, June 2018, “Table 2. Civilian Workers, by Occupational and Industry group.”  The rates are from column 1, “Total Compensation.”  The rates have been increased by 110% to account for the benefit packages available to those employed by private industry.</t>
    </r>
  </si>
  <si>
    <r>
      <t xml:space="preserve">c </t>
    </r>
    <r>
      <rPr>
        <sz val="10"/>
        <rFont val="Times New Roman"/>
        <family val="1"/>
      </rPr>
      <t xml:space="preserve"> We have assumed that existing sources are in compliance with initial rule requirements including the initial performance test and notification requirements.  We have assumed that 5 percent of the sources would repeat performance tests due to failure.</t>
    </r>
  </si>
  <si>
    <r>
      <t>d</t>
    </r>
    <r>
      <rPr>
        <sz val="10"/>
        <rFont val="Times New Roman"/>
        <family val="1"/>
      </rPr>
      <t xml:space="preserve">  Daily monitoring of operations includes time and duration of each charge, time and duration of each tap, flow rate data and pressure data.  In addition, sources are required to conduct monthly operational status checks of the equipment (e.g., physical appearance, pressure sensors, dampers, damper switches).</t>
    </r>
  </si>
  <si>
    <r>
      <t>e</t>
    </r>
    <r>
      <rPr>
        <sz val="10"/>
        <rFont val="Times New Roman"/>
        <family val="1"/>
      </rPr>
      <t xml:space="preserve">  Daily emissions monitoring includes stack emissions monitoring using a continuous opacity monitor if the source has an EAF equipped with a direct shell evacuation system (DEC) and uses a negative pressure baghouse and has not elected the alternative option.  In addition, the source is required to conduct fugitive emissions monitoring using a furnace static pressure monitoring device or by electing to perform shop opacity observations using a certified visible emissions observer, it the source has an EAF equipped with a DEC.</t>
    </r>
  </si>
  <si>
    <r>
      <t>f</t>
    </r>
    <r>
      <rPr>
        <sz val="10"/>
        <rFont val="Times New Roman"/>
        <family val="1"/>
      </rPr>
      <t xml:space="preserve">  Sources are required to provide semiannual reports of opacity observations and operational values (i.e., furnace static pressure, fan motor amperes) that exceed or are below (i.e, flow rates) those established during the performance test, and of all shop opacity observations in excess of the emission limit.</t>
    </r>
  </si>
  <si>
    <r>
      <t>g</t>
    </r>
    <r>
      <rPr>
        <sz val="10"/>
        <rFont val="Times New Roman"/>
        <family val="1"/>
      </rPr>
      <t xml:space="preserve">   We have assumed that the new source will equipped its EAFs with a DEC system and use a positive pressure baghouse, and therefore, will not be required to install a continuous opacity monitor (COMS).</t>
    </r>
  </si>
  <si>
    <r>
      <t xml:space="preserve">h </t>
    </r>
    <r>
      <rPr>
        <sz val="10"/>
        <rFont val="Times New Roman"/>
        <family val="1"/>
      </rPr>
      <t xml:space="preserve"> We have assumed that approximately 51.7 percent of the respondents (or 52.04 respondents) will choose to comply with the fugitive emissions monitoring requirements by measuring the furnace static pressure continuously and 48.3 percent (48.62 respondents) will choose the alternative option of daily opacity shop observations by a certified visible emission observer couple with the use of bag leak detection systems (BLDS).</t>
    </r>
  </si>
  <si>
    <r>
      <t xml:space="preserve">i </t>
    </r>
    <r>
      <rPr>
        <sz val="10"/>
        <rFont val="Times New Roman"/>
        <family val="1"/>
      </rPr>
      <t xml:space="preserve"> We have assumed that approximately 40 percent of respondents use negative pressure baghouses.  Of these, 66.6 percent (26.82 respondents) use COMS to measure stack emissions and 33.3 percent (13.45 respondents) have elected to use the alternative option of using BLDS monitoring couple with visible emissions observations instead of using COMS.</t>
    </r>
  </si>
  <si>
    <r>
      <t xml:space="preserve">j </t>
    </r>
    <r>
      <rPr>
        <sz val="10"/>
        <rFont val="Times New Roman"/>
        <family val="1"/>
      </rPr>
      <t xml:space="preserve">Totals have been rounded to 3 significant figures.  Figures may not add exactly due to rounding. </t>
    </r>
  </si>
  <si>
    <r>
      <t xml:space="preserve">Plants per Year </t>
    </r>
    <r>
      <rPr>
        <b/>
        <vertAlign val="superscript"/>
        <sz val="10"/>
        <rFont val="Times New Roman"/>
        <family val="1"/>
      </rPr>
      <t>a</t>
    </r>
  </si>
  <si>
    <r>
      <t xml:space="preserve">Costs per Year, $ </t>
    </r>
    <r>
      <rPr>
        <b/>
        <vertAlign val="superscript"/>
        <sz val="10"/>
        <rFont val="Times New Roman"/>
        <family val="1"/>
      </rPr>
      <t>b</t>
    </r>
  </si>
  <si>
    <r>
      <t xml:space="preserve">Notification of performance test </t>
    </r>
    <r>
      <rPr>
        <vertAlign val="superscript"/>
        <sz val="10"/>
        <rFont val="Times New Roman"/>
        <family val="1"/>
      </rPr>
      <t>c</t>
    </r>
  </si>
  <si>
    <r>
      <t xml:space="preserve">Repeat Performance test </t>
    </r>
    <r>
      <rPr>
        <vertAlign val="superscript"/>
        <sz val="10"/>
        <rFont val="Times New Roman"/>
        <family val="1"/>
      </rPr>
      <t>c</t>
    </r>
  </si>
  <si>
    <r>
      <t xml:space="preserve">Review Performance Test results </t>
    </r>
    <r>
      <rPr>
        <vertAlign val="superscript"/>
        <sz val="10"/>
        <rFont val="Times New Roman"/>
        <family val="1"/>
      </rPr>
      <t>c</t>
    </r>
  </si>
  <si>
    <r>
      <t>TOTAL (rounded)</t>
    </r>
    <r>
      <rPr>
        <b/>
        <vertAlign val="superscript"/>
        <sz val="10"/>
        <rFont val="Times New Roman"/>
        <family val="1"/>
      </rPr>
      <t>d</t>
    </r>
  </si>
  <si>
    <r>
      <t>a</t>
    </r>
    <r>
      <rPr>
        <sz val="10"/>
        <rFont val="Times New Roman"/>
        <family val="1"/>
      </rPr>
      <t xml:space="preserve">  We have assumed that there are an annual average of 100.33 sources currently subject to the NSPS, subparts AA and AAa.   We have further assumed that one minimill will become subject to the standard over the three-year period of this ICR (0.33 new respondents per year). Therefore, the average number of respondents per year is estimated to be 100.66.</t>
    </r>
  </si>
  <si>
    <r>
      <t>b</t>
    </r>
    <r>
      <rPr>
        <sz val="10"/>
        <rFont val="Times New Roman"/>
        <family val="1"/>
      </rPr>
      <t xml:space="preserve">  This cost is based on the following labor rates which incorporates a 1.6 benefits multiplication factor to account for government overhead expenses:  Managerial rate of $65.71 (GS-13, Step 5, $41.07 + 60%), Technical rate of $48.75 (GS-12, Step 1, $30.47 + 60%), and Clerical rate of $26.38 (GS-6, Step 3, $16.49 + 60%).  These rates are from the Office of Personnel Management (OPM) “2018 General Schedule” which excludes locality rates of pay. </t>
    </r>
  </si>
  <si>
    <r>
      <t xml:space="preserve">c  </t>
    </r>
    <r>
      <rPr>
        <sz val="10"/>
        <rFont val="Times New Roman"/>
        <family val="1"/>
      </rPr>
      <t>We have assumed that 5 percent of the sources would repeat performance tests due to failure.</t>
    </r>
  </si>
  <si>
    <r>
      <t xml:space="preserve">d </t>
    </r>
    <r>
      <rPr>
        <sz val="10"/>
        <rFont val="Times New Roman"/>
        <family val="1"/>
      </rPr>
      <t xml:space="preserve">Totals have been rounded to 3 significant figures.  Figures may not add exactly due to rounding.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</si>
</sst>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8" formatCode="&quot;$&quot;#,##0.00_);[Red]\(&quot;$&quot;#,##0.00\)"/>
    <numFmt numFmtId="164" formatCode="&quot;$&quot;#,##0.00"/>
    <numFmt numFmtId="165" formatCode="0.0"/>
  </numFmts>
  <fonts count="19" x14ac:knownFonts="1">
    <font>
      <sz val="11"/>
      <color theme="1"/>
      <name val="Calibri"/>
      <family val="2"/>
      <scheme val="minor"/>
    </font>
    <font>
      <sz val="10"/>
      <color theme="1"/>
      <name val="Times New Roman"/>
      <family val="1"/>
    </font>
    <font>
      <b/>
      <sz val="10"/>
      <color theme="1"/>
      <name val="Times New Roman"/>
      <family val="1"/>
    </font>
    <font>
      <vertAlign val="superscript"/>
      <sz val="10"/>
      <color theme="1"/>
      <name val="Times New Roman"/>
      <family val="1"/>
    </font>
    <font>
      <b/>
      <sz val="10"/>
      <name val="Times New Roman"/>
      <family val="1"/>
    </font>
    <font>
      <b/>
      <vertAlign val="superscript"/>
      <sz val="10"/>
      <name val="Times New Roman"/>
      <family val="1"/>
    </font>
    <font>
      <sz val="11"/>
      <color theme="1"/>
      <name val="Times New Roman"/>
      <family val="1"/>
    </font>
    <font>
      <sz val="10"/>
      <name val="Times New Roman"/>
      <family val="1"/>
    </font>
    <font>
      <b/>
      <sz val="12"/>
      <color theme="1"/>
      <name val="Times New Roman"/>
      <family val="1"/>
    </font>
    <font>
      <sz val="10"/>
      <color rgb="FFFF0000"/>
      <name val="Times New Roman"/>
      <family val="1"/>
    </font>
    <font>
      <sz val="12"/>
      <color theme="1"/>
      <name val="Times New Roman"/>
      <family val="1"/>
    </font>
    <font>
      <b/>
      <sz val="9"/>
      <color theme="1"/>
      <name val="Times New Roman"/>
      <family val="1"/>
    </font>
    <font>
      <sz val="9"/>
      <color theme="1"/>
      <name val="Times New Roman"/>
      <family val="1"/>
    </font>
    <font>
      <b/>
      <sz val="12"/>
      <name val="Times New Roman"/>
      <family val="1"/>
    </font>
    <font>
      <sz val="11"/>
      <name val="Times New Roman"/>
      <family val="1"/>
    </font>
    <font>
      <vertAlign val="superscript"/>
      <sz val="10"/>
      <name val="Times New Roman"/>
      <family val="1"/>
    </font>
    <font>
      <b/>
      <i/>
      <sz val="10"/>
      <name val="Times New Roman"/>
      <family val="1"/>
    </font>
    <font>
      <i/>
      <sz val="10"/>
      <name val="Times New Roman"/>
      <family val="1"/>
    </font>
    <font>
      <u/>
      <sz val="10"/>
      <name val="Times New Roman"/>
      <family val="1"/>
    </font>
  </fonts>
  <fills count="2">
    <fill>
      <patternFill patternType="none"/>
    </fill>
    <fill>
      <patternFill patternType="gray125"/>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s>
  <cellStyleXfs count="1">
    <xf numFmtId="0" fontId="0" fillId="0" borderId="0"/>
  </cellStyleXfs>
  <cellXfs count="89">
    <xf numFmtId="0" fontId="0" fillId="0" borderId="0" xfId="0"/>
    <xf numFmtId="0" fontId="1" fillId="0" borderId="0" xfId="0" applyFont="1"/>
    <xf numFmtId="0" fontId="1" fillId="0" borderId="1" xfId="0" applyFont="1" applyBorder="1" applyAlignment="1">
      <alignment horizontal="center" vertical="center" wrapText="1"/>
    </xf>
    <xf numFmtId="0" fontId="1" fillId="0" borderId="1" xfId="0" applyFont="1" applyBorder="1" applyAlignment="1">
      <alignment vertical="center" wrapText="1"/>
    </xf>
    <xf numFmtId="0" fontId="2" fillId="0" borderId="1" xfId="0" applyFont="1" applyBorder="1" applyAlignment="1">
      <alignment horizontal="center" vertical="center" wrapText="1"/>
    </xf>
    <xf numFmtId="0" fontId="3" fillId="0" borderId="0" xfId="0" applyFont="1" applyAlignment="1">
      <alignment vertical="center" wrapText="1"/>
    </xf>
    <xf numFmtId="0" fontId="1" fillId="0" borderId="0" xfId="0" applyFont="1" applyAlignment="1">
      <alignment vertical="center" wrapText="1"/>
    </xf>
    <xf numFmtId="0" fontId="4" fillId="0" borderId="0" xfId="0" applyFont="1" applyAlignment="1">
      <alignment horizontal="left"/>
    </xf>
    <xf numFmtId="2" fontId="1" fillId="0" borderId="1" xfId="0" applyNumberFormat="1" applyFont="1" applyBorder="1" applyAlignment="1">
      <alignment horizontal="center" vertical="center" wrapText="1"/>
    </xf>
    <xf numFmtId="0" fontId="6" fillId="0" borderId="0" xfId="0" applyFont="1"/>
    <xf numFmtId="0" fontId="7" fillId="0" borderId="1" xfId="0" applyFont="1" applyBorder="1"/>
    <xf numFmtId="164" fontId="1" fillId="0" borderId="1" xfId="0" applyNumberFormat="1" applyFont="1" applyBorder="1"/>
    <xf numFmtId="165" fontId="1" fillId="0" borderId="1" xfId="0" applyNumberFormat="1" applyFont="1" applyBorder="1" applyAlignment="1">
      <alignment horizontal="center" vertical="center" wrapText="1"/>
    </xf>
    <xf numFmtId="6" fontId="1" fillId="0" borderId="1" xfId="0" applyNumberFormat="1" applyFont="1" applyBorder="1" applyAlignment="1">
      <alignment horizontal="center" vertical="center" wrapText="1"/>
    </xf>
    <xf numFmtId="0" fontId="1" fillId="0" borderId="1" xfId="0" applyFont="1" applyBorder="1" applyAlignment="1">
      <alignment vertical="top" wrapText="1"/>
    </xf>
    <xf numFmtId="0" fontId="1" fillId="0" borderId="1" xfId="0" applyFont="1" applyBorder="1" applyAlignment="1">
      <alignment horizontal="center" vertical="top" wrapText="1"/>
    </xf>
    <xf numFmtId="0" fontId="9" fillId="0" borderId="0" xfId="0" applyFont="1"/>
    <xf numFmtId="6" fontId="1" fillId="0" borderId="0" xfId="0" applyNumberFormat="1" applyFont="1"/>
    <xf numFmtId="0" fontId="11"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12" fillId="0" borderId="1" xfId="0" applyFont="1" applyBorder="1" applyAlignment="1">
      <alignment vertical="center" wrapText="1"/>
    </xf>
    <xf numFmtId="0" fontId="12" fillId="0" borderId="3" xfId="0" applyFont="1" applyBorder="1" applyAlignment="1">
      <alignment vertical="center" wrapText="1"/>
    </xf>
    <xf numFmtId="1" fontId="1" fillId="0" borderId="1" xfId="0" applyNumberFormat="1" applyFont="1" applyBorder="1" applyAlignment="1">
      <alignment horizontal="center" vertical="center" wrapText="1"/>
    </xf>
    <xf numFmtId="0" fontId="1" fillId="0" borderId="0" xfId="0" applyFont="1" applyAlignment="1">
      <alignment horizontal="right"/>
    </xf>
    <xf numFmtId="0" fontId="14" fillId="0" borderId="0" xfId="0" applyFont="1"/>
    <xf numFmtId="0" fontId="7" fillId="0" borderId="0" xfId="0" applyFont="1"/>
    <xf numFmtId="0" fontId="4" fillId="0" borderId="1" xfId="0" applyFont="1" applyBorder="1" applyAlignment="1">
      <alignment horizontal="center" vertical="center" wrapText="1"/>
    </xf>
    <xf numFmtId="0" fontId="7" fillId="0" borderId="1" xfId="0" applyFont="1" applyBorder="1" applyAlignment="1">
      <alignment vertical="center"/>
    </xf>
    <xf numFmtId="0" fontId="7" fillId="0" borderId="1" xfId="0" applyFont="1" applyBorder="1" applyAlignment="1">
      <alignment horizontal="center" vertical="center" wrapText="1"/>
    </xf>
    <xf numFmtId="0" fontId="7" fillId="0" borderId="1" xfId="0" applyFont="1" applyBorder="1" applyAlignment="1">
      <alignment vertical="center" wrapText="1"/>
    </xf>
    <xf numFmtId="164" fontId="7" fillId="0" borderId="1" xfId="0" applyNumberFormat="1" applyFont="1" applyBorder="1"/>
    <xf numFmtId="0" fontId="7" fillId="0" borderId="1" xfId="0" applyFont="1" applyBorder="1" applyAlignment="1">
      <alignment horizontal="right" vertical="center" wrapText="1"/>
    </xf>
    <xf numFmtId="0" fontId="7" fillId="0" borderId="1" xfId="0" applyFont="1" applyBorder="1" applyAlignment="1">
      <alignment horizontal="left" vertical="center" indent="1"/>
    </xf>
    <xf numFmtId="2" fontId="7" fillId="0" borderId="1" xfId="0" applyNumberFormat="1" applyFont="1" applyBorder="1" applyAlignment="1">
      <alignment horizontal="center" vertical="center" wrapText="1"/>
    </xf>
    <xf numFmtId="8" fontId="7" fillId="0" borderId="1" xfId="0" applyNumberFormat="1" applyFont="1" applyBorder="1" applyAlignment="1">
      <alignment horizontal="right" vertical="center" wrapText="1"/>
    </xf>
    <xf numFmtId="0" fontId="7" fillId="0" borderId="1" xfId="0" applyFont="1" applyBorder="1" applyAlignment="1">
      <alignment horizontal="left" vertical="center" indent="2"/>
    </xf>
    <xf numFmtId="0" fontId="7" fillId="0" borderId="1" xfId="0" applyFont="1" applyBorder="1" applyAlignment="1">
      <alignment horizontal="center" vertical="center"/>
    </xf>
    <xf numFmtId="0" fontId="16" fillId="0" borderId="1" xfId="0" applyFont="1" applyBorder="1" applyAlignment="1">
      <alignment vertical="center"/>
    </xf>
    <xf numFmtId="0" fontId="17" fillId="0" borderId="1" xfId="0" applyFont="1" applyBorder="1" applyAlignment="1">
      <alignment horizontal="center" vertical="center" wrapText="1"/>
    </xf>
    <xf numFmtId="0" fontId="16" fillId="0" borderId="1" xfId="0" applyFont="1" applyBorder="1" applyAlignment="1">
      <alignment horizontal="center" vertical="center" wrapText="1"/>
    </xf>
    <xf numFmtId="6" fontId="16" fillId="0" borderId="1" xfId="0" applyNumberFormat="1" applyFont="1" applyBorder="1" applyAlignment="1">
      <alignment horizontal="right" vertical="center" wrapText="1"/>
    </xf>
    <xf numFmtId="0" fontId="7" fillId="0" borderId="1" xfId="0" applyFont="1" applyBorder="1" applyAlignment="1">
      <alignment horizontal="left" vertical="center" wrapText="1" indent="2"/>
    </xf>
    <xf numFmtId="2" fontId="7" fillId="0" borderId="0" xfId="0" applyNumberFormat="1" applyFont="1"/>
    <xf numFmtId="1" fontId="7" fillId="0" borderId="0" xfId="0" applyNumberFormat="1" applyFont="1"/>
    <xf numFmtId="0" fontId="4" fillId="0" borderId="1" xfId="0" applyFont="1" applyBorder="1" applyAlignment="1">
      <alignment vertical="center" wrapText="1"/>
    </xf>
    <xf numFmtId="6" fontId="4" fillId="0" borderId="1" xfId="0" applyNumberFormat="1" applyFont="1" applyBorder="1" applyAlignment="1">
      <alignment horizontal="right" vertical="center" wrapText="1"/>
    </xf>
    <xf numFmtId="6" fontId="4" fillId="0" borderId="1" xfId="0" applyNumberFormat="1" applyFont="1" applyBorder="1" applyAlignment="1">
      <alignment vertical="center" wrapText="1"/>
    </xf>
    <xf numFmtId="0" fontId="18" fillId="0" borderId="0" xfId="0" applyFont="1"/>
    <xf numFmtId="0" fontId="7" fillId="0" borderId="0" xfId="0" applyFont="1" applyAlignment="1">
      <alignment horizontal="left"/>
    </xf>
    <xf numFmtId="6" fontId="4" fillId="0" borderId="0" xfId="0" applyNumberFormat="1" applyFont="1" applyAlignment="1">
      <alignment horizontal="right" vertical="center" wrapText="1" indent="1"/>
    </xf>
    <xf numFmtId="0" fontId="4" fillId="0" borderId="0" xfId="0" applyFont="1" applyAlignment="1">
      <alignment vertical="center"/>
    </xf>
    <xf numFmtId="0" fontId="15" fillId="0" borderId="0" xfId="0" applyFont="1" applyAlignment="1">
      <alignment vertical="center" wrapText="1"/>
    </xf>
    <xf numFmtId="0" fontId="7" fillId="0" borderId="0" xfId="0" applyFont="1" applyAlignment="1">
      <alignment vertical="center" wrapText="1"/>
    </xf>
    <xf numFmtId="0" fontId="7" fillId="0" borderId="0" xfId="0" applyFont="1" applyAlignment="1">
      <alignment wrapText="1"/>
    </xf>
    <xf numFmtId="6" fontId="7" fillId="0" borderId="1" xfId="0" applyNumberFormat="1" applyFont="1" applyBorder="1" applyAlignment="1">
      <alignment horizontal="center" vertical="center" wrapText="1"/>
    </xf>
    <xf numFmtId="0" fontId="4" fillId="0" borderId="1" xfId="0" applyFont="1" applyBorder="1" applyAlignment="1">
      <alignment horizontal="center" vertical="center"/>
    </xf>
    <xf numFmtId="2" fontId="7" fillId="0" borderId="1" xfId="0" applyNumberFormat="1" applyFont="1" applyBorder="1" applyAlignment="1">
      <alignment horizontal="center" vertical="center"/>
    </xf>
    <xf numFmtId="8" fontId="7" fillId="0" borderId="1" xfId="0" applyNumberFormat="1" applyFont="1" applyBorder="1" applyAlignment="1">
      <alignment horizontal="right" vertical="center"/>
    </xf>
    <xf numFmtId="0" fontId="4" fillId="0" borderId="1" xfId="0" applyFont="1" applyBorder="1" applyAlignment="1">
      <alignment vertical="center"/>
    </xf>
    <xf numFmtId="6" fontId="4" fillId="0" borderId="1" xfId="0" applyNumberFormat="1" applyFont="1" applyBorder="1" applyAlignment="1">
      <alignment horizontal="right" vertical="center"/>
    </xf>
    <xf numFmtId="0" fontId="18" fillId="0" borderId="0" xfId="0" applyFont="1" applyAlignment="1">
      <alignment vertical="center"/>
    </xf>
    <xf numFmtId="0" fontId="7" fillId="0" borderId="1" xfId="0" quotePrefix="1" applyFont="1" applyBorder="1" applyAlignment="1">
      <alignment horizontal="center" vertical="center" wrapText="1"/>
    </xf>
    <xf numFmtId="0" fontId="7" fillId="0" borderId="1" xfId="0" applyFont="1" applyBorder="1" applyAlignment="1">
      <alignment horizontal="center" vertical="center" wrapText="1"/>
    </xf>
    <xf numFmtId="3" fontId="16" fillId="0" borderId="1" xfId="0" applyNumberFormat="1" applyFont="1" applyBorder="1" applyAlignment="1">
      <alignment horizontal="center" vertical="center" wrapText="1"/>
    </xf>
    <xf numFmtId="0" fontId="7" fillId="0" borderId="1" xfId="0" quotePrefix="1" applyFont="1" applyBorder="1" applyAlignment="1">
      <alignment horizontal="center" vertical="center"/>
    </xf>
    <xf numFmtId="0" fontId="7" fillId="0" borderId="1" xfId="0" applyFont="1" applyBorder="1" applyAlignment="1">
      <alignment horizontal="center" vertical="center"/>
    </xf>
    <xf numFmtId="0" fontId="7" fillId="0" borderId="1" xfId="0" applyFont="1" applyBorder="1" applyAlignment="1">
      <alignment horizontal="center" vertical="top"/>
    </xf>
    <xf numFmtId="0" fontId="13" fillId="0" borderId="0" xfId="0" applyFont="1" applyAlignment="1">
      <alignment horizontal="left" vertical="top" wrapText="1"/>
    </xf>
    <xf numFmtId="0" fontId="4" fillId="0" borderId="4" xfId="0" applyFont="1" applyBorder="1" applyAlignment="1">
      <alignment horizontal="left"/>
    </xf>
    <xf numFmtId="0" fontId="4" fillId="0" borderId="5" xfId="0" applyFont="1" applyBorder="1" applyAlignment="1">
      <alignment horizontal="left"/>
    </xf>
    <xf numFmtId="0" fontId="7" fillId="0" borderId="4" xfId="0" applyFont="1" applyBorder="1" applyAlignment="1">
      <alignment horizontal="left"/>
    </xf>
    <xf numFmtId="0" fontId="7" fillId="0" borderId="5" xfId="0" applyFont="1" applyBorder="1" applyAlignment="1">
      <alignment horizontal="left"/>
    </xf>
    <xf numFmtId="0" fontId="15" fillId="0" borderId="0" xfId="0" applyFont="1" applyAlignment="1">
      <alignment horizontal="left" vertical="center" wrapText="1"/>
    </xf>
    <xf numFmtId="0" fontId="7" fillId="0" borderId="0" xfId="0" applyFont="1" applyAlignment="1">
      <alignment horizontal="left"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3" fontId="4" fillId="0" borderId="1" xfId="0" applyNumberFormat="1" applyFont="1" applyBorder="1" applyAlignment="1">
      <alignment horizontal="center" vertical="center" wrapText="1"/>
    </xf>
    <xf numFmtId="0" fontId="8" fillId="0" borderId="0" xfId="0" applyFont="1" applyAlignment="1">
      <alignment horizontal="left" vertical="top" wrapText="1"/>
    </xf>
    <xf numFmtId="0" fontId="4" fillId="0" borderId="1" xfId="0" applyFont="1" applyBorder="1" applyAlignment="1">
      <alignment horizontal="center" vertical="center" wrapText="1"/>
    </xf>
    <xf numFmtId="3" fontId="4" fillId="0" borderId="6" xfId="0" applyNumberFormat="1" applyFont="1" applyBorder="1" applyAlignment="1">
      <alignment horizontal="center" vertical="center"/>
    </xf>
    <xf numFmtId="3" fontId="4" fillId="0" borderId="4" xfId="0" applyNumberFormat="1" applyFont="1" applyBorder="1" applyAlignment="1">
      <alignment horizontal="center" vertical="center"/>
    </xf>
    <xf numFmtId="3" fontId="4" fillId="0" borderId="5" xfId="0" applyNumberFormat="1" applyFont="1" applyBorder="1" applyAlignment="1">
      <alignment horizontal="center" vertical="center"/>
    </xf>
    <xf numFmtId="0" fontId="10" fillId="0" borderId="0" xfId="0" applyFont="1" applyAlignment="1">
      <alignment vertical="center" wrapText="1"/>
    </xf>
    <xf numFmtId="0" fontId="8" fillId="0" borderId="1" xfId="0" applyFont="1" applyBorder="1" applyAlignment="1">
      <alignment horizontal="center" vertical="center" wrapText="1"/>
    </xf>
    <xf numFmtId="0" fontId="1" fillId="0" borderId="7" xfId="0" applyFont="1" applyBorder="1" applyAlignment="1">
      <alignment vertical="center" wrapText="1"/>
    </xf>
    <xf numFmtId="0" fontId="1" fillId="0" borderId="8" xfId="0" applyFont="1" applyBorder="1" applyAlignment="1">
      <alignment vertical="center" wrapText="1"/>
    </xf>
    <xf numFmtId="0" fontId="1" fillId="0" borderId="9" xfId="0" applyFont="1" applyBorder="1" applyAlignment="1">
      <alignment vertical="center" wrapText="1"/>
    </xf>
    <xf numFmtId="0" fontId="2" fillId="0" borderId="1" xfId="0" applyFont="1" applyBorder="1" applyAlignment="1">
      <alignment horizontal="center" vertical="center" wrapText="1"/>
    </xf>
    <xf numFmtId="0" fontId="1" fillId="0" borderId="1"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persons/person.xml><?xml version="1.0" encoding="utf-8"?>
<personList xmlns="http://schemas.microsoft.com/office/spreadsheetml/2018/threadedcomments" xmlns:x="http://schemas.openxmlformats.org/spreadsheetml/2006/main">
  <person displayName="Tracy Curtis" id="{8542A317-30B9-406E-9757-BD3DE589847E}" userId="b17ba48e92a2a2f1" providerId="Windows Live"/>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58"/>
  <sheetViews>
    <sheetView tabSelected="1" zoomScaleNormal="100" workbookViewId="0">
      <selection activeCell="A48" sqref="A48:I48"/>
    </sheetView>
  </sheetViews>
  <sheetFormatPr defaultColWidth="9.140625" defaultRowHeight="15" x14ac:dyDescent="0.25"/>
  <cols>
    <col min="1" max="1" width="46" style="24" customWidth="1"/>
    <col min="2" max="9" width="13.28515625" style="24" customWidth="1"/>
    <col min="10" max="10" width="9.140625" style="24"/>
    <col min="11" max="11" width="11" style="24" bestFit="1" customWidth="1"/>
    <col min="12" max="16384" width="9.140625" style="24"/>
  </cols>
  <sheetData>
    <row r="1" spans="1:12" ht="34.5" customHeight="1" x14ac:dyDescent="0.25">
      <c r="A1" s="67" t="s">
        <v>25</v>
      </c>
      <c r="B1" s="67"/>
      <c r="C1" s="67"/>
      <c r="D1" s="67"/>
      <c r="E1" s="67"/>
      <c r="F1" s="67"/>
      <c r="G1" s="67"/>
      <c r="H1" s="67"/>
      <c r="I1" s="67"/>
    </row>
    <row r="2" spans="1:12" x14ac:dyDescent="0.25">
      <c r="A2" s="25"/>
      <c r="B2" s="25"/>
      <c r="C2" s="25"/>
      <c r="D2" s="25"/>
      <c r="E2" s="25"/>
      <c r="I2" s="25"/>
      <c r="J2" s="25"/>
      <c r="K2" s="25"/>
      <c r="L2" s="25"/>
    </row>
    <row r="3" spans="1:12" x14ac:dyDescent="0.25">
      <c r="A3" s="74" t="s">
        <v>61</v>
      </c>
      <c r="B3" s="26" t="s">
        <v>0</v>
      </c>
      <c r="C3" s="26" t="s">
        <v>2</v>
      </c>
      <c r="D3" s="26" t="s">
        <v>4</v>
      </c>
      <c r="E3" s="26" t="s">
        <v>5</v>
      </c>
      <c r="F3" s="26" t="s">
        <v>27</v>
      </c>
      <c r="G3" s="26" t="s">
        <v>6</v>
      </c>
      <c r="H3" s="26" t="s">
        <v>30</v>
      </c>
      <c r="I3" s="26" t="s">
        <v>7</v>
      </c>
      <c r="J3" s="25"/>
      <c r="K3" s="25"/>
      <c r="L3" s="25"/>
    </row>
    <row r="4" spans="1:12" ht="51" x14ac:dyDescent="0.25">
      <c r="A4" s="75"/>
      <c r="B4" s="26" t="s">
        <v>1</v>
      </c>
      <c r="C4" s="26" t="s">
        <v>3</v>
      </c>
      <c r="D4" s="26" t="s">
        <v>26</v>
      </c>
      <c r="E4" s="26" t="s">
        <v>92</v>
      </c>
      <c r="F4" s="26" t="s">
        <v>28</v>
      </c>
      <c r="G4" s="26" t="s">
        <v>29</v>
      </c>
      <c r="H4" s="26" t="s">
        <v>31</v>
      </c>
      <c r="I4" s="26" t="s">
        <v>93</v>
      </c>
      <c r="J4" s="25"/>
      <c r="K4" s="25"/>
      <c r="L4" s="25"/>
    </row>
    <row r="5" spans="1:12" x14ac:dyDescent="0.25">
      <c r="A5" s="27" t="s">
        <v>8</v>
      </c>
      <c r="B5" s="28" t="s">
        <v>9</v>
      </c>
      <c r="C5" s="29"/>
      <c r="D5" s="29"/>
      <c r="E5" s="29"/>
      <c r="F5" s="29"/>
      <c r="G5" s="29"/>
      <c r="H5" s="29"/>
      <c r="I5" s="29"/>
      <c r="J5" s="25"/>
      <c r="K5" s="66" t="s">
        <v>57</v>
      </c>
      <c r="L5" s="66"/>
    </row>
    <row r="6" spans="1:12" x14ac:dyDescent="0.25">
      <c r="A6" s="27" t="s">
        <v>10</v>
      </c>
      <c r="B6" s="28" t="s">
        <v>9</v>
      </c>
      <c r="C6" s="29"/>
      <c r="D6" s="29"/>
      <c r="E6" s="29"/>
      <c r="F6" s="29"/>
      <c r="G6" s="29"/>
      <c r="H6" s="29"/>
      <c r="I6" s="29"/>
      <c r="J6" s="25"/>
      <c r="K6" s="10" t="s">
        <v>58</v>
      </c>
      <c r="L6" s="30">
        <v>147.4</v>
      </c>
    </row>
    <row r="7" spans="1:12" x14ac:dyDescent="0.25">
      <c r="A7" s="27" t="s">
        <v>11</v>
      </c>
      <c r="B7" s="28"/>
      <c r="C7" s="28"/>
      <c r="D7" s="28"/>
      <c r="E7" s="28"/>
      <c r="F7" s="28"/>
      <c r="G7" s="28"/>
      <c r="H7" s="28"/>
      <c r="I7" s="31"/>
      <c r="J7" s="25"/>
      <c r="K7" s="10" t="s">
        <v>59</v>
      </c>
      <c r="L7" s="30">
        <v>117.92</v>
      </c>
    </row>
    <row r="8" spans="1:12" ht="15" customHeight="1" x14ac:dyDescent="0.25">
      <c r="A8" s="32" t="s">
        <v>50</v>
      </c>
      <c r="B8" s="28">
        <v>1</v>
      </c>
      <c r="C8" s="28">
        <v>1</v>
      </c>
      <c r="D8" s="28">
        <f>B8*C8</f>
        <v>1</v>
      </c>
      <c r="E8" s="33">
        <f>100.66</f>
        <v>100.66</v>
      </c>
      <c r="F8" s="28">
        <f>D8*E8</f>
        <v>100.66</v>
      </c>
      <c r="G8" s="28">
        <f>F8*0.05</f>
        <v>5.0330000000000004</v>
      </c>
      <c r="H8" s="28">
        <f>F8*0.1</f>
        <v>10.066000000000001</v>
      </c>
      <c r="I8" s="34">
        <f>F8*$L$7+G8*$L$6+H8*$L$8</f>
        <v>13185.65472</v>
      </c>
      <c r="J8" s="25"/>
      <c r="K8" s="10" t="s">
        <v>60</v>
      </c>
      <c r="L8" s="30">
        <v>57.02</v>
      </c>
    </row>
    <row r="9" spans="1:12" x14ac:dyDescent="0.25">
      <c r="A9" s="32" t="s">
        <v>12</v>
      </c>
      <c r="B9" s="28"/>
      <c r="C9" s="28"/>
      <c r="D9" s="28"/>
      <c r="E9" s="28"/>
      <c r="F9" s="28"/>
      <c r="G9" s="28"/>
      <c r="H9" s="28"/>
      <c r="I9" s="31"/>
      <c r="J9" s="25"/>
      <c r="K9" s="25"/>
      <c r="L9" s="25"/>
    </row>
    <row r="10" spans="1:12" ht="15.75" x14ac:dyDescent="0.25">
      <c r="A10" s="35" t="s">
        <v>94</v>
      </c>
      <c r="B10" s="28">
        <v>364</v>
      </c>
      <c r="C10" s="28">
        <v>1</v>
      </c>
      <c r="D10" s="28">
        <f>B10*C10</f>
        <v>364</v>
      </c>
      <c r="E10" s="33">
        <v>0.33300000000000002</v>
      </c>
      <c r="F10" s="28">
        <f>D10*E10</f>
        <v>121.212</v>
      </c>
      <c r="G10" s="28">
        <f>F10*0.05</f>
        <v>6.0606000000000009</v>
      </c>
      <c r="H10" s="28">
        <f>F10*0.1</f>
        <v>12.121200000000002</v>
      </c>
      <c r="I10" s="34">
        <f>F10*$L$7+G10*$L$6+H10*$L$8</f>
        <v>15877.802304000001</v>
      </c>
      <c r="J10" s="25"/>
      <c r="K10" s="25"/>
      <c r="L10" s="25"/>
    </row>
    <row r="11" spans="1:12" ht="15.75" x14ac:dyDescent="0.25">
      <c r="A11" s="35" t="s">
        <v>95</v>
      </c>
      <c r="B11" s="28">
        <v>364</v>
      </c>
      <c r="C11" s="28">
        <v>0.05</v>
      </c>
      <c r="D11" s="28">
        <f>B11*C11</f>
        <v>18.2</v>
      </c>
      <c r="E11" s="33">
        <f>E10</f>
        <v>0.33300000000000002</v>
      </c>
      <c r="F11" s="28">
        <f>D11*E11</f>
        <v>6.0606</v>
      </c>
      <c r="G11" s="33">
        <f>F11*0.05</f>
        <v>0.30303000000000002</v>
      </c>
      <c r="H11" s="33">
        <f>F11*0.1</f>
        <v>0.60606000000000004</v>
      </c>
      <c r="I11" s="34">
        <f>F11*$L$7+G11*$L$6+H11*$L$8</f>
        <v>793.89011520000008</v>
      </c>
      <c r="J11" s="25"/>
      <c r="K11" s="25"/>
      <c r="L11" s="25"/>
    </row>
    <row r="12" spans="1:12" ht="15.75" x14ac:dyDescent="0.25">
      <c r="A12" s="35" t="s">
        <v>96</v>
      </c>
      <c r="B12" s="64" t="s">
        <v>54</v>
      </c>
      <c r="C12" s="65"/>
      <c r="D12" s="65"/>
      <c r="E12" s="65"/>
      <c r="F12" s="65"/>
      <c r="G12" s="65"/>
      <c r="H12" s="65"/>
      <c r="I12" s="31"/>
      <c r="J12" s="25"/>
      <c r="K12" s="25"/>
      <c r="L12" s="25"/>
    </row>
    <row r="13" spans="1:12" x14ac:dyDescent="0.25">
      <c r="A13" s="32" t="s">
        <v>13</v>
      </c>
      <c r="B13" s="64" t="s">
        <v>55</v>
      </c>
      <c r="C13" s="65"/>
      <c r="D13" s="65"/>
      <c r="E13" s="65"/>
      <c r="F13" s="65"/>
      <c r="G13" s="65"/>
      <c r="H13" s="65"/>
      <c r="I13" s="31"/>
      <c r="J13" s="25"/>
      <c r="K13" s="25"/>
      <c r="L13" s="25"/>
    </row>
    <row r="14" spans="1:12" x14ac:dyDescent="0.25">
      <c r="A14" s="32" t="s">
        <v>14</v>
      </c>
      <c r="B14" s="28"/>
      <c r="C14" s="28"/>
      <c r="D14" s="28"/>
      <c r="E14" s="28"/>
      <c r="F14" s="28"/>
      <c r="G14" s="28"/>
      <c r="H14" s="28"/>
      <c r="I14" s="31"/>
      <c r="J14" s="25"/>
      <c r="K14" s="25"/>
      <c r="L14" s="25"/>
    </row>
    <row r="15" spans="1:12" x14ac:dyDescent="0.25">
      <c r="A15" s="35" t="s">
        <v>39</v>
      </c>
      <c r="B15" s="28">
        <v>2</v>
      </c>
      <c r="C15" s="28">
        <v>1</v>
      </c>
      <c r="D15" s="28">
        <f t="shared" ref="D15:D17" si="0">B15*C15</f>
        <v>2</v>
      </c>
      <c r="E15" s="33">
        <f>E10</f>
        <v>0.33300000000000002</v>
      </c>
      <c r="F15" s="28">
        <f t="shared" ref="F15:F17" si="1">D15*E15</f>
        <v>0.66600000000000004</v>
      </c>
      <c r="G15" s="28">
        <f t="shared" ref="G15:G17" si="2">F15*0.05</f>
        <v>3.3300000000000003E-2</v>
      </c>
      <c r="H15" s="28">
        <f t="shared" ref="H15:H17" si="3">F15*0.1</f>
        <v>6.6600000000000006E-2</v>
      </c>
      <c r="I15" s="34">
        <f>F15*$L$7+G15*$L$6+H15*$L$8</f>
        <v>87.240672000000018</v>
      </c>
      <c r="J15" s="25"/>
      <c r="K15" s="25"/>
      <c r="L15" s="25"/>
    </row>
    <row r="16" spans="1:12" x14ac:dyDescent="0.25">
      <c r="A16" s="35" t="s">
        <v>15</v>
      </c>
      <c r="B16" s="28">
        <v>2</v>
      </c>
      <c r="C16" s="28">
        <v>1</v>
      </c>
      <c r="D16" s="28">
        <f t="shared" si="0"/>
        <v>2</v>
      </c>
      <c r="E16" s="33">
        <f>E10</f>
        <v>0.33300000000000002</v>
      </c>
      <c r="F16" s="28">
        <f t="shared" si="1"/>
        <v>0.66600000000000004</v>
      </c>
      <c r="G16" s="28">
        <f t="shared" si="2"/>
        <v>3.3300000000000003E-2</v>
      </c>
      <c r="H16" s="28">
        <f t="shared" si="3"/>
        <v>6.6600000000000006E-2</v>
      </c>
      <c r="I16" s="34">
        <f>F16*$L$7+G16*$L$6+H16*$L$8</f>
        <v>87.240672000000018</v>
      </c>
      <c r="J16" s="25"/>
      <c r="K16" s="25"/>
      <c r="L16" s="25"/>
    </row>
    <row r="17" spans="1:12" x14ac:dyDescent="0.25">
      <c r="A17" s="35" t="s">
        <v>16</v>
      </c>
      <c r="B17" s="28">
        <v>2</v>
      </c>
      <c r="C17" s="28">
        <v>1</v>
      </c>
      <c r="D17" s="28">
        <f t="shared" si="0"/>
        <v>2</v>
      </c>
      <c r="E17" s="33">
        <f>E10</f>
        <v>0.33300000000000002</v>
      </c>
      <c r="F17" s="28">
        <f t="shared" si="1"/>
        <v>0.66600000000000004</v>
      </c>
      <c r="G17" s="28">
        <f t="shared" si="2"/>
        <v>3.3300000000000003E-2</v>
      </c>
      <c r="H17" s="28">
        <f t="shared" si="3"/>
        <v>6.6600000000000006E-2</v>
      </c>
      <c r="I17" s="34">
        <f>F17*$L$7+G17*$L$6+H17*$L$8</f>
        <v>87.240672000000018</v>
      </c>
      <c r="J17" s="25"/>
      <c r="K17" s="25"/>
      <c r="L17" s="25"/>
    </row>
    <row r="18" spans="1:12" ht="15" customHeight="1" x14ac:dyDescent="0.25">
      <c r="A18" s="35" t="s">
        <v>17</v>
      </c>
      <c r="B18" s="61" t="s">
        <v>52</v>
      </c>
      <c r="C18" s="62"/>
      <c r="D18" s="62"/>
      <c r="E18" s="62"/>
      <c r="F18" s="62"/>
      <c r="G18" s="62"/>
      <c r="H18" s="62"/>
      <c r="I18" s="31"/>
      <c r="J18" s="25"/>
      <c r="K18" s="25"/>
      <c r="L18" s="25"/>
    </row>
    <row r="19" spans="1:12" ht="15.75" x14ac:dyDescent="0.25">
      <c r="A19" s="35" t="s">
        <v>97</v>
      </c>
      <c r="B19" s="28">
        <v>16</v>
      </c>
      <c r="C19" s="28">
        <v>2</v>
      </c>
      <c r="D19" s="28">
        <f>B19*C19</f>
        <v>32</v>
      </c>
      <c r="E19" s="28">
        <f>E8</f>
        <v>100.66</v>
      </c>
      <c r="F19" s="28">
        <f>D19*E19</f>
        <v>3221.12</v>
      </c>
      <c r="G19" s="28">
        <f>F19*0.05</f>
        <v>161.05600000000001</v>
      </c>
      <c r="H19" s="28">
        <f>F19*0.1</f>
        <v>322.11200000000002</v>
      </c>
      <c r="I19" s="34">
        <f>F19*$L$7+G19*$L$6+H19*$L$8</f>
        <v>421940.95104000001</v>
      </c>
      <c r="J19" s="25"/>
      <c r="K19" s="25"/>
      <c r="L19" s="25"/>
    </row>
    <row r="20" spans="1:12" x14ac:dyDescent="0.25">
      <c r="A20" s="37" t="s">
        <v>98</v>
      </c>
      <c r="B20" s="38"/>
      <c r="C20" s="38"/>
      <c r="D20" s="38"/>
      <c r="E20" s="39"/>
      <c r="F20" s="63">
        <f>SUM(F8:H11,F15:H17,F19:H19)</f>
        <v>3968.7081899999998</v>
      </c>
      <c r="G20" s="63"/>
      <c r="H20" s="63"/>
      <c r="I20" s="40">
        <f>SUM(I8:I19)</f>
        <v>452060.02019519999</v>
      </c>
      <c r="J20" s="25"/>
      <c r="K20" s="25"/>
      <c r="L20" s="25"/>
    </row>
    <row r="21" spans="1:12" x14ac:dyDescent="0.25">
      <c r="A21" s="27" t="s">
        <v>18</v>
      </c>
      <c r="B21" s="28"/>
      <c r="C21" s="28"/>
      <c r="D21" s="28"/>
      <c r="E21" s="28"/>
      <c r="F21" s="28"/>
      <c r="G21" s="28"/>
      <c r="H21" s="28"/>
      <c r="I21" s="31"/>
      <c r="J21" s="25"/>
      <c r="K21" s="25"/>
      <c r="L21" s="25"/>
    </row>
    <row r="22" spans="1:12" ht="15" customHeight="1" x14ac:dyDescent="0.25">
      <c r="A22" s="32" t="s">
        <v>50</v>
      </c>
      <c r="B22" s="61" t="s">
        <v>53</v>
      </c>
      <c r="C22" s="62"/>
      <c r="D22" s="62"/>
      <c r="E22" s="62"/>
      <c r="F22" s="62"/>
      <c r="G22" s="62"/>
      <c r="H22" s="62"/>
      <c r="I22" s="31"/>
      <c r="J22" s="25"/>
      <c r="K22" s="25"/>
      <c r="L22" s="25"/>
    </row>
    <row r="23" spans="1:12" ht="15" customHeight="1" x14ac:dyDescent="0.25">
      <c r="A23" s="32" t="s">
        <v>19</v>
      </c>
      <c r="B23" s="61" t="s">
        <v>52</v>
      </c>
      <c r="C23" s="62"/>
      <c r="D23" s="62"/>
      <c r="E23" s="62"/>
      <c r="F23" s="62"/>
      <c r="G23" s="62"/>
      <c r="H23" s="62"/>
      <c r="I23" s="31"/>
      <c r="J23" s="25"/>
      <c r="K23" s="25"/>
      <c r="L23" s="25"/>
    </row>
    <row r="24" spans="1:12" x14ac:dyDescent="0.25">
      <c r="A24" s="32" t="s">
        <v>20</v>
      </c>
      <c r="B24" s="61" t="s">
        <v>52</v>
      </c>
      <c r="C24" s="62"/>
      <c r="D24" s="62"/>
      <c r="E24" s="62"/>
      <c r="F24" s="62"/>
      <c r="G24" s="62"/>
      <c r="H24" s="62"/>
      <c r="I24" s="31"/>
      <c r="J24" s="25"/>
      <c r="K24" s="25"/>
      <c r="L24" s="25"/>
    </row>
    <row r="25" spans="1:12" x14ac:dyDescent="0.25">
      <c r="A25" s="32" t="s">
        <v>21</v>
      </c>
      <c r="B25" s="36" t="s">
        <v>9</v>
      </c>
      <c r="C25" s="27"/>
      <c r="D25" s="27"/>
      <c r="E25" s="27"/>
      <c r="F25" s="27"/>
      <c r="G25" s="27"/>
      <c r="H25" s="27"/>
      <c r="I25" s="27"/>
      <c r="J25" s="25"/>
      <c r="K25" s="25"/>
      <c r="L25" s="25"/>
    </row>
    <row r="26" spans="1:12" x14ac:dyDescent="0.25">
      <c r="A26" s="32" t="s">
        <v>22</v>
      </c>
      <c r="B26" s="28"/>
      <c r="C26" s="28"/>
      <c r="D26" s="28"/>
      <c r="E26" s="28"/>
      <c r="F26" s="28"/>
      <c r="G26" s="28"/>
      <c r="H26" s="28"/>
      <c r="I26" s="31"/>
      <c r="J26" s="25"/>
      <c r="K26" s="25"/>
      <c r="L26" s="25"/>
    </row>
    <row r="27" spans="1:12" ht="15.75" x14ac:dyDescent="0.25">
      <c r="A27" s="27" t="s">
        <v>99</v>
      </c>
      <c r="B27" s="28">
        <v>0.75</v>
      </c>
      <c r="C27" s="28">
        <v>350</v>
      </c>
      <c r="D27" s="28">
        <f t="shared" ref="D27:D31" si="4">B27*C27</f>
        <v>262.5</v>
      </c>
      <c r="E27" s="28">
        <f>E8</f>
        <v>100.66</v>
      </c>
      <c r="F27" s="28">
        <f t="shared" ref="F27:F31" si="5">D27*E27</f>
        <v>26423.25</v>
      </c>
      <c r="G27" s="28">
        <f t="shared" ref="G27:G31" si="6">F27*0.05</f>
        <v>1321.1625000000001</v>
      </c>
      <c r="H27" s="28">
        <f t="shared" ref="H27:H31" si="7">F27*0.1</f>
        <v>2642.3250000000003</v>
      </c>
      <c r="I27" s="34">
        <f>F27*$L$7+G27*$L$6+H27*$L$8</f>
        <v>3461234.3640000001</v>
      </c>
      <c r="J27" s="25"/>
      <c r="K27" s="25"/>
      <c r="L27" s="25"/>
    </row>
    <row r="28" spans="1:12" ht="28.5" x14ac:dyDescent="0.25">
      <c r="A28" s="41" t="s">
        <v>100</v>
      </c>
      <c r="B28" s="28">
        <v>0.5</v>
      </c>
      <c r="C28" s="28">
        <v>350</v>
      </c>
      <c r="D28" s="28">
        <f t="shared" si="4"/>
        <v>175</v>
      </c>
      <c r="E28" s="33">
        <f>E8*(1-0.517)</f>
        <v>48.618779999999994</v>
      </c>
      <c r="F28" s="28">
        <f t="shared" si="5"/>
        <v>8508.2864999999983</v>
      </c>
      <c r="G28" s="33">
        <f t="shared" si="6"/>
        <v>425.41432499999996</v>
      </c>
      <c r="H28" s="33">
        <f t="shared" si="7"/>
        <v>850.82864999999993</v>
      </c>
      <c r="I28" s="34">
        <f>F28*$L$7+G28*$L$6+H28*$L$8</f>
        <v>1114517.4652079998</v>
      </c>
      <c r="J28" s="25"/>
      <c r="K28" s="25"/>
      <c r="L28" s="25"/>
    </row>
    <row r="29" spans="1:12" ht="15.75" x14ac:dyDescent="0.25">
      <c r="A29" s="35" t="s">
        <v>101</v>
      </c>
      <c r="B29" s="28">
        <v>0.5</v>
      </c>
      <c r="C29" s="28">
        <v>350</v>
      </c>
      <c r="D29" s="28">
        <f t="shared" si="4"/>
        <v>175</v>
      </c>
      <c r="E29" s="33">
        <f>E8*0.4*0.666</f>
        <v>26.815824000000003</v>
      </c>
      <c r="F29" s="28">
        <f t="shared" si="5"/>
        <v>4692.7692000000006</v>
      </c>
      <c r="G29" s="33">
        <f t="shared" si="6"/>
        <v>234.63846000000004</v>
      </c>
      <c r="H29" s="33">
        <f t="shared" si="7"/>
        <v>469.27692000000008</v>
      </c>
      <c r="I29" s="34">
        <f>F29*$L$7+G29*$L$6+H29*$L$8</f>
        <v>614715.22304640012</v>
      </c>
      <c r="J29" s="25"/>
      <c r="K29" s="42"/>
      <c r="L29" s="25"/>
    </row>
    <row r="30" spans="1:12" ht="15.75" x14ac:dyDescent="0.25">
      <c r="A30" s="35" t="s">
        <v>102</v>
      </c>
      <c r="B30" s="28">
        <v>0.5</v>
      </c>
      <c r="C30" s="28">
        <v>350</v>
      </c>
      <c r="D30" s="28">
        <f t="shared" si="4"/>
        <v>175</v>
      </c>
      <c r="E30" s="33">
        <f>E8*0.4*(1-0.666)</f>
        <v>13.448176</v>
      </c>
      <c r="F30" s="28">
        <f t="shared" si="5"/>
        <v>2353.4308000000001</v>
      </c>
      <c r="G30" s="33">
        <f t="shared" si="6"/>
        <v>117.67154000000001</v>
      </c>
      <c r="H30" s="33">
        <f t="shared" si="7"/>
        <v>235.34308000000001</v>
      </c>
      <c r="I30" s="34">
        <f>F30*$L$7+G30*$L$6+H30*$L$8</f>
        <v>308280.60735360003</v>
      </c>
      <c r="J30" s="25"/>
      <c r="K30" s="25"/>
      <c r="L30" s="25"/>
    </row>
    <row r="31" spans="1:12" ht="15.75" x14ac:dyDescent="0.25">
      <c r="A31" s="35" t="s">
        <v>103</v>
      </c>
      <c r="B31" s="28">
        <v>0.5</v>
      </c>
      <c r="C31" s="28">
        <v>350</v>
      </c>
      <c r="D31" s="28">
        <f t="shared" si="4"/>
        <v>175</v>
      </c>
      <c r="E31" s="33">
        <f>E8*0.517</f>
        <v>52.041220000000003</v>
      </c>
      <c r="F31" s="28">
        <f t="shared" si="5"/>
        <v>9107.2134999999998</v>
      </c>
      <c r="G31" s="33">
        <f t="shared" si="6"/>
        <v>455.36067500000001</v>
      </c>
      <c r="H31" s="33">
        <f t="shared" si="7"/>
        <v>910.72135000000003</v>
      </c>
      <c r="I31" s="34">
        <f>F31*$L$7+G31*$L$6+H31*$L$8</f>
        <v>1192972.1107920001</v>
      </c>
      <c r="J31" s="25"/>
      <c r="K31" s="25"/>
      <c r="L31" s="25"/>
    </row>
    <row r="32" spans="1:12" x14ac:dyDescent="0.25">
      <c r="A32" s="32" t="s">
        <v>23</v>
      </c>
      <c r="B32" s="28" t="s">
        <v>9</v>
      </c>
      <c r="C32" s="29"/>
      <c r="D32" s="29"/>
      <c r="E32" s="29"/>
      <c r="F32" s="29"/>
      <c r="G32" s="29"/>
      <c r="H32" s="29"/>
      <c r="I32" s="29"/>
      <c r="J32" s="25"/>
      <c r="K32" s="25"/>
      <c r="L32" s="25"/>
    </row>
    <row r="33" spans="1:12" x14ac:dyDescent="0.25">
      <c r="A33" s="32" t="s">
        <v>24</v>
      </c>
      <c r="B33" s="28" t="s">
        <v>9</v>
      </c>
      <c r="C33" s="29"/>
      <c r="D33" s="29"/>
      <c r="E33" s="29"/>
      <c r="F33" s="29"/>
      <c r="G33" s="29"/>
      <c r="H33" s="29"/>
      <c r="I33" s="29"/>
      <c r="J33" s="25"/>
      <c r="K33" s="25"/>
      <c r="L33" s="25"/>
    </row>
    <row r="34" spans="1:12" x14ac:dyDescent="0.25">
      <c r="A34" s="37" t="s">
        <v>51</v>
      </c>
      <c r="B34" s="38"/>
      <c r="C34" s="38"/>
      <c r="D34" s="38"/>
      <c r="E34" s="39"/>
      <c r="F34" s="63">
        <f>SUM(F27:H31)</f>
        <v>58747.692500000005</v>
      </c>
      <c r="G34" s="63"/>
      <c r="H34" s="63"/>
      <c r="I34" s="40">
        <f>SUM(I27:I31)</f>
        <v>6691719.7703999989</v>
      </c>
      <c r="J34" s="25"/>
      <c r="K34" s="43">
        <f>Additional!E29</f>
        <v>202.66864999999999</v>
      </c>
      <c r="L34" s="25" t="s">
        <v>90</v>
      </c>
    </row>
    <row r="35" spans="1:12" ht="15.75" x14ac:dyDescent="0.25">
      <c r="A35" s="44" t="s">
        <v>104</v>
      </c>
      <c r="B35" s="28"/>
      <c r="C35" s="28"/>
      <c r="D35" s="28"/>
      <c r="E35" s="26"/>
      <c r="F35" s="76">
        <f>ROUND(SUM(F34,F20),-2)</f>
        <v>62700</v>
      </c>
      <c r="G35" s="76"/>
      <c r="H35" s="76"/>
      <c r="I35" s="45">
        <f>ROUND(SUM(I34,I20),-4)</f>
        <v>7140000</v>
      </c>
      <c r="J35" s="25"/>
      <c r="K35" s="43">
        <f>F35/K34</f>
        <v>309.37197242888828</v>
      </c>
      <c r="L35" s="25" t="s">
        <v>56</v>
      </c>
    </row>
    <row r="36" spans="1:12" s="47" customFormat="1" ht="15.75" x14ac:dyDescent="0.2">
      <c r="A36" s="68" t="s">
        <v>63</v>
      </c>
      <c r="B36" s="68"/>
      <c r="C36" s="68"/>
      <c r="D36" s="68"/>
      <c r="E36" s="68"/>
      <c r="F36" s="68"/>
      <c r="G36" s="68"/>
      <c r="H36" s="69"/>
      <c r="I36" s="46">
        <f>ROUND(Additional!D14+Additional!G14,-3)</f>
        <v>207000</v>
      </c>
    </row>
    <row r="37" spans="1:12" s="25" customFormat="1" ht="15.75" x14ac:dyDescent="0.2">
      <c r="A37" s="68" t="s">
        <v>64</v>
      </c>
      <c r="B37" s="70"/>
      <c r="C37" s="70"/>
      <c r="D37" s="70"/>
      <c r="E37" s="70"/>
      <c r="F37" s="70"/>
      <c r="G37" s="70"/>
      <c r="H37" s="71"/>
      <c r="I37" s="46">
        <f>ROUND(SUM(I35:I36),-4)</f>
        <v>7350000</v>
      </c>
    </row>
    <row r="38" spans="1:12" s="25" customFormat="1" ht="12.75" x14ac:dyDescent="0.2">
      <c r="A38" s="7"/>
      <c r="B38" s="48"/>
      <c r="C38" s="48"/>
      <c r="D38" s="48"/>
      <c r="E38" s="48"/>
      <c r="F38" s="48"/>
      <c r="G38" s="48"/>
      <c r="H38" s="48"/>
      <c r="I38" s="49"/>
    </row>
    <row r="39" spans="1:12" x14ac:dyDescent="0.25">
      <c r="A39" s="50" t="s">
        <v>32</v>
      </c>
      <c r="B39" s="25"/>
      <c r="C39" s="25"/>
      <c r="D39" s="25"/>
      <c r="E39" s="25"/>
      <c r="F39" s="25"/>
      <c r="G39" s="25"/>
      <c r="H39" s="25"/>
      <c r="I39" s="25"/>
      <c r="J39" s="25"/>
      <c r="K39" s="25"/>
      <c r="L39" s="25"/>
    </row>
    <row r="40" spans="1:12" ht="28.5" customHeight="1" x14ac:dyDescent="0.25">
      <c r="A40" s="72" t="s">
        <v>105</v>
      </c>
      <c r="B40" s="72"/>
      <c r="C40" s="72"/>
      <c r="D40" s="72"/>
      <c r="E40" s="72"/>
      <c r="F40" s="72"/>
      <c r="G40" s="72"/>
      <c r="H40" s="72"/>
      <c r="I40" s="72"/>
      <c r="J40" s="51"/>
      <c r="K40" s="51"/>
      <c r="L40" s="51"/>
    </row>
    <row r="41" spans="1:12" ht="47.25" customHeight="1" x14ac:dyDescent="0.25">
      <c r="A41" s="72" t="s">
        <v>106</v>
      </c>
      <c r="B41" s="73"/>
      <c r="C41" s="73"/>
      <c r="D41" s="73"/>
      <c r="E41" s="73"/>
      <c r="F41" s="73"/>
      <c r="G41" s="73"/>
      <c r="H41" s="73"/>
      <c r="I41" s="73"/>
      <c r="J41" s="51"/>
      <c r="K41" s="51"/>
      <c r="L41" s="51"/>
    </row>
    <row r="42" spans="1:12" ht="30" customHeight="1" x14ac:dyDescent="0.25">
      <c r="A42" s="72" t="s">
        <v>107</v>
      </c>
      <c r="B42" s="72"/>
      <c r="C42" s="72"/>
      <c r="D42" s="72"/>
      <c r="E42" s="72"/>
      <c r="F42" s="72"/>
      <c r="G42" s="72"/>
      <c r="H42" s="72"/>
      <c r="I42" s="72"/>
      <c r="J42" s="52"/>
      <c r="K42" s="52"/>
      <c r="L42" s="52"/>
    </row>
    <row r="43" spans="1:12" ht="33" customHeight="1" x14ac:dyDescent="0.25">
      <c r="A43" s="72" t="s">
        <v>108</v>
      </c>
      <c r="B43" s="73"/>
      <c r="C43" s="73"/>
      <c r="D43" s="73"/>
      <c r="E43" s="73"/>
      <c r="F43" s="73"/>
      <c r="G43" s="73"/>
      <c r="H43" s="73"/>
      <c r="I43" s="73"/>
      <c r="J43" s="52"/>
      <c r="K43" s="52"/>
      <c r="L43" s="52"/>
    </row>
    <row r="44" spans="1:12" ht="44.25" customHeight="1" x14ac:dyDescent="0.25">
      <c r="A44" s="72" t="s">
        <v>109</v>
      </c>
      <c r="B44" s="73"/>
      <c r="C44" s="73"/>
      <c r="D44" s="73"/>
      <c r="E44" s="73"/>
      <c r="F44" s="73"/>
      <c r="G44" s="73"/>
      <c r="H44" s="73"/>
      <c r="I44" s="73"/>
      <c r="J44" s="52"/>
      <c r="K44" s="52"/>
      <c r="L44" s="52"/>
    </row>
    <row r="45" spans="1:12" ht="28.5" customHeight="1" x14ac:dyDescent="0.25">
      <c r="A45" s="72" t="s">
        <v>110</v>
      </c>
      <c r="B45" s="73"/>
      <c r="C45" s="73"/>
      <c r="D45" s="73"/>
      <c r="E45" s="73"/>
      <c r="F45" s="73"/>
      <c r="G45" s="73"/>
      <c r="H45" s="73"/>
      <c r="I45" s="73"/>
      <c r="J45" s="51"/>
      <c r="K45" s="51"/>
      <c r="L45" s="51"/>
    </row>
    <row r="46" spans="1:12" ht="28.5" customHeight="1" x14ac:dyDescent="0.25">
      <c r="A46" s="72" t="s">
        <v>111</v>
      </c>
      <c r="B46" s="73"/>
      <c r="C46" s="73"/>
      <c r="D46" s="73"/>
      <c r="E46" s="73"/>
      <c r="F46" s="73"/>
      <c r="G46" s="73"/>
      <c r="H46" s="73"/>
      <c r="I46" s="73"/>
      <c r="J46" s="51"/>
      <c r="K46" s="51"/>
      <c r="L46" s="51"/>
    </row>
    <row r="47" spans="1:12" ht="41.25" customHeight="1" x14ac:dyDescent="0.25">
      <c r="A47" s="72" t="s">
        <v>112</v>
      </c>
      <c r="B47" s="73"/>
      <c r="C47" s="73"/>
      <c r="D47" s="73"/>
      <c r="E47" s="73"/>
      <c r="F47" s="73"/>
      <c r="G47" s="73"/>
      <c r="H47" s="73"/>
      <c r="I47" s="73"/>
      <c r="J47" s="51"/>
      <c r="K47" s="51"/>
      <c r="L47" s="51"/>
    </row>
    <row r="48" spans="1:12" ht="28.5" customHeight="1" x14ac:dyDescent="0.25">
      <c r="A48" s="72" t="s">
        <v>113</v>
      </c>
      <c r="B48" s="73"/>
      <c r="C48" s="73"/>
      <c r="D48" s="73"/>
      <c r="E48" s="73"/>
      <c r="F48" s="73"/>
      <c r="G48" s="73"/>
      <c r="H48" s="73"/>
      <c r="I48" s="73"/>
      <c r="J48" s="51"/>
      <c r="K48" s="51"/>
      <c r="L48" s="51"/>
    </row>
    <row r="49" spans="1:12" ht="15.75" customHeight="1" x14ac:dyDescent="0.25">
      <c r="A49" s="72" t="s">
        <v>114</v>
      </c>
      <c r="B49" s="73"/>
      <c r="C49" s="73"/>
      <c r="D49" s="73"/>
      <c r="E49" s="73"/>
      <c r="F49" s="73"/>
      <c r="G49" s="73"/>
      <c r="H49" s="73"/>
      <c r="I49" s="73"/>
      <c r="J49" s="51"/>
      <c r="K49" s="51"/>
      <c r="L49" s="51"/>
    </row>
    <row r="50" spans="1:12" ht="15.75" x14ac:dyDescent="0.25">
      <c r="A50" s="25"/>
      <c r="B50" s="25"/>
      <c r="C50" s="25"/>
      <c r="D50" s="25"/>
      <c r="E50" s="25"/>
      <c r="F50" s="25"/>
      <c r="G50" s="25"/>
      <c r="H50" s="25"/>
      <c r="I50" s="25"/>
      <c r="J50" s="51"/>
      <c r="K50" s="51"/>
      <c r="L50" s="51"/>
    </row>
    <row r="51" spans="1:12" ht="15.75" x14ac:dyDescent="0.25">
      <c r="A51" s="25"/>
      <c r="B51" s="25"/>
      <c r="C51" s="25"/>
      <c r="D51" s="25"/>
      <c r="E51" s="25"/>
      <c r="F51" s="25"/>
      <c r="G51" s="25"/>
      <c r="H51" s="25"/>
      <c r="I51" s="25"/>
      <c r="J51" s="51"/>
      <c r="K51" s="51"/>
      <c r="L51" s="51"/>
    </row>
    <row r="52" spans="1:12" x14ac:dyDescent="0.25">
      <c r="A52" s="25"/>
      <c r="B52" s="25"/>
      <c r="C52" s="25"/>
      <c r="D52" s="25"/>
      <c r="E52" s="25"/>
      <c r="F52" s="25"/>
      <c r="G52" s="25"/>
      <c r="H52" s="25"/>
      <c r="I52" s="25"/>
      <c r="J52" s="53"/>
      <c r="K52" s="53"/>
      <c r="L52" s="53"/>
    </row>
    <row r="53" spans="1:12" x14ac:dyDescent="0.25">
      <c r="A53" s="53"/>
      <c r="B53" s="53"/>
      <c r="C53" s="53"/>
      <c r="D53" s="53"/>
      <c r="E53" s="53"/>
      <c r="F53" s="53"/>
      <c r="G53" s="53"/>
      <c r="H53" s="53"/>
      <c r="I53" s="53"/>
      <c r="J53" s="53"/>
      <c r="K53" s="53"/>
      <c r="L53" s="53"/>
    </row>
    <row r="54" spans="1:12" x14ac:dyDescent="0.25">
      <c r="A54" s="53"/>
      <c r="B54" s="53"/>
      <c r="C54" s="53"/>
      <c r="D54" s="53"/>
      <c r="E54" s="53"/>
      <c r="F54" s="53"/>
      <c r="G54" s="53"/>
      <c r="H54" s="53"/>
      <c r="I54" s="53"/>
      <c r="J54" s="53"/>
      <c r="K54" s="53"/>
      <c r="L54" s="53"/>
    </row>
    <row r="55" spans="1:12" x14ac:dyDescent="0.25">
      <c r="A55" s="53"/>
      <c r="B55" s="53"/>
      <c r="C55" s="53"/>
      <c r="D55" s="53"/>
      <c r="E55" s="53"/>
      <c r="F55" s="53"/>
      <c r="G55" s="53"/>
      <c r="H55" s="53"/>
      <c r="I55" s="53"/>
      <c r="J55" s="53"/>
      <c r="K55" s="53"/>
      <c r="L55" s="53"/>
    </row>
    <row r="56" spans="1:12" x14ac:dyDescent="0.25">
      <c r="A56" s="53"/>
      <c r="B56" s="53"/>
      <c r="C56" s="53"/>
      <c r="D56" s="53"/>
      <c r="E56" s="53"/>
      <c r="F56" s="53"/>
      <c r="G56" s="53"/>
      <c r="H56" s="53"/>
      <c r="I56" s="53"/>
      <c r="J56" s="53"/>
      <c r="K56" s="53"/>
      <c r="L56" s="53"/>
    </row>
    <row r="57" spans="1:12" x14ac:dyDescent="0.25">
      <c r="A57" s="53"/>
      <c r="B57" s="53"/>
      <c r="C57" s="53"/>
      <c r="D57" s="53"/>
      <c r="E57" s="53"/>
      <c r="F57" s="53"/>
      <c r="G57" s="53"/>
      <c r="H57" s="53"/>
      <c r="I57" s="53"/>
      <c r="J57" s="53"/>
      <c r="K57" s="53"/>
      <c r="L57" s="53"/>
    </row>
    <row r="58" spans="1:12" x14ac:dyDescent="0.25">
      <c r="A58" s="53"/>
      <c r="B58" s="53"/>
      <c r="C58" s="53"/>
      <c r="D58" s="53"/>
      <c r="E58" s="53"/>
      <c r="F58" s="53"/>
      <c r="G58" s="53"/>
      <c r="H58" s="53"/>
      <c r="I58" s="53"/>
      <c r="J58" s="53"/>
      <c r="K58" s="53"/>
      <c r="L58" s="53"/>
    </row>
  </sheetData>
  <mergeCells count="24">
    <mergeCell ref="K5:L5"/>
    <mergeCell ref="A1:I1"/>
    <mergeCell ref="A36:H36"/>
    <mergeCell ref="A37:H37"/>
    <mergeCell ref="A49:I49"/>
    <mergeCell ref="A40:I40"/>
    <mergeCell ref="A41:I41"/>
    <mergeCell ref="A42:I42"/>
    <mergeCell ref="A43:I43"/>
    <mergeCell ref="A44:I44"/>
    <mergeCell ref="A46:I46"/>
    <mergeCell ref="A47:I47"/>
    <mergeCell ref="A48:I48"/>
    <mergeCell ref="A45:I45"/>
    <mergeCell ref="A3:A4"/>
    <mergeCell ref="F35:H35"/>
    <mergeCell ref="B23:H23"/>
    <mergeCell ref="B24:H24"/>
    <mergeCell ref="F34:H34"/>
    <mergeCell ref="B12:H12"/>
    <mergeCell ref="B13:H13"/>
    <mergeCell ref="B18:H18"/>
    <mergeCell ref="F20:H20"/>
    <mergeCell ref="B22:H2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22"/>
  <sheetViews>
    <sheetView topLeftCell="A5" workbookViewId="0">
      <selection activeCell="E22" sqref="E22"/>
    </sheetView>
  </sheetViews>
  <sheetFormatPr defaultColWidth="9.140625" defaultRowHeight="15" x14ac:dyDescent="0.25"/>
  <cols>
    <col min="1" max="1" width="34.140625" style="9" customWidth="1"/>
    <col min="2" max="9" width="11.5703125" style="9" customWidth="1"/>
    <col min="10" max="10" width="9.140625" style="9"/>
    <col min="11" max="11" width="11" style="9" bestFit="1" customWidth="1"/>
    <col min="12" max="16384" width="9.140625" style="9"/>
  </cols>
  <sheetData>
    <row r="1" spans="1:12" ht="32.25" customHeight="1" x14ac:dyDescent="0.25">
      <c r="A1" s="77" t="s">
        <v>43</v>
      </c>
      <c r="B1" s="77"/>
      <c r="C1" s="77"/>
      <c r="D1" s="77"/>
      <c r="E1" s="77"/>
      <c r="F1" s="77"/>
      <c r="G1" s="77"/>
      <c r="H1" s="77"/>
      <c r="I1" s="77"/>
    </row>
    <row r="2" spans="1:12" x14ac:dyDescent="0.25">
      <c r="A2" s="1"/>
      <c r="B2" s="1"/>
      <c r="C2" s="1"/>
      <c r="D2" s="1"/>
      <c r="E2" s="1"/>
      <c r="I2" s="1"/>
      <c r="J2" s="1"/>
      <c r="K2" s="1"/>
      <c r="L2" s="1"/>
    </row>
    <row r="3" spans="1:12" x14ac:dyDescent="0.25">
      <c r="A3" s="78" t="s">
        <v>62</v>
      </c>
      <c r="B3" s="55" t="s">
        <v>0</v>
      </c>
      <c r="C3" s="55" t="s">
        <v>2</v>
      </c>
      <c r="D3" s="55" t="s">
        <v>34</v>
      </c>
      <c r="E3" s="55" t="s">
        <v>35</v>
      </c>
      <c r="F3" s="55" t="s">
        <v>36</v>
      </c>
      <c r="G3" s="55" t="s">
        <v>37</v>
      </c>
      <c r="H3" s="55" t="s">
        <v>30</v>
      </c>
      <c r="I3" s="55" t="s">
        <v>38</v>
      </c>
      <c r="J3" s="1"/>
      <c r="K3" s="1"/>
      <c r="L3" s="1"/>
    </row>
    <row r="4" spans="1:12" ht="63.75" x14ac:dyDescent="0.25">
      <c r="A4" s="78"/>
      <c r="B4" s="26" t="s">
        <v>33</v>
      </c>
      <c r="C4" s="26" t="s">
        <v>45</v>
      </c>
      <c r="D4" s="26" t="s">
        <v>46</v>
      </c>
      <c r="E4" s="26" t="s">
        <v>115</v>
      </c>
      <c r="F4" s="26" t="s">
        <v>49</v>
      </c>
      <c r="G4" s="26" t="s">
        <v>47</v>
      </c>
      <c r="H4" s="26" t="s">
        <v>48</v>
      </c>
      <c r="I4" s="26" t="s">
        <v>116</v>
      </c>
      <c r="J4" s="1"/>
      <c r="K4" s="1"/>
      <c r="L4" s="1"/>
    </row>
    <row r="5" spans="1:12" x14ac:dyDescent="0.25">
      <c r="A5" s="29" t="s">
        <v>39</v>
      </c>
      <c r="B5" s="36">
        <v>2</v>
      </c>
      <c r="C5" s="36">
        <v>1</v>
      </c>
      <c r="D5" s="36">
        <f>B5*C5</f>
        <v>2</v>
      </c>
      <c r="E5" s="56">
        <v>0.33300000000000002</v>
      </c>
      <c r="F5" s="36">
        <f>D5*E5</f>
        <v>0.66600000000000004</v>
      </c>
      <c r="G5" s="36">
        <f>F5*0.05</f>
        <v>3.3300000000000003E-2</v>
      </c>
      <c r="H5" s="36">
        <f>F5*0.1</f>
        <v>6.6600000000000006E-2</v>
      </c>
      <c r="I5" s="57">
        <f t="shared" ref="I5:I12" si="0">F5*$L$7+G5*$L$6+H5*$L$8</f>
        <v>36.412551000000001</v>
      </c>
      <c r="J5" s="1"/>
      <c r="K5" s="66" t="s">
        <v>57</v>
      </c>
      <c r="L5" s="66"/>
    </row>
    <row r="6" spans="1:12" x14ac:dyDescent="0.25">
      <c r="A6" s="29" t="s">
        <v>15</v>
      </c>
      <c r="B6" s="36">
        <v>1</v>
      </c>
      <c r="C6" s="36">
        <v>1</v>
      </c>
      <c r="D6" s="36">
        <f t="shared" ref="D6:D12" si="1">B6*C6</f>
        <v>1</v>
      </c>
      <c r="E6" s="56">
        <f>E5</f>
        <v>0.33300000000000002</v>
      </c>
      <c r="F6" s="36">
        <f t="shared" ref="F6:F12" si="2">D6*E6</f>
        <v>0.33300000000000002</v>
      </c>
      <c r="G6" s="56">
        <f t="shared" ref="G6:G12" si="3">F6*0.05</f>
        <v>1.6650000000000002E-2</v>
      </c>
      <c r="H6" s="56">
        <f t="shared" ref="H6:H12" si="4">F6*0.1</f>
        <v>3.3300000000000003E-2</v>
      </c>
      <c r="I6" s="57">
        <f t="shared" si="0"/>
        <v>18.2062755</v>
      </c>
      <c r="J6" s="1"/>
      <c r="K6" s="10" t="s">
        <v>58</v>
      </c>
      <c r="L6" s="11">
        <v>65.709999999999994</v>
      </c>
    </row>
    <row r="7" spans="1:12" ht="15.75" x14ac:dyDescent="0.25">
      <c r="A7" s="29" t="s">
        <v>117</v>
      </c>
      <c r="B7" s="36">
        <v>0.5</v>
      </c>
      <c r="C7" s="36">
        <v>1.05</v>
      </c>
      <c r="D7" s="36">
        <f t="shared" si="1"/>
        <v>0.52500000000000002</v>
      </c>
      <c r="E7" s="56">
        <f>E5</f>
        <v>0.33300000000000002</v>
      </c>
      <c r="F7" s="36">
        <f t="shared" si="2"/>
        <v>0.17482500000000001</v>
      </c>
      <c r="G7" s="56">
        <f t="shared" si="3"/>
        <v>8.7412500000000008E-3</v>
      </c>
      <c r="H7" s="56">
        <f t="shared" si="4"/>
        <v>1.7482500000000002E-2</v>
      </c>
      <c r="I7" s="57">
        <f t="shared" si="0"/>
        <v>9.5582946375000013</v>
      </c>
      <c r="J7" s="1"/>
      <c r="K7" s="10" t="s">
        <v>59</v>
      </c>
      <c r="L7" s="11">
        <v>48.75</v>
      </c>
    </row>
    <row r="8" spans="1:12" x14ac:dyDescent="0.25">
      <c r="A8" s="29" t="s">
        <v>40</v>
      </c>
      <c r="B8" s="36">
        <v>24</v>
      </c>
      <c r="C8" s="36">
        <v>1</v>
      </c>
      <c r="D8" s="36">
        <f t="shared" si="1"/>
        <v>24</v>
      </c>
      <c r="E8" s="56">
        <f>E5</f>
        <v>0.33300000000000002</v>
      </c>
      <c r="F8" s="36">
        <f t="shared" si="2"/>
        <v>7.9920000000000009</v>
      </c>
      <c r="G8" s="56">
        <f t="shared" si="3"/>
        <v>0.39960000000000007</v>
      </c>
      <c r="H8" s="56">
        <f t="shared" si="4"/>
        <v>0.79920000000000013</v>
      </c>
      <c r="I8" s="57">
        <f t="shared" si="0"/>
        <v>436.95061200000009</v>
      </c>
      <c r="J8" s="1"/>
      <c r="K8" s="10" t="s">
        <v>60</v>
      </c>
      <c r="L8" s="11">
        <v>26.38</v>
      </c>
    </row>
    <row r="9" spans="1:12" ht="15.75" x14ac:dyDescent="0.25">
      <c r="A9" s="29" t="s">
        <v>118</v>
      </c>
      <c r="B9" s="36">
        <v>24</v>
      </c>
      <c r="C9" s="36">
        <v>0.05</v>
      </c>
      <c r="D9" s="36">
        <f t="shared" si="1"/>
        <v>1.2000000000000002</v>
      </c>
      <c r="E9" s="56">
        <f>E5</f>
        <v>0.33300000000000002</v>
      </c>
      <c r="F9" s="36">
        <f t="shared" si="2"/>
        <v>0.39960000000000007</v>
      </c>
      <c r="G9" s="56">
        <f t="shared" si="3"/>
        <v>1.9980000000000005E-2</v>
      </c>
      <c r="H9" s="56">
        <f t="shared" si="4"/>
        <v>3.9960000000000009E-2</v>
      </c>
      <c r="I9" s="57">
        <f t="shared" si="0"/>
        <v>21.847530600000002</v>
      </c>
      <c r="J9" s="1"/>
      <c r="K9" s="1"/>
      <c r="L9" s="1"/>
    </row>
    <row r="10" spans="1:12" ht="15.75" x14ac:dyDescent="0.25">
      <c r="A10" s="29" t="s">
        <v>119</v>
      </c>
      <c r="B10" s="36">
        <v>8</v>
      </c>
      <c r="C10" s="36">
        <v>1.05</v>
      </c>
      <c r="D10" s="36">
        <f t="shared" si="1"/>
        <v>8.4</v>
      </c>
      <c r="E10" s="56">
        <f>E5</f>
        <v>0.33300000000000002</v>
      </c>
      <c r="F10" s="36">
        <f t="shared" si="2"/>
        <v>2.7972000000000001</v>
      </c>
      <c r="G10" s="56">
        <f t="shared" si="3"/>
        <v>0.13986000000000001</v>
      </c>
      <c r="H10" s="56">
        <f t="shared" si="4"/>
        <v>0.27972000000000002</v>
      </c>
      <c r="I10" s="57">
        <f t="shared" si="0"/>
        <v>152.93271420000002</v>
      </c>
      <c r="J10" s="1"/>
      <c r="K10" s="1"/>
      <c r="L10" s="1"/>
    </row>
    <row r="11" spans="1:12" x14ac:dyDescent="0.25">
      <c r="A11" s="29" t="s">
        <v>41</v>
      </c>
      <c r="B11" s="36">
        <v>0.5</v>
      </c>
      <c r="C11" s="36">
        <v>1</v>
      </c>
      <c r="D11" s="36">
        <f t="shared" si="1"/>
        <v>0.5</v>
      </c>
      <c r="E11" s="56">
        <f>E5</f>
        <v>0.33300000000000002</v>
      </c>
      <c r="F11" s="36">
        <f t="shared" si="2"/>
        <v>0.16650000000000001</v>
      </c>
      <c r="G11" s="56">
        <f t="shared" si="3"/>
        <v>8.3250000000000008E-3</v>
      </c>
      <c r="H11" s="56">
        <f t="shared" si="4"/>
        <v>1.6650000000000002E-2</v>
      </c>
      <c r="I11" s="57">
        <f t="shared" si="0"/>
        <v>9.1031377500000001</v>
      </c>
      <c r="J11" s="1"/>
      <c r="K11" s="1"/>
      <c r="L11" s="1"/>
    </row>
    <row r="12" spans="1:12" x14ac:dyDescent="0.25">
      <c r="A12" s="29" t="s">
        <v>42</v>
      </c>
      <c r="B12" s="36">
        <v>8</v>
      </c>
      <c r="C12" s="36">
        <v>2</v>
      </c>
      <c r="D12" s="36">
        <f t="shared" si="1"/>
        <v>16</v>
      </c>
      <c r="E12" s="36">
        <f>'Table 1'!E19</f>
        <v>100.66</v>
      </c>
      <c r="F12" s="36">
        <f t="shared" si="2"/>
        <v>1610.56</v>
      </c>
      <c r="G12" s="36">
        <f t="shared" si="3"/>
        <v>80.528000000000006</v>
      </c>
      <c r="H12" s="36">
        <f t="shared" si="4"/>
        <v>161.05600000000001</v>
      </c>
      <c r="I12" s="57">
        <f t="shared" si="0"/>
        <v>88054.952160000001</v>
      </c>
      <c r="J12" s="1"/>
      <c r="K12" s="1"/>
      <c r="L12" s="1"/>
    </row>
    <row r="13" spans="1:12" ht="15.75" x14ac:dyDescent="0.25">
      <c r="A13" s="58" t="s">
        <v>120</v>
      </c>
      <c r="B13" s="27"/>
      <c r="C13" s="27"/>
      <c r="D13" s="27"/>
      <c r="E13" s="27"/>
      <c r="F13" s="79">
        <f>ROUND(SUM(F5:H12),-1)</f>
        <v>1870</v>
      </c>
      <c r="G13" s="80"/>
      <c r="H13" s="81"/>
      <c r="I13" s="59">
        <f>ROUND(SUM(I5:I12),-2)</f>
        <v>88700</v>
      </c>
      <c r="J13" s="1"/>
      <c r="K13" s="1"/>
      <c r="L13" s="1"/>
    </row>
    <row r="14" spans="1:12" x14ac:dyDescent="0.25">
      <c r="A14" s="25"/>
      <c r="B14" s="25"/>
      <c r="C14" s="25"/>
      <c r="D14" s="25"/>
      <c r="E14" s="25"/>
      <c r="F14" s="25"/>
      <c r="G14" s="25"/>
      <c r="H14" s="25"/>
      <c r="I14" s="25"/>
      <c r="J14" s="1"/>
      <c r="K14" s="1"/>
      <c r="L14" s="1"/>
    </row>
    <row r="15" spans="1:12" x14ac:dyDescent="0.25">
      <c r="A15" s="60" t="s">
        <v>44</v>
      </c>
      <c r="B15" s="25"/>
      <c r="C15" s="25"/>
      <c r="D15" s="25"/>
      <c r="E15" s="25"/>
      <c r="F15" s="25"/>
      <c r="G15" s="25"/>
      <c r="H15" s="25"/>
      <c r="I15" s="25"/>
      <c r="J15" s="1"/>
      <c r="K15" s="1"/>
      <c r="L15" s="1"/>
    </row>
    <row r="16" spans="1:12" ht="44.25" customHeight="1" x14ac:dyDescent="0.25">
      <c r="A16" s="72" t="s">
        <v>121</v>
      </c>
      <c r="B16" s="72"/>
      <c r="C16" s="72"/>
      <c r="D16" s="72"/>
      <c r="E16" s="72"/>
      <c r="F16" s="72"/>
      <c r="G16" s="72"/>
      <c r="H16" s="72"/>
      <c r="I16" s="72"/>
      <c r="J16" s="5"/>
      <c r="K16" s="1"/>
      <c r="L16" s="1"/>
    </row>
    <row r="17" spans="1:12" ht="42.75" customHeight="1" x14ac:dyDescent="0.25">
      <c r="A17" s="72" t="s">
        <v>122</v>
      </c>
      <c r="B17" s="73"/>
      <c r="C17" s="73"/>
      <c r="D17" s="73"/>
      <c r="E17" s="73"/>
      <c r="F17" s="73"/>
      <c r="G17" s="73"/>
      <c r="H17" s="73"/>
      <c r="I17" s="73"/>
      <c r="J17" s="5"/>
      <c r="K17" s="1"/>
      <c r="L17" s="1"/>
    </row>
    <row r="18" spans="1:12" ht="25.5" customHeight="1" x14ac:dyDescent="0.25">
      <c r="A18" s="72" t="s">
        <v>123</v>
      </c>
      <c r="B18" s="72"/>
      <c r="C18" s="72"/>
      <c r="D18" s="72"/>
      <c r="E18" s="72"/>
      <c r="F18" s="72"/>
      <c r="G18" s="72"/>
      <c r="H18" s="72"/>
      <c r="I18" s="72"/>
      <c r="J18" s="6"/>
      <c r="K18" s="1"/>
      <c r="L18" s="1"/>
    </row>
    <row r="19" spans="1:12" ht="25.5" customHeight="1" x14ac:dyDescent="0.25">
      <c r="A19" s="72" t="s">
        <v>124</v>
      </c>
      <c r="B19" s="73"/>
      <c r="C19" s="73"/>
      <c r="D19" s="73"/>
      <c r="E19" s="73"/>
      <c r="F19" s="73"/>
      <c r="G19" s="73"/>
      <c r="H19" s="73"/>
      <c r="I19" s="73"/>
      <c r="J19" s="6"/>
      <c r="K19" s="1"/>
      <c r="L19" s="1"/>
    </row>
    <row r="20" spans="1:12" ht="15" customHeight="1" x14ac:dyDescent="0.25">
      <c r="A20" s="6"/>
      <c r="B20" s="6"/>
      <c r="C20" s="6"/>
      <c r="D20" s="6"/>
      <c r="E20" s="6"/>
      <c r="F20" s="6"/>
      <c r="G20" s="6"/>
      <c r="H20" s="6"/>
      <c r="I20" s="6"/>
      <c r="J20" s="6"/>
      <c r="K20" s="1"/>
      <c r="L20" s="1"/>
    </row>
    <row r="21" spans="1:12" ht="15.75" customHeight="1" x14ac:dyDescent="0.25">
      <c r="B21" s="5"/>
      <c r="C21" s="5"/>
      <c r="D21" s="5"/>
      <c r="E21" s="5"/>
      <c r="F21" s="5"/>
      <c r="G21" s="5"/>
      <c r="H21" s="5"/>
      <c r="I21" s="5"/>
      <c r="J21" s="5"/>
    </row>
    <row r="22" spans="1:12" x14ac:dyDescent="0.25">
      <c r="J22" s="1"/>
    </row>
  </sheetData>
  <mergeCells count="8">
    <mergeCell ref="K5:L5"/>
    <mergeCell ref="A1:I1"/>
    <mergeCell ref="A3:A4"/>
    <mergeCell ref="A19:I19"/>
    <mergeCell ref="A16:I16"/>
    <mergeCell ref="A17:I17"/>
    <mergeCell ref="A18:I18"/>
    <mergeCell ref="F13:H1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1B1D47-C21F-424E-A857-8200ADFEAC69}">
  <dimension ref="A1:H29"/>
  <sheetViews>
    <sheetView topLeftCell="A13" workbookViewId="0">
      <selection activeCell="E30" sqref="E30"/>
    </sheetView>
  </sheetViews>
  <sheetFormatPr defaultColWidth="9.140625" defaultRowHeight="12.75" x14ac:dyDescent="0.2"/>
  <cols>
    <col min="1" max="1" width="20.140625" style="1" customWidth="1"/>
    <col min="2" max="7" width="14.28515625" style="1" customWidth="1"/>
    <col min="8" max="16384" width="9.140625" style="1"/>
  </cols>
  <sheetData>
    <row r="1" spans="1:8" x14ac:dyDescent="0.2">
      <c r="A1" s="84"/>
      <c r="B1" s="85"/>
      <c r="C1" s="85"/>
      <c r="D1" s="85"/>
      <c r="E1" s="85"/>
      <c r="F1" s="85"/>
      <c r="G1" s="86"/>
    </row>
    <row r="2" spans="1:8" x14ac:dyDescent="0.2">
      <c r="A2" s="87" t="s">
        <v>65</v>
      </c>
      <c r="B2" s="87"/>
      <c r="C2" s="87"/>
      <c r="D2" s="87"/>
      <c r="E2" s="87"/>
      <c r="F2" s="87"/>
      <c r="G2" s="87"/>
    </row>
    <row r="3" spans="1:8" x14ac:dyDescent="0.2">
      <c r="A3" s="4"/>
      <c r="B3" s="2"/>
      <c r="C3" s="2"/>
      <c r="D3" s="2"/>
      <c r="E3" s="2"/>
      <c r="F3" s="2"/>
      <c r="G3" s="2"/>
    </row>
    <row r="4" spans="1:8" x14ac:dyDescent="0.2">
      <c r="A4" s="2" t="s">
        <v>0</v>
      </c>
      <c r="B4" s="2" t="s">
        <v>2</v>
      </c>
      <c r="C4" s="2" t="s">
        <v>4</v>
      </c>
      <c r="D4" s="2" t="s">
        <v>5</v>
      </c>
      <c r="E4" s="2" t="s">
        <v>69</v>
      </c>
      <c r="F4" s="2" t="s">
        <v>6</v>
      </c>
      <c r="G4" s="2" t="s">
        <v>30</v>
      </c>
    </row>
    <row r="5" spans="1:8" ht="38.25" x14ac:dyDescent="0.2">
      <c r="A5" s="2" t="s">
        <v>66</v>
      </c>
      <c r="B5" s="2" t="s">
        <v>67</v>
      </c>
      <c r="C5" s="2" t="s">
        <v>68</v>
      </c>
      <c r="D5" s="2" t="s">
        <v>78</v>
      </c>
      <c r="E5" s="2" t="s">
        <v>70</v>
      </c>
      <c r="F5" s="2" t="s">
        <v>71</v>
      </c>
      <c r="G5" s="2" t="s">
        <v>72</v>
      </c>
    </row>
    <row r="6" spans="1:8" x14ac:dyDescent="0.2">
      <c r="A6" s="14"/>
      <c r="B6" s="14"/>
      <c r="C6" s="14"/>
      <c r="D6" s="15" t="s">
        <v>79</v>
      </c>
      <c r="E6" s="14"/>
      <c r="F6" s="14"/>
      <c r="G6" s="2" t="s">
        <v>73</v>
      </c>
    </row>
    <row r="7" spans="1:8" x14ac:dyDescent="0.2">
      <c r="A7" s="3"/>
      <c r="B7" s="2"/>
      <c r="C7" s="2"/>
      <c r="D7" s="2"/>
      <c r="E7" s="2"/>
      <c r="F7" s="2"/>
      <c r="G7" s="2"/>
    </row>
    <row r="8" spans="1:8" ht="25.5" x14ac:dyDescent="0.2">
      <c r="A8" s="3" t="s">
        <v>74</v>
      </c>
      <c r="B8" s="13">
        <v>25000</v>
      </c>
      <c r="C8" s="2">
        <v>0</v>
      </c>
      <c r="D8" s="13">
        <v>0</v>
      </c>
      <c r="E8" s="13">
        <v>7500</v>
      </c>
      <c r="F8" s="8">
        <f>'Table 1'!E29</f>
        <v>26.815824000000003</v>
      </c>
      <c r="G8" s="13">
        <f>E8*F8</f>
        <v>201118.68000000002</v>
      </c>
    </row>
    <row r="9" spans="1:8" x14ac:dyDescent="0.2">
      <c r="A9" s="3"/>
      <c r="B9" s="2"/>
      <c r="C9" s="2"/>
      <c r="D9" s="2"/>
      <c r="E9" s="2"/>
      <c r="F9" s="2"/>
      <c r="G9" s="2"/>
    </row>
    <row r="10" spans="1:8" ht="25.5" x14ac:dyDescent="0.2">
      <c r="A10" s="3" t="s">
        <v>75</v>
      </c>
      <c r="B10" s="13">
        <v>300</v>
      </c>
      <c r="C10" s="2">
        <v>0.33</v>
      </c>
      <c r="D10" s="13">
        <f>B10*C10</f>
        <v>99</v>
      </c>
      <c r="E10" s="54">
        <v>0</v>
      </c>
      <c r="F10" s="8">
        <f>'Table 1'!E31</f>
        <v>52.041220000000003</v>
      </c>
      <c r="G10" s="13">
        <f>E10*F10</f>
        <v>0</v>
      </c>
      <c r="H10" s="16"/>
    </row>
    <row r="11" spans="1:8" x14ac:dyDescent="0.2">
      <c r="A11" s="3"/>
      <c r="B11" s="2"/>
      <c r="C11" s="2"/>
      <c r="D11" s="2"/>
      <c r="E11" s="28"/>
      <c r="F11" s="2"/>
      <c r="G11" s="2"/>
      <c r="H11" s="16"/>
    </row>
    <row r="12" spans="1:8" ht="25.5" x14ac:dyDescent="0.2">
      <c r="A12" s="3" t="s">
        <v>76</v>
      </c>
      <c r="B12" s="13">
        <v>18000</v>
      </c>
      <c r="C12" s="2">
        <v>0.33</v>
      </c>
      <c r="D12" s="13">
        <f>B12*C12</f>
        <v>5940</v>
      </c>
      <c r="E12" s="54">
        <v>0</v>
      </c>
      <c r="F12" s="2">
        <f>'Table 1'!E27</f>
        <v>100.66</v>
      </c>
      <c r="G12" s="13">
        <f>E12*F12</f>
        <v>0</v>
      </c>
      <c r="H12" s="16"/>
    </row>
    <row r="13" spans="1:8" x14ac:dyDescent="0.2">
      <c r="A13" s="3"/>
      <c r="B13" s="88"/>
      <c r="C13" s="88"/>
      <c r="D13" s="2"/>
      <c r="E13" s="88"/>
      <c r="F13" s="88"/>
      <c r="G13" s="2"/>
    </row>
    <row r="14" spans="1:8" x14ac:dyDescent="0.2">
      <c r="A14" s="3" t="s">
        <v>77</v>
      </c>
      <c r="B14" s="88"/>
      <c r="C14" s="88"/>
      <c r="D14" s="13">
        <f>SUM(D8:D12)</f>
        <v>6039</v>
      </c>
      <c r="E14" s="88"/>
      <c r="F14" s="88"/>
      <c r="G14" s="13">
        <f>SUM(G8:G12)</f>
        <v>201118.68000000002</v>
      </c>
    </row>
    <row r="15" spans="1:8" x14ac:dyDescent="0.2">
      <c r="A15" s="23" t="s">
        <v>91</v>
      </c>
      <c r="D15" s="17">
        <f>ROUND(D14,-1)</f>
        <v>6040</v>
      </c>
      <c r="G15" s="17">
        <f>ROUND(G14,-3)</f>
        <v>201000</v>
      </c>
    </row>
    <row r="16" spans="1:8" x14ac:dyDescent="0.2">
      <c r="G16" s="17">
        <f>D14+G14</f>
        <v>207157.68000000002</v>
      </c>
    </row>
    <row r="18" spans="1:5" ht="15.75" x14ac:dyDescent="0.2">
      <c r="A18" s="82"/>
      <c r="B18" s="82"/>
      <c r="C18" s="82"/>
      <c r="D18" s="82"/>
      <c r="E18" s="82"/>
    </row>
    <row r="19" spans="1:5" ht="15.75" x14ac:dyDescent="0.2">
      <c r="A19" s="83" t="s">
        <v>80</v>
      </c>
      <c r="B19" s="83"/>
      <c r="C19" s="83"/>
      <c r="D19" s="83"/>
      <c r="E19" s="83"/>
    </row>
    <row r="20" spans="1:5" x14ac:dyDescent="0.2">
      <c r="A20" s="18"/>
      <c r="B20" s="19"/>
      <c r="C20" s="19"/>
      <c r="D20" s="19"/>
      <c r="E20" s="19"/>
    </row>
    <row r="21" spans="1:5" x14ac:dyDescent="0.2">
      <c r="A21" s="19" t="s">
        <v>0</v>
      </c>
      <c r="B21" s="19" t="s">
        <v>2</v>
      </c>
      <c r="C21" s="19" t="s">
        <v>4</v>
      </c>
      <c r="D21" s="19" t="s">
        <v>5</v>
      </c>
      <c r="E21" s="19" t="s">
        <v>69</v>
      </c>
    </row>
    <row r="22" spans="1:5" ht="72.75" customHeight="1" x14ac:dyDescent="0.2">
      <c r="A22" s="19" t="s">
        <v>81</v>
      </c>
      <c r="B22" s="19" t="s">
        <v>82</v>
      </c>
      <c r="C22" s="19" t="s">
        <v>83</v>
      </c>
      <c r="D22" s="19" t="s">
        <v>84</v>
      </c>
      <c r="E22" s="19" t="s">
        <v>89</v>
      </c>
    </row>
    <row r="23" spans="1:5" x14ac:dyDescent="0.2">
      <c r="A23" s="21"/>
      <c r="B23" s="21"/>
      <c r="C23" s="21"/>
      <c r="D23" s="21"/>
      <c r="E23" s="21"/>
    </row>
    <row r="24" spans="1:5" ht="25.5" x14ac:dyDescent="0.2">
      <c r="A24" s="3" t="s">
        <v>15</v>
      </c>
      <c r="B24" s="8">
        <v>0.33300000000000002</v>
      </c>
      <c r="C24" s="2">
        <v>1</v>
      </c>
      <c r="D24" s="2">
        <v>0</v>
      </c>
      <c r="E24" s="8">
        <f>B24*C24</f>
        <v>0.33300000000000002</v>
      </c>
    </row>
    <row r="25" spans="1:5" ht="38.25" x14ac:dyDescent="0.2">
      <c r="A25" s="3" t="s">
        <v>85</v>
      </c>
      <c r="B25" s="8">
        <v>0.33300000000000002</v>
      </c>
      <c r="C25" s="2">
        <v>1</v>
      </c>
      <c r="D25" s="2">
        <v>0</v>
      </c>
      <c r="E25" s="8">
        <f t="shared" ref="E25:E26" si="0">B25*C25</f>
        <v>0.33300000000000002</v>
      </c>
    </row>
    <row r="26" spans="1:5" ht="25.5" x14ac:dyDescent="0.2">
      <c r="A26" s="3" t="s">
        <v>86</v>
      </c>
      <c r="B26" s="8">
        <v>0.33300000000000002</v>
      </c>
      <c r="C26" s="2">
        <v>1</v>
      </c>
      <c r="D26" s="2">
        <v>0</v>
      </c>
      <c r="E26" s="8">
        <f t="shared" si="0"/>
        <v>0.33300000000000002</v>
      </c>
    </row>
    <row r="27" spans="1:5" ht="25.5" x14ac:dyDescent="0.2">
      <c r="A27" s="3" t="s">
        <v>17</v>
      </c>
      <c r="B27" s="8">
        <v>0.33300000000000002</v>
      </c>
      <c r="C27" s="2">
        <v>1.05</v>
      </c>
      <c r="D27" s="2">
        <v>0</v>
      </c>
      <c r="E27" s="8">
        <f>B27*C27</f>
        <v>0.34965000000000002</v>
      </c>
    </row>
    <row r="28" spans="1:5" x14ac:dyDescent="0.2">
      <c r="A28" s="3" t="s">
        <v>87</v>
      </c>
      <c r="B28" s="8">
        <v>100.66</v>
      </c>
      <c r="C28" s="2">
        <v>2</v>
      </c>
      <c r="D28" s="2">
        <v>0</v>
      </c>
      <c r="E28" s="12">
        <f>B28*C28</f>
        <v>201.32</v>
      </c>
    </row>
    <row r="29" spans="1:5" x14ac:dyDescent="0.2">
      <c r="A29" s="20"/>
      <c r="B29" s="19"/>
      <c r="C29" s="19"/>
      <c r="D29" s="2" t="s">
        <v>88</v>
      </c>
      <c r="E29" s="22">
        <f>SUM(E24:E28)</f>
        <v>202.66864999999999</v>
      </c>
    </row>
  </sheetData>
  <mergeCells count="8">
    <mergeCell ref="A18:E18"/>
    <mergeCell ref="A19:E19"/>
    <mergeCell ref="A1:G1"/>
    <mergeCell ref="A2:G2"/>
    <mergeCell ref="B13:B14"/>
    <mergeCell ref="C13:C14"/>
    <mergeCell ref="E13:E14"/>
    <mergeCell ref="F13:F1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Table 1</vt:lpstr>
      <vt:lpstr>Table 2</vt:lpstr>
      <vt:lpstr>Additional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DWang</dc:creator>
  <cp:lastModifiedBy>Eric Schultz</cp:lastModifiedBy>
  <dcterms:created xsi:type="dcterms:W3CDTF">2015-12-01T15:58:22Z</dcterms:created>
  <dcterms:modified xsi:type="dcterms:W3CDTF">2019-06-28T14:53:19Z</dcterms:modified>
</cp:coreProperties>
</file>