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7C38BE95-8C38-46D3-A0CD-73E4ABACDBE3}" xr6:coauthVersionLast="36" xr6:coauthVersionMax="36" xr10:uidLastSave="{00000000-0000-0000-0000-000000000000}"/>
  <bookViews>
    <workbookView xWindow="-105" yWindow="-105" windowWidth="19425" windowHeight="10425" xr2:uid="{00000000-000D-0000-FFFF-FFFF00000000}"/>
  </bookViews>
  <sheets>
    <sheet name="Table 1a" sheetId="1" r:id="rId1"/>
    <sheet name="Table 1b" sheetId="4" r:id="rId2"/>
    <sheet name="Table 1c" sheetId="5" r:id="rId3"/>
    <sheet name="Table 2" sheetId="2" r:id="rId4"/>
    <sheet name="Additional" sheetId="3"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 i="5" l="1"/>
  <c r="G6" i="5"/>
  <c r="G5" i="5"/>
  <c r="I48" i="4"/>
  <c r="I48" i="1"/>
  <c r="G13" i="3"/>
  <c r="G12" i="3"/>
  <c r="O13" i="3"/>
  <c r="O12" i="3"/>
  <c r="O10" i="3"/>
  <c r="O9" i="3"/>
  <c r="O8" i="3"/>
  <c r="O7" i="3"/>
  <c r="L7" i="3"/>
  <c r="L11" i="3" s="1"/>
  <c r="L12" i="3" s="1"/>
  <c r="O6" i="3"/>
  <c r="L6" i="3"/>
  <c r="D32" i="3"/>
  <c r="H34" i="3"/>
  <c r="K34" i="3" s="1"/>
  <c r="E44" i="4"/>
  <c r="D44" i="4"/>
  <c r="D39" i="4"/>
  <c r="D38" i="4"/>
  <c r="E37" i="4"/>
  <c r="D37" i="4"/>
  <c r="G37" i="4" s="1"/>
  <c r="D35" i="4"/>
  <c r="F35" i="4" s="1"/>
  <c r="G35" i="4" s="1"/>
  <c r="D34" i="4"/>
  <c r="E33" i="4"/>
  <c r="D33" i="4"/>
  <c r="E32" i="4"/>
  <c r="D32" i="4"/>
  <c r="D30" i="4"/>
  <c r="F30" i="4" s="1"/>
  <c r="C29" i="4"/>
  <c r="D29" i="4" s="1"/>
  <c r="C28" i="4"/>
  <c r="D28" i="4" s="1"/>
  <c r="F28" i="4" s="1"/>
  <c r="E39" i="4"/>
  <c r="D27" i="4"/>
  <c r="E38" i="4"/>
  <c r="D26" i="4"/>
  <c r="E24" i="4"/>
  <c r="D24" i="4"/>
  <c r="E20" i="4"/>
  <c r="H35" i="3" s="1"/>
  <c r="K35" i="3" s="1"/>
  <c r="D20" i="4"/>
  <c r="H19" i="4"/>
  <c r="E19" i="4"/>
  <c r="D19" i="4"/>
  <c r="D18" i="4"/>
  <c r="E17" i="4"/>
  <c r="H32" i="3" s="1"/>
  <c r="K32" i="3" s="1"/>
  <c r="D17" i="4"/>
  <c r="E15" i="4"/>
  <c r="E34" i="4" s="1"/>
  <c r="F34" i="4" s="1"/>
  <c r="I34" i="4" s="1"/>
  <c r="D15" i="4"/>
  <c r="E14" i="4"/>
  <c r="D14" i="4"/>
  <c r="D13" i="4"/>
  <c r="F13" i="4" s="1"/>
  <c r="D9" i="4"/>
  <c r="G9" i="4" s="1"/>
  <c r="F32" i="4" l="1"/>
  <c r="I32" i="4" s="1"/>
  <c r="F39" i="4"/>
  <c r="F24" i="4"/>
  <c r="I24" i="4" s="1"/>
  <c r="F37" i="4"/>
  <c r="I37" i="4" s="1"/>
  <c r="G19" i="4"/>
  <c r="I19" i="4" s="1"/>
  <c r="I39" i="4"/>
  <c r="F44" i="4"/>
  <c r="G20" i="4"/>
  <c r="I20" i="4" s="1"/>
  <c r="O11" i="3"/>
  <c r="F29" i="4"/>
  <c r="H29" i="4" s="1"/>
  <c r="F17" i="4"/>
  <c r="H17" i="4" s="1"/>
  <c r="F33" i="4"/>
  <c r="I33" i="4" s="1"/>
  <c r="E18" i="4"/>
  <c r="F14" i="4"/>
  <c r="G14" i="4" s="1"/>
  <c r="F27" i="4"/>
  <c r="I27" i="4" s="1"/>
  <c r="F26" i="4"/>
  <c r="I26" i="4" s="1"/>
  <c r="G44" i="4"/>
  <c r="I44" i="4" s="1"/>
  <c r="H35" i="4"/>
  <c r="I35" i="4"/>
  <c r="H28" i="4"/>
  <c r="G28" i="4"/>
  <c r="I9" i="4"/>
  <c r="H13" i="4"/>
  <c r="G13" i="4"/>
  <c r="I13" i="4" s="1"/>
  <c r="H30" i="4"/>
  <c r="G30" i="4"/>
  <c r="F38" i="4"/>
  <c r="F15" i="4"/>
  <c r="I30" i="4" l="1"/>
  <c r="G18" i="4"/>
  <c r="I18" i="4" s="1"/>
  <c r="H33" i="3"/>
  <c r="K33" i="3" s="1"/>
  <c r="K36" i="3" s="1"/>
  <c r="B6" i="5" s="1"/>
  <c r="G38" i="4"/>
  <c r="I38" i="4" s="1"/>
  <c r="H14" i="4"/>
  <c r="I14" i="4" s="1"/>
  <c r="G29" i="4"/>
  <c r="I29" i="4" s="1"/>
  <c r="G17" i="4"/>
  <c r="I17" i="4" s="1"/>
  <c r="I28" i="4"/>
  <c r="H15" i="4"/>
  <c r="G15" i="4"/>
  <c r="I46" i="4" l="1"/>
  <c r="F46" i="4"/>
  <c r="D6" i="5" s="1"/>
  <c r="F21" i="4"/>
  <c r="C6" i="5" s="1"/>
  <c r="I15" i="4"/>
  <c r="I21" i="4" s="1"/>
  <c r="F47" i="4" l="1"/>
  <c r="I47" i="4"/>
  <c r="F6" i="5" s="1"/>
  <c r="E6" i="5"/>
  <c r="E15" i="1" l="1"/>
  <c r="F28" i="1"/>
  <c r="E34" i="1"/>
  <c r="E27" i="1"/>
  <c r="E26" i="1"/>
  <c r="D11" i="3" l="1"/>
  <c r="D12" i="3" s="1"/>
  <c r="C6" i="2"/>
  <c r="C9" i="2"/>
  <c r="E32" i="3" l="1"/>
  <c r="F32" i="1" l="1"/>
  <c r="G38" i="1"/>
  <c r="G37" i="1"/>
  <c r="C7" i="2"/>
  <c r="C8" i="2"/>
  <c r="B33" i="3"/>
  <c r="E33" i="3" s="1"/>
  <c r="B34" i="3"/>
  <c r="E34" i="3" s="1"/>
  <c r="B35" i="3"/>
  <c r="B32" i="3"/>
  <c r="E35" i="3"/>
  <c r="F21" i="3"/>
  <c r="F22" i="3"/>
  <c r="F20" i="3"/>
  <c r="G7" i="3"/>
  <c r="G8" i="3"/>
  <c r="G9" i="3"/>
  <c r="G10" i="3"/>
  <c r="G6" i="3"/>
  <c r="D7" i="3"/>
  <c r="D6" i="3"/>
  <c r="G11" i="3" l="1"/>
  <c r="E36" i="3"/>
  <c r="F23" i="3"/>
  <c r="E44" i="1"/>
  <c r="E37" i="1"/>
  <c r="E29" i="1"/>
  <c r="F29" i="1" s="1"/>
  <c r="E39" i="1"/>
  <c r="E38" i="1"/>
  <c r="E24" i="1"/>
  <c r="E20" i="1"/>
  <c r="I49" i="4" l="1"/>
  <c r="B5" i="5"/>
  <c r="E19" i="1"/>
  <c r="E17" i="1"/>
  <c r="E14" i="1"/>
  <c r="B7" i="5" l="1"/>
  <c r="D30" i="1"/>
  <c r="F30" i="1" s="1"/>
  <c r="G9" i="1"/>
  <c r="F21" i="1" s="1"/>
  <c r="C5" i="5" s="1"/>
  <c r="C7" i="5" s="1"/>
  <c r="D38" i="1"/>
  <c r="D37" i="1"/>
  <c r="F37" i="1" s="1"/>
  <c r="D35" i="1"/>
  <c r="F35" i="1" s="1"/>
  <c r="D44" i="1"/>
  <c r="F44" i="1" s="1"/>
  <c r="G44" i="1" s="1"/>
  <c r="C29" i="1"/>
  <c r="D29" i="1" s="1"/>
  <c r="C28" i="1"/>
  <c r="D28" i="1" s="1"/>
  <c r="H28" i="1" s="1"/>
  <c r="D27" i="1"/>
  <c r="D26" i="1"/>
  <c r="F26" i="1" s="1"/>
  <c r="D17" i="1"/>
  <c r="D15" i="1"/>
  <c r="F15" i="1" s="1"/>
  <c r="D14" i="1"/>
  <c r="E33" i="1"/>
  <c r="D13" i="1"/>
  <c r="D39" i="1"/>
  <c r="D34" i="1"/>
  <c r="D33" i="1"/>
  <c r="D32" i="1"/>
  <c r="D24" i="1"/>
  <c r="F24" i="1" s="1"/>
  <c r="D20" i="1"/>
  <c r="G20" i="1" s="1"/>
  <c r="D19" i="1"/>
  <c r="G19" i="1" s="1"/>
  <c r="D18" i="1"/>
  <c r="D9" i="1"/>
  <c r="G7" i="5" l="1"/>
  <c r="I26" i="1"/>
  <c r="F39" i="1"/>
  <c r="I39" i="1" s="1"/>
  <c r="F27" i="1"/>
  <c r="I27" i="1" s="1"/>
  <c r="F17" i="1"/>
  <c r="F13" i="1"/>
  <c r="G13" i="1" s="1"/>
  <c r="G30" i="1"/>
  <c r="I30" i="1" s="1"/>
  <c r="G17" i="1"/>
  <c r="H17" i="1"/>
  <c r="G29" i="1"/>
  <c r="H29" i="1"/>
  <c r="I24" i="1"/>
  <c r="E32" i="1"/>
  <c r="I9" i="1"/>
  <c r="G28" i="1"/>
  <c r="I28" i="1" s="1"/>
  <c r="I37" i="1"/>
  <c r="F33" i="1"/>
  <c r="I33" i="1" s="1"/>
  <c r="F38" i="1"/>
  <c r="I38" i="1" s="1"/>
  <c r="F14" i="1"/>
  <c r="H14" i="1" s="1"/>
  <c r="F34" i="1"/>
  <c r="I34" i="1" s="1"/>
  <c r="H19" i="1"/>
  <c r="I19" i="1" s="1"/>
  <c r="G15" i="1"/>
  <c r="H15" i="1"/>
  <c r="G35" i="1"/>
  <c r="E18" i="1"/>
  <c r="G18" i="1" s="1"/>
  <c r="I18" i="1" s="1"/>
  <c r="H35" i="1"/>
  <c r="H30" i="1"/>
  <c r="I29" i="1" l="1"/>
  <c r="I46" i="1" s="1"/>
  <c r="F46" i="1"/>
  <c r="I17" i="1"/>
  <c r="I15" i="1"/>
  <c r="G14" i="1"/>
  <c r="I14" i="1" s="1"/>
  <c r="H13" i="1"/>
  <c r="I13" i="1" s="1"/>
  <c r="I32" i="1"/>
  <c r="I35" i="1"/>
  <c r="I20" i="1"/>
  <c r="I44" i="1"/>
  <c r="D8" i="2"/>
  <c r="D9" i="2"/>
  <c r="F9" i="2" s="1"/>
  <c r="D7" i="2"/>
  <c r="D6" i="2"/>
  <c r="F47" i="1" l="1"/>
  <c r="D5" i="5"/>
  <c r="E7" i="2"/>
  <c r="I21" i="1"/>
  <c r="I47" i="1" s="1"/>
  <c r="F6" i="2"/>
  <c r="G6" i="2" s="1"/>
  <c r="E6" i="2"/>
  <c r="E9" i="2"/>
  <c r="G9" i="2" s="1"/>
  <c r="F7" i="2"/>
  <c r="G7" i="2" s="1"/>
  <c r="E8" i="2"/>
  <c r="F8" i="2"/>
  <c r="I49" i="1" l="1"/>
  <c r="F5" i="5"/>
  <c r="F7" i="5" s="1"/>
  <c r="F8" i="5" s="1"/>
  <c r="E5" i="5"/>
  <c r="E7" i="5" s="1"/>
  <c r="D7" i="5"/>
  <c r="D10" i="2"/>
  <c r="G8" i="2"/>
  <c r="G10" i="2" s="1"/>
  <c r="E8" i="5" l="1"/>
  <c r="E10" i="5"/>
</calcChain>
</file>

<file path=xl/sharedStrings.xml><?xml version="1.0" encoding="utf-8"?>
<sst xmlns="http://schemas.openxmlformats.org/spreadsheetml/2006/main" count="351" uniqueCount="203">
  <si>
    <t>Burden Item</t>
  </si>
  <si>
    <t>A</t>
  </si>
  <si>
    <t>B</t>
  </si>
  <si>
    <t>C</t>
  </si>
  <si>
    <t>Hours per respondent per year</t>
  </si>
  <si>
    <t>(AxB)</t>
  </si>
  <si>
    <t>D</t>
  </si>
  <si>
    <t>E</t>
  </si>
  <si>
    <t>F</t>
  </si>
  <si>
    <t>G</t>
  </si>
  <si>
    <t>H</t>
  </si>
  <si>
    <t>1.  Applications</t>
  </si>
  <si>
    <t>N/A</t>
  </si>
  <si>
    <t>2.  Survey and Studies</t>
  </si>
  <si>
    <t>3.  Reporting Requirements</t>
  </si>
  <si>
    <t>B.  Required activities</t>
  </si>
  <si>
    <t>C.  Create Information</t>
  </si>
  <si>
    <t>D.  Gather existing information</t>
  </si>
  <si>
    <t>Initial report information</t>
  </si>
  <si>
    <t>Solvent consumption</t>
  </si>
  <si>
    <t>E.  Write Report</t>
  </si>
  <si>
    <t>Initial notification report</t>
  </si>
  <si>
    <t>4.  Recordkeeping Requirements</t>
  </si>
  <si>
    <t>C.  Implement activities</t>
  </si>
  <si>
    <t>D.  Develop record system</t>
  </si>
  <si>
    <t>E.  Time to enter information</t>
  </si>
  <si>
    <t>Major: Enhanced LDAR</t>
  </si>
  <si>
    <t>Major: Carbon adsorber monitoring</t>
  </si>
  <si>
    <t>Area: Enhanced LDAR</t>
  </si>
  <si>
    <t>F.  Time to Train personnel</t>
  </si>
  <si>
    <t>G.  Time for audits</t>
  </si>
  <si>
    <t>Assumptions:</t>
  </si>
  <si>
    <t>1.  Report review</t>
  </si>
  <si>
    <t>EPA technical hrs per occurrence</t>
  </si>
  <si>
    <t>Technical hrs per year (AxB)</t>
  </si>
  <si>
    <t>Management hrs per year  (Cx0.05)</t>
  </si>
  <si>
    <t>Clerical hrs per year (Cx0.10)</t>
  </si>
  <si>
    <t>Hours per occurrence</t>
  </si>
  <si>
    <t>Technical hours per year</t>
  </si>
  <si>
    <t>(Ex0.05)</t>
  </si>
  <si>
    <t>(Ex0.10)</t>
  </si>
  <si>
    <t>Clerical hours per year</t>
  </si>
  <si>
    <t>Management hours per year</t>
  </si>
  <si>
    <t>Occurrences per respondent per year</t>
  </si>
  <si>
    <t>(CxD)</t>
  </si>
  <si>
    <r>
      <rPr>
        <vertAlign val="superscript"/>
        <sz val="10"/>
        <color theme="1"/>
        <rFont val="Times New Roman"/>
        <family val="1"/>
      </rPr>
      <t>v</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</si>
  <si>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u</t>
    </r>
    <r>
      <rPr>
        <sz val="10"/>
        <color theme="1"/>
        <rFont val="Times New Roman"/>
        <family val="1"/>
      </rPr>
      <t xml:space="preserve">  This task requires an equal amount of management and technical employee hours.</t>
    </r>
  </si>
  <si>
    <r>
      <rPr>
        <vertAlign val="superscript"/>
        <sz val="10"/>
        <color theme="1"/>
        <rFont val="Times New Roman"/>
        <family val="1"/>
      </rPr>
      <t>t</t>
    </r>
    <r>
      <rPr>
        <sz val="10"/>
        <color theme="1"/>
        <rFont val="Times New Roman"/>
        <family val="1"/>
      </rPr>
      <t xml:space="preserve">  Estimate includes hours for training one owner/operator and one employee.</t>
    </r>
  </si>
  <si>
    <r>
      <rPr>
        <vertAlign val="superscript"/>
        <sz val="10"/>
        <color theme="1"/>
        <rFont val="Times New Roman"/>
        <family val="1"/>
      </rPr>
      <t>s</t>
    </r>
    <r>
      <rPr>
        <sz val="10"/>
        <color theme="1"/>
        <rFont val="Times New Roman"/>
        <family val="1"/>
      </rPr>
      <t xml:space="preserve">  This task is performed primarily by technical staff.  Management hours are only for a limited number of major sources, and we assume only three major sources will require managerial review.</t>
    </r>
  </si>
  <si>
    <r>
      <rPr>
        <vertAlign val="superscript"/>
        <sz val="10"/>
        <color theme="1"/>
        <rFont val="Times New Roman"/>
        <family val="1"/>
      </rPr>
      <t>q</t>
    </r>
    <r>
      <rPr>
        <sz val="10"/>
        <color theme="1"/>
        <rFont val="Times New Roman"/>
        <family val="1"/>
      </rPr>
      <t xml:space="preserve">  Occurrences are based on twelve months rolling average of PCE consumption, determined once per month.  </t>
    </r>
  </si>
  <si>
    <r>
      <rPr>
        <vertAlign val="superscript"/>
        <sz val="10"/>
        <color theme="1"/>
        <rFont val="Times New Roman"/>
        <family val="1"/>
      </rPr>
      <t>p</t>
    </r>
    <r>
      <rPr>
        <sz val="10"/>
        <color theme="1"/>
        <rFont val="Times New Roman"/>
        <family val="1"/>
      </rPr>
      <t xml:space="preserve">  No new major sources are expected for the three-year period of this ICR; therefore, no burden is associated with the development of carbon adsorber monitoring record systems.</t>
    </r>
  </si>
  <si>
    <r>
      <rPr>
        <vertAlign val="superscript"/>
        <sz val="10"/>
        <color theme="1"/>
        <rFont val="Times New Roman"/>
        <family val="1"/>
      </rPr>
      <t>o</t>
    </r>
    <r>
      <rPr>
        <sz val="10"/>
        <color theme="1"/>
        <rFont val="Times New Roman"/>
        <family val="1"/>
      </rPr>
      <t xml:space="preserve">  Approximately 8,000 existing area sources are located in states that already require enhanced monitoring; therefore, 20,000 existing area sources are subject to the NESHAP's enhanced LDAR program.</t>
    </r>
  </si>
  <si>
    <r>
      <rPr>
        <vertAlign val="superscript"/>
        <sz val="10"/>
        <color theme="1"/>
        <rFont val="Times New Roman"/>
        <family val="1"/>
      </rPr>
      <t>h</t>
    </r>
    <r>
      <rPr>
        <sz val="10"/>
        <color theme="1"/>
        <rFont val="Times New Roman"/>
        <family val="1"/>
      </rPr>
      <t xml:space="preserve">  Occurrences are based on weekly inspection, assuming 52 weeks per year.</t>
    </r>
  </si>
  <si>
    <r>
      <rPr>
        <vertAlign val="superscript"/>
        <sz val="10"/>
        <color theme="1"/>
        <rFont val="Times New Roman"/>
        <family val="1"/>
      </rPr>
      <t>g</t>
    </r>
    <r>
      <rPr>
        <sz val="10"/>
        <color theme="1"/>
        <rFont val="Times New Roman"/>
        <family val="1"/>
      </rPr>
      <t xml:space="preserve">  This task requires only technical employee hours.</t>
    </r>
  </si>
  <si>
    <t>A.  Familiarization with the regulatory requirements</t>
  </si>
  <si>
    <r>
      <rPr>
        <vertAlign val="superscript"/>
        <sz val="10"/>
        <color theme="1"/>
        <rFont val="Times New Roman"/>
        <family val="1"/>
      </rPr>
      <t>f</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</si>
  <si>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f</t>
    </r>
    <r>
      <rPr>
        <sz val="10"/>
        <color theme="1"/>
        <rFont val="Times New Roman"/>
        <family val="1"/>
      </rPr>
      <t xml:space="preserve">  We estimate that 5 percent of new facilities each year will exceed the cutoff, thus requiring submission of the exceed-consumption cutoff report.</t>
    </r>
  </si>
  <si>
    <r>
      <rPr>
        <vertAlign val="superscript"/>
        <sz val="10"/>
        <color theme="1"/>
        <rFont val="Times New Roman"/>
        <family val="1"/>
      </rPr>
      <t>c</t>
    </r>
    <r>
      <rPr>
        <sz val="10"/>
        <color theme="1"/>
        <rFont val="Times New Roman"/>
        <family val="1"/>
      </rPr>
      <t xml:space="preserve">  This task requires management hours only.</t>
    </r>
  </si>
  <si>
    <t>See 3A</t>
  </si>
  <si>
    <t>See 4C</t>
  </si>
  <si>
    <t>Labor Rates:</t>
  </si>
  <si>
    <t>Management</t>
  </si>
  <si>
    <t>Technical</t>
  </si>
  <si>
    <t>Clerical</t>
  </si>
  <si>
    <r>
      <t>Table 2:  Average Annual EPA Burden and Cost - NESHAP for Perchloroethylene Dry Cleaning Facilities (40 CFR Part 63, Subpart M)</t>
    </r>
    <r>
      <rPr>
        <b/>
        <sz val="12"/>
        <color rgb="FFFF0000"/>
        <rFont val="Times New Roman"/>
        <family val="1"/>
      </rPr>
      <t xml:space="preserve"> </t>
    </r>
    <r>
      <rPr>
        <b/>
        <sz val="12"/>
        <color theme="1"/>
        <rFont val="Times New Roman"/>
        <family val="1"/>
      </rPr>
      <t>(Renewal)</t>
    </r>
    <r>
      <rPr>
        <sz val="12"/>
        <color rgb="FFFF0000"/>
        <rFont val="Times New Roman"/>
        <family val="1"/>
      </rPr>
      <t xml:space="preserve"> </t>
    </r>
  </si>
  <si>
    <r>
      <t>Total cost per year ($)</t>
    </r>
    <r>
      <rPr>
        <vertAlign val="superscript"/>
        <sz val="10"/>
        <rFont val="Times New Roman"/>
        <family val="1"/>
      </rPr>
      <t>b</t>
    </r>
  </si>
  <si>
    <r>
      <t>Respondents per year</t>
    </r>
    <r>
      <rPr>
        <vertAlign val="superscript"/>
        <sz val="10"/>
        <color theme="1"/>
        <rFont val="Times New Roman"/>
        <family val="1"/>
      </rPr>
      <t>a</t>
    </r>
  </si>
  <si>
    <r>
      <rPr>
        <vertAlign val="superscript"/>
        <sz val="10"/>
        <rFont val="Times New Roman"/>
        <family val="1"/>
      </rPr>
      <t>b</t>
    </r>
    <r>
      <rPr>
        <sz val="1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</si>
  <si>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 xml:space="preserve">TOTAL (rounded) </t>
    </r>
    <r>
      <rPr>
        <b/>
        <vertAlign val="superscript"/>
        <sz val="10"/>
        <color indexed="8"/>
        <rFont val="Times New Roman"/>
        <family val="1"/>
      </rPr>
      <t>f</t>
    </r>
  </si>
  <si>
    <r>
      <rPr>
        <vertAlign val="superscript"/>
        <sz val="10"/>
        <rFont val="Times New Roman"/>
        <family val="1"/>
      </rP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</si>
  <si>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t>Subtotal for Recordkeeping Requirements</t>
  </si>
  <si>
    <t>Subtotal for Reporting Requirements</t>
  </si>
  <si>
    <r>
      <t xml:space="preserve">Total Capital and O&amp;M Cost (rounded) </t>
    </r>
    <r>
      <rPr>
        <b/>
        <vertAlign val="superscript"/>
        <sz val="10"/>
        <color theme="1"/>
        <rFont val="Times New Roman"/>
        <family val="1"/>
      </rPr>
      <t>v</t>
    </r>
  </si>
  <si>
    <r>
      <t xml:space="preserve">Grand TOTAL (rounded) </t>
    </r>
    <r>
      <rPr>
        <b/>
        <vertAlign val="superscript"/>
        <sz val="10"/>
        <color theme="1"/>
        <rFont val="Times New Roman"/>
        <family val="1"/>
      </rPr>
      <t>v</t>
    </r>
  </si>
  <si>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</si>
  <si>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</si>
  <si>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</si>
  <si>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</si>
  <si>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</si>
  <si>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</si>
  <si>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</si>
  <si>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</si>
  <si>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</si>
  <si>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</si>
  <si>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</si>
  <si>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</si>
  <si>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</si>
  <si>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PID</t>
  </si>
  <si>
    <t>HHD</t>
  </si>
  <si>
    <t xml:space="preserve">Initial notification &amp; compliance report </t>
  </si>
  <si>
    <t>-</t>
  </si>
  <si>
    <t>Report exceed consumption cutoff</t>
  </si>
  <si>
    <t xml:space="preserve">Photocopying </t>
  </si>
  <si>
    <t>Total</t>
  </si>
  <si>
    <t>Total O&amp;M, 
(E X F)</t>
  </si>
  <si>
    <t>Total (rounded)</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</si>
  <si>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</si>
  <si>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</si>
  <si>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</si>
  <si>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</si>
  <si>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</si>
  <si>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</si>
  <si>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</si>
  <si>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r>
      <t xml:space="preserve">Number of Existing Respondents That Are No Longer Subject </t>
    </r>
    <r>
      <rPr>
        <vertAlign val="superscript"/>
        <sz val="10"/>
        <color rgb="FF000000"/>
        <rFont val="Times New Roman"/>
        <family val="1"/>
      </rPr>
      <t>2</t>
    </r>
  </si>
  <si>
    <t>Average</t>
  </si>
  <si>
    <t>Number of Respondents (E=A+B+C-D)</t>
  </si>
  <si>
    <r>
      <t>2</t>
    </r>
    <r>
      <rPr>
        <sz val="10"/>
        <color theme="1"/>
        <rFont val="Times New Roman"/>
        <family val="1"/>
      </rPr>
      <t xml:space="preserve"> We assume that the overall number of facilities will remain constant due to retirement of old existing facilities. </t>
    </r>
  </si>
  <si>
    <t>Information Collection Activity</t>
  </si>
  <si>
    <t>Number of Responses</t>
  </si>
  <si>
    <t>Number of Existing Respondents That Keep Records But Do Not Submit Reports</t>
  </si>
  <si>
    <t>Write Initial Notification Report</t>
  </si>
  <si>
    <t>Compliance Method Report</t>
  </si>
  <si>
    <t>Solvent Consumption Report</t>
  </si>
  <si>
    <t>Report Exceed Consumption Cutoff</t>
  </si>
  <si>
    <t>Total Annual Responses E=(BxC)+D</t>
  </si>
  <si>
    <r>
      <t xml:space="preserve">Occurrences per year </t>
    </r>
    <r>
      <rPr>
        <vertAlign val="superscript"/>
        <sz val="10"/>
        <rFont val="Times New Roman"/>
        <family val="1"/>
      </rPr>
      <t>a</t>
    </r>
  </si>
  <si>
    <r>
      <t xml:space="preserve">Total cost per year ($) </t>
    </r>
    <r>
      <rPr>
        <vertAlign val="superscript"/>
        <sz val="10"/>
        <rFont val="Times New Roman"/>
        <family val="1"/>
      </rPr>
      <t>b</t>
    </r>
  </si>
  <si>
    <r>
      <rPr>
        <vertAlign val="superscript"/>
        <sz val="10"/>
        <color theme="1"/>
        <rFont val="Times New Roman"/>
        <family val="1"/>
      </rPr>
      <t>e</t>
    </r>
    <r>
      <rPr>
        <sz val="10"/>
        <color theme="1"/>
        <rFont val="Times New Roman"/>
        <family val="1"/>
      </rPr>
      <t xml:space="preserve">  We assume that five percent of new sources will have to report-exceed consumption cutoff.</t>
    </r>
  </si>
  <si>
    <r>
      <t xml:space="preserve">B. Compliance method report </t>
    </r>
    <r>
      <rPr>
        <vertAlign val="superscript"/>
        <sz val="10"/>
        <color indexed="8"/>
        <rFont val="Times New Roman"/>
        <family val="1"/>
      </rPr>
      <t>c</t>
    </r>
  </si>
  <si>
    <r>
      <t xml:space="preserve">C. Solvent consumption report </t>
    </r>
    <r>
      <rPr>
        <vertAlign val="superscript"/>
        <sz val="10"/>
        <color indexed="8"/>
        <rFont val="Times New Roman"/>
        <family val="1"/>
      </rPr>
      <t>d</t>
    </r>
  </si>
  <si>
    <r>
      <t xml:space="preserve">D. Report-exceed consumption cutoff </t>
    </r>
    <r>
      <rPr>
        <vertAlign val="superscript"/>
        <sz val="10"/>
        <color indexed="8"/>
        <rFont val="Times New Roman"/>
        <family val="1"/>
      </rPr>
      <t>e</t>
    </r>
  </si>
  <si>
    <t>Assumptions</t>
  </si>
  <si>
    <r>
      <rPr>
        <vertAlign val="superscript"/>
        <sz val="10"/>
        <color theme="1"/>
        <rFont val="Times New Roman"/>
        <family val="1"/>
      </rPr>
      <t>n</t>
    </r>
    <r>
      <rPr>
        <sz val="10"/>
        <color theme="1"/>
        <rFont val="Times New Roman"/>
        <family val="1"/>
      </rPr>
      <t xml:space="preserve">  Area sources contain an average of one machine.  This task requires 0.75 hours times 1 machine per area source. </t>
    </r>
  </si>
  <si>
    <r>
      <rPr>
        <vertAlign val="superscript"/>
        <sz val="10"/>
        <color theme="1"/>
        <rFont val="Times New Roman"/>
        <family val="1"/>
      </rPr>
      <t>k</t>
    </r>
    <r>
      <rPr>
        <sz val="10"/>
        <color theme="1"/>
        <rFont val="Times New Roman"/>
        <family val="1"/>
      </rPr>
      <t xml:space="preserve">  Major sources contain an average of four machines.  This task requires 1 hour times 4 machines per major source.</t>
    </r>
  </si>
  <si>
    <r>
      <t xml:space="preserve">A.  Familiarization with the regulatory requirements </t>
    </r>
    <r>
      <rPr>
        <vertAlign val="superscript"/>
        <sz val="10"/>
        <color theme="1"/>
        <rFont val="Times New Roman"/>
        <family val="1"/>
      </rPr>
      <t>c</t>
    </r>
  </si>
  <si>
    <r>
      <t xml:space="preserve">Compliance method report </t>
    </r>
    <r>
      <rPr>
        <vertAlign val="superscript"/>
        <sz val="10"/>
        <color theme="1"/>
        <rFont val="Times New Roman"/>
        <family val="1"/>
      </rPr>
      <t>d</t>
    </r>
  </si>
  <si>
    <r>
      <t xml:space="preserve">Compliance method report </t>
    </r>
    <r>
      <rPr>
        <vertAlign val="superscript"/>
        <sz val="10"/>
        <color theme="1"/>
        <rFont val="Times New Roman"/>
        <family val="1"/>
      </rPr>
      <t>c, d</t>
    </r>
  </si>
  <si>
    <r>
      <t xml:space="preserve">Solvent consumption report </t>
    </r>
    <r>
      <rPr>
        <vertAlign val="superscript"/>
        <sz val="10"/>
        <color theme="1"/>
        <rFont val="Times New Roman"/>
        <family val="1"/>
      </rPr>
      <t>c, e</t>
    </r>
  </si>
  <si>
    <r>
      <t xml:space="preserve">Report-exceed consumption cutoff </t>
    </r>
    <r>
      <rPr>
        <vertAlign val="superscript"/>
        <sz val="10"/>
        <color theme="1"/>
        <rFont val="Times New Roman"/>
        <family val="1"/>
      </rPr>
      <t>c, f</t>
    </r>
  </si>
  <si>
    <r>
      <t xml:space="preserve">B.  Plan activities </t>
    </r>
    <r>
      <rPr>
        <vertAlign val="superscript"/>
        <sz val="10"/>
        <color theme="1"/>
        <rFont val="Times New Roman"/>
        <family val="1"/>
      </rPr>
      <t>g</t>
    </r>
  </si>
  <si>
    <r>
      <t xml:space="preserve">Above consumption cutoff: Weekly LDAR </t>
    </r>
    <r>
      <rPr>
        <vertAlign val="superscript"/>
        <sz val="10"/>
        <color theme="1"/>
        <rFont val="Times New Roman"/>
        <family val="1"/>
      </rPr>
      <t>g, h, i</t>
    </r>
  </si>
  <si>
    <r>
      <t xml:space="preserve">Below consumption cutoff: Bi-weekly LDAR </t>
    </r>
    <r>
      <rPr>
        <vertAlign val="superscript"/>
        <sz val="10"/>
        <color theme="1"/>
        <rFont val="Times New Roman"/>
        <family val="1"/>
      </rPr>
      <t>g, i, j</t>
    </r>
  </si>
  <si>
    <r>
      <t xml:space="preserve">Major: Monthly enhanced LDAR </t>
    </r>
    <r>
      <rPr>
        <vertAlign val="superscript"/>
        <sz val="10"/>
        <color theme="1"/>
        <rFont val="Times New Roman"/>
        <family val="1"/>
      </rPr>
      <t>k, l</t>
    </r>
  </si>
  <si>
    <r>
      <t xml:space="preserve">Major: Weekly Carbon adsorber monitoring </t>
    </r>
    <r>
      <rPr>
        <vertAlign val="superscript"/>
        <sz val="10"/>
        <color theme="1"/>
        <rFont val="Times New Roman"/>
        <family val="1"/>
      </rPr>
      <t>l, m</t>
    </r>
  </si>
  <si>
    <r>
      <t xml:space="preserve">Area: Monthly enhanced LDAR </t>
    </r>
    <r>
      <rPr>
        <vertAlign val="superscript"/>
        <sz val="10"/>
        <color theme="1"/>
        <rFont val="Times New Roman"/>
        <family val="1"/>
      </rPr>
      <t>n, o</t>
    </r>
  </si>
  <si>
    <r>
      <t xml:space="preserve">Solvent consumption </t>
    </r>
    <r>
      <rPr>
        <vertAlign val="superscript"/>
        <sz val="10"/>
        <color theme="1"/>
        <rFont val="Times New Roman"/>
        <family val="1"/>
      </rPr>
      <t>g</t>
    </r>
  </si>
  <si>
    <r>
      <t xml:space="preserve">Enhanced LDAR </t>
    </r>
    <r>
      <rPr>
        <vertAlign val="superscript"/>
        <sz val="10"/>
        <color theme="1"/>
        <rFont val="Times New Roman"/>
        <family val="1"/>
      </rPr>
      <t>g</t>
    </r>
  </si>
  <si>
    <r>
      <t xml:space="preserve">Monitoring records </t>
    </r>
    <r>
      <rPr>
        <vertAlign val="superscript"/>
        <sz val="10"/>
        <color theme="1"/>
        <rFont val="Times New Roman"/>
        <family val="1"/>
      </rPr>
      <t>d, g</t>
    </r>
  </si>
  <si>
    <r>
      <t xml:space="preserve">Carbon adsorber monitoring records </t>
    </r>
    <r>
      <rPr>
        <vertAlign val="superscript"/>
        <sz val="10"/>
        <color theme="1"/>
        <rFont val="Times New Roman"/>
        <family val="1"/>
      </rPr>
      <t>p</t>
    </r>
  </si>
  <si>
    <r>
      <t xml:space="preserve">Monthly records of solvent consumption </t>
    </r>
    <r>
      <rPr>
        <vertAlign val="superscript"/>
        <sz val="10"/>
        <color theme="1"/>
        <rFont val="Times New Roman"/>
        <family val="1"/>
      </rPr>
      <t>q, r, s</t>
    </r>
  </si>
  <si>
    <r>
      <t xml:space="preserve">Above consumption cutoff: Records of weekly inspections </t>
    </r>
    <r>
      <rPr>
        <vertAlign val="superscript"/>
        <sz val="10"/>
        <color theme="1"/>
        <rFont val="Times New Roman"/>
        <family val="1"/>
      </rPr>
      <t>h, i, s</t>
    </r>
  </si>
  <si>
    <r>
      <t xml:space="preserve">Below consumption cutoff: Records of bi-weekly inspections </t>
    </r>
    <r>
      <rPr>
        <vertAlign val="superscript"/>
        <sz val="10"/>
        <color theme="1"/>
        <rFont val="Times New Roman"/>
        <family val="1"/>
      </rPr>
      <t>g, i, j</t>
    </r>
  </si>
  <si>
    <r>
      <t xml:space="preserve">Leak detection </t>
    </r>
    <r>
      <rPr>
        <vertAlign val="superscript"/>
        <sz val="10"/>
        <color theme="1"/>
        <rFont val="Times New Roman"/>
        <family val="1"/>
      </rPr>
      <t>t, u</t>
    </r>
  </si>
  <si>
    <r>
      <t xml:space="preserve">Total Labor Burden and Cost (rounded) </t>
    </r>
    <r>
      <rPr>
        <b/>
        <vertAlign val="superscript"/>
        <sz val="10"/>
        <color theme="1"/>
        <rFont val="Times New Roman"/>
        <family val="1"/>
      </rPr>
      <t>v</t>
    </r>
  </si>
  <si>
    <t>A. Initial notification report</t>
  </si>
  <si>
    <r>
      <rPr>
        <vertAlign val="superscript"/>
        <sz val="10"/>
        <rFont val="Times New Roman"/>
        <family val="1"/>
      </rPr>
      <t>d</t>
    </r>
    <r>
      <rPr>
        <sz val="10"/>
        <rFont val="Times New Roman"/>
        <family val="1"/>
      </rPr>
      <t xml:space="preserve">  We estimate that 1,631 (70 percent) of the 2,330 new facilities will be above the consumption cutoff and are required to perform this task.</t>
    </r>
  </si>
  <si>
    <r>
      <rPr>
        <vertAlign val="superscript"/>
        <sz val="10"/>
        <color theme="1"/>
        <rFont val="Times New Roman"/>
        <family val="1"/>
      </rPr>
      <t>e</t>
    </r>
    <r>
      <rPr>
        <sz val="10"/>
        <color theme="1"/>
        <rFont val="Times New Roman"/>
        <family val="1"/>
      </rPr>
      <t xml:space="preserve">  We estimate that 699 (30 percent) of the 2,330 new facilities will be below the consumption cutoff (will consume less than 140 gallons of PCE per year) and are required to perform this task.</t>
    </r>
  </si>
  <si>
    <r>
      <rPr>
        <vertAlign val="superscript"/>
        <sz val="10"/>
        <color theme="1"/>
        <rFont val="Times New Roman"/>
        <family val="1"/>
      </rPr>
      <t>c</t>
    </r>
    <r>
      <rPr>
        <sz val="10"/>
        <color theme="1"/>
        <rFont val="Times New Roman"/>
        <family val="1"/>
      </rPr>
      <t xml:space="preserve">  We estimate that 1,631 (70 percent) of the 2,330 new facilities will be above the consumption cutoff and are required to perform this task.</t>
    </r>
  </si>
  <si>
    <r>
      <rPr>
        <vertAlign val="superscript"/>
        <sz val="10"/>
        <color theme="1"/>
        <rFont val="Times New Roman"/>
        <family val="1"/>
      </rPr>
      <t>d</t>
    </r>
    <r>
      <rPr>
        <sz val="10"/>
        <color theme="1"/>
        <rFont val="Times New Roman"/>
        <family val="1"/>
      </rPr>
      <t xml:space="preserve">  We estimate that 699 (30 percent) of the 2,330 new facilities will be below the consumption cutoff (will consume less than 140 gallons of PCE per year) and are required to perform this task.</t>
    </r>
  </si>
  <si>
    <r>
      <rPr>
        <vertAlign val="superscript"/>
        <sz val="10"/>
        <rFont val="Times New Roman"/>
        <family val="1"/>
      </rPr>
      <t>j</t>
    </r>
    <r>
      <rPr>
        <sz val="10"/>
        <rFont val="Times New Roman"/>
        <family val="1"/>
      </rPr>
      <t xml:space="preserve">  We have assumed that facilities below consumption cutoff perform leak detection and repairs on a bi-weekly basis.</t>
    </r>
  </si>
  <si>
    <r>
      <rPr>
        <vertAlign val="superscript"/>
        <sz val="10"/>
        <rFont val="Times New Roman"/>
        <family val="1"/>
      </rPr>
      <t>i</t>
    </r>
    <r>
      <rPr>
        <sz val="10"/>
        <rFont val="Times New Roman"/>
        <family val="1"/>
      </rPr>
      <t xml:space="preserve">  We have assumed that of 28,000 area source perchloroethylene dry cleaners, 19,600 (70 percent) will be above the per consumption cutoff, which will require that the cleaner conduct weekly leak detection and repair.  The remaining 8,400 area source perchloroethylene dry cleaners will be below the consumption cutoff and are only required to conduct bi-weekly leak detection and repair.</t>
    </r>
  </si>
  <si>
    <r>
      <rPr>
        <vertAlign val="superscript"/>
        <sz val="10"/>
        <color theme="1"/>
        <rFont val="Times New Roman"/>
        <family val="1"/>
      </rPr>
      <t>m</t>
    </r>
    <r>
      <rPr>
        <sz val="10"/>
        <color theme="1"/>
        <rFont val="Times New Roman"/>
        <family val="1"/>
      </rPr>
      <t xml:space="preserve">  </t>
    </r>
    <r>
      <rPr>
        <sz val="10"/>
        <rFont val="Times New Roman"/>
        <family val="1"/>
      </rPr>
      <t>This task requires 0.25 hours times 4 machines per major source per week</t>
    </r>
    <r>
      <rPr>
        <sz val="10"/>
        <color theme="1"/>
        <rFont val="Times New Roman"/>
        <family val="1"/>
      </rPr>
      <t>.</t>
    </r>
  </si>
  <si>
    <r>
      <t>1</t>
    </r>
    <r>
      <rPr>
        <sz val="12"/>
        <color theme="1"/>
        <rFont val="Times New Roman"/>
        <family val="1"/>
      </rPr>
      <t xml:space="preserve"> </t>
    </r>
    <r>
      <rPr>
        <sz val="10"/>
        <color theme="1"/>
        <rFont val="Times New Roman"/>
        <family val="1"/>
      </rPr>
      <t xml:space="preserve">New respondent include sources with constructed, reconstructed and modified affected facilities. </t>
    </r>
  </si>
  <si>
    <r>
      <rPr>
        <vertAlign val="superscript"/>
        <sz val="10"/>
        <rFont val="Times New Roman"/>
        <family val="1"/>
      </rPr>
      <t>a</t>
    </r>
    <r>
      <rPr>
        <sz val="10"/>
        <rFont val="Times New Roman"/>
        <family val="1"/>
      </rPr>
      <t xml:space="preserve">  We have assumed that there are 28,000 existing area sources and that 2,330 sources will leave the industry and will be replaced by 2,330 new area sources per year over the next three years.  There are 20 existing major sources and we assume that that no additional major sources will be subject to the NESHAP over the three-year period of this ICR.</t>
    </r>
  </si>
  <si>
    <t>Affected Sector</t>
  </si>
  <si>
    <t>Labor Hours</t>
  </si>
  <si>
    <t>Labor Cost</t>
  </si>
  <si>
    <t>Capital and O&amp;M Cost</t>
  </si>
  <si>
    <t>Reporting</t>
  </si>
  <si>
    <t>Recordkeeping</t>
  </si>
  <si>
    <t>Private</t>
  </si>
  <si>
    <t>Public (Federal)</t>
  </si>
  <si>
    <t>hrs/response</t>
  </si>
  <si>
    <t xml:space="preserve">Table 1c: Annual Respondent Burden and Cost Breakdown by Affected Sector – NESHAP for Perchloroethylene Dry Cleaning Facilities (40 CFR Part 63, Subpart M) (Renewal) </t>
  </si>
  <si>
    <r>
      <t>Table 1a: Annual Respondent Burden and Cost for Private Facilities – NESHAP for Perchloroethylene Dry Cleaning Facilities (40 CFR Part 63, Subpart M)</t>
    </r>
    <r>
      <rPr>
        <b/>
        <sz val="12"/>
        <color rgb="FFFF0000"/>
        <rFont val="Times New Roman"/>
        <family val="1"/>
      </rPr>
      <t xml:space="preserve"> </t>
    </r>
    <r>
      <rPr>
        <b/>
        <sz val="12"/>
        <color theme="1"/>
        <rFont val="Times New Roman"/>
        <family val="1"/>
      </rPr>
      <t>(Renewal)</t>
    </r>
    <r>
      <rPr>
        <sz val="12"/>
        <color rgb="FFFF0000"/>
        <rFont val="Times New Roman"/>
        <family val="1"/>
      </rPr>
      <t xml:space="preserve"> </t>
    </r>
  </si>
  <si>
    <r>
      <t>Table 1b: Annual Respondent Burden and Cost for Federal Facilities – NESHAP for Perchloroethylene Dry Cleaning Facilities (40 CFR Part 63, Subpart M)</t>
    </r>
    <r>
      <rPr>
        <b/>
        <sz val="12"/>
        <color rgb="FFFF0000"/>
        <rFont val="Times New Roman"/>
        <family val="1"/>
      </rPr>
      <t xml:space="preserve"> </t>
    </r>
    <r>
      <rPr>
        <b/>
        <sz val="12"/>
        <color theme="1"/>
        <rFont val="Times New Roman"/>
        <family val="1"/>
      </rPr>
      <t>(Renewal)</t>
    </r>
    <r>
      <rPr>
        <sz val="12"/>
        <color rgb="FFFF0000"/>
        <rFont val="Times New Roman"/>
        <family val="1"/>
      </rPr>
      <t xml:space="preserve"> </t>
    </r>
  </si>
  <si>
    <r>
      <rPr>
        <vertAlign val="superscript"/>
        <sz val="10"/>
        <rFont val="Times New Roman"/>
        <family val="1"/>
      </rPr>
      <t>r</t>
    </r>
    <r>
      <rPr>
        <sz val="10"/>
        <rFont val="Times New Roman"/>
        <family val="1"/>
      </rPr>
      <t xml:space="preserve">  This is based on 28,000 area sources and 13 private sector major sources performing this task every year.</t>
    </r>
  </si>
  <si>
    <r>
      <rPr>
        <vertAlign val="superscript"/>
        <sz val="10"/>
        <rFont val="Times New Roman"/>
        <family val="1"/>
      </rPr>
      <t>a</t>
    </r>
    <r>
      <rPr>
        <sz val="10"/>
        <rFont val="Times New Roman"/>
        <family val="1"/>
      </rPr>
      <t xml:space="preserve">  We have assumed that there are 28,000 existing area sources and that 2,330 sources will leave the industry and will be replaced by 2,330 new area sources per year over the next three years.  We assume that all existing and new area sources are private sector facilities. There are 20 existing major sources and 13 of these sources are private sector facilities. We assume that that no additional major sources will be subject to the NESHAP over the three-year period of this ICR.</t>
    </r>
  </si>
  <si>
    <r>
      <rPr>
        <vertAlign val="superscript"/>
        <sz val="10"/>
        <rFont val="Times New Roman"/>
        <family val="1"/>
      </rP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t>
    </r>
  </si>
  <si>
    <t>Total Annual Responses - Public Sector</t>
  </si>
  <si>
    <t>Total Annual Responses - Private Sector</t>
  </si>
  <si>
    <t>Capital/Startup vs. Operation and Maintenance (O&amp;M) Costs - Private Sector</t>
  </si>
  <si>
    <t>Capital/Startup vs. Operation and Maintenance (O&amp;M) Costs - Public Sector</t>
  </si>
  <si>
    <t>Compliance method report</t>
  </si>
  <si>
    <r>
      <rPr>
        <vertAlign val="superscript"/>
        <sz val="10"/>
        <rFont val="Times New Roman"/>
        <family val="1"/>
      </rPr>
      <t>l</t>
    </r>
    <r>
      <rPr>
        <sz val="10"/>
        <rFont val="Times New Roman"/>
        <family val="1"/>
      </rPr>
      <t xml:space="preserve">  There are 13 existing private sector major sources</t>
    </r>
    <r>
      <rPr>
        <strike/>
        <sz val="10"/>
        <rFont val="Times New Roman"/>
        <family val="1"/>
      </rPr>
      <t xml:space="preserve"> </t>
    </r>
    <r>
      <rPr>
        <sz val="10"/>
        <rFont val="Times New Roman"/>
        <family val="1"/>
      </rPr>
      <t>subject to the NESHAP.</t>
    </r>
  </si>
  <si>
    <r>
      <t xml:space="preserve">Compliance method report </t>
    </r>
    <r>
      <rPr>
        <vertAlign val="superscript"/>
        <sz val="10"/>
        <color theme="1"/>
        <rFont val="Times New Roman"/>
        <family val="1"/>
      </rPr>
      <t>c</t>
    </r>
  </si>
  <si>
    <r>
      <t xml:space="preserve">Solvent consumption report </t>
    </r>
    <r>
      <rPr>
        <vertAlign val="superscript"/>
        <sz val="10"/>
        <color theme="1"/>
        <rFont val="Times New Roman"/>
        <family val="1"/>
      </rPr>
      <t>c</t>
    </r>
  </si>
  <si>
    <r>
      <t xml:space="preserve">Report-exceed consumption cutoff </t>
    </r>
    <r>
      <rPr>
        <vertAlign val="superscript"/>
        <sz val="10"/>
        <color theme="1"/>
        <rFont val="Times New Roman"/>
        <family val="1"/>
      </rPr>
      <t>c</t>
    </r>
  </si>
  <si>
    <t>B.  Plan activities</t>
  </si>
  <si>
    <t>Above consumption cutoff: Weekly LDAR</t>
  </si>
  <si>
    <t>Below consumption cutoff: Bi-weekly LDAR</t>
  </si>
  <si>
    <t>Area: Monthly enhanced LDAR</t>
  </si>
  <si>
    <t>Enhanced LDAR</t>
  </si>
  <si>
    <t>Monitoring records</t>
  </si>
  <si>
    <t>Above consumption cutoff: Records of weekly inspections</t>
  </si>
  <si>
    <t>Below consumption cutoff: Records of bi-weekly inspections</t>
  </si>
  <si>
    <t>Leak detection</t>
  </si>
  <si>
    <r>
      <rPr>
        <vertAlign val="superscript"/>
        <sz val="10"/>
        <color theme="1"/>
        <rFont val="Times New Roman"/>
        <family val="1"/>
      </rPr>
      <t>d</t>
    </r>
    <r>
      <rPr>
        <sz val="10"/>
        <color theme="1"/>
        <rFont val="Times New Roman"/>
        <family val="1"/>
      </rPr>
      <t xml:space="preserve">  Major sources contain an average of four machines.  This task requires 1 hour times 4 machines per major source.</t>
    </r>
  </si>
  <si>
    <r>
      <t xml:space="preserve">Major: Monthly enhanced LDAR </t>
    </r>
    <r>
      <rPr>
        <vertAlign val="superscript"/>
        <sz val="10"/>
        <color theme="1"/>
        <rFont val="Times New Roman"/>
        <family val="1"/>
      </rPr>
      <t>d, e</t>
    </r>
  </si>
  <si>
    <r>
      <rPr>
        <vertAlign val="superscript"/>
        <sz val="10"/>
        <rFont val="Times New Roman"/>
        <family val="1"/>
      </rPr>
      <t>e</t>
    </r>
    <r>
      <rPr>
        <sz val="10"/>
        <rFont val="Times New Roman"/>
        <family val="1"/>
      </rPr>
      <t xml:space="preserve">  There are 7 existing public sector major sources</t>
    </r>
    <r>
      <rPr>
        <strike/>
        <sz val="10"/>
        <rFont val="Times New Roman"/>
        <family val="1"/>
      </rPr>
      <t xml:space="preserve"> </t>
    </r>
    <r>
      <rPr>
        <sz val="10"/>
        <rFont val="Times New Roman"/>
        <family val="1"/>
      </rPr>
      <t>subject to the NESHAP.</t>
    </r>
  </si>
  <si>
    <r>
      <t xml:space="preserve">Major: Weekly Carbon adsorber monitoring </t>
    </r>
    <r>
      <rPr>
        <vertAlign val="superscript"/>
        <sz val="10"/>
        <color theme="1"/>
        <rFont val="Times New Roman"/>
        <family val="1"/>
      </rPr>
      <t>e, f</t>
    </r>
  </si>
  <si>
    <r>
      <rPr>
        <vertAlign val="superscript"/>
        <sz val="10"/>
        <color theme="1"/>
        <rFont val="Times New Roman"/>
        <family val="1"/>
      </rPr>
      <t>f</t>
    </r>
    <r>
      <rPr>
        <sz val="10"/>
        <color theme="1"/>
        <rFont val="Times New Roman"/>
        <family val="1"/>
      </rPr>
      <t xml:space="preserve">  </t>
    </r>
    <r>
      <rPr>
        <sz val="10"/>
        <rFont val="Times New Roman"/>
        <family val="1"/>
      </rPr>
      <t>This task requires 0.25 hours times 4 machines per major source per week</t>
    </r>
    <r>
      <rPr>
        <sz val="10"/>
        <color theme="1"/>
        <rFont val="Times New Roman"/>
        <family val="1"/>
      </rPr>
      <t>.</t>
    </r>
  </si>
  <si>
    <r>
      <t xml:space="preserve">Carbon adsorber monitoring records </t>
    </r>
    <r>
      <rPr>
        <vertAlign val="superscript"/>
        <sz val="10"/>
        <color theme="1"/>
        <rFont val="Times New Roman"/>
        <family val="1"/>
      </rPr>
      <t>g</t>
    </r>
  </si>
  <si>
    <r>
      <rPr>
        <vertAlign val="superscript"/>
        <sz val="10"/>
        <color theme="1"/>
        <rFont val="Times New Roman"/>
        <family val="1"/>
      </rPr>
      <t>g</t>
    </r>
    <r>
      <rPr>
        <sz val="10"/>
        <color theme="1"/>
        <rFont val="Times New Roman"/>
        <family val="1"/>
      </rPr>
      <t xml:space="preserve">  No new major sources are expected for the three-year period of this ICR; therefore, no burden is associated with the development of carbon adsorber monitoring record systems.</t>
    </r>
  </si>
  <si>
    <r>
      <t xml:space="preserve">Monthly records of solvent consumption </t>
    </r>
    <r>
      <rPr>
        <vertAlign val="superscript"/>
        <sz val="10"/>
        <color theme="1"/>
        <rFont val="Times New Roman"/>
        <family val="1"/>
      </rPr>
      <t>h, i, j</t>
    </r>
  </si>
  <si>
    <r>
      <rPr>
        <vertAlign val="superscript"/>
        <sz val="10"/>
        <color theme="1"/>
        <rFont val="Times New Roman"/>
        <family val="1"/>
      </rPr>
      <t>h</t>
    </r>
    <r>
      <rPr>
        <sz val="10"/>
        <color theme="1"/>
        <rFont val="Times New Roman"/>
        <family val="1"/>
      </rPr>
      <t xml:space="preserve">  Occurrences are based on twelve months rolling average of PCE consumption, determined once per month.  </t>
    </r>
  </si>
  <si>
    <r>
      <rPr>
        <vertAlign val="superscript"/>
        <sz val="10"/>
        <rFont val="Times New Roman"/>
        <family val="1"/>
      </rPr>
      <t>i</t>
    </r>
    <r>
      <rPr>
        <sz val="10"/>
        <rFont val="Times New Roman"/>
        <family val="1"/>
      </rPr>
      <t xml:space="preserve">  This is based on 7 major sources performing this task every year.</t>
    </r>
  </si>
  <si>
    <r>
      <rPr>
        <vertAlign val="superscript"/>
        <sz val="10"/>
        <color theme="1"/>
        <rFont val="Times New Roman"/>
        <family val="1"/>
      </rPr>
      <t>j</t>
    </r>
    <r>
      <rPr>
        <sz val="10"/>
        <color theme="1"/>
        <rFont val="Times New Roman"/>
        <family val="1"/>
      </rPr>
      <t xml:space="preserve">  This task is performed primarily by technical staff.  Management hours are only for a limited number of major sources, and we assume only three major sources will require managerial review.</t>
    </r>
  </si>
  <si>
    <r>
      <rPr>
        <vertAlign val="superscript"/>
        <sz val="10"/>
        <color theme="1"/>
        <rFont val="Times New Roman"/>
        <family val="1"/>
      </rPr>
      <t>k</t>
    </r>
    <r>
      <rPr>
        <sz val="10"/>
        <color theme="1"/>
        <rFont val="Times New Roman"/>
        <family val="1"/>
      </rPr>
      <t xml:space="preserve"> Totals have been rounded to 3 significant figures. Figures may not add exactly due to rounding.</t>
    </r>
  </si>
  <si>
    <r>
      <t xml:space="preserve">Total Labor Burden and Cost (rounded) </t>
    </r>
    <r>
      <rPr>
        <b/>
        <vertAlign val="superscript"/>
        <sz val="10"/>
        <color theme="1"/>
        <rFont val="Times New Roman"/>
        <family val="1"/>
      </rPr>
      <t>k</t>
    </r>
  </si>
  <si>
    <r>
      <t xml:space="preserve">Total Capital and O&amp;M Cost (rounded) </t>
    </r>
    <r>
      <rPr>
        <b/>
        <vertAlign val="superscript"/>
        <sz val="10"/>
        <color theme="1"/>
        <rFont val="Times New Roman"/>
        <family val="1"/>
      </rPr>
      <t>k</t>
    </r>
  </si>
  <si>
    <r>
      <t xml:space="preserve">Grand TOTAL (rounded) </t>
    </r>
    <r>
      <rPr>
        <b/>
        <vertAlign val="superscript"/>
        <sz val="10"/>
        <color theme="1"/>
        <rFont val="Times New Roman"/>
        <family val="1"/>
      </rPr>
      <t>k</t>
    </r>
  </si>
  <si>
    <r>
      <rPr>
        <vertAlign val="superscript"/>
        <sz val="10"/>
        <rFont val="Times New Roman"/>
        <family val="1"/>
      </rPr>
      <t>a</t>
    </r>
    <r>
      <rPr>
        <sz val="10"/>
        <rFont val="Times New Roman"/>
        <family val="1"/>
      </rPr>
      <t xml:space="preserve">  There are 7 existing major sources that are federal facilities and we assume that that no additional major sources will be subject to the NESHAP over the three-year period of this ICR.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</si>
</sst>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
    <numFmt numFmtId="165" formatCode="&quot;$&quot;#,##0"/>
    <numFmt numFmtId="166" formatCode="#,##0.0"/>
    <numFmt numFmtId="167" formatCode="0.0"/>
  </numFmts>
  <fonts count="28" x14ac:knownFonts="1">
    <font>
      <sz val="11"/>
      <color theme="1"/>
      <name val="Calibri"/>
      <family val="2"/>
      <scheme val="minor"/>
    </font>
    <font>
      <sz val="10"/>
      <color theme="1"/>
      <name val="Times New Roman"/>
      <family val="1"/>
    </font>
    <font>
      <sz val="10"/>
      <name val="Times New Roman"/>
      <family val="1"/>
    </font>
    <font>
      <sz val="10"/>
      <color indexed="8"/>
      <name val="Times New Roman"/>
      <family val="1"/>
    </font>
    <font>
      <vertAlign val="superscript"/>
      <sz val="10"/>
      <color indexed="8"/>
      <name val="Times New Roman"/>
      <family val="1"/>
    </font>
    <font>
      <b/>
      <sz val="10"/>
      <color theme="1"/>
      <name val="Times New Roman"/>
      <family val="1"/>
    </font>
    <font>
      <vertAlign val="superscript"/>
      <sz val="10"/>
      <color theme="1"/>
      <name val="Times New Roman"/>
      <family val="1"/>
    </font>
    <font>
      <sz val="10"/>
      <color rgb="FF000000"/>
      <name val="Times New Roman"/>
      <family val="1"/>
    </font>
    <font>
      <i/>
      <sz val="10"/>
      <color theme="1"/>
      <name val="Times New Roman"/>
      <family val="1"/>
    </font>
    <font>
      <i/>
      <sz val="10"/>
      <color rgb="FF000000"/>
      <name val="Times New Roman"/>
      <family val="1"/>
    </font>
    <font>
      <b/>
      <vertAlign val="superscript"/>
      <sz val="10"/>
      <color theme="1"/>
      <name val="Times New Roman"/>
      <family val="1"/>
    </font>
    <font>
      <sz val="10"/>
      <color rgb="FFFF0000"/>
      <name val="Times New Roman"/>
      <family val="1"/>
    </font>
    <font>
      <vertAlign val="superscript"/>
      <sz val="10"/>
      <name val="Times New Roman"/>
      <family val="1"/>
    </font>
    <font>
      <b/>
      <sz val="10"/>
      <color indexed="8"/>
      <name val="Times New Roman"/>
      <family val="1"/>
    </font>
    <font>
      <b/>
      <vertAlign val="superscript"/>
      <sz val="10"/>
      <color indexed="8"/>
      <name val="Times New Roman"/>
      <family val="1"/>
    </font>
    <font>
      <b/>
      <sz val="12"/>
      <color theme="1"/>
      <name val="Times New Roman"/>
      <family val="1"/>
    </font>
    <font>
      <b/>
      <sz val="12"/>
      <color rgb="FFFF0000"/>
      <name val="Times New Roman"/>
      <family val="1"/>
    </font>
    <font>
      <sz val="12"/>
      <color rgb="FFFF0000"/>
      <name val="Times New Roman"/>
      <family val="1"/>
    </font>
    <font>
      <b/>
      <i/>
      <sz val="10"/>
      <color theme="1"/>
      <name val="Times New Roman"/>
      <family val="1"/>
    </font>
    <font>
      <b/>
      <i/>
      <sz val="10"/>
      <color rgb="FF000000"/>
      <name val="Times New Roman"/>
      <family val="1"/>
    </font>
    <font>
      <sz val="12"/>
      <color theme="1"/>
      <name val="Times New Roman"/>
      <family val="1"/>
    </font>
    <font>
      <b/>
      <sz val="12"/>
      <color rgb="FF000000"/>
      <name val="Times New Roman"/>
      <family val="1"/>
    </font>
    <font>
      <sz val="9"/>
      <color rgb="FF000000"/>
      <name val="Times New Roman"/>
      <family val="1"/>
    </font>
    <font>
      <vertAlign val="superscript"/>
      <sz val="10"/>
      <color rgb="FF000000"/>
      <name val="Times New Roman"/>
      <family val="1"/>
    </font>
    <font>
      <vertAlign val="superscript"/>
      <sz val="12"/>
      <color theme="1"/>
      <name val="Times New Roman"/>
      <family val="1"/>
    </font>
    <font>
      <strike/>
      <sz val="10"/>
      <name val="Times New Roman"/>
      <family val="1"/>
    </font>
    <font>
      <sz val="11"/>
      <name val="Calibri"/>
      <family val="2"/>
      <scheme val="minor"/>
    </font>
    <font>
      <sz val="11"/>
      <color theme="1"/>
      <name val="Times New Roman"/>
      <family val="1"/>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4">
    <xf numFmtId="0" fontId="0" fillId="0" borderId="0" xfId="0"/>
    <xf numFmtId="0" fontId="1" fillId="0" borderId="0" xfId="0" applyFont="1"/>
    <xf numFmtId="0" fontId="2" fillId="0" borderId="0" xfId="0" applyFont="1"/>
    <xf numFmtId="164" fontId="2" fillId="0" borderId="0" xfId="0" applyNumberFormat="1" applyFont="1"/>
    <xf numFmtId="0" fontId="2" fillId="0" borderId="0" xfId="0" applyFont="1" applyAlignment="1">
      <alignment wrapText="1"/>
    </xf>
    <xf numFmtId="0" fontId="2" fillId="0" borderId="1" xfId="0" applyFont="1" applyBorder="1" applyAlignment="1">
      <alignment wrapText="1"/>
    </xf>
    <xf numFmtId="0" fontId="1" fillId="0" borderId="1" xfId="0" applyFont="1" applyBorder="1"/>
    <xf numFmtId="0" fontId="1" fillId="0" borderId="0" xfId="0" applyFont="1" applyAlignment="1">
      <alignment horizontal="left" indent="15"/>
    </xf>
    <xf numFmtId="0" fontId="1" fillId="0" borderId="0" xfId="0" applyFont="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3" fontId="1" fillId="0" borderId="1" xfId="0" applyNumberFormat="1" applyFont="1" applyBorder="1" applyAlignment="1">
      <alignment horizontal="center" wrapText="1"/>
    </xf>
    <xf numFmtId="3" fontId="7" fillId="0" borderId="1" xfId="0" applyNumberFormat="1" applyFont="1" applyBorder="1" applyAlignment="1">
      <alignment horizontal="center"/>
    </xf>
    <xf numFmtId="0" fontId="7" fillId="0" borderId="1" xfId="0" applyFont="1" applyBorder="1" applyAlignment="1">
      <alignment horizontal="center"/>
    </xf>
    <xf numFmtId="4" fontId="7" fillId="0" borderId="1" xfId="0" applyNumberFormat="1" applyFont="1" applyBorder="1" applyAlignment="1">
      <alignment horizontal="center"/>
    </xf>
    <xf numFmtId="2" fontId="1" fillId="0" borderId="1" xfId="0" applyNumberFormat="1" applyFont="1" applyBorder="1" applyAlignment="1">
      <alignment horizontal="center" wrapText="1"/>
    </xf>
    <xf numFmtId="167" fontId="1" fillId="0" borderId="1" xfId="0" applyNumberFormat="1" applyFont="1" applyBorder="1" applyAlignment="1">
      <alignment horizontal="center" wrapText="1"/>
    </xf>
    <xf numFmtId="0" fontId="1" fillId="0" borderId="2" xfId="0" applyFont="1" applyBorder="1" applyAlignment="1">
      <alignment horizontal="center"/>
    </xf>
    <xf numFmtId="0" fontId="2" fillId="0" borderId="1" xfId="0" applyFont="1" applyBorder="1" applyAlignment="1">
      <alignment horizontal="center" wrapText="1"/>
    </xf>
    <xf numFmtId="0" fontId="1" fillId="0" borderId="1" xfId="0" applyFont="1" applyBorder="1" applyAlignment="1">
      <alignment horizontal="right" wrapText="1"/>
    </xf>
    <xf numFmtId="0" fontId="1" fillId="0" borderId="1" xfId="0" applyFont="1" applyBorder="1" applyAlignment="1">
      <alignment wrapText="1"/>
    </xf>
    <xf numFmtId="166" fontId="7" fillId="0" borderId="1" xfId="0" applyNumberFormat="1" applyFont="1" applyBorder="1" applyAlignment="1">
      <alignment horizontal="center"/>
    </xf>
    <xf numFmtId="166" fontId="1" fillId="0" borderId="1" xfId="0" applyNumberFormat="1" applyFont="1" applyBorder="1" applyAlignment="1">
      <alignment horizontal="center" wrapText="1"/>
    </xf>
    <xf numFmtId="3" fontId="1" fillId="0" borderId="2" xfId="0" applyNumberFormat="1" applyFont="1" applyBorder="1" applyAlignment="1">
      <alignment horizontal="center" wrapText="1"/>
    </xf>
    <xf numFmtId="0" fontId="8" fillId="0" borderId="1" xfId="0" applyFont="1" applyBorder="1" applyAlignment="1">
      <alignment horizontal="center"/>
    </xf>
    <xf numFmtId="0" fontId="9" fillId="0" borderId="1" xfId="0" applyFont="1" applyBorder="1" applyAlignment="1">
      <alignment horizontal="center"/>
    </xf>
    <xf numFmtId="0" fontId="5" fillId="0" borderId="1" xfId="0" applyFont="1" applyBorder="1"/>
    <xf numFmtId="3" fontId="1" fillId="0" borderId="1" xfId="0" applyNumberFormat="1" applyFont="1" applyBorder="1" applyAlignment="1">
      <alignment horizontal="center"/>
    </xf>
    <xf numFmtId="0" fontId="1" fillId="0" borderId="1" xfId="0" applyFont="1" applyBorder="1" applyAlignment="1">
      <alignment horizontal="center" vertical="top" wrapText="1"/>
    </xf>
    <xf numFmtId="3" fontId="1" fillId="0" borderId="0" xfId="0" applyNumberFormat="1" applyFont="1" applyAlignment="1">
      <alignment horizontal="left" indent="15"/>
    </xf>
    <xf numFmtId="167" fontId="7" fillId="0" borderId="1" xfId="0" applyNumberFormat="1" applyFont="1" applyBorder="1" applyAlignment="1">
      <alignment horizontal="center"/>
    </xf>
    <xf numFmtId="2" fontId="7" fillId="0" borderId="1" xfId="0" applyNumberFormat="1" applyFont="1" applyBorder="1" applyAlignment="1">
      <alignment horizontal="center"/>
    </xf>
    <xf numFmtId="2" fontId="1" fillId="0" borderId="1" xfId="0" applyNumberFormat="1" applyFont="1" applyBorder="1" applyAlignment="1">
      <alignment horizontal="center"/>
    </xf>
    <xf numFmtId="1" fontId="1" fillId="0" borderId="1" xfId="0" applyNumberFormat="1" applyFont="1" applyBorder="1" applyAlignment="1">
      <alignment horizontal="center" wrapText="1"/>
    </xf>
    <xf numFmtId="1" fontId="7" fillId="0" borderId="1" xfId="0" applyNumberFormat="1" applyFont="1" applyBorder="1" applyAlignment="1">
      <alignment horizontal="center"/>
    </xf>
    <xf numFmtId="1" fontId="7" fillId="0" borderId="2" xfId="0" applyNumberFormat="1" applyFont="1" applyBorder="1" applyAlignment="1">
      <alignment horizontal="center"/>
    </xf>
    <xf numFmtId="1" fontId="1" fillId="0" borderId="2" xfId="0" applyNumberFormat="1" applyFont="1" applyBorder="1" applyAlignment="1">
      <alignment horizontal="center" wrapText="1"/>
    </xf>
    <xf numFmtId="3" fontId="7" fillId="0" borderId="2" xfId="0" applyNumberFormat="1" applyFont="1" applyBorder="1" applyAlignment="1">
      <alignment horizontal="center"/>
    </xf>
    <xf numFmtId="1" fontId="2" fillId="0" borderId="1" xfId="0" applyNumberFormat="1" applyFont="1" applyBorder="1" applyAlignment="1">
      <alignment horizontal="center"/>
    </xf>
    <xf numFmtId="1" fontId="2" fillId="0" borderId="2" xfId="0" applyNumberFormat="1" applyFont="1" applyBorder="1" applyAlignment="1">
      <alignment horizontal="center"/>
    </xf>
    <xf numFmtId="3" fontId="1" fillId="0" borderId="0" xfId="0" applyNumberFormat="1" applyFont="1"/>
    <xf numFmtId="164" fontId="1" fillId="0" borderId="1" xfId="0" applyNumberFormat="1" applyFont="1" applyBorder="1" applyAlignment="1">
      <alignment horizontal="right" wrapText="1"/>
    </xf>
    <xf numFmtId="164" fontId="1" fillId="0" borderId="1" xfId="0" applyNumberFormat="1" applyFont="1" applyBorder="1" applyAlignment="1">
      <alignment horizontal="right"/>
    </xf>
    <xf numFmtId="165" fontId="1" fillId="0" borderId="1" xfId="0" applyNumberFormat="1" applyFont="1" applyBorder="1" applyAlignment="1">
      <alignment horizontal="right" wrapText="1"/>
    </xf>
    <xf numFmtId="0" fontId="11" fillId="0" borderId="0" xfId="0" applyFont="1"/>
    <xf numFmtId="0" fontId="13" fillId="0" borderId="1" xfId="0" applyFont="1" applyBorder="1" applyAlignment="1">
      <alignment horizontal="left" wrapText="1"/>
    </xf>
    <xf numFmtId="3" fontId="5" fillId="0" borderId="1" xfId="0" applyNumberFormat="1" applyFont="1" applyBorder="1" applyAlignment="1">
      <alignment horizontal="center"/>
    </xf>
    <xf numFmtId="0" fontId="2" fillId="0" borderId="1" xfId="0" applyFont="1" applyBorder="1"/>
    <xf numFmtId="164" fontId="2" fillId="0" borderId="1" xfId="0" applyNumberFormat="1" applyFont="1" applyBorder="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8" fillId="0" borderId="1" xfId="0" applyFont="1" applyBorder="1" applyAlignment="1">
      <alignment wrapText="1"/>
    </xf>
    <xf numFmtId="165" fontId="5" fillId="0" borderId="1" xfId="0" applyNumberFormat="1" applyFont="1" applyBorder="1" applyAlignment="1">
      <alignment horizontal="right"/>
    </xf>
    <xf numFmtId="0" fontId="19" fillId="0" borderId="1" xfId="0" applyFont="1" applyBorder="1" applyAlignment="1">
      <alignment horizontal="center"/>
    </xf>
    <xf numFmtId="165" fontId="18" fillId="0" borderId="1" xfId="0" applyNumberFormat="1" applyFont="1" applyBorder="1" applyAlignment="1">
      <alignment horizontal="right"/>
    </xf>
    <xf numFmtId="6" fontId="0" fillId="0" borderId="0" xfId="0" applyNumberFormat="1"/>
    <xf numFmtId="0" fontId="21"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applyAlignment="1">
      <alignment vertical="top" wrapText="1"/>
    </xf>
    <xf numFmtId="0" fontId="1" fillId="0" borderId="1" xfId="0" applyFont="1" applyBorder="1" applyAlignment="1">
      <alignment vertical="center" wrapText="1"/>
    </xf>
    <xf numFmtId="164" fontId="1" fillId="0" borderId="1" xfId="0" applyNumberFormat="1" applyFont="1" applyBorder="1"/>
    <xf numFmtId="165" fontId="5" fillId="0" borderId="1" xfId="0" applyNumberFormat="1" applyFont="1" applyBorder="1"/>
    <xf numFmtId="0" fontId="22" fillId="0" borderId="1" xfId="0" applyFont="1" applyBorder="1" applyAlignment="1">
      <alignment vertical="center" wrapText="1"/>
    </xf>
    <xf numFmtId="0" fontId="22"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4" fillId="0" borderId="0" xfId="0" applyFont="1" applyAlignment="1">
      <alignment vertical="center"/>
    </xf>
    <xf numFmtId="0" fontId="6" fillId="0" borderId="0" xfId="0" applyFont="1" applyAlignment="1">
      <alignment vertical="center"/>
    </xf>
    <xf numFmtId="166" fontId="1" fillId="0" borderId="1" xfId="0" applyNumberFormat="1" applyFont="1" applyBorder="1" applyAlignment="1">
      <alignment horizontal="center"/>
    </xf>
    <xf numFmtId="4" fontId="1" fillId="0" borderId="1" xfId="0" applyNumberFormat="1" applyFont="1" applyBorder="1" applyAlignment="1">
      <alignment horizontal="center"/>
    </xf>
    <xf numFmtId="0" fontId="1" fillId="0" borderId="0" xfId="0" applyFont="1" applyAlignment="1">
      <alignment horizontal="left" indent="6"/>
    </xf>
    <xf numFmtId="0" fontId="3" fillId="0" borderId="1" xfId="0" applyFont="1" applyBorder="1" applyAlignment="1">
      <alignment horizontal="left" wrapText="1" indent="1"/>
    </xf>
    <xf numFmtId="0" fontId="1" fillId="0" borderId="1" xfId="0" applyFont="1" applyBorder="1" applyAlignment="1">
      <alignment horizontal="left" indent="1"/>
    </xf>
    <xf numFmtId="0" fontId="1" fillId="0" borderId="1" xfId="0" applyFont="1" applyBorder="1" applyAlignment="1">
      <alignment horizontal="left" indent="2"/>
    </xf>
    <xf numFmtId="0" fontId="1" fillId="0" borderId="1" xfId="0" applyFont="1" applyBorder="1" applyAlignment="1">
      <alignment horizontal="left" wrapText="1" indent="2"/>
    </xf>
    <xf numFmtId="0" fontId="5" fillId="0" borderId="0" xfId="0" applyFont="1"/>
    <xf numFmtId="3" fontId="2" fillId="0" borderId="1" xfId="0" applyNumberFormat="1" applyFont="1" applyBorder="1" applyAlignment="1">
      <alignment horizontal="center"/>
    </xf>
    <xf numFmtId="3" fontId="2" fillId="0" borderId="2" xfId="0" applyNumberFormat="1" applyFont="1" applyBorder="1" applyAlignment="1">
      <alignment horizontal="center"/>
    </xf>
    <xf numFmtId="0" fontId="2" fillId="0" borderId="0" xfId="0" applyFont="1" applyAlignment="1">
      <alignment vertical="top" wrapText="1"/>
    </xf>
    <xf numFmtId="0" fontId="2" fillId="0" borderId="1" xfId="0" applyFont="1" applyBorder="1" applyAlignment="1">
      <alignment horizontal="center"/>
    </xf>
    <xf numFmtId="3" fontId="2" fillId="0" borderId="1" xfId="0" applyNumberFormat="1" applyFont="1" applyBorder="1" applyAlignment="1">
      <alignment horizontal="center" wrapText="1"/>
    </xf>
    <xf numFmtId="3" fontId="2" fillId="0" borderId="1" xfId="0" applyNumberFormat="1" applyFont="1" applyBorder="1" applyAlignment="1">
      <alignment horizontal="center" vertical="center" wrapText="1"/>
    </xf>
    <xf numFmtId="6" fontId="2" fillId="0" borderId="1" xfId="0" applyNumberFormat="1" applyFont="1" applyBorder="1" applyAlignment="1">
      <alignment vertical="center" wrapText="1"/>
    </xf>
    <xf numFmtId="0" fontId="2" fillId="0" borderId="1" xfId="0" applyFont="1" applyBorder="1" applyAlignment="1">
      <alignment vertical="center" wrapText="1"/>
    </xf>
    <xf numFmtId="165" fontId="2" fillId="0" borderId="1" xfId="0" applyNumberFormat="1" applyFont="1" applyBorder="1" applyAlignment="1">
      <alignment vertical="center" wrapText="1"/>
    </xf>
    <xf numFmtId="3" fontId="2" fillId="0" borderId="1" xfId="0" applyNumberFormat="1" applyFont="1" applyBorder="1" applyAlignment="1">
      <alignment vertical="center" wrapText="1"/>
    </xf>
    <xf numFmtId="8" fontId="2" fillId="0" borderId="1" xfId="0" applyNumberFormat="1" applyFont="1" applyBorder="1" applyAlignment="1">
      <alignment vertical="center" wrapText="1"/>
    </xf>
    <xf numFmtId="0" fontId="26" fillId="0" borderId="1" xfId="0" applyFont="1" applyBorder="1"/>
    <xf numFmtId="6" fontId="2" fillId="0" borderId="1" xfId="0" applyNumberFormat="1" applyFont="1" applyBorder="1"/>
    <xf numFmtId="0" fontId="26" fillId="0" borderId="0" xfId="0" applyFont="1"/>
    <xf numFmtId="6" fontId="2" fillId="0" borderId="0" xfId="0" applyNumberFormat="1" applyFont="1"/>
    <xf numFmtId="0" fontId="21" fillId="0" borderId="0" xfId="0" applyFont="1" applyAlignment="1">
      <alignment horizontal="left" vertical="center"/>
    </xf>
    <xf numFmtId="165" fontId="1" fillId="0" borderId="1" xfId="0" applyNumberFormat="1" applyFont="1" applyBorder="1" applyAlignment="1">
      <alignment horizontal="right"/>
    </xf>
    <xf numFmtId="0" fontId="27" fillId="0" borderId="0" xfId="0" applyFont="1"/>
    <xf numFmtId="0" fontId="2" fillId="2" borderId="1" xfId="0" applyFont="1" applyFill="1" applyBorder="1" applyAlignment="1">
      <alignment horizontal="center" vertical="center"/>
    </xf>
    <xf numFmtId="0" fontId="2" fillId="0" borderId="1" xfId="0" applyFont="1" applyBorder="1" applyAlignment="1">
      <alignment vertical="center"/>
    </xf>
    <xf numFmtId="3" fontId="2" fillId="0" borderId="1" xfId="0" applyNumberFormat="1" applyFont="1" applyBorder="1" applyAlignment="1">
      <alignment horizontal="right" vertical="center"/>
    </xf>
    <xf numFmtId="6" fontId="2" fillId="0" borderId="1" xfId="0" applyNumberFormat="1" applyFont="1" applyBorder="1" applyAlignment="1">
      <alignment horizontal="right" vertical="center"/>
    </xf>
    <xf numFmtId="1" fontId="1" fillId="0" borderId="0" xfId="0" applyNumberFormat="1" applyFont="1"/>
    <xf numFmtId="3" fontId="1" fillId="0" borderId="1" xfId="0" applyNumberFormat="1" applyFont="1" applyBorder="1"/>
    <xf numFmtId="6" fontId="1" fillId="0" borderId="1" xfId="0" applyNumberFormat="1" applyFont="1" applyBorder="1"/>
    <xf numFmtId="0" fontId="1" fillId="0" borderId="1" xfId="0" applyFont="1" applyBorder="1" applyAlignment="1">
      <alignment horizontal="center" vertical="center" wrapText="1"/>
    </xf>
    <xf numFmtId="3" fontId="18" fillId="0" borderId="3" xfId="0" applyNumberFormat="1" applyFont="1" applyBorder="1" applyAlignment="1">
      <alignment horizontal="center"/>
    </xf>
    <xf numFmtId="3" fontId="18" fillId="0" borderId="4" xfId="0" applyNumberFormat="1" applyFont="1" applyBorder="1" applyAlignment="1">
      <alignment horizontal="center"/>
    </xf>
    <xf numFmtId="3" fontId="18" fillId="0" borderId="5" xfId="0" applyNumberFormat="1" applyFont="1" applyBorder="1" applyAlignment="1">
      <alignment horizontal="center"/>
    </xf>
    <xf numFmtId="3" fontId="5" fillId="0" borderId="3" xfId="0" applyNumberFormat="1" applyFont="1" applyBorder="1" applyAlignment="1">
      <alignment horizontal="center"/>
    </xf>
    <xf numFmtId="3" fontId="5" fillId="0" borderId="4" xfId="0" applyNumberFormat="1" applyFont="1" applyBorder="1" applyAlignment="1">
      <alignment horizontal="center"/>
    </xf>
    <xf numFmtId="3" fontId="5" fillId="0" borderId="5" xfId="0" applyNumberFormat="1" applyFont="1" applyBorder="1" applyAlignment="1">
      <alignment horizontal="center"/>
    </xf>
    <xf numFmtId="0" fontId="2" fillId="0" borderId="1" xfId="0" applyFont="1" applyBorder="1" applyAlignment="1">
      <alignment horizontal="center" vertical="top"/>
    </xf>
    <xf numFmtId="0" fontId="2" fillId="0" borderId="0" xfId="0" applyFont="1" applyAlignment="1">
      <alignment horizontal="left" vertical="top" wrapText="1"/>
    </xf>
    <xf numFmtId="0" fontId="2" fillId="0" borderId="0" xfId="0" applyFont="1" applyAlignment="1">
      <alignment horizontal="left" vertical="top"/>
    </xf>
    <xf numFmtId="0" fontId="1" fillId="0" borderId="0" xfId="0" applyFont="1" applyAlignment="1">
      <alignment horizontal="left" vertical="top"/>
    </xf>
    <xf numFmtId="0" fontId="15" fillId="0" borderId="0" xfId="0" applyFont="1" applyAlignment="1">
      <alignment horizontal="left" vertical="top" wrapText="1"/>
    </xf>
    <xf numFmtId="0" fontId="1" fillId="0" borderId="0" xfId="0" applyFont="1" applyAlignment="1">
      <alignment horizontal="left" vertical="top" wrapText="1"/>
    </xf>
    <xf numFmtId="0" fontId="21" fillId="0" borderId="0" xfId="0" applyFont="1" applyAlignment="1">
      <alignment horizontal="lef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3" fontId="5" fillId="0" borderId="1" xfId="0" applyNumberFormat="1" applyFont="1" applyBorder="1" applyAlignment="1">
      <alignment horizontal="center"/>
    </xf>
    <xf numFmtId="0" fontId="21"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Stephen Treimel" id="{AE35DA49-A9CC-4DC6-9BD6-2564A4C3275C}" userId="Stephen Treimel" providerId="None"/>
  <person displayName="Tracy Curtis" id="{BDC1E421-B998-4CEA-BB5F-0F1023C119FE}" userId="b17ba48e92a2a2f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4"/>
  <sheetViews>
    <sheetView tabSelected="1" zoomScale="83" zoomScaleNormal="83" workbookViewId="0">
      <selection activeCell="A52" sqref="A52:I52"/>
    </sheetView>
  </sheetViews>
  <sheetFormatPr defaultColWidth="9.140625" defaultRowHeight="12.75" x14ac:dyDescent="0.2"/>
  <cols>
    <col min="1" max="1" width="50.7109375" style="1" customWidth="1"/>
    <col min="2" max="2" width="12.42578125" style="1" bestFit="1" customWidth="1"/>
    <col min="3" max="3" width="14.7109375" style="1" customWidth="1"/>
    <col min="4" max="4" width="12.85546875" style="1" customWidth="1"/>
    <col min="5" max="5" width="12.42578125" style="1" customWidth="1"/>
    <col min="6" max="6" width="11.28515625" style="1" customWidth="1"/>
    <col min="7" max="7" width="12.5703125" style="1" customWidth="1"/>
    <col min="8" max="8" width="9.140625" style="1" customWidth="1"/>
    <col min="9" max="9" width="14.42578125" style="1" customWidth="1"/>
    <col min="10" max="10" width="2.42578125" style="1" customWidth="1"/>
    <col min="11" max="11" width="11" style="1" bestFit="1" customWidth="1"/>
    <col min="12" max="12" width="11.85546875" style="1" customWidth="1"/>
    <col min="13" max="16384" width="9.140625" style="1"/>
  </cols>
  <sheetData>
    <row r="1" spans="1:12" ht="33" customHeight="1" x14ac:dyDescent="0.2">
      <c r="A1" s="113" t="s">
        <v>164</v>
      </c>
      <c r="B1" s="113"/>
      <c r="C1" s="113"/>
      <c r="D1" s="113"/>
      <c r="E1" s="113"/>
      <c r="F1" s="113"/>
      <c r="G1" s="113"/>
      <c r="H1" s="113"/>
      <c r="I1" s="113"/>
    </row>
    <row r="3" spans="1:12" x14ac:dyDescent="0.2">
      <c r="A3" s="102" t="s">
        <v>0</v>
      </c>
      <c r="B3" s="28" t="s">
        <v>1</v>
      </c>
      <c r="C3" s="28" t="s">
        <v>2</v>
      </c>
      <c r="D3" s="28" t="s">
        <v>3</v>
      </c>
      <c r="E3" s="28" t="s">
        <v>6</v>
      </c>
      <c r="F3" s="28" t="s">
        <v>7</v>
      </c>
      <c r="G3" s="28" t="s">
        <v>8</v>
      </c>
      <c r="H3" s="28" t="s">
        <v>9</v>
      </c>
      <c r="I3" s="28" t="s">
        <v>10</v>
      </c>
    </row>
    <row r="4" spans="1:12" ht="38.25" x14ac:dyDescent="0.2">
      <c r="A4" s="102"/>
      <c r="B4" s="28" t="s">
        <v>37</v>
      </c>
      <c r="C4" s="28" t="s">
        <v>43</v>
      </c>
      <c r="D4" s="28" t="s">
        <v>4</v>
      </c>
      <c r="E4" s="28" t="s">
        <v>66</v>
      </c>
      <c r="F4" s="28" t="s">
        <v>38</v>
      </c>
      <c r="G4" s="28" t="s">
        <v>42</v>
      </c>
      <c r="H4" s="28" t="s">
        <v>41</v>
      </c>
      <c r="I4" s="28" t="s">
        <v>65</v>
      </c>
    </row>
    <row r="5" spans="1:12" x14ac:dyDescent="0.2">
      <c r="A5" s="102"/>
      <c r="B5" s="28"/>
      <c r="C5" s="28"/>
      <c r="D5" s="28" t="s">
        <v>5</v>
      </c>
      <c r="E5" s="28"/>
      <c r="F5" s="28" t="s">
        <v>44</v>
      </c>
      <c r="G5" s="28" t="s">
        <v>39</v>
      </c>
      <c r="H5" s="28" t="s">
        <v>40</v>
      </c>
      <c r="I5" s="28"/>
    </row>
    <row r="6" spans="1:12" x14ac:dyDescent="0.2">
      <c r="A6" s="20" t="s">
        <v>11</v>
      </c>
      <c r="B6" s="10" t="s">
        <v>12</v>
      </c>
      <c r="C6" s="10"/>
      <c r="D6" s="10"/>
      <c r="E6" s="10"/>
      <c r="F6" s="10"/>
      <c r="G6" s="10"/>
      <c r="H6" s="10"/>
      <c r="I6" s="19"/>
      <c r="K6" s="109" t="s">
        <v>60</v>
      </c>
      <c r="L6" s="109"/>
    </row>
    <row r="7" spans="1:12" x14ac:dyDescent="0.2">
      <c r="A7" s="20" t="s">
        <v>13</v>
      </c>
      <c r="B7" s="10" t="s">
        <v>12</v>
      </c>
      <c r="C7" s="10"/>
      <c r="D7" s="10"/>
      <c r="E7" s="10"/>
      <c r="F7" s="10"/>
      <c r="G7" s="10"/>
      <c r="H7" s="10"/>
      <c r="I7" s="19"/>
      <c r="K7" s="47" t="s">
        <v>61</v>
      </c>
      <c r="L7" s="48">
        <v>147.4</v>
      </c>
    </row>
    <row r="8" spans="1:12" x14ac:dyDescent="0.2">
      <c r="A8" s="20" t="s">
        <v>14</v>
      </c>
      <c r="B8" s="20"/>
      <c r="C8" s="20"/>
      <c r="D8" s="20"/>
      <c r="E8" s="20"/>
      <c r="F8" s="20"/>
      <c r="G8" s="20"/>
      <c r="H8" s="20"/>
      <c r="I8" s="19"/>
      <c r="K8" s="47" t="s">
        <v>62</v>
      </c>
      <c r="L8" s="48">
        <v>117.92</v>
      </c>
    </row>
    <row r="9" spans="1:12" ht="15.75" x14ac:dyDescent="0.2">
      <c r="A9" s="73" t="s">
        <v>124</v>
      </c>
      <c r="B9" s="10">
        <v>1</v>
      </c>
      <c r="C9" s="10">
        <v>1</v>
      </c>
      <c r="D9" s="10">
        <f>B9*C9</f>
        <v>1</v>
      </c>
      <c r="E9" s="81">
        <v>28013</v>
      </c>
      <c r="F9" s="33">
        <v>0</v>
      </c>
      <c r="G9" s="11">
        <f>D9*E9</f>
        <v>28013</v>
      </c>
      <c r="H9" s="33">
        <v>0</v>
      </c>
      <c r="I9" s="43">
        <f>F9*$L$8+G9*$L$7+H9*$L$9</f>
        <v>4129116.2</v>
      </c>
      <c r="K9" s="47" t="s">
        <v>63</v>
      </c>
      <c r="L9" s="48">
        <v>57.02</v>
      </c>
    </row>
    <row r="10" spans="1:12" x14ac:dyDescent="0.2">
      <c r="A10" s="73" t="s">
        <v>15</v>
      </c>
      <c r="B10" s="9" t="s">
        <v>12</v>
      </c>
      <c r="C10" s="13"/>
      <c r="D10" s="13"/>
      <c r="E10" s="13"/>
      <c r="F10" s="31"/>
      <c r="G10" s="31"/>
      <c r="H10" s="32"/>
      <c r="I10" s="93"/>
    </row>
    <row r="11" spans="1:12" x14ac:dyDescent="0.2">
      <c r="A11" s="73" t="s">
        <v>16</v>
      </c>
      <c r="B11" s="9" t="s">
        <v>12</v>
      </c>
      <c r="C11" s="13"/>
      <c r="D11" s="13"/>
      <c r="E11" s="13"/>
      <c r="F11" s="31"/>
      <c r="G11" s="31"/>
      <c r="H11" s="32"/>
      <c r="I11" s="93"/>
    </row>
    <row r="12" spans="1:12" x14ac:dyDescent="0.2">
      <c r="A12" s="73" t="s">
        <v>17</v>
      </c>
      <c r="B12" s="13"/>
      <c r="C12" s="13"/>
      <c r="D12" s="13"/>
      <c r="E12" s="13"/>
      <c r="F12" s="31"/>
      <c r="G12" s="31"/>
      <c r="H12" s="32"/>
      <c r="I12" s="93"/>
    </row>
    <row r="13" spans="1:12" x14ac:dyDescent="0.2">
      <c r="A13" s="74" t="s">
        <v>18</v>
      </c>
      <c r="B13" s="13">
        <v>2</v>
      </c>
      <c r="C13" s="13">
        <v>1</v>
      </c>
      <c r="D13" s="10">
        <f>B13*C13</f>
        <v>2</v>
      </c>
      <c r="E13" s="11">
        <v>2330</v>
      </c>
      <c r="F13" s="12">
        <f>D13*E13</f>
        <v>4660</v>
      </c>
      <c r="G13" s="12">
        <f>F13*0.05</f>
        <v>233</v>
      </c>
      <c r="H13" s="11">
        <f>F13*0.1</f>
        <v>466</v>
      </c>
      <c r="I13" s="43">
        <f>F13*$L$8+G13*$L$7+H13*$L$9</f>
        <v>610422.71999999986</v>
      </c>
      <c r="K13" s="44"/>
    </row>
    <row r="14" spans="1:12" x14ac:dyDescent="0.2">
      <c r="A14" s="74" t="s">
        <v>19</v>
      </c>
      <c r="B14" s="13">
        <v>1</v>
      </c>
      <c r="C14" s="13">
        <v>1</v>
      </c>
      <c r="D14" s="10">
        <f>B14*C14</f>
        <v>1</v>
      </c>
      <c r="E14" s="11">
        <f>E13</f>
        <v>2330</v>
      </c>
      <c r="F14" s="12">
        <f t="shared" ref="F14" si="0">D14*E14</f>
        <v>2330</v>
      </c>
      <c r="G14" s="21">
        <f t="shared" ref="G14:G15" si="1">F14*0.05</f>
        <v>116.5</v>
      </c>
      <c r="H14" s="11">
        <f t="shared" ref="H14:H19" si="2">F14*0.1</f>
        <v>233</v>
      </c>
      <c r="I14" s="43">
        <f>F14*$L$8+G14*$L$7+H14*$L$9</f>
        <v>305211.35999999993</v>
      </c>
      <c r="K14" s="44"/>
    </row>
    <row r="15" spans="1:12" ht="15.75" x14ac:dyDescent="0.2">
      <c r="A15" s="74" t="s">
        <v>125</v>
      </c>
      <c r="B15" s="13">
        <v>1</v>
      </c>
      <c r="C15" s="13">
        <v>1</v>
      </c>
      <c r="D15" s="10">
        <f>B15*C15</f>
        <v>1</v>
      </c>
      <c r="E15" s="12">
        <f>0.7*E13</f>
        <v>1631</v>
      </c>
      <c r="F15" s="12">
        <f>D15*E15</f>
        <v>1631</v>
      </c>
      <c r="G15" s="14">
        <f t="shared" si="1"/>
        <v>81.550000000000011</v>
      </c>
      <c r="H15" s="22">
        <f t="shared" si="2"/>
        <v>163.10000000000002</v>
      </c>
      <c r="I15" s="43">
        <f>F15*$L$8+G15*$L$7+H15*$L$9</f>
        <v>213647.95199999999</v>
      </c>
      <c r="K15" s="44"/>
    </row>
    <row r="16" spans="1:12" x14ac:dyDescent="0.2">
      <c r="A16" s="73" t="s">
        <v>20</v>
      </c>
      <c r="B16" s="13"/>
      <c r="C16" s="13"/>
      <c r="D16" s="13"/>
      <c r="E16" s="13"/>
      <c r="F16" s="12"/>
      <c r="G16" s="31"/>
      <c r="H16" s="15"/>
      <c r="I16" s="43"/>
      <c r="K16" s="44"/>
    </row>
    <row r="17" spans="1:11" x14ac:dyDescent="0.2">
      <c r="A17" s="74" t="s">
        <v>21</v>
      </c>
      <c r="B17" s="13">
        <v>1</v>
      </c>
      <c r="C17" s="13">
        <v>1</v>
      </c>
      <c r="D17" s="10">
        <f>B17*C17</f>
        <v>1</v>
      </c>
      <c r="E17" s="11">
        <f>E13</f>
        <v>2330</v>
      </c>
      <c r="F17" s="12">
        <f>D17*E17</f>
        <v>2330</v>
      </c>
      <c r="G17" s="21">
        <f>F17*0.05</f>
        <v>116.5</v>
      </c>
      <c r="H17" s="11">
        <f>F17*0.1</f>
        <v>233</v>
      </c>
      <c r="I17" s="43">
        <f>F17*$L$8+G17*$L$7+H17*$L$9</f>
        <v>305211.35999999993</v>
      </c>
      <c r="K17" s="44"/>
    </row>
    <row r="18" spans="1:11" ht="15.75" x14ac:dyDescent="0.2">
      <c r="A18" s="74" t="s">
        <v>126</v>
      </c>
      <c r="B18" s="13">
        <v>1</v>
      </c>
      <c r="C18" s="13">
        <v>1</v>
      </c>
      <c r="D18" s="10">
        <f t="shared" ref="D18:D20" si="3">B18*C18</f>
        <v>1</v>
      </c>
      <c r="E18" s="12">
        <f>E15</f>
        <v>1631</v>
      </c>
      <c r="F18" s="12">
        <v>0</v>
      </c>
      <c r="G18" s="12">
        <f>D18*E18</f>
        <v>1631</v>
      </c>
      <c r="H18" s="11">
        <v>0</v>
      </c>
      <c r="I18" s="43">
        <f>F18*$L$8+G18*$L$7+H18*$L$9</f>
        <v>240409.40000000002</v>
      </c>
      <c r="K18" s="44"/>
    </row>
    <row r="19" spans="1:11" ht="15.75" x14ac:dyDescent="0.2">
      <c r="A19" s="74" t="s">
        <v>127</v>
      </c>
      <c r="B19" s="13">
        <v>0.25</v>
      </c>
      <c r="C19" s="13">
        <v>1</v>
      </c>
      <c r="D19" s="10">
        <f t="shared" si="3"/>
        <v>0.25</v>
      </c>
      <c r="E19" s="13">
        <f>0.3*E13</f>
        <v>699</v>
      </c>
      <c r="F19" s="12">
        <v>0</v>
      </c>
      <c r="G19" s="14">
        <f>D19*E19</f>
        <v>174.75</v>
      </c>
      <c r="H19" s="11">
        <f t="shared" si="2"/>
        <v>0</v>
      </c>
      <c r="I19" s="43">
        <f>F19*$L$8+G19*$L$7+H19*$L$9</f>
        <v>25758.15</v>
      </c>
      <c r="K19" s="44"/>
    </row>
    <row r="20" spans="1:11" ht="15.75" x14ac:dyDescent="0.2">
      <c r="A20" s="74" t="s">
        <v>128</v>
      </c>
      <c r="B20" s="13">
        <v>1</v>
      </c>
      <c r="C20" s="13">
        <v>1</v>
      </c>
      <c r="D20" s="10">
        <f t="shared" si="3"/>
        <v>1</v>
      </c>
      <c r="E20" s="34">
        <f>E13*0.05</f>
        <v>116.5</v>
      </c>
      <c r="F20" s="12">
        <v>0</v>
      </c>
      <c r="G20" s="12">
        <f>D20*E20</f>
        <v>116.5</v>
      </c>
      <c r="H20" s="11">
        <v>0</v>
      </c>
      <c r="I20" s="43">
        <f>F20*$L$8+G20*$L$7+H20*$L$9</f>
        <v>17172.100000000002</v>
      </c>
    </row>
    <row r="21" spans="1:11" ht="15" customHeight="1" x14ac:dyDescent="0.25">
      <c r="A21" s="51" t="s">
        <v>71</v>
      </c>
      <c r="B21" s="53"/>
      <c r="C21" s="53"/>
      <c r="D21" s="53"/>
      <c r="E21" s="53"/>
      <c r="F21" s="103">
        <f>SUM(F9:H20)</f>
        <v>42528.9</v>
      </c>
      <c r="G21" s="104"/>
      <c r="H21" s="105"/>
      <c r="I21" s="54">
        <f>SUM(I9:I20)</f>
        <v>5846949.2420000006</v>
      </c>
    </row>
    <row r="22" spans="1:11" x14ac:dyDescent="0.2">
      <c r="A22" s="20" t="s">
        <v>22</v>
      </c>
      <c r="B22" s="9"/>
      <c r="C22" s="9"/>
      <c r="D22" s="13"/>
      <c r="E22" s="13"/>
      <c r="F22" s="31"/>
      <c r="G22" s="31"/>
      <c r="H22" s="32"/>
      <c r="I22" s="42"/>
    </row>
    <row r="23" spans="1:11" x14ac:dyDescent="0.2">
      <c r="A23" s="73" t="s">
        <v>54</v>
      </c>
      <c r="B23" s="9" t="s">
        <v>58</v>
      </c>
      <c r="C23" s="9"/>
      <c r="D23" s="13"/>
      <c r="E23" s="13"/>
      <c r="F23" s="31"/>
      <c r="G23" s="31"/>
      <c r="H23" s="32"/>
      <c r="I23" s="42"/>
    </row>
    <row r="24" spans="1:11" ht="15.75" x14ac:dyDescent="0.2">
      <c r="A24" s="73" t="s">
        <v>129</v>
      </c>
      <c r="B24" s="9">
        <v>1</v>
      </c>
      <c r="C24" s="9">
        <v>1</v>
      </c>
      <c r="D24" s="10">
        <f t="shared" ref="D24" si="4">B24*C24</f>
        <v>1</v>
      </c>
      <c r="E24" s="11">
        <f>E13</f>
        <v>2330</v>
      </c>
      <c r="F24" s="12">
        <f>D24*E24</f>
        <v>2330</v>
      </c>
      <c r="G24" s="12">
        <v>0</v>
      </c>
      <c r="H24" s="11">
        <v>0</v>
      </c>
      <c r="I24" s="43">
        <f>F24*$L$8+G24*$L$7+H24*$L$9</f>
        <v>274753.59999999998</v>
      </c>
    </row>
    <row r="25" spans="1:11" x14ac:dyDescent="0.2">
      <c r="A25" s="73" t="s">
        <v>23</v>
      </c>
      <c r="B25" s="9"/>
      <c r="C25" s="9"/>
      <c r="D25" s="13"/>
      <c r="E25" s="13"/>
      <c r="F25" s="12"/>
      <c r="G25" s="12"/>
      <c r="H25" s="27"/>
      <c r="I25" s="93"/>
    </row>
    <row r="26" spans="1:11" ht="15.75" x14ac:dyDescent="0.2">
      <c r="A26" s="74" t="s">
        <v>130</v>
      </c>
      <c r="B26" s="17">
        <v>0.75</v>
      </c>
      <c r="C26" s="17">
        <v>52</v>
      </c>
      <c r="D26" s="10">
        <f>B26*C26</f>
        <v>39</v>
      </c>
      <c r="E26" s="78">
        <f>(E9-20)*0.7</f>
        <v>19595.099999999999</v>
      </c>
      <c r="F26" s="37">
        <f>D26*E26</f>
        <v>764208.89999999991</v>
      </c>
      <c r="G26" s="37">
        <v>0</v>
      </c>
      <c r="H26" s="23">
        <v>0</v>
      </c>
      <c r="I26" s="43">
        <f>F26*$L$8+G26*$L$7+H26*$L$9</f>
        <v>90115513.487999991</v>
      </c>
    </row>
    <row r="27" spans="1:11" ht="15.75" x14ac:dyDescent="0.2">
      <c r="A27" s="74" t="s">
        <v>131</v>
      </c>
      <c r="B27" s="17">
        <v>0.75</v>
      </c>
      <c r="C27" s="17">
        <v>26</v>
      </c>
      <c r="D27" s="16">
        <f>B27*C27</f>
        <v>19.5</v>
      </c>
      <c r="E27" s="78">
        <f>(E9-20)*0.3</f>
        <v>8397.9</v>
      </c>
      <c r="F27" s="37">
        <f>D27*E27</f>
        <v>163759.04999999999</v>
      </c>
      <c r="G27" s="37">
        <v>0</v>
      </c>
      <c r="H27" s="23">
        <v>0</v>
      </c>
      <c r="I27" s="43">
        <f>F27*$L$8+G27*$L$7+H27*$L$9</f>
        <v>19310467.175999999</v>
      </c>
    </row>
    <row r="28" spans="1:11" ht="15.75" x14ac:dyDescent="0.2">
      <c r="A28" s="74" t="s">
        <v>132</v>
      </c>
      <c r="B28" s="9">
        <v>1</v>
      </c>
      <c r="C28" s="9">
        <f>12*4</f>
        <v>48</v>
      </c>
      <c r="D28" s="10">
        <f>B28*C28</f>
        <v>48</v>
      </c>
      <c r="E28" s="80">
        <v>13</v>
      </c>
      <c r="F28" s="34">
        <f>D28*E28</f>
        <v>624</v>
      </c>
      <c r="G28" s="30">
        <f>F28*0.05</f>
        <v>31.200000000000003</v>
      </c>
      <c r="H28" s="16">
        <f>F28*0.1</f>
        <v>62.400000000000006</v>
      </c>
      <c r="I28" s="43">
        <f>F28*$L$8+G28*$L$7+H28*$L$9</f>
        <v>81739.008000000002</v>
      </c>
    </row>
    <row r="29" spans="1:11" ht="15.75" x14ac:dyDescent="0.2">
      <c r="A29" s="74" t="s">
        <v>133</v>
      </c>
      <c r="B29" s="17">
        <v>0.25</v>
      </c>
      <c r="C29" s="17">
        <f>52*4</f>
        <v>208</v>
      </c>
      <c r="D29" s="10">
        <f>B29*C29</f>
        <v>52</v>
      </c>
      <c r="E29" s="80">
        <f>E28</f>
        <v>13</v>
      </c>
      <c r="F29" s="34">
        <f>D29*E29</f>
        <v>676</v>
      </c>
      <c r="G29" s="30">
        <f>F29*0.05</f>
        <v>33.800000000000004</v>
      </c>
      <c r="H29" s="16">
        <f>F29*0.1</f>
        <v>67.600000000000009</v>
      </c>
      <c r="I29" s="43">
        <f>F29*$L$8+G29*$L$7+H29*$L$9</f>
        <v>88550.59199999999</v>
      </c>
    </row>
    <row r="30" spans="1:11" ht="15.75" x14ac:dyDescent="0.2">
      <c r="A30" s="74" t="s">
        <v>134</v>
      </c>
      <c r="B30" s="9">
        <v>0.75</v>
      </c>
      <c r="C30" s="9">
        <v>12</v>
      </c>
      <c r="D30" s="10">
        <f>B30*C30</f>
        <v>9</v>
      </c>
      <c r="E30" s="12">
        <v>20000</v>
      </c>
      <c r="F30" s="12">
        <f>D30*E30</f>
        <v>180000</v>
      </c>
      <c r="G30" s="12">
        <f>F30*0.05</f>
        <v>9000</v>
      </c>
      <c r="H30" s="11">
        <f t="shared" ref="H30" si="5">F30*0.1</f>
        <v>18000</v>
      </c>
      <c r="I30" s="43">
        <f>F30*$L$8+G30*$L$7+H30*$L$9</f>
        <v>23578560</v>
      </c>
    </row>
    <row r="31" spans="1:11" x14ac:dyDescent="0.2">
      <c r="A31" s="73" t="s">
        <v>24</v>
      </c>
      <c r="B31" s="9"/>
      <c r="C31" s="9"/>
      <c r="D31" s="13"/>
      <c r="E31" s="13"/>
      <c r="F31" s="31"/>
      <c r="G31" s="31"/>
      <c r="H31" s="32"/>
      <c r="I31" s="43"/>
    </row>
    <row r="32" spans="1:11" ht="15.75" x14ac:dyDescent="0.2">
      <c r="A32" s="74" t="s">
        <v>135</v>
      </c>
      <c r="B32" s="9">
        <v>1</v>
      </c>
      <c r="C32" s="9">
        <v>1</v>
      </c>
      <c r="D32" s="10">
        <f t="shared" ref="D32:D34" si="6">B32*C32</f>
        <v>1</v>
      </c>
      <c r="E32" s="11">
        <f>E13</f>
        <v>2330</v>
      </c>
      <c r="F32" s="12">
        <f>D32*E32</f>
        <v>2330</v>
      </c>
      <c r="G32" s="34">
        <v>0</v>
      </c>
      <c r="H32" s="33">
        <v>0</v>
      </c>
      <c r="I32" s="43">
        <f>F32*$L$8+G32*$L$7+H32*$L$9</f>
        <v>274753.59999999998</v>
      </c>
    </row>
    <row r="33" spans="1:12" ht="15.75" x14ac:dyDescent="0.2">
      <c r="A33" s="74" t="s">
        <v>136</v>
      </c>
      <c r="B33" s="9">
        <v>1</v>
      </c>
      <c r="C33" s="9">
        <v>1</v>
      </c>
      <c r="D33" s="10">
        <f t="shared" si="6"/>
        <v>1</v>
      </c>
      <c r="E33" s="11">
        <f>E13</f>
        <v>2330</v>
      </c>
      <c r="F33" s="12">
        <f>D33*E33</f>
        <v>2330</v>
      </c>
      <c r="G33" s="34">
        <v>0</v>
      </c>
      <c r="H33" s="33">
        <v>0</v>
      </c>
      <c r="I33" s="43">
        <f>F33*$L$8+G33*$L$7+H33*$L$9</f>
        <v>274753.59999999998</v>
      </c>
    </row>
    <row r="34" spans="1:12" ht="15.75" x14ac:dyDescent="0.2">
      <c r="A34" s="74" t="s">
        <v>137</v>
      </c>
      <c r="B34" s="9">
        <v>1</v>
      </c>
      <c r="C34" s="9">
        <v>1</v>
      </c>
      <c r="D34" s="10">
        <f t="shared" si="6"/>
        <v>1</v>
      </c>
      <c r="E34" s="12">
        <f>E15</f>
        <v>1631</v>
      </c>
      <c r="F34" s="34">
        <f>D34*E34</f>
        <v>1631</v>
      </c>
      <c r="G34" s="34">
        <v>0</v>
      </c>
      <c r="H34" s="33">
        <v>0</v>
      </c>
      <c r="I34" s="43">
        <f>F34*$L$8+G34*$L$7+H34*$L$9</f>
        <v>192327.52</v>
      </c>
    </row>
    <row r="35" spans="1:12" ht="15.75" x14ac:dyDescent="0.2">
      <c r="A35" s="74" t="s">
        <v>138</v>
      </c>
      <c r="B35" s="9">
        <v>1</v>
      </c>
      <c r="C35" s="9">
        <v>1</v>
      </c>
      <c r="D35" s="10">
        <f>B35*C35</f>
        <v>1</v>
      </c>
      <c r="E35" s="13">
        <v>0</v>
      </c>
      <c r="F35" s="34">
        <f>D35*E35</f>
        <v>0</v>
      </c>
      <c r="G35" s="34">
        <f t="shared" ref="G35" si="7">F35*0.05</f>
        <v>0</v>
      </c>
      <c r="H35" s="33">
        <f t="shared" ref="H35" si="8">F35*0.1</f>
        <v>0</v>
      </c>
      <c r="I35" s="43">
        <f>F35*$L$8+G35*$L$7+H35*$L$9</f>
        <v>0</v>
      </c>
    </row>
    <row r="36" spans="1:12" x14ac:dyDescent="0.2">
      <c r="A36" s="73" t="s">
        <v>25</v>
      </c>
      <c r="B36" s="9"/>
      <c r="C36" s="9"/>
      <c r="D36" s="13"/>
      <c r="E36" s="13"/>
      <c r="F36" s="31"/>
      <c r="G36" s="31"/>
      <c r="H36" s="32"/>
      <c r="I36" s="41"/>
    </row>
    <row r="37" spans="1:12" ht="15.75" x14ac:dyDescent="0.2">
      <c r="A37" s="74" t="s">
        <v>139</v>
      </c>
      <c r="B37" s="9">
        <v>0.25</v>
      </c>
      <c r="C37" s="9">
        <v>12</v>
      </c>
      <c r="D37" s="10">
        <f>B37*C37</f>
        <v>3</v>
      </c>
      <c r="E37" s="77">
        <f>E9</f>
        <v>28013</v>
      </c>
      <c r="F37" s="12">
        <f>D37*E37</f>
        <v>84039</v>
      </c>
      <c r="G37" s="38">
        <f>D37*3</f>
        <v>9</v>
      </c>
      <c r="H37" s="33">
        <v>0</v>
      </c>
      <c r="I37" s="43">
        <f>F37*$L$8+G37*$L$7+H37*$L$9</f>
        <v>9911205.4800000004</v>
      </c>
    </row>
    <row r="38" spans="1:12" ht="28.5" x14ac:dyDescent="0.2">
      <c r="A38" s="75" t="s">
        <v>140</v>
      </c>
      <c r="B38" s="17">
        <v>0.25</v>
      </c>
      <c r="C38" s="17">
        <v>52</v>
      </c>
      <c r="D38" s="10">
        <f>B38*C38</f>
        <v>13</v>
      </c>
      <c r="E38" s="78">
        <f>E26</f>
        <v>19595.099999999999</v>
      </c>
      <c r="F38" s="12">
        <f>D38*E38</f>
        <v>254736.3</v>
      </c>
      <c r="G38" s="39">
        <f>D38*3</f>
        <v>39</v>
      </c>
      <c r="H38" s="36">
        <v>0</v>
      </c>
      <c r="I38" s="43">
        <f>F38*$L$8+G38*$L$7+H38*$L$9</f>
        <v>30044253.096000001</v>
      </c>
    </row>
    <row r="39" spans="1:12" ht="28.5" x14ac:dyDescent="0.2">
      <c r="A39" s="75" t="s">
        <v>141</v>
      </c>
      <c r="B39" s="17">
        <v>0.25</v>
      </c>
      <c r="C39" s="17">
        <v>26</v>
      </c>
      <c r="D39" s="10">
        <f t="shared" ref="D39" si="9">B39*C39</f>
        <v>6.5</v>
      </c>
      <c r="E39" s="78">
        <f>E27</f>
        <v>8397.9</v>
      </c>
      <c r="F39" s="12">
        <f>D39*E39</f>
        <v>54586.35</v>
      </c>
      <c r="G39" s="35">
        <v>0</v>
      </c>
      <c r="H39" s="36">
        <v>0</v>
      </c>
      <c r="I39" s="43">
        <f>F39*$L$8+G39*$L$7+H39*$L$9</f>
        <v>6436822.392</v>
      </c>
    </row>
    <row r="40" spans="1:12" x14ac:dyDescent="0.2">
      <c r="A40" s="74" t="s">
        <v>26</v>
      </c>
      <c r="B40" s="9" t="s">
        <v>59</v>
      </c>
      <c r="C40" s="9"/>
      <c r="D40" s="13"/>
      <c r="E40" s="13"/>
      <c r="F40" s="31"/>
      <c r="G40" s="31"/>
      <c r="H40" s="32"/>
      <c r="I40" s="43"/>
    </row>
    <row r="41" spans="1:12" x14ac:dyDescent="0.2">
      <c r="A41" s="74" t="s">
        <v>27</v>
      </c>
      <c r="B41" s="9" t="s">
        <v>59</v>
      </c>
      <c r="C41" s="9"/>
      <c r="D41" s="13"/>
      <c r="E41" s="13"/>
      <c r="F41" s="31"/>
      <c r="G41" s="31"/>
      <c r="H41" s="32"/>
      <c r="I41" s="43"/>
    </row>
    <row r="42" spans="1:12" x14ac:dyDescent="0.2">
      <c r="A42" s="74" t="s">
        <v>28</v>
      </c>
      <c r="B42" s="9" t="s">
        <v>59</v>
      </c>
      <c r="C42" s="9"/>
      <c r="D42" s="13"/>
      <c r="E42" s="13"/>
      <c r="F42" s="31"/>
      <c r="G42" s="31"/>
      <c r="H42" s="32"/>
      <c r="I42" s="43"/>
    </row>
    <row r="43" spans="1:12" x14ac:dyDescent="0.2">
      <c r="A43" s="73" t="s">
        <v>29</v>
      </c>
      <c r="B43" s="9"/>
      <c r="C43" s="9"/>
      <c r="D43" s="13"/>
      <c r="E43" s="13"/>
      <c r="F43" s="31"/>
      <c r="G43" s="31"/>
      <c r="H43" s="32"/>
      <c r="I43" s="43"/>
    </row>
    <row r="44" spans="1:12" ht="15.75" x14ac:dyDescent="0.2">
      <c r="A44" s="74" t="s">
        <v>142</v>
      </c>
      <c r="B44" s="9">
        <v>1</v>
      </c>
      <c r="C44" s="9">
        <v>2</v>
      </c>
      <c r="D44" s="18">
        <f>B44*C44</f>
        <v>2</v>
      </c>
      <c r="E44" s="11">
        <f>E13</f>
        <v>2330</v>
      </c>
      <c r="F44" s="12">
        <f>D44*E44</f>
        <v>4660</v>
      </c>
      <c r="G44" s="12">
        <f>F44</f>
        <v>4660</v>
      </c>
      <c r="H44" s="11">
        <v>0</v>
      </c>
      <c r="I44" s="43">
        <f>F44*$L$8+G44*$L$7+H44*$L$9</f>
        <v>1236391.2</v>
      </c>
    </row>
    <row r="45" spans="1:12" x14ac:dyDescent="0.2">
      <c r="A45" s="73" t="s">
        <v>30</v>
      </c>
      <c r="B45" s="9" t="s">
        <v>12</v>
      </c>
      <c r="C45" s="9"/>
      <c r="D45" s="13"/>
      <c r="E45" s="13"/>
      <c r="F45" s="31"/>
      <c r="G45" s="31"/>
      <c r="H45" s="32"/>
      <c r="I45" s="41"/>
    </row>
    <row r="46" spans="1:12" ht="15" customHeight="1" x14ac:dyDescent="0.25">
      <c r="A46" s="51" t="s">
        <v>70</v>
      </c>
      <c r="B46" s="24"/>
      <c r="C46" s="24"/>
      <c r="D46" s="25"/>
      <c r="E46" s="25"/>
      <c r="F46" s="103">
        <f>SUM(F23:H45)</f>
        <v>1547813.6</v>
      </c>
      <c r="G46" s="104"/>
      <c r="H46" s="105"/>
      <c r="I46" s="54">
        <f>SUM(I23:I45)</f>
        <v>181820090.75199994</v>
      </c>
      <c r="L46" s="40"/>
    </row>
    <row r="47" spans="1:12" ht="15" customHeight="1" x14ac:dyDescent="0.2">
      <c r="A47" s="26" t="s">
        <v>143</v>
      </c>
      <c r="B47" s="9"/>
      <c r="C47" s="9"/>
      <c r="D47" s="13"/>
      <c r="E47" s="13"/>
      <c r="F47" s="106">
        <f>ROUND(F21+F46,-4)</f>
        <v>1590000</v>
      </c>
      <c r="G47" s="107"/>
      <c r="H47" s="108"/>
      <c r="I47" s="52">
        <f>ROUND(I21+I46,-6)</f>
        <v>188000000</v>
      </c>
      <c r="L47" s="40"/>
    </row>
    <row r="48" spans="1:12" ht="15" customHeight="1" x14ac:dyDescent="0.2">
      <c r="A48" s="26" t="s">
        <v>72</v>
      </c>
      <c r="B48" s="9"/>
      <c r="C48" s="9"/>
      <c r="D48" s="13"/>
      <c r="E48" s="13"/>
      <c r="F48" s="46"/>
      <c r="G48" s="46"/>
      <c r="H48" s="46"/>
      <c r="I48" s="52">
        <f>Additional!G13</f>
        <v>947000</v>
      </c>
    </row>
    <row r="49" spans="1:9" ht="15" customHeight="1" x14ac:dyDescent="0.2">
      <c r="A49" s="26" t="s">
        <v>73</v>
      </c>
      <c r="B49" s="9"/>
      <c r="C49" s="9"/>
      <c r="D49" s="13"/>
      <c r="E49" s="13"/>
      <c r="F49" s="46"/>
      <c r="G49" s="46"/>
      <c r="H49" s="46"/>
      <c r="I49" s="52">
        <f>ROUND(I48+I47,-6)</f>
        <v>189000000</v>
      </c>
    </row>
    <row r="51" spans="1:9" x14ac:dyDescent="0.2">
      <c r="A51" s="76" t="s">
        <v>121</v>
      </c>
    </row>
    <row r="52" spans="1:9" s="2" customFormat="1" ht="45" customHeight="1" x14ac:dyDescent="0.2">
      <c r="A52" s="110" t="s">
        <v>167</v>
      </c>
      <c r="B52" s="110"/>
      <c r="C52" s="110"/>
      <c r="D52" s="110"/>
      <c r="E52" s="110"/>
      <c r="F52" s="110"/>
      <c r="G52" s="110"/>
      <c r="H52" s="110"/>
      <c r="I52" s="110"/>
    </row>
    <row r="53" spans="1:9" s="2" customFormat="1" ht="48" customHeight="1" x14ac:dyDescent="0.2">
      <c r="A53" s="110" t="s">
        <v>67</v>
      </c>
      <c r="B53" s="110"/>
      <c r="C53" s="110"/>
      <c r="D53" s="110"/>
      <c r="E53" s="110"/>
      <c r="F53" s="110"/>
      <c r="G53" s="110"/>
      <c r="H53" s="110"/>
      <c r="I53" s="110"/>
    </row>
    <row r="54" spans="1:9" ht="15.75" x14ac:dyDescent="0.2">
      <c r="A54" s="112" t="s">
        <v>57</v>
      </c>
      <c r="B54" s="112"/>
      <c r="C54" s="112"/>
      <c r="D54" s="112"/>
      <c r="E54" s="112"/>
      <c r="F54" s="112"/>
      <c r="G54" s="112"/>
      <c r="H54" s="112"/>
      <c r="I54" s="112"/>
    </row>
    <row r="55" spans="1:9" ht="15.75" x14ac:dyDescent="0.2">
      <c r="A55" s="111" t="s">
        <v>145</v>
      </c>
      <c r="B55" s="111"/>
      <c r="C55" s="111"/>
      <c r="D55" s="111"/>
      <c r="E55" s="111"/>
      <c r="F55" s="111"/>
      <c r="G55" s="111"/>
      <c r="H55" s="111"/>
      <c r="I55" s="111"/>
    </row>
    <row r="56" spans="1:9" ht="15.75" x14ac:dyDescent="0.2">
      <c r="A56" s="112" t="s">
        <v>146</v>
      </c>
      <c r="B56" s="112"/>
      <c r="C56" s="112"/>
      <c r="D56" s="112"/>
      <c r="E56" s="112"/>
      <c r="F56" s="112"/>
      <c r="G56" s="112"/>
      <c r="H56" s="112"/>
      <c r="I56" s="112"/>
    </row>
    <row r="57" spans="1:9" ht="15.75" x14ac:dyDescent="0.2">
      <c r="A57" s="112" t="s">
        <v>56</v>
      </c>
      <c r="B57" s="112"/>
      <c r="C57" s="112"/>
      <c r="D57" s="112"/>
      <c r="E57" s="112"/>
      <c r="F57" s="112"/>
      <c r="G57" s="112"/>
      <c r="H57" s="112"/>
      <c r="I57" s="112"/>
    </row>
    <row r="58" spans="1:9" ht="15.75" x14ac:dyDescent="0.2">
      <c r="A58" s="112" t="s">
        <v>53</v>
      </c>
      <c r="B58" s="112"/>
      <c r="C58" s="112"/>
      <c r="D58" s="112"/>
      <c r="E58" s="112"/>
      <c r="F58" s="112"/>
      <c r="G58" s="112"/>
      <c r="H58" s="112"/>
      <c r="I58" s="112"/>
    </row>
    <row r="59" spans="1:9" ht="15.75" x14ac:dyDescent="0.2">
      <c r="A59" s="112" t="s">
        <v>52</v>
      </c>
      <c r="B59" s="112"/>
      <c r="C59" s="112"/>
      <c r="D59" s="112"/>
      <c r="E59" s="112"/>
      <c r="F59" s="112"/>
      <c r="G59" s="112"/>
      <c r="H59" s="112"/>
      <c r="I59" s="112"/>
    </row>
    <row r="60" spans="1:9" ht="32.25" customHeight="1" x14ac:dyDescent="0.2">
      <c r="A60" s="110" t="s">
        <v>150</v>
      </c>
      <c r="B60" s="110"/>
      <c r="C60" s="110"/>
      <c r="D60" s="110"/>
      <c r="E60" s="110"/>
      <c r="F60" s="110"/>
      <c r="G60" s="110"/>
      <c r="H60" s="110"/>
      <c r="I60" s="110"/>
    </row>
    <row r="61" spans="1:9" ht="15.75" x14ac:dyDescent="0.2">
      <c r="A61" s="111" t="s">
        <v>149</v>
      </c>
      <c r="B61" s="111"/>
      <c r="C61" s="111"/>
      <c r="D61" s="111"/>
      <c r="E61" s="111"/>
      <c r="F61" s="111"/>
      <c r="G61" s="111"/>
      <c r="H61" s="111"/>
      <c r="I61" s="111"/>
    </row>
    <row r="62" spans="1:9" ht="15.75" x14ac:dyDescent="0.2">
      <c r="A62" s="112" t="s">
        <v>123</v>
      </c>
      <c r="B62" s="112"/>
      <c r="C62" s="112"/>
      <c r="D62" s="112"/>
      <c r="E62" s="112"/>
      <c r="F62" s="112"/>
      <c r="G62" s="112"/>
      <c r="H62" s="112"/>
      <c r="I62" s="112"/>
    </row>
    <row r="63" spans="1:9" ht="15.75" x14ac:dyDescent="0.2">
      <c r="A63" s="111" t="s">
        <v>174</v>
      </c>
      <c r="B63" s="111"/>
      <c r="C63" s="111"/>
      <c r="D63" s="111"/>
      <c r="E63" s="111"/>
      <c r="F63" s="111"/>
      <c r="G63" s="111"/>
      <c r="H63" s="111"/>
      <c r="I63" s="111"/>
    </row>
    <row r="64" spans="1:9" ht="15.75" x14ac:dyDescent="0.2">
      <c r="A64" s="112" t="s">
        <v>151</v>
      </c>
      <c r="B64" s="112"/>
      <c r="C64" s="112"/>
      <c r="D64" s="112"/>
      <c r="E64" s="112"/>
      <c r="F64" s="112"/>
      <c r="G64" s="112"/>
      <c r="H64" s="112"/>
      <c r="I64" s="112"/>
    </row>
    <row r="65" spans="1:9" ht="15.75" x14ac:dyDescent="0.2">
      <c r="A65" s="112" t="s">
        <v>122</v>
      </c>
      <c r="B65" s="112"/>
      <c r="C65" s="112"/>
      <c r="D65" s="112"/>
      <c r="E65" s="112"/>
      <c r="F65" s="112"/>
      <c r="G65" s="112"/>
      <c r="H65" s="112"/>
      <c r="I65" s="112"/>
    </row>
    <row r="66" spans="1:9" ht="22.5" customHeight="1" x14ac:dyDescent="0.2">
      <c r="A66" s="114" t="s">
        <v>51</v>
      </c>
      <c r="B66" s="114"/>
      <c r="C66" s="114"/>
      <c r="D66" s="114"/>
      <c r="E66" s="114"/>
      <c r="F66" s="114"/>
      <c r="G66" s="114"/>
      <c r="H66" s="114"/>
      <c r="I66" s="114"/>
    </row>
    <row r="67" spans="1:9" ht="15.75" x14ac:dyDescent="0.2">
      <c r="A67" s="112" t="s">
        <v>50</v>
      </c>
      <c r="B67" s="112"/>
      <c r="C67" s="112"/>
      <c r="D67" s="112"/>
      <c r="E67" s="112"/>
      <c r="F67" s="112"/>
      <c r="G67" s="112"/>
      <c r="H67" s="112"/>
      <c r="I67" s="112"/>
    </row>
    <row r="68" spans="1:9" ht="15.75" x14ac:dyDescent="0.2">
      <c r="A68" s="112" t="s">
        <v>49</v>
      </c>
      <c r="B68" s="112"/>
      <c r="C68" s="112"/>
      <c r="D68" s="112"/>
      <c r="E68" s="112"/>
      <c r="F68" s="112"/>
      <c r="G68" s="112"/>
      <c r="H68" s="112"/>
      <c r="I68" s="112"/>
    </row>
    <row r="69" spans="1:9" ht="15.75" x14ac:dyDescent="0.2">
      <c r="A69" s="111" t="s">
        <v>166</v>
      </c>
      <c r="B69" s="111"/>
      <c r="C69" s="111"/>
      <c r="D69" s="111"/>
      <c r="E69" s="111"/>
      <c r="F69" s="111"/>
      <c r="G69" s="111"/>
      <c r="H69" s="111"/>
      <c r="I69" s="111"/>
    </row>
    <row r="70" spans="1:9" ht="21" customHeight="1" x14ac:dyDescent="0.2">
      <c r="A70" s="114" t="s">
        <v>48</v>
      </c>
      <c r="B70" s="114"/>
      <c r="C70" s="114"/>
      <c r="D70" s="114"/>
      <c r="E70" s="114"/>
      <c r="F70" s="114"/>
      <c r="G70" s="114"/>
      <c r="H70" s="114"/>
      <c r="I70" s="114"/>
    </row>
    <row r="71" spans="1:9" ht="15.75" x14ac:dyDescent="0.2">
      <c r="A71" s="112" t="s">
        <v>47</v>
      </c>
      <c r="B71" s="112"/>
      <c r="C71" s="112"/>
      <c r="D71" s="112"/>
      <c r="E71" s="112"/>
      <c r="F71" s="112"/>
      <c r="G71" s="112"/>
      <c r="H71" s="112"/>
      <c r="I71" s="112"/>
    </row>
    <row r="72" spans="1:9" ht="15.75" x14ac:dyDescent="0.2">
      <c r="A72" s="112" t="s">
        <v>46</v>
      </c>
      <c r="B72" s="112"/>
      <c r="C72" s="112"/>
      <c r="D72" s="112"/>
      <c r="E72" s="112"/>
      <c r="F72" s="112"/>
      <c r="G72" s="112"/>
      <c r="H72" s="112"/>
      <c r="I72" s="112"/>
    </row>
    <row r="73" spans="1:9" ht="15.75" x14ac:dyDescent="0.2">
      <c r="A73" s="112" t="s">
        <v>45</v>
      </c>
      <c r="B73" s="112"/>
      <c r="C73" s="112"/>
      <c r="D73" s="112"/>
      <c r="E73" s="112"/>
      <c r="F73" s="112"/>
      <c r="G73" s="112"/>
      <c r="H73" s="112"/>
      <c r="I73" s="112"/>
    </row>
    <row r="74" spans="1:9" x14ac:dyDescent="0.2">
      <c r="C74" s="8"/>
      <c r="D74" s="8"/>
      <c r="E74" s="8"/>
    </row>
  </sheetData>
  <mergeCells count="28">
    <mergeCell ref="A72:I72"/>
    <mergeCell ref="A73:I73"/>
    <mergeCell ref="A1:I1"/>
    <mergeCell ref="A67:I67"/>
    <mergeCell ref="A68:I68"/>
    <mergeCell ref="A69:I69"/>
    <mergeCell ref="A70:I70"/>
    <mergeCell ref="A71:I71"/>
    <mergeCell ref="A62:I62"/>
    <mergeCell ref="A63:I63"/>
    <mergeCell ref="A64:I64"/>
    <mergeCell ref="A65:I65"/>
    <mergeCell ref="A66:I66"/>
    <mergeCell ref="A57:I57"/>
    <mergeCell ref="A58:I58"/>
    <mergeCell ref="A59:I59"/>
    <mergeCell ref="A60:I60"/>
    <mergeCell ref="A61:I61"/>
    <mergeCell ref="A52:I52"/>
    <mergeCell ref="A53:I53"/>
    <mergeCell ref="A54:I54"/>
    <mergeCell ref="A55:I55"/>
    <mergeCell ref="A56:I56"/>
    <mergeCell ref="A3:A5"/>
    <mergeCell ref="F46:H46"/>
    <mergeCell ref="F21:H21"/>
    <mergeCell ref="F47:H47"/>
    <mergeCell ref="K6:L6"/>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6F23-B1AB-4CB1-99CF-40A6E1AD835B}">
  <dimension ref="A1:L63"/>
  <sheetViews>
    <sheetView topLeftCell="A47" zoomScale="96" zoomScaleNormal="96" workbookViewId="0">
      <selection activeCell="A53" sqref="A53:I53"/>
    </sheetView>
  </sheetViews>
  <sheetFormatPr defaultColWidth="9.140625" defaultRowHeight="12.75" x14ac:dyDescent="0.2"/>
  <cols>
    <col min="1" max="1" width="50.7109375" style="1" customWidth="1"/>
    <col min="2" max="2" width="12.42578125" style="1" bestFit="1" customWidth="1"/>
    <col min="3" max="3" width="14.7109375" style="1" customWidth="1"/>
    <col min="4" max="4" width="12.85546875" style="1" customWidth="1"/>
    <col min="5" max="5" width="12.42578125" style="1" customWidth="1"/>
    <col min="6" max="6" width="11.28515625" style="1" customWidth="1"/>
    <col min="7" max="7" width="12.5703125" style="1" customWidth="1"/>
    <col min="8" max="8" width="9.140625" style="1" customWidth="1"/>
    <col min="9" max="9" width="14.42578125" style="1" customWidth="1"/>
    <col min="10" max="10" width="2.42578125" style="1" customWidth="1"/>
    <col min="11" max="11" width="12.5703125" style="1" customWidth="1"/>
    <col min="12" max="16384" width="9.140625" style="1"/>
  </cols>
  <sheetData>
    <row r="1" spans="1:12" ht="31.5" customHeight="1" x14ac:dyDescent="0.2">
      <c r="A1" s="113" t="s">
        <v>165</v>
      </c>
      <c r="B1" s="113"/>
      <c r="C1" s="113"/>
      <c r="D1" s="113"/>
      <c r="E1" s="113"/>
      <c r="F1" s="113"/>
      <c r="G1" s="113"/>
      <c r="H1" s="113"/>
      <c r="I1" s="113"/>
    </row>
    <row r="3" spans="1:12" x14ac:dyDescent="0.2">
      <c r="A3" s="102" t="s">
        <v>0</v>
      </c>
      <c r="B3" s="28" t="s">
        <v>1</v>
      </c>
      <c r="C3" s="28" t="s">
        <v>2</v>
      </c>
      <c r="D3" s="28" t="s">
        <v>3</v>
      </c>
      <c r="E3" s="28" t="s">
        <v>6</v>
      </c>
      <c r="F3" s="28" t="s">
        <v>7</v>
      </c>
      <c r="G3" s="28" t="s">
        <v>8</v>
      </c>
      <c r="H3" s="28" t="s">
        <v>9</v>
      </c>
      <c r="I3" s="28" t="s">
        <v>10</v>
      </c>
    </row>
    <row r="4" spans="1:12" ht="38.25" x14ac:dyDescent="0.2">
      <c r="A4" s="102"/>
      <c r="B4" s="28" t="s">
        <v>37</v>
      </c>
      <c r="C4" s="28" t="s">
        <v>43</v>
      </c>
      <c r="D4" s="28" t="s">
        <v>4</v>
      </c>
      <c r="E4" s="28" t="s">
        <v>66</v>
      </c>
      <c r="F4" s="28" t="s">
        <v>38</v>
      </c>
      <c r="G4" s="28" t="s">
        <v>42</v>
      </c>
      <c r="H4" s="28" t="s">
        <v>41</v>
      </c>
      <c r="I4" s="28" t="s">
        <v>65</v>
      </c>
    </row>
    <row r="5" spans="1:12" x14ac:dyDescent="0.2">
      <c r="A5" s="102"/>
      <c r="B5" s="28"/>
      <c r="C5" s="28"/>
      <c r="D5" s="28" t="s">
        <v>5</v>
      </c>
      <c r="E5" s="28"/>
      <c r="F5" s="28" t="s">
        <v>44</v>
      </c>
      <c r="G5" s="28" t="s">
        <v>39</v>
      </c>
      <c r="H5" s="28" t="s">
        <v>40</v>
      </c>
      <c r="I5" s="28"/>
    </row>
    <row r="6" spans="1:12" x14ac:dyDescent="0.2">
      <c r="A6" s="20" t="s">
        <v>11</v>
      </c>
      <c r="B6" s="10" t="s">
        <v>12</v>
      </c>
      <c r="C6" s="10"/>
      <c r="D6" s="10"/>
      <c r="E6" s="10"/>
      <c r="F6" s="10"/>
      <c r="G6" s="10"/>
      <c r="H6" s="10"/>
      <c r="I6" s="19"/>
      <c r="K6" s="109" t="s">
        <v>60</v>
      </c>
      <c r="L6" s="109"/>
    </row>
    <row r="7" spans="1:12" x14ac:dyDescent="0.2">
      <c r="A7" s="20" t="s">
        <v>13</v>
      </c>
      <c r="B7" s="10" t="s">
        <v>12</v>
      </c>
      <c r="C7" s="10"/>
      <c r="D7" s="10"/>
      <c r="E7" s="10"/>
      <c r="F7" s="10"/>
      <c r="G7" s="10"/>
      <c r="H7" s="10"/>
      <c r="I7" s="19"/>
      <c r="K7" s="47" t="s">
        <v>61</v>
      </c>
      <c r="L7" s="48">
        <v>65.709999999999994</v>
      </c>
    </row>
    <row r="8" spans="1:12" x14ac:dyDescent="0.2">
      <c r="A8" s="20" t="s">
        <v>14</v>
      </c>
      <c r="B8" s="20"/>
      <c r="C8" s="20"/>
      <c r="D8" s="20"/>
      <c r="E8" s="20"/>
      <c r="F8" s="20"/>
      <c r="G8" s="20"/>
      <c r="H8" s="20"/>
      <c r="I8" s="19"/>
      <c r="K8" s="47" t="s">
        <v>62</v>
      </c>
      <c r="L8" s="48">
        <v>48.75</v>
      </c>
    </row>
    <row r="9" spans="1:12" ht="15.75" x14ac:dyDescent="0.2">
      <c r="A9" s="73" t="s">
        <v>124</v>
      </c>
      <c r="B9" s="10">
        <v>1</v>
      </c>
      <c r="C9" s="10">
        <v>1</v>
      </c>
      <c r="D9" s="10">
        <f>B9*C9</f>
        <v>1</v>
      </c>
      <c r="E9" s="81">
        <v>7</v>
      </c>
      <c r="F9" s="33">
        <v>0</v>
      </c>
      <c r="G9" s="11">
        <f>D9*E9</f>
        <v>7</v>
      </c>
      <c r="H9" s="33">
        <v>0</v>
      </c>
      <c r="I9" s="43">
        <f>F9*$L$8+G9*$L$7+H9*$L$9</f>
        <v>459.96999999999997</v>
      </c>
      <c r="K9" s="47" t="s">
        <v>63</v>
      </c>
      <c r="L9" s="48">
        <v>26.38</v>
      </c>
    </row>
    <row r="10" spans="1:12" x14ac:dyDescent="0.2">
      <c r="A10" s="73" t="s">
        <v>15</v>
      </c>
      <c r="B10" s="9" t="s">
        <v>12</v>
      </c>
      <c r="C10" s="13"/>
      <c r="D10" s="13"/>
      <c r="E10" s="13"/>
      <c r="F10" s="31"/>
      <c r="G10" s="31"/>
      <c r="H10" s="32"/>
      <c r="I10" s="42"/>
    </row>
    <row r="11" spans="1:12" x14ac:dyDescent="0.2">
      <c r="A11" s="73" t="s">
        <v>16</v>
      </c>
      <c r="B11" s="9" t="s">
        <v>12</v>
      </c>
      <c r="C11" s="13"/>
      <c r="D11" s="13"/>
      <c r="E11" s="13"/>
      <c r="F11" s="31"/>
      <c r="G11" s="31"/>
      <c r="H11" s="32"/>
      <c r="I11" s="42"/>
    </row>
    <row r="12" spans="1:12" x14ac:dyDescent="0.2">
      <c r="A12" s="73" t="s">
        <v>17</v>
      </c>
      <c r="B12" s="13"/>
      <c r="C12" s="13"/>
      <c r="D12" s="13"/>
      <c r="E12" s="13"/>
      <c r="F12" s="31"/>
      <c r="G12" s="31"/>
      <c r="H12" s="32"/>
      <c r="I12" s="42"/>
    </row>
    <row r="13" spans="1:12" x14ac:dyDescent="0.2">
      <c r="A13" s="74" t="s">
        <v>18</v>
      </c>
      <c r="B13" s="13">
        <v>2</v>
      </c>
      <c r="C13" s="13">
        <v>1</v>
      </c>
      <c r="D13" s="10">
        <f>B13*C13</f>
        <v>2</v>
      </c>
      <c r="E13" s="11">
        <v>0</v>
      </c>
      <c r="F13" s="12">
        <f>D13*E13</f>
        <v>0</v>
      </c>
      <c r="G13" s="12">
        <f>F13*0.05</f>
        <v>0</v>
      </c>
      <c r="H13" s="11">
        <f>F13*0.1</f>
        <v>0</v>
      </c>
      <c r="I13" s="43">
        <f>F13*$L$8+G13*$L$7+H13*$L$9</f>
        <v>0</v>
      </c>
      <c r="K13" s="44"/>
    </row>
    <row r="14" spans="1:12" x14ac:dyDescent="0.2">
      <c r="A14" s="74" t="s">
        <v>19</v>
      </c>
      <c r="B14" s="13">
        <v>1</v>
      </c>
      <c r="C14" s="13">
        <v>1</v>
      </c>
      <c r="D14" s="10">
        <f>B14*C14</f>
        <v>1</v>
      </c>
      <c r="E14" s="11">
        <f>E13</f>
        <v>0</v>
      </c>
      <c r="F14" s="12">
        <f t="shared" ref="F14" si="0">D14*E14</f>
        <v>0</v>
      </c>
      <c r="G14" s="12">
        <f t="shared" ref="G14:G15" si="1">F14*0.05</f>
        <v>0</v>
      </c>
      <c r="H14" s="11">
        <f t="shared" ref="H14:H19" si="2">F14*0.1</f>
        <v>0</v>
      </c>
      <c r="I14" s="43">
        <f>F14*$L$8+G14*$L$7+H14*$L$9</f>
        <v>0</v>
      </c>
      <c r="K14" s="44"/>
    </row>
    <row r="15" spans="1:12" x14ac:dyDescent="0.2">
      <c r="A15" s="74" t="s">
        <v>173</v>
      </c>
      <c r="B15" s="13">
        <v>1</v>
      </c>
      <c r="C15" s="13">
        <v>1</v>
      </c>
      <c r="D15" s="10">
        <f>B15*C15</f>
        <v>1</v>
      </c>
      <c r="E15" s="12">
        <f>0.7*E13</f>
        <v>0</v>
      </c>
      <c r="F15" s="12">
        <f>D15*E15</f>
        <v>0</v>
      </c>
      <c r="G15" s="12">
        <f t="shared" si="1"/>
        <v>0</v>
      </c>
      <c r="H15" s="11">
        <f t="shared" si="2"/>
        <v>0</v>
      </c>
      <c r="I15" s="43">
        <f>F15*$L$8+G15*$L$7+H15*$L$9</f>
        <v>0</v>
      </c>
      <c r="K15" s="44"/>
    </row>
    <row r="16" spans="1:12" x14ac:dyDescent="0.2">
      <c r="A16" s="73" t="s">
        <v>20</v>
      </c>
      <c r="B16" s="13"/>
      <c r="C16" s="13"/>
      <c r="D16" s="13"/>
      <c r="E16" s="13"/>
      <c r="F16" s="12"/>
      <c r="G16" s="31"/>
      <c r="H16" s="15"/>
      <c r="I16" s="43"/>
      <c r="K16" s="44"/>
    </row>
    <row r="17" spans="1:11" x14ac:dyDescent="0.2">
      <c r="A17" s="74" t="s">
        <v>21</v>
      </c>
      <c r="B17" s="13">
        <v>1</v>
      </c>
      <c r="C17" s="13">
        <v>1</v>
      </c>
      <c r="D17" s="10">
        <f>B17*C17</f>
        <v>1</v>
      </c>
      <c r="E17" s="11">
        <f>E13</f>
        <v>0</v>
      </c>
      <c r="F17" s="12">
        <f>D17*E17</f>
        <v>0</v>
      </c>
      <c r="G17" s="12">
        <f>F17*0.05</f>
        <v>0</v>
      </c>
      <c r="H17" s="11">
        <f>F17*0.1</f>
        <v>0</v>
      </c>
      <c r="I17" s="43">
        <f>F17*$L$8+G17*$L$7+H17*$L$9</f>
        <v>0</v>
      </c>
      <c r="K17" s="44"/>
    </row>
    <row r="18" spans="1:11" ht="15.75" x14ac:dyDescent="0.2">
      <c r="A18" s="74" t="s">
        <v>175</v>
      </c>
      <c r="B18" s="13">
        <v>1</v>
      </c>
      <c r="C18" s="13">
        <v>1</v>
      </c>
      <c r="D18" s="10">
        <f t="shared" ref="D18:D20" si="3">B18*C18</f>
        <v>1</v>
      </c>
      <c r="E18" s="12">
        <f>E15</f>
        <v>0</v>
      </c>
      <c r="F18" s="12">
        <v>0</v>
      </c>
      <c r="G18" s="12">
        <f>D18*E18</f>
        <v>0</v>
      </c>
      <c r="H18" s="11">
        <v>0</v>
      </c>
      <c r="I18" s="43">
        <f>F18*$L$8+G18*$L$7+H18*$L$9</f>
        <v>0</v>
      </c>
      <c r="K18" s="44"/>
    </row>
    <row r="19" spans="1:11" ht="15.75" x14ac:dyDescent="0.2">
      <c r="A19" s="74" t="s">
        <v>176</v>
      </c>
      <c r="B19" s="13">
        <v>0.25</v>
      </c>
      <c r="C19" s="13">
        <v>1</v>
      </c>
      <c r="D19" s="10">
        <f t="shared" si="3"/>
        <v>0.25</v>
      </c>
      <c r="E19" s="13">
        <f>0.3*E13</f>
        <v>0</v>
      </c>
      <c r="F19" s="12">
        <v>0</v>
      </c>
      <c r="G19" s="12">
        <f>D19*E19</f>
        <v>0</v>
      </c>
      <c r="H19" s="11">
        <f t="shared" si="2"/>
        <v>0</v>
      </c>
      <c r="I19" s="43">
        <f>F19*$L$8+G19*$L$7+H19*$L$9</f>
        <v>0</v>
      </c>
      <c r="K19" s="44"/>
    </row>
    <row r="20" spans="1:11" ht="15.75" x14ac:dyDescent="0.2">
      <c r="A20" s="74" t="s">
        <v>177</v>
      </c>
      <c r="B20" s="13">
        <v>1</v>
      </c>
      <c r="C20" s="13">
        <v>1</v>
      </c>
      <c r="D20" s="10">
        <f t="shared" si="3"/>
        <v>1</v>
      </c>
      <c r="E20" s="34">
        <f>E13*0.05</f>
        <v>0</v>
      </c>
      <c r="F20" s="12">
        <v>0</v>
      </c>
      <c r="G20" s="12">
        <f>D20*E20</f>
        <v>0</v>
      </c>
      <c r="H20" s="11">
        <v>0</v>
      </c>
      <c r="I20" s="43">
        <f>F20*$L$8+G20*$L$7+H20*$L$9</f>
        <v>0</v>
      </c>
    </row>
    <row r="21" spans="1:11" ht="15" customHeight="1" x14ac:dyDescent="0.25">
      <c r="A21" s="51" t="s">
        <v>71</v>
      </c>
      <c r="B21" s="53"/>
      <c r="C21" s="53"/>
      <c r="D21" s="53"/>
      <c r="E21" s="53"/>
      <c r="F21" s="103">
        <f>SUM(F9:H20)</f>
        <v>7</v>
      </c>
      <c r="G21" s="104"/>
      <c r="H21" s="105"/>
      <c r="I21" s="54">
        <f>SUM(I9:I20)</f>
        <v>459.96999999999997</v>
      </c>
    </row>
    <row r="22" spans="1:11" x14ac:dyDescent="0.2">
      <c r="A22" s="20" t="s">
        <v>22</v>
      </c>
      <c r="B22" s="9"/>
      <c r="C22" s="9"/>
      <c r="D22" s="13"/>
      <c r="E22" s="13"/>
      <c r="F22" s="31"/>
      <c r="G22" s="31"/>
      <c r="H22" s="32"/>
      <c r="I22" s="42"/>
    </row>
    <row r="23" spans="1:11" x14ac:dyDescent="0.2">
      <c r="A23" s="73" t="s">
        <v>54</v>
      </c>
      <c r="B23" s="9" t="s">
        <v>58</v>
      </c>
      <c r="C23" s="9"/>
      <c r="D23" s="13"/>
      <c r="E23" s="13"/>
      <c r="F23" s="31"/>
      <c r="G23" s="31"/>
      <c r="H23" s="32"/>
      <c r="I23" s="42"/>
    </row>
    <row r="24" spans="1:11" x14ac:dyDescent="0.2">
      <c r="A24" s="73" t="s">
        <v>178</v>
      </c>
      <c r="B24" s="9">
        <v>1</v>
      </c>
      <c r="C24" s="9">
        <v>1</v>
      </c>
      <c r="D24" s="10">
        <f t="shared" ref="D24" si="4">B24*C24</f>
        <v>1</v>
      </c>
      <c r="E24" s="11">
        <f>E13</f>
        <v>0</v>
      </c>
      <c r="F24" s="12">
        <f>D24*E24</f>
        <v>0</v>
      </c>
      <c r="G24" s="12">
        <v>0</v>
      </c>
      <c r="H24" s="11">
        <v>0</v>
      </c>
      <c r="I24" s="43">
        <f>F24*$L$8+G24*$L$7+H24*$L$9</f>
        <v>0</v>
      </c>
    </row>
    <row r="25" spans="1:11" x14ac:dyDescent="0.2">
      <c r="A25" s="73" t="s">
        <v>23</v>
      </c>
      <c r="B25" s="9"/>
      <c r="C25" s="9"/>
      <c r="D25" s="13"/>
      <c r="E25" s="13"/>
      <c r="F25" s="12"/>
      <c r="G25" s="12"/>
      <c r="H25" s="27"/>
      <c r="I25" s="93"/>
    </row>
    <row r="26" spans="1:11" x14ac:dyDescent="0.2">
      <c r="A26" s="74" t="s">
        <v>179</v>
      </c>
      <c r="B26" s="17">
        <v>0.75</v>
      </c>
      <c r="C26" s="17">
        <v>52</v>
      </c>
      <c r="D26" s="10">
        <f>B26*C26</f>
        <v>39</v>
      </c>
      <c r="E26" s="78">
        <v>0</v>
      </c>
      <c r="F26" s="37">
        <f>D26*E26</f>
        <v>0</v>
      </c>
      <c r="G26" s="37">
        <v>0</v>
      </c>
      <c r="H26" s="23">
        <v>0</v>
      </c>
      <c r="I26" s="43">
        <f>F26*$L$8+G26*$L$7+H26*$L$9</f>
        <v>0</v>
      </c>
    </row>
    <row r="27" spans="1:11" x14ac:dyDescent="0.2">
      <c r="A27" s="74" t="s">
        <v>180</v>
      </c>
      <c r="B27" s="17">
        <v>0.75</v>
      </c>
      <c r="C27" s="17">
        <v>26</v>
      </c>
      <c r="D27" s="16">
        <f>B27*C27</f>
        <v>19.5</v>
      </c>
      <c r="E27" s="78">
        <v>0</v>
      </c>
      <c r="F27" s="37">
        <f>D27*E27</f>
        <v>0</v>
      </c>
      <c r="G27" s="37">
        <v>0</v>
      </c>
      <c r="H27" s="23">
        <v>0</v>
      </c>
      <c r="I27" s="43">
        <f>F27*$L$8+G27*$L$7+H27*$L$9</f>
        <v>0</v>
      </c>
    </row>
    <row r="28" spans="1:11" ht="15.75" x14ac:dyDescent="0.2">
      <c r="A28" s="74" t="s">
        <v>188</v>
      </c>
      <c r="B28" s="9">
        <v>1</v>
      </c>
      <c r="C28" s="9">
        <f>12*4</f>
        <v>48</v>
      </c>
      <c r="D28" s="10">
        <f>B28*C28</f>
        <v>48</v>
      </c>
      <c r="E28" s="80">
        <v>7</v>
      </c>
      <c r="F28" s="34">
        <f>D28*E28</f>
        <v>336</v>
      </c>
      <c r="G28" s="34">
        <f>F28*0.05</f>
        <v>16.8</v>
      </c>
      <c r="H28" s="33">
        <f>F28*0.1</f>
        <v>33.6</v>
      </c>
      <c r="I28" s="43">
        <f>F28*$L$8+G28*$L$7+H28*$L$9</f>
        <v>18370.295999999998</v>
      </c>
    </row>
    <row r="29" spans="1:11" ht="15.75" x14ac:dyDescent="0.2">
      <c r="A29" s="74" t="s">
        <v>190</v>
      </c>
      <c r="B29" s="17">
        <v>0.25</v>
      </c>
      <c r="C29" s="17">
        <f>52*4</f>
        <v>208</v>
      </c>
      <c r="D29" s="10">
        <f>B29*C29</f>
        <v>52</v>
      </c>
      <c r="E29" s="80">
        <v>7</v>
      </c>
      <c r="F29" s="34">
        <f>D29*E29</f>
        <v>364</v>
      </c>
      <c r="G29" s="34">
        <f>F29*0.05</f>
        <v>18.2</v>
      </c>
      <c r="H29" s="33">
        <f>F29*0.1</f>
        <v>36.4</v>
      </c>
      <c r="I29" s="43">
        <f>F29*$L$8+G29*$L$7+H29*$L$9</f>
        <v>19901.153999999999</v>
      </c>
    </row>
    <row r="30" spans="1:11" x14ac:dyDescent="0.2">
      <c r="A30" s="74" t="s">
        <v>181</v>
      </c>
      <c r="B30" s="9">
        <v>0.75</v>
      </c>
      <c r="C30" s="9">
        <v>12</v>
      </c>
      <c r="D30" s="10">
        <f>B30*C30</f>
        <v>9</v>
      </c>
      <c r="E30" s="12">
        <v>0</v>
      </c>
      <c r="F30" s="12">
        <f>D30*E30</f>
        <v>0</v>
      </c>
      <c r="G30" s="12">
        <f>F30*0.05</f>
        <v>0</v>
      </c>
      <c r="H30" s="11">
        <f t="shared" ref="H30" si="5">F30*0.1</f>
        <v>0</v>
      </c>
      <c r="I30" s="43">
        <f>F30*$L$8+G30*$L$7+H30*$L$9</f>
        <v>0</v>
      </c>
    </row>
    <row r="31" spans="1:11" x14ac:dyDescent="0.2">
      <c r="A31" s="73" t="s">
        <v>24</v>
      </c>
      <c r="B31" s="9"/>
      <c r="C31" s="9"/>
      <c r="D31" s="13"/>
      <c r="E31" s="13"/>
      <c r="F31" s="31"/>
      <c r="G31" s="31"/>
      <c r="H31" s="32"/>
      <c r="I31" s="43"/>
    </row>
    <row r="32" spans="1:11" x14ac:dyDescent="0.2">
      <c r="A32" s="74" t="s">
        <v>19</v>
      </c>
      <c r="B32" s="9">
        <v>1</v>
      </c>
      <c r="C32" s="9">
        <v>1</v>
      </c>
      <c r="D32" s="10">
        <f t="shared" ref="D32:D34" si="6">B32*C32</f>
        <v>1</v>
      </c>
      <c r="E32" s="11">
        <f>E13</f>
        <v>0</v>
      </c>
      <c r="F32" s="12">
        <f>D32*E32</f>
        <v>0</v>
      </c>
      <c r="G32" s="34">
        <v>0</v>
      </c>
      <c r="H32" s="33">
        <v>0</v>
      </c>
      <c r="I32" s="43">
        <f>F32*$L$8+G32*$L$7+H32*$L$9</f>
        <v>0</v>
      </c>
    </row>
    <row r="33" spans="1:12" x14ac:dyDescent="0.2">
      <c r="A33" s="74" t="s">
        <v>182</v>
      </c>
      <c r="B33" s="9">
        <v>1</v>
      </c>
      <c r="C33" s="9">
        <v>1</v>
      </c>
      <c r="D33" s="10">
        <f t="shared" si="6"/>
        <v>1</v>
      </c>
      <c r="E33" s="11">
        <f>E13</f>
        <v>0</v>
      </c>
      <c r="F33" s="12">
        <f>D33*E33</f>
        <v>0</v>
      </c>
      <c r="G33" s="34">
        <v>0</v>
      </c>
      <c r="H33" s="33">
        <v>0</v>
      </c>
      <c r="I33" s="43">
        <f>F33*$L$8+G33*$L$7+H33*$L$9</f>
        <v>0</v>
      </c>
    </row>
    <row r="34" spans="1:12" x14ac:dyDescent="0.2">
      <c r="A34" s="74" t="s">
        <v>183</v>
      </c>
      <c r="B34" s="9">
        <v>1</v>
      </c>
      <c r="C34" s="9">
        <v>1</v>
      </c>
      <c r="D34" s="10">
        <f t="shared" si="6"/>
        <v>1</v>
      </c>
      <c r="E34" s="12">
        <f>E15</f>
        <v>0</v>
      </c>
      <c r="F34" s="34">
        <f>D34*E34</f>
        <v>0</v>
      </c>
      <c r="G34" s="34">
        <v>0</v>
      </c>
      <c r="H34" s="33">
        <v>0</v>
      </c>
      <c r="I34" s="43">
        <f>F34*$L$8+G34*$L$7+H34*$L$9</f>
        <v>0</v>
      </c>
    </row>
    <row r="35" spans="1:12" ht="15.75" x14ac:dyDescent="0.2">
      <c r="A35" s="74" t="s">
        <v>192</v>
      </c>
      <c r="B35" s="9">
        <v>1</v>
      </c>
      <c r="C35" s="9">
        <v>1</v>
      </c>
      <c r="D35" s="10">
        <f>B35*C35</f>
        <v>1</v>
      </c>
      <c r="E35" s="13">
        <v>0</v>
      </c>
      <c r="F35" s="34">
        <f>D35*E35</f>
        <v>0</v>
      </c>
      <c r="G35" s="34">
        <f>F35*0.05</f>
        <v>0</v>
      </c>
      <c r="H35" s="33">
        <f t="shared" ref="H35" si="7">F35*0.1</f>
        <v>0</v>
      </c>
      <c r="I35" s="43">
        <f>F35*$L$8+G35*$L$7+H35*$L$9</f>
        <v>0</v>
      </c>
    </row>
    <row r="36" spans="1:12" x14ac:dyDescent="0.2">
      <c r="A36" s="73" t="s">
        <v>25</v>
      </c>
      <c r="B36" s="9"/>
      <c r="C36" s="9"/>
      <c r="D36" s="13"/>
      <c r="E36" s="13"/>
      <c r="F36" s="31"/>
      <c r="G36" s="31"/>
      <c r="H36" s="32"/>
      <c r="I36" s="43"/>
    </row>
    <row r="37" spans="1:12" ht="15.75" x14ac:dyDescent="0.2">
      <c r="A37" s="74" t="s">
        <v>194</v>
      </c>
      <c r="B37" s="9">
        <v>0.25</v>
      </c>
      <c r="C37" s="9">
        <v>12</v>
      </c>
      <c r="D37" s="10">
        <f>B37*C37</f>
        <v>3</v>
      </c>
      <c r="E37" s="77">
        <f>E9</f>
        <v>7</v>
      </c>
      <c r="F37" s="12">
        <f>D37*E37</f>
        <v>21</v>
      </c>
      <c r="G37" s="38">
        <f>D37*3</f>
        <v>9</v>
      </c>
      <c r="H37" s="33">
        <v>0</v>
      </c>
      <c r="I37" s="43">
        <f>F37*$L$8+G37*$L$7+H37*$L$9</f>
        <v>1615.1399999999999</v>
      </c>
    </row>
    <row r="38" spans="1:12" ht="21" customHeight="1" x14ac:dyDescent="0.2">
      <c r="A38" s="75" t="s">
        <v>184</v>
      </c>
      <c r="B38" s="17">
        <v>0.25</v>
      </c>
      <c r="C38" s="17">
        <v>52</v>
      </c>
      <c r="D38" s="10">
        <f>B38*C38</f>
        <v>13</v>
      </c>
      <c r="E38" s="78">
        <f>E26</f>
        <v>0</v>
      </c>
      <c r="F38" s="12">
        <f>D38*E38</f>
        <v>0</v>
      </c>
      <c r="G38" s="34">
        <f>F38*0.05</f>
        <v>0</v>
      </c>
      <c r="H38" s="36">
        <v>0</v>
      </c>
      <c r="I38" s="43">
        <f>F38*$L$8+G38*$L$7+H38*$L$9</f>
        <v>0</v>
      </c>
    </row>
    <row r="39" spans="1:12" ht="19.5" customHeight="1" x14ac:dyDescent="0.2">
      <c r="A39" s="75" t="s">
        <v>185</v>
      </c>
      <c r="B39" s="17">
        <v>0.25</v>
      </c>
      <c r="C39" s="17">
        <v>26</v>
      </c>
      <c r="D39" s="10">
        <f t="shared" ref="D39" si="8">B39*C39</f>
        <v>6.5</v>
      </c>
      <c r="E39" s="78">
        <f>E27</f>
        <v>0</v>
      </c>
      <c r="F39" s="12">
        <f>D39*E39</f>
        <v>0</v>
      </c>
      <c r="G39" s="35">
        <v>0</v>
      </c>
      <c r="H39" s="36">
        <v>0</v>
      </c>
      <c r="I39" s="43">
        <f>F39*$L$8+G39*$L$7+H39*$L$9</f>
        <v>0</v>
      </c>
    </row>
    <row r="40" spans="1:12" x14ac:dyDescent="0.2">
      <c r="A40" s="74" t="s">
        <v>26</v>
      </c>
      <c r="B40" s="9" t="s">
        <v>59</v>
      </c>
      <c r="C40" s="9"/>
      <c r="D40" s="13"/>
      <c r="E40" s="13"/>
      <c r="F40" s="31"/>
      <c r="G40" s="31"/>
      <c r="H40" s="32"/>
      <c r="I40" s="43"/>
    </row>
    <row r="41" spans="1:12" x14ac:dyDescent="0.2">
      <c r="A41" s="74" t="s">
        <v>27</v>
      </c>
      <c r="B41" s="9" t="s">
        <v>59</v>
      </c>
      <c r="C41" s="9"/>
      <c r="D41" s="13"/>
      <c r="E41" s="13"/>
      <c r="F41" s="31"/>
      <c r="G41" s="31"/>
      <c r="H41" s="32"/>
      <c r="I41" s="43"/>
    </row>
    <row r="42" spans="1:12" x14ac:dyDescent="0.2">
      <c r="A42" s="74" t="s">
        <v>28</v>
      </c>
      <c r="B42" s="9" t="s">
        <v>59</v>
      </c>
      <c r="C42" s="9"/>
      <c r="D42" s="13"/>
      <c r="E42" s="13"/>
      <c r="F42" s="31"/>
      <c r="G42" s="31"/>
      <c r="H42" s="32"/>
      <c r="I42" s="43"/>
    </row>
    <row r="43" spans="1:12" x14ac:dyDescent="0.2">
      <c r="A43" s="73" t="s">
        <v>29</v>
      </c>
      <c r="B43" s="9"/>
      <c r="C43" s="9"/>
      <c r="D43" s="13"/>
      <c r="E43" s="13"/>
      <c r="F43" s="31"/>
      <c r="G43" s="31"/>
      <c r="H43" s="32"/>
      <c r="I43" s="43"/>
    </row>
    <row r="44" spans="1:12" x14ac:dyDescent="0.2">
      <c r="A44" s="74" t="s">
        <v>186</v>
      </c>
      <c r="B44" s="9">
        <v>1</v>
      </c>
      <c r="C44" s="9">
        <v>2</v>
      </c>
      <c r="D44" s="18">
        <f>B44*C44</f>
        <v>2</v>
      </c>
      <c r="E44" s="11">
        <f>E13</f>
        <v>0</v>
      </c>
      <c r="F44" s="12">
        <f>D44*E44</f>
        <v>0</v>
      </c>
      <c r="G44" s="12">
        <f>F44</f>
        <v>0</v>
      </c>
      <c r="H44" s="11">
        <v>0</v>
      </c>
      <c r="I44" s="43">
        <f>F44*$L$8+G44*$L$7+H44*$L$9</f>
        <v>0</v>
      </c>
    </row>
    <row r="45" spans="1:12" x14ac:dyDescent="0.2">
      <c r="A45" s="73" t="s">
        <v>30</v>
      </c>
      <c r="B45" s="9" t="s">
        <v>12</v>
      </c>
      <c r="C45" s="9"/>
      <c r="D45" s="13"/>
      <c r="E45" s="13"/>
      <c r="F45" s="31"/>
      <c r="G45" s="31"/>
      <c r="H45" s="32"/>
      <c r="I45" s="41"/>
    </row>
    <row r="46" spans="1:12" ht="15" customHeight="1" x14ac:dyDescent="0.25">
      <c r="A46" s="51" t="s">
        <v>70</v>
      </c>
      <c r="B46" s="24"/>
      <c r="C46" s="24"/>
      <c r="D46" s="25"/>
      <c r="E46" s="25"/>
      <c r="F46" s="103">
        <f>SUM(F23:H45)</f>
        <v>835.00000000000011</v>
      </c>
      <c r="G46" s="104"/>
      <c r="H46" s="105"/>
      <c r="I46" s="54">
        <f>SUM(I23:I45)</f>
        <v>39886.589999999997</v>
      </c>
      <c r="L46" s="40"/>
    </row>
    <row r="47" spans="1:12" ht="15" customHeight="1" x14ac:dyDescent="0.2">
      <c r="A47" s="26" t="s">
        <v>199</v>
      </c>
      <c r="B47" s="9"/>
      <c r="C47" s="9"/>
      <c r="D47" s="13"/>
      <c r="E47" s="13"/>
      <c r="F47" s="106">
        <f>(F21+F46)</f>
        <v>842.00000000000011</v>
      </c>
      <c r="G47" s="107"/>
      <c r="H47" s="108"/>
      <c r="I47" s="52">
        <f>ROUND(I21+I46,-2)</f>
        <v>40300</v>
      </c>
      <c r="L47" s="40"/>
    </row>
    <row r="48" spans="1:12" ht="15" customHeight="1" x14ac:dyDescent="0.2">
      <c r="A48" s="26" t="s">
        <v>200</v>
      </c>
      <c r="B48" s="9"/>
      <c r="C48" s="9"/>
      <c r="D48" s="13"/>
      <c r="E48" s="13"/>
      <c r="F48" s="46"/>
      <c r="G48" s="46"/>
      <c r="H48" s="46"/>
      <c r="I48" s="52">
        <f>Additional!O13</f>
        <v>680</v>
      </c>
      <c r="K48" s="44"/>
    </row>
    <row r="49" spans="1:9" ht="15" customHeight="1" x14ac:dyDescent="0.2">
      <c r="A49" s="26" t="s">
        <v>201</v>
      </c>
      <c r="B49" s="9"/>
      <c r="C49" s="9"/>
      <c r="D49" s="13"/>
      <c r="E49" s="13"/>
      <c r="F49" s="46"/>
      <c r="G49" s="46"/>
      <c r="H49" s="46"/>
      <c r="I49" s="52">
        <f>ROUND(I48+I47,-3)</f>
        <v>41000</v>
      </c>
    </row>
    <row r="51" spans="1:9" x14ac:dyDescent="0.2">
      <c r="A51" s="76" t="s">
        <v>121</v>
      </c>
    </row>
    <row r="52" spans="1:9" s="2" customFormat="1" ht="21" customHeight="1" x14ac:dyDescent="0.2">
      <c r="A52" s="110" t="s">
        <v>202</v>
      </c>
      <c r="B52" s="110"/>
      <c r="C52" s="110"/>
      <c r="D52" s="110"/>
      <c r="E52" s="110"/>
      <c r="F52" s="110"/>
      <c r="G52" s="110"/>
      <c r="H52" s="110"/>
      <c r="I52" s="110"/>
    </row>
    <row r="53" spans="1:9" s="2" customFormat="1" ht="48" customHeight="1" x14ac:dyDescent="0.2">
      <c r="A53" s="110" t="s">
        <v>168</v>
      </c>
      <c r="B53" s="110"/>
      <c r="C53" s="110"/>
      <c r="D53" s="110"/>
      <c r="E53" s="110"/>
      <c r="F53" s="110"/>
      <c r="G53" s="110"/>
      <c r="H53" s="110"/>
      <c r="I53" s="110"/>
    </row>
    <row r="54" spans="1:9" ht="15.75" x14ac:dyDescent="0.2">
      <c r="A54" s="112" t="s">
        <v>57</v>
      </c>
      <c r="B54" s="112"/>
      <c r="C54" s="112"/>
      <c r="D54" s="112"/>
      <c r="E54" s="112"/>
      <c r="F54" s="112"/>
      <c r="G54" s="112"/>
      <c r="H54" s="112"/>
      <c r="I54" s="112"/>
    </row>
    <row r="55" spans="1:9" ht="15.75" x14ac:dyDescent="0.2">
      <c r="A55" s="112" t="s">
        <v>187</v>
      </c>
      <c r="B55" s="112"/>
      <c r="C55" s="112"/>
      <c r="D55" s="112"/>
      <c r="E55" s="112"/>
      <c r="F55" s="112"/>
      <c r="G55" s="112"/>
      <c r="H55" s="112"/>
      <c r="I55" s="112"/>
    </row>
    <row r="56" spans="1:9" ht="15.75" x14ac:dyDescent="0.2">
      <c r="A56" s="111" t="s">
        <v>189</v>
      </c>
      <c r="B56" s="111"/>
      <c r="C56" s="111"/>
      <c r="D56" s="111"/>
      <c r="E56" s="111"/>
      <c r="F56" s="111"/>
      <c r="G56" s="111"/>
      <c r="H56" s="111"/>
      <c r="I56" s="111"/>
    </row>
    <row r="57" spans="1:9" ht="15.75" x14ac:dyDescent="0.2">
      <c r="A57" s="112" t="s">
        <v>191</v>
      </c>
      <c r="B57" s="112"/>
      <c r="C57" s="112"/>
      <c r="D57" s="112"/>
      <c r="E57" s="112"/>
      <c r="F57" s="112"/>
      <c r="G57" s="112"/>
      <c r="H57" s="112"/>
      <c r="I57" s="112"/>
    </row>
    <row r="58" spans="1:9" ht="15.75" x14ac:dyDescent="0.2">
      <c r="A58" s="112" t="s">
        <v>193</v>
      </c>
      <c r="B58" s="112"/>
      <c r="C58" s="112"/>
      <c r="D58" s="112"/>
      <c r="E58" s="112"/>
      <c r="F58" s="112"/>
      <c r="G58" s="112"/>
      <c r="H58" s="112"/>
      <c r="I58" s="112"/>
    </row>
    <row r="59" spans="1:9" ht="15.75" x14ac:dyDescent="0.2">
      <c r="A59" s="112" t="s">
        <v>195</v>
      </c>
      <c r="B59" s="112"/>
      <c r="C59" s="112"/>
      <c r="D59" s="112"/>
      <c r="E59" s="112"/>
      <c r="F59" s="112"/>
      <c r="G59" s="112"/>
      <c r="H59" s="112"/>
      <c r="I59" s="112"/>
    </row>
    <row r="60" spans="1:9" ht="15.75" x14ac:dyDescent="0.2">
      <c r="A60" s="111" t="s">
        <v>196</v>
      </c>
      <c r="B60" s="111"/>
      <c r="C60" s="111"/>
      <c r="D60" s="111"/>
      <c r="E60" s="111"/>
      <c r="F60" s="111"/>
      <c r="G60" s="111"/>
      <c r="H60" s="111"/>
      <c r="I60" s="111"/>
    </row>
    <row r="61" spans="1:9" ht="21" customHeight="1" x14ac:dyDescent="0.2">
      <c r="A61" s="114" t="s">
        <v>197</v>
      </c>
      <c r="B61" s="114"/>
      <c r="C61" s="114"/>
      <c r="D61" s="114"/>
      <c r="E61" s="114"/>
      <c r="F61" s="114"/>
      <c r="G61" s="114"/>
      <c r="H61" s="114"/>
      <c r="I61" s="114"/>
    </row>
    <row r="62" spans="1:9" ht="15.75" x14ac:dyDescent="0.2">
      <c r="A62" s="112" t="s">
        <v>198</v>
      </c>
      <c r="B62" s="112"/>
      <c r="C62" s="112"/>
      <c r="D62" s="112"/>
      <c r="E62" s="112"/>
      <c r="F62" s="112"/>
      <c r="G62" s="112"/>
      <c r="H62" s="112"/>
      <c r="I62" s="112"/>
    </row>
    <row r="63" spans="1:9" x14ac:dyDescent="0.2">
      <c r="C63" s="8"/>
      <c r="D63" s="8"/>
      <c r="E63" s="8"/>
    </row>
  </sheetData>
  <mergeCells count="17">
    <mergeCell ref="A61:I61"/>
    <mergeCell ref="A62:I62"/>
    <mergeCell ref="A57:I57"/>
    <mergeCell ref="A58:I58"/>
    <mergeCell ref="A59:I59"/>
    <mergeCell ref="A60:I60"/>
    <mergeCell ref="A55:I55"/>
    <mergeCell ref="A56:I56"/>
    <mergeCell ref="A52:I52"/>
    <mergeCell ref="A53:I53"/>
    <mergeCell ref="A54:I54"/>
    <mergeCell ref="F47:H47"/>
    <mergeCell ref="A1:I1"/>
    <mergeCell ref="A3:A5"/>
    <mergeCell ref="K6:L6"/>
    <mergeCell ref="F21:H21"/>
    <mergeCell ref="F46:H46"/>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207E6-E148-47D7-8EC9-1E6028BF8685}">
  <dimension ref="A1:G10"/>
  <sheetViews>
    <sheetView zoomScale="103" zoomScaleNormal="103" workbookViewId="0">
      <selection activeCell="E10" sqref="E10"/>
    </sheetView>
  </sheetViews>
  <sheetFormatPr defaultColWidth="9.140625" defaultRowHeight="12.75" x14ac:dyDescent="0.2"/>
  <cols>
    <col min="1" max="1" width="35" style="1" customWidth="1"/>
    <col min="2" max="2" width="12.42578125" style="1" bestFit="1" customWidth="1"/>
    <col min="3" max="3" width="14.7109375" style="1" customWidth="1"/>
    <col min="4" max="4" width="17.7109375" style="1" customWidth="1"/>
    <col min="5" max="5" width="12.42578125" style="1" customWidth="1"/>
    <col min="6" max="7" width="16" style="1" customWidth="1"/>
    <col min="8" max="8" width="9.140625" style="1" customWidth="1"/>
    <col min="9" max="9" width="14.42578125" style="1" customWidth="1"/>
    <col min="10" max="10" width="2.42578125" style="1" customWidth="1"/>
    <col min="11" max="11" width="11" style="1" bestFit="1" customWidth="1"/>
    <col min="12" max="16384" width="9.140625" style="1"/>
  </cols>
  <sheetData>
    <row r="1" spans="1:7" ht="32.25" customHeight="1" x14ac:dyDescent="0.2">
      <c r="A1" s="115" t="s">
        <v>163</v>
      </c>
      <c r="B1" s="115"/>
      <c r="C1" s="115"/>
      <c r="D1" s="115"/>
      <c r="E1" s="115"/>
      <c r="F1" s="115"/>
      <c r="G1" s="115"/>
    </row>
    <row r="2" spans="1:7" ht="15.75" x14ac:dyDescent="0.25">
      <c r="A2" s="92"/>
      <c r="B2" s="94"/>
      <c r="C2" s="94"/>
      <c r="D2" s="94"/>
      <c r="E2" s="94"/>
      <c r="F2" s="94"/>
      <c r="G2" s="94"/>
    </row>
    <row r="3" spans="1:7" x14ac:dyDescent="0.2">
      <c r="A3" s="116" t="s">
        <v>154</v>
      </c>
      <c r="B3" s="117" t="s">
        <v>108</v>
      </c>
      <c r="C3" s="116" t="s">
        <v>155</v>
      </c>
      <c r="D3" s="116"/>
      <c r="E3" s="116"/>
      <c r="F3" s="116" t="s">
        <v>156</v>
      </c>
      <c r="G3" s="117" t="s">
        <v>157</v>
      </c>
    </row>
    <row r="4" spans="1:7" x14ac:dyDescent="0.2">
      <c r="A4" s="116"/>
      <c r="B4" s="117"/>
      <c r="C4" s="95" t="s">
        <v>158</v>
      </c>
      <c r="D4" s="95" t="s">
        <v>159</v>
      </c>
      <c r="E4" s="95" t="s">
        <v>93</v>
      </c>
      <c r="F4" s="116"/>
      <c r="G4" s="117"/>
    </row>
    <row r="5" spans="1:7" x14ac:dyDescent="0.2">
      <c r="A5" s="96" t="s">
        <v>160</v>
      </c>
      <c r="B5" s="97">
        <f>Additional!E36</f>
        <v>30459.5</v>
      </c>
      <c r="C5" s="97">
        <f>'Table 1a'!F21</f>
        <v>42528.9</v>
      </c>
      <c r="D5" s="97">
        <f>'Table 1a'!F46</f>
        <v>1547813.6</v>
      </c>
      <c r="E5" s="97">
        <f>+D5+C5</f>
        <v>1590342.5</v>
      </c>
      <c r="F5" s="98">
        <f>'Table 1a'!I47</f>
        <v>188000000</v>
      </c>
      <c r="G5" s="98">
        <f>Additional!G13</f>
        <v>947000</v>
      </c>
    </row>
    <row r="6" spans="1:7" x14ac:dyDescent="0.2">
      <c r="A6" s="96" t="s">
        <v>161</v>
      </c>
      <c r="B6" s="97">
        <f>Additional!K36</f>
        <v>7</v>
      </c>
      <c r="C6" s="97">
        <f>'Table 1b'!F21</f>
        <v>7</v>
      </c>
      <c r="D6" s="97">
        <f>'Table 1b'!F46</f>
        <v>835.00000000000011</v>
      </c>
      <c r="E6" s="97">
        <f>+D6+C6</f>
        <v>842.00000000000011</v>
      </c>
      <c r="F6" s="98">
        <f>'Table 1b'!I47</f>
        <v>40300</v>
      </c>
      <c r="G6" s="98">
        <f>Additional!O13</f>
        <v>680</v>
      </c>
    </row>
    <row r="7" spans="1:7" x14ac:dyDescent="0.2">
      <c r="A7" s="96" t="s">
        <v>93</v>
      </c>
      <c r="B7" s="97">
        <f t="shared" ref="B7:G7" si="0">+B5+B6</f>
        <v>30466.5</v>
      </c>
      <c r="C7" s="97">
        <f>+C5+C6</f>
        <v>42535.9</v>
      </c>
      <c r="D7" s="97">
        <f>+D5+D6</f>
        <v>1548648.6</v>
      </c>
      <c r="E7" s="97">
        <f>+E5+E6</f>
        <v>1591184.5</v>
      </c>
      <c r="F7" s="98">
        <f>+F5+F6</f>
        <v>188040300</v>
      </c>
      <c r="G7" s="98">
        <f t="shared" si="0"/>
        <v>947680</v>
      </c>
    </row>
    <row r="8" spans="1:7" x14ac:dyDescent="0.2">
      <c r="A8" s="6" t="s">
        <v>95</v>
      </c>
      <c r="B8" s="6"/>
      <c r="C8" s="6"/>
      <c r="D8" s="6"/>
      <c r="E8" s="100">
        <f>ROUND(E7,-4)</f>
        <v>1590000</v>
      </c>
      <c r="F8" s="101">
        <f>ROUND(F7,-6)</f>
        <v>188000000</v>
      </c>
      <c r="G8" s="101">
        <f>ROUND(G7,-3)</f>
        <v>948000</v>
      </c>
    </row>
    <row r="10" spans="1:7" x14ac:dyDescent="0.2">
      <c r="E10" s="99">
        <f>E7/B7</f>
        <v>52.227348070831894</v>
      </c>
      <c r="F10" s="1" t="s">
        <v>162</v>
      </c>
    </row>
  </sheetData>
  <mergeCells count="6">
    <mergeCell ref="A1:G1"/>
    <mergeCell ref="A3:A4"/>
    <mergeCell ref="B3:B4"/>
    <mergeCell ref="C3:E3"/>
    <mergeCell ref="F3:F4"/>
    <mergeCell ref="G3:G4"/>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
  <sheetViews>
    <sheetView topLeftCell="A9" zoomScaleNormal="100" workbookViewId="0">
      <selection activeCell="A13" sqref="A13:G13"/>
    </sheetView>
  </sheetViews>
  <sheetFormatPr defaultColWidth="9.140625" defaultRowHeight="12.75" x14ac:dyDescent="0.2"/>
  <cols>
    <col min="1" max="1" width="40.140625" style="1" customWidth="1"/>
    <col min="2" max="7" width="13.140625" style="1" customWidth="1"/>
    <col min="8" max="8" width="3.7109375" style="1" customWidth="1"/>
    <col min="9" max="9" width="11.28515625" style="1" bestFit="1" customWidth="1"/>
    <col min="10" max="10" width="9.140625" style="1"/>
    <col min="11" max="11" width="29" style="1" bestFit="1" customWidth="1"/>
    <col min="12" max="16384" width="9.140625" style="1"/>
  </cols>
  <sheetData>
    <row r="1" spans="1:11" ht="36.75" customHeight="1" x14ac:dyDescent="0.2">
      <c r="A1" s="113" t="s">
        <v>64</v>
      </c>
      <c r="B1" s="113"/>
      <c r="C1" s="113"/>
      <c r="D1" s="113"/>
      <c r="E1" s="113"/>
      <c r="F1" s="113"/>
      <c r="G1" s="113"/>
    </row>
    <row r="3" spans="1:11" s="2" customFormat="1" ht="15" customHeight="1" x14ac:dyDescent="0.2">
      <c r="A3" s="118" t="s">
        <v>0</v>
      </c>
      <c r="B3" s="50" t="s">
        <v>1</v>
      </c>
      <c r="C3" s="50" t="s">
        <v>2</v>
      </c>
      <c r="D3" s="50" t="s">
        <v>3</v>
      </c>
      <c r="E3" s="50" t="s">
        <v>8</v>
      </c>
      <c r="F3" s="50" t="s">
        <v>9</v>
      </c>
      <c r="G3" s="50" t="s">
        <v>10</v>
      </c>
      <c r="I3" s="3"/>
    </row>
    <row r="4" spans="1:11" s="4" customFormat="1" ht="53.25" customHeight="1" x14ac:dyDescent="0.2">
      <c r="A4" s="118"/>
      <c r="B4" s="49" t="s">
        <v>33</v>
      </c>
      <c r="C4" s="49" t="s">
        <v>115</v>
      </c>
      <c r="D4" s="49" t="s">
        <v>34</v>
      </c>
      <c r="E4" s="49" t="s">
        <v>35</v>
      </c>
      <c r="F4" s="49" t="s">
        <v>36</v>
      </c>
      <c r="G4" s="49" t="s">
        <v>116</v>
      </c>
      <c r="H4" s="2"/>
      <c r="I4" s="3"/>
    </row>
    <row r="5" spans="1:11" x14ac:dyDescent="0.2">
      <c r="A5" s="5" t="s">
        <v>32</v>
      </c>
      <c r="B5" s="6"/>
      <c r="C5" s="6"/>
      <c r="D5" s="6"/>
      <c r="E5" s="6"/>
      <c r="F5" s="6"/>
      <c r="G5" s="6"/>
      <c r="I5" s="109" t="s">
        <v>60</v>
      </c>
      <c r="J5" s="109"/>
    </row>
    <row r="6" spans="1:11" x14ac:dyDescent="0.2">
      <c r="A6" s="72" t="s">
        <v>144</v>
      </c>
      <c r="B6" s="9">
        <v>1</v>
      </c>
      <c r="C6" s="27">
        <f>'Table 1a'!E17</f>
        <v>2330</v>
      </c>
      <c r="D6" s="27">
        <f>B6*C6</f>
        <v>2330</v>
      </c>
      <c r="E6" s="69">
        <f>D6*0.05</f>
        <v>116.5</v>
      </c>
      <c r="F6" s="27">
        <f>D6*0.1</f>
        <v>233</v>
      </c>
      <c r="G6" s="61">
        <f>D6*$J$7+E6*$J$6+F6*$J$8</f>
        <v>127389.25499999999</v>
      </c>
      <c r="I6" s="47" t="s">
        <v>61</v>
      </c>
      <c r="J6" s="48">
        <v>65.709999999999994</v>
      </c>
      <c r="K6" s="71"/>
    </row>
    <row r="7" spans="1:11" ht="15.75" x14ac:dyDescent="0.2">
      <c r="A7" s="72" t="s">
        <v>118</v>
      </c>
      <c r="B7" s="9">
        <v>1</v>
      </c>
      <c r="C7" s="27">
        <f>'Table 1a'!E18</f>
        <v>1631</v>
      </c>
      <c r="D7" s="27">
        <f>B7*C7</f>
        <v>1631</v>
      </c>
      <c r="E7" s="70">
        <f>D7*0.05</f>
        <v>81.550000000000011</v>
      </c>
      <c r="F7" s="69">
        <f>D7*0.1</f>
        <v>163.10000000000002</v>
      </c>
      <c r="G7" s="61">
        <f>D7*$J$7+E7*$J$6+F7*$J$8</f>
        <v>89172.478499999997</v>
      </c>
      <c r="I7" s="47" t="s">
        <v>62</v>
      </c>
      <c r="J7" s="48">
        <v>48.75</v>
      </c>
      <c r="K7" s="71"/>
    </row>
    <row r="8" spans="1:11" ht="15.75" x14ac:dyDescent="0.2">
      <c r="A8" s="72" t="s">
        <v>119</v>
      </c>
      <c r="B8" s="9">
        <v>1</v>
      </c>
      <c r="C8" s="27">
        <f>'Table 1a'!E19</f>
        <v>699</v>
      </c>
      <c r="D8" s="27">
        <f t="shared" ref="D8:D9" si="0">B8*C8</f>
        <v>699</v>
      </c>
      <c r="E8" s="70">
        <f t="shared" ref="E8:E9" si="1">D8*0.05</f>
        <v>34.950000000000003</v>
      </c>
      <c r="F8" s="69">
        <f t="shared" ref="F8:F9" si="2">D8*0.1</f>
        <v>69.900000000000006</v>
      </c>
      <c r="G8" s="61">
        <f>D8*$J$7+E8*$J$6+F8*$J$8</f>
        <v>38216.7765</v>
      </c>
      <c r="I8" s="47" t="s">
        <v>63</v>
      </c>
      <c r="J8" s="48">
        <v>26.38</v>
      </c>
      <c r="K8" s="71"/>
    </row>
    <row r="9" spans="1:11" ht="15.75" x14ac:dyDescent="0.2">
      <c r="A9" s="72" t="s">
        <v>120</v>
      </c>
      <c r="B9" s="9">
        <v>1</v>
      </c>
      <c r="C9" s="27">
        <f>'Table 1a'!E20</f>
        <v>116.5</v>
      </c>
      <c r="D9" s="27">
        <f t="shared" si="0"/>
        <v>116.5</v>
      </c>
      <c r="E9" s="70">
        <f t="shared" si="1"/>
        <v>5.8250000000000002</v>
      </c>
      <c r="F9" s="69">
        <f t="shared" si="2"/>
        <v>11.65</v>
      </c>
      <c r="G9" s="61">
        <f>D9*$J$7+E9*$J$6+F9*$J$8</f>
        <v>6369.4627500000006</v>
      </c>
      <c r="K9" s="71"/>
    </row>
    <row r="10" spans="1:11" ht="15.75" x14ac:dyDescent="0.2">
      <c r="A10" s="45" t="s">
        <v>68</v>
      </c>
      <c r="B10" s="26"/>
      <c r="C10" s="26"/>
      <c r="D10" s="119">
        <f>ROUND(SUM(D6:F9),-1)</f>
        <v>5490</v>
      </c>
      <c r="E10" s="119"/>
      <c r="F10" s="119"/>
      <c r="G10" s="62">
        <f>ROUND(SUM(G6:G9),-3)</f>
        <v>261000</v>
      </c>
    </row>
    <row r="12" spans="1:11" x14ac:dyDescent="0.2">
      <c r="A12" s="76" t="s">
        <v>31</v>
      </c>
      <c r="E12" s="7"/>
      <c r="F12" s="29"/>
      <c r="G12" s="7"/>
      <c r="H12" s="7"/>
    </row>
    <row r="13" spans="1:11" ht="43.5" customHeight="1" x14ac:dyDescent="0.2">
      <c r="A13" s="110" t="s">
        <v>153</v>
      </c>
      <c r="B13" s="110"/>
      <c r="C13" s="110"/>
      <c r="D13" s="110"/>
      <c r="E13" s="110"/>
      <c r="F13" s="110"/>
      <c r="G13" s="110"/>
      <c r="H13" s="79"/>
      <c r="I13" s="79"/>
    </row>
    <row r="14" spans="1:11" ht="45" customHeight="1" x14ac:dyDescent="0.2">
      <c r="A14" s="110" t="s">
        <v>69</v>
      </c>
      <c r="B14" s="110"/>
      <c r="C14" s="110"/>
      <c r="D14" s="110"/>
      <c r="E14" s="110"/>
      <c r="F14" s="110"/>
      <c r="G14" s="110"/>
      <c r="H14" s="2"/>
    </row>
    <row r="15" spans="1:11" ht="21" customHeight="1" x14ac:dyDescent="0.2">
      <c r="A15" s="112" t="s">
        <v>147</v>
      </c>
      <c r="B15" s="112"/>
      <c r="C15" s="112"/>
      <c r="D15" s="112"/>
      <c r="E15" s="112"/>
      <c r="F15" s="112"/>
      <c r="G15" s="112"/>
      <c r="H15" s="2"/>
    </row>
    <row r="16" spans="1:11" ht="29.25" customHeight="1" x14ac:dyDescent="0.2">
      <c r="A16" s="114" t="s">
        <v>148</v>
      </c>
      <c r="B16" s="114"/>
      <c r="C16" s="114"/>
      <c r="D16" s="114"/>
      <c r="E16" s="114"/>
      <c r="F16" s="114"/>
      <c r="G16" s="114"/>
    </row>
    <row r="17" spans="1:7" ht="15.75" x14ac:dyDescent="0.2">
      <c r="A17" s="112" t="s">
        <v>117</v>
      </c>
      <c r="B17" s="112"/>
      <c r="C17" s="112"/>
      <c r="D17" s="112"/>
      <c r="E17" s="112"/>
      <c r="F17" s="112"/>
      <c r="G17" s="112"/>
    </row>
    <row r="18" spans="1:7" ht="15.75" x14ac:dyDescent="0.2">
      <c r="A18" s="112" t="s">
        <v>55</v>
      </c>
      <c r="B18" s="112"/>
      <c r="C18" s="112"/>
      <c r="D18" s="112"/>
      <c r="E18" s="112"/>
      <c r="F18" s="112"/>
      <c r="G18" s="112"/>
    </row>
  </sheetData>
  <mergeCells count="10">
    <mergeCell ref="A14:G14"/>
    <mergeCell ref="A16:G16"/>
    <mergeCell ref="A17:G17"/>
    <mergeCell ref="A15:G15"/>
    <mergeCell ref="A18:G18"/>
    <mergeCell ref="A3:A4"/>
    <mergeCell ref="D10:F10"/>
    <mergeCell ref="A1:G1"/>
    <mergeCell ref="I5:J5"/>
    <mergeCell ref="A13:G1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F8CD-7C39-46C1-8C5E-F13896CE556B}">
  <dimension ref="A1:O36"/>
  <sheetViews>
    <sheetView topLeftCell="D1" workbookViewId="0">
      <selection activeCell="D12" sqref="D12"/>
    </sheetView>
  </sheetViews>
  <sheetFormatPr defaultRowHeight="15" x14ac:dyDescent="0.25"/>
  <cols>
    <col min="1" max="1" width="24" customWidth="1"/>
    <col min="2" max="6" width="12.7109375" customWidth="1"/>
    <col min="7" max="11" width="14.28515625" customWidth="1"/>
    <col min="12" max="15" width="14.42578125" customWidth="1"/>
  </cols>
  <sheetData>
    <row r="1" spans="1:15" ht="15.75" x14ac:dyDescent="0.25">
      <c r="A1" s="120" t="s">
        <v>171</v>
      </c>
      <c r="B1" s="120"/>
      <c r="C1" s="120"/>
      <c r="D1" s="120"/>
      <c r="E1" s="120"/>
      <c r="F1" s="120"/>
      <c r="G1" s="120"/>
      <c r="I1" s="120" t="s">
        <v>172</v>
      </c>
      <c r="J1" s="120"/>
      <c r="K1" s="120"/>
      <c r="L1" s="120"/>
      <c r="M1" s="120"/>
      <c r="N1" s="120"/>
      <c r="O1" s="120"/>
    </row>
    <row r="2" spans="1:15" ht="15.75" x14ac:dyDescent="0.25">
      <c r="A2" s="56"/>
      <c r="B2" s="57"/>
      <c r="C2" s="57"/>
      <c r="D2" s="57"/>
      <c r="E2" s="57"/>
      <c r="F2" s="57"/>
      <c r="G2" s="57"/>
      <c r="I2" s="56"/>
      <c r="J2" s="57"/>
      <c r="K2" s="57"/>
      <c r="L2" s="57"/>
      <c r="M2" s="57"/>
      <c r="N2" s="57"/>
      <c r="O2" s="57"/>
    </row>
    <row r="3" spans="1:15" x14ac:dyDescent="0.25">
      <c r="A3" s="58" t="s">
        <v>74</v>
      </c>
      <c r="B3" s="58" t="s">
        <v>76</v>
      </c>
      <c r="C3" s="58" t="s">
        <v>78</v>
      </c>
      <c r="D3" s="58" t="s">
        <v>80</v>
      </c>
      <c r="E3" s="58" t="s">
        <v>82</v>
      </c>
      <c r="F3" s="58" t="s">
        <v>84</v>
      </c>
      <c r="G3" s="58" t="s">
        <v>86</v>
      </c>
      <c r="I3" s="58" t="s">
        <v>74</v>
      </c>
      <c r="J3" s="58" t="s">
        <v>76</v>
      </c>
      <c r="K3" s="58" t="s">
        <v>78</v>
      </c>
      <c r="L3" s="58" t="s">
        <v>80</v>
      </c>
      <c r="M3" s="58" t="s">
        <v>82</v>
      </c>
      <c r="N3" s="58" t="s">
        <v>84</v>
      </c>
      <c r="O3" s="58" t="s">
        <v>86</v>
      </c>
    </row>
    <row r="4" spans="1:15" ht="38.25" x14ac:dyDescent="0.25">
      <c r="A4" s="57" t="s">
        <v>75</v>
      </c>
      <c r="B4" s="58" t="s">
        <v>77</v>
      </c>
      <c r="C4" s="58" t="s">
        <v>79</v>
      </c>
      <c r="D4" s="58" t="s">
        <v>81</v>
      </c>
      <c r="E4" s="58" t="s">
        <v>83</v>
      </c>
      <c r="F4" s="58" t="s">
        <v>85</v>
      </c>
      <c r="G4" s="58" t="s">
        <v>94</v>
      </c>
      <c r="I4" s="57" t="s">
        <v>75</v>
      </c>
      <c r="J4" s="58" t="s">
        <v>77</v>
      </c>
      <c r="K4" s="58" t="s">
        <v>79</v>
      </c>
      <c r="L4" s="58" t="s">
        <v>81</v>
      </c>
      <c r="M4" s="58" t="s">
        <v>83</v>
      </c>
      <c r="N4" s="58" t="s">
        <v>85</v>
      </c>
      <c r="O4" s="58" t="s">
        <v>94</v>
      </c>
    </row>
    <row r="5" spans="1:15" x14ac:dyDescent="0.25">
      <c r="A5" s="59"/>
      <c r="B5" s="59"/>
      <c r="C5" s="59"/>
      <c r="D5" s="59"/>
      <c r="E5" s="59"/>
      <c r="F5" s="59"/>
      <c r="G5" s="57"/>
      <c r="I5" s="59"/>
      <c r="J5" s="59"/>
      <c r="K5" s="59"/>
      <c r="L5" s="59"/>
      <c r="M5" s="59"/>
      <c r="N5" s="59"/>
      <c r="O5" s="57"/>
    </row>
    <row r="6" spans="1:15" x14ac:dyDescent="0.25">
      <c r="A6" s="60" t="s">
        <v>87</v>
      </c>
      <c r="B6" s="83">
        <v>3300</v>
      </c>
      <c r="C6" s="84">
        <v>0</v>
      </c>
      <c r="D6" s="83">
        <f>B6*C6</f>
        <v>0</v>
      </c>
      <c r="E6" s="83">
        <v>95</v>
      </c>
      <c r="F6" s="84">
        <v>13</v>
      </c>
      <c r="G6" s="85">
        <f>E6*F6</f>
        <v>1235</v>
      </c>
      <c r="I6" s="60" t="s">
        <v>87</v>
      </c>
      <c r="J6" s="83">
        <v>3300</v>
      </c>
      <c r="K6" s="84">
        <v>0</v>
      </c>
      <c r="L6" s="83">
        <f>J6*K6</f>
        <v>0</v>
      </c>
      <c r="M6" s="83">
        <v>95</v>
      </c>
      <c r="N6" s="84">
        <v>7</v>
      </c>
      <c r="O6" s="85">
        <f>M6*N6</f>
        <v>665</v>
      </c>
    </row>
    <row r="7" spans="1:15" x14ac:dyDescent="0.25">
      <c r="A7" s="60" t="s">
        <v>88</v>
      </c>
      <c r="B7" s="83">
        <v>250</v>
      </c>
      <c r="C7" s="86">
        <v>2330</v>
      </c>
      <c r="D7" s="83">
        <f>B7*C7</f>
        <v>582500</v>
      </c>
      <c r="E7" s="83">
        <v>14</v>
      </c>
      <c r="F7" s="86">
        <v>20000</v>
      </c>
      <c r="G7" s="85">
        <f t="shared" ref="G7:G10" si="0">E7*F7</f>
        <v>280000</v>
      </c>
      <c r="I7" s="60" t="s">
        <v>88</v>
      </c>
      <c r="J7" s="83">
        <v>250</v>
      </c>
      <c r="K7" s="86">
        <v>0</v>
      </c>
      <c r="L7" s="83">
        <f>J7*K7</f>
        <v>0</v>
      </c>
      <c r="M7" s="83">
        <v>14</v>
      </c>
      <c r="N7" s="86">
        <v>0</v>
      </c>
      <c r="O7" s="85">
        <f t="shared" ref="O7:O10" si="1">M7*N7</f>
        <v>0</v>
      </c>
    </row>
    <row r="8" spans="1:15" ht="51" x14ac:dyDescent="0.25">
      <c r="A8" s="60" t="s">
        <v>89</v>
      </c>
      <c r="B8" s="84" t="s">
        <v>90</v>
      </c>
      <c r="C8" s="84" t="s">
        <v>90</v>
      </c>
      <c r="D8" s="84" t="s">
        <v>90</v>
      </c>
      <c r="E8" s="87">
        <v>6.37</v>
      </c>
      <c r="F8" s="86">
        <v>2330</v>
      </c>
      <c r="G8" s="85">
        <f t="shared" si="0"/>
        <v>14842.1</v>
      </c>
      <c r="I8" s="60" t="s">
        <v>89</v>
      </c>
      <c r="J8" s="84" t="s">
        <v>90</v>
      </c>
      <c r="K8" s="84" t="s">
        <v>90</v>
      </c>
      <c r="L8" s="84" t="s">
        <v>90</v>
      </c>
      <c r="M8" s="87">
        <v>6.37</v>
      </c>
      <c r="N8" s="86">
        <v>0</v>
      </c>
      <c r="O8" s="85">
        <f t="shared" si="1"/>
        <v>0</v>
      </c>
    </row>
    <row r="9" spans="1:15" ht="38.25" x14ac:dyDescent="0.25">
      <c r="A9" s="60" t="s">
        <v>91</v>
      </c>
      <c r="B9" s="84" t="s">
        <v>90</v>
      </c>
      <c r="C9" s="84" t="s">
        <v>90</v>
      </c>
      <c r="D9" s="84" t="s">
        <v>90</v>
      </c>
      <c r="E9" s="83">
        <v>6</v>
      </c>
      <c r="F9" s="84">
        <v>117</v>
      </c>
      <c r="G9" s="85">
        <f t="shared" si="0"/>
        <v>702</v>
      </c>
      <c r="I9" s="60" t="s">
        <v>91</v>
      </c>
      <c r="J9" s="84" t="s">
        <v>90</v>
      </c>
      <c r="K9" s="84" t="s">
        <v>90</v>
      </c>
      <c r="L9" s="84" t="s">
        <v>90</v>
      </c>
      <c r="M9" s="83">
        <v>6</v>
      </c>
      <c r="N9" s="84">
        <v>0</v>
      </c>
      <c r="O9" s="85">
        <f t="shared" si="1"/>
        <v>0</v>
      </c>
    </row>
    <row r="10" spans="1:15" x14ac:dyDescent="0.25">
      <c r="A10" s="60" t="s">
        <v>92</v>
      </c>
      <c r="B10" s="84" t="s">
        <v>90</v>
      </c>
      <c r="C10" s="84" t="s">
        <v>90</v>
      </c>
      <c r="D10" s="84" t="s">
        <v>90</v>
      </c>
      <c r="E10" s="87">
        <v>2.4</v>
      </c>
      <c r="F10" s="86">
        <v>28013</v>
      </c>
      <c r="G10" s="85">
        <f t="shared" si="0"/>
        <v>67231.199999999997</v>
      </c>
      <c r="I10" s="60" t="s">
        <v>92</v>
      </c>
      <c r="J10" s="84" t="s">
        <v>90</v>
      </c>
      <c r="K10" s="84" t="s">
        <v>90</v>
      </c>
      <c r="L10" s="84" t="s">
        <v>90</v>
      </c>
      <c r="M10" s="87">
        <v>2.4</v>
      </c>
      <c r="N10" s="86">
        <v>7</v>
      </c>
      <c r="O10" s="85">
        <f t="shared" si="1"/>
        <v>16.8</v>
      </c>
    </row>
    <row r="11" spans="1:15" x14ac:dyDescent="0.25">
      <c r="A11" s="60" t="s">
        <v>93</v>
      </c>
      <c r="B11" s="84"/>
      <c r="C11" s="84"/>
      <c r="D11" s="83">
        <f>SUM(D6:D10)</f>
        <v>582500</v>
      </c>
      <c r="E11" s="84"/>
      <c r="F11" s="84"/>
      <c r="G11" s="85">
        <f>SUM(G6:G10)</f>
        <v>364010.3</v>
      </c>
      <c r="I11" s="60" t="s">
        <v>93</v>
      </c>
      <c r="J11" s="84"/>
      <c r="K11" s="84"/>
      <c r="L11" s="83">
        <f>SUM(L6:L10)</f>
        <v>0</v>
      </c>
      <c r="M11" s="84"/>
      <c r="N11" s="84"/>
      <c r="O11" s="85">
        <f>SUM(O6:O10)</f>
        <v>681.8</v>
      </c>
    </row>
    <row r="12" spans="1:15" x14ac:dyDescent="0.25">
      <c r="A12" s="60" t="s">
        <v>95</v>
      </c>
      <c r="B12" s="88"/>
      <c r="C12" s="88"/>
      <c r="D12" s="89">
        <f>ROUND(D11,-3)</f>
        <v>583000</v>
      </c>
      <c r="E12" s="88"/>
      <c r="F12" s="88"/>
      <c r="G12" s="89">
        <f>ROUND(G11,-3)</f>
        <v>364000</v>
      </c>
      <c r="I12" s="60" t="s">
        <v>95</v>
      </c>
      <c r="J12" s="88"/>
      <c r="K12" s="88"/>
      <c r="L12" s="89">
        <f>ROUND(L11,-3)</f>
        <v>0</v>
      </c>
      <c r="M12" s="88"/>
      <c r="N12" s="88"/>
      <c r="O12" s="89">
        <f>ROUND(O11,-1)</f>
        <v>680</v>
      </c>
    </row>
    <row r="13" spans="1:15" x14ac:dyDescent="0.25">
      <c r="B13" s="90"/>
      <c r="C13" s="90"/>
      <c r="D13" s="90"/>
      <c r="E13" s="90"/>
      <c r="F13" s="2" t="s">
        <v>95</v>
      </c>
      <c r="G13" s="91">
        <f>ROUND(D12+G12,-3)</f>
        <v>947000</v>
      </c>
      <c r="J13" s="90"/>
      <c r="K13" s="90"/>
      <c r="L13" s="90"/>
      <c r="M13" s="90"/>
      <c r="N13" s="2" t="s">
        <v>95</v>
      </c>
      <c r="O13" s="91">
        <f>ROUND(L12+O12,-1)</f>
        <v>680</v>
      </c>
    </row>
    <row r="14" spans="1:15" x14ac:dyDescent="0.25">
      <c r="G14" s="55"/>
    </row>
    <row r="15" spans="1:15" ht="15.75" x14ac:dyDescent="0.25">
      <c r="A15" s="120" t="s">
        <v>96</v>
      </c>
      <c r="B15" s="120"/>
      <c r="C15" s="120"/>
      <c r="D15" s="120"/>
      <c r="E15" s="120"/>
      <c r="F15" s="120"/>
    </row>
    <row r="16" spans="1:15" ht="48" x14ac:dyDescent="0.25">
      <c r="A16" s="56"/>
      <c r="B16" s="122" t="s">
        <v>97</v>
      </c>
      <c r="C16" s="122"/>
      <c r="D16" s="63" t="s">
        <v>98</v>
      </c>
      <c r="E16" s="122"/>
      <c r="F16" s="122"/>
    </row>
    <row r="17" spans="1:11" x14ac:dyDescent="0.25">
      <c r="A17" s="58"/>
      <c r="B17" s="58" t="s">
        <v>74</v>
      </c>
      <c r="C17" s="58" t="s">
        <v>76</v>
      </c>
      <c r="D17" s="58" t="s">
        <v>78</v>
      </c>
      <c r="E17" s="58" t="s">
        <v>80</v>
      </c>
      <c r="F17" s="58" t="s">
        <v>82</v>
      </c>
    </row>
    <row r="18" spans="1:11" ht="89.25" x14ac:dyDescent="0.25">
      <c r="A18" s="58" t="s">
        <v>99</v>
      </c>
      <c r="B18" s="58" t="s">
        <v>100</v>
      </c>
      <c r="C18" s="58" t="s">
        <v>101</v>
      </c>
      <c r="D18" s="58" t="s">
        <v>102</v>
      </c>
      <c r="E18" s="58" t="s">
        <v>103</v>
      </c>
      <c r="F18" s="58" t="s">
        <v>105</v>
      </c>
    </row>
    <row r="19" spans="1:11" x14ac:dyDescent="0.25">
      <c r="A19" s="59"/>
      <c r="B19" s="59"/>
      <c r="C19" s="59"/>
      <c r="D19" s="59"/>
      <c r="E19" s="59"/>
      <c r="F19" s="58"/>
    </row>
    <row r="20" spans="1:11" x14ac:dyDescent="0.25">
      <c r="A20" s="64">
        <v>1</v>
      </c>
      <c r="B20" s="65">
        <v>2330</v>
      </c>
      <c r="C20" s="82">
        <v>28020</v>
      </c>
      <c r="D20" s="49">
        <v>0</v>
      </c>
      <c r="E20" s="82">
        <v>2330</v>
      </c>
      <c r="F20" s="82">
        <f>B20+C20+D20-E20</f>
        <v>28020</v>
      </c>
    </row>
    <row r="21" spans="1:11" x14ac:dyDescent="0.25">
      <c r="A21" s="64">
        <v>2</v>
      </c>
      <c r="B21" s="65">
        <v>2330</v>
      </c>
      <c r="C21" s="82">
        <v>28020</v>
      </c>
      <c r="D21" s="49">
        <v>0</v>
      </c>
      <c r="E21" s="82">
        <v>2330</v>
      </c>
      <c r="F21" s="82">
        <f t="shared" ref="F21:F22" si="2">B21+C21+D21-E21</f>
        <v>28020</v>
      </c>
    </row>
    <row r="22" spans="1:11" x14ac:dyDescent="0.25">
      <c r="A22" s="64">
        <v>3</v>
      </c>
      <c r="B22" s="65">
        <v>2330</v>
      </c>
      <c r="C22" s="82">
        <v>28020</v>
      </c>
      <c r="D22" s="49">
        <v>0</v>
      </c>
      <c r="E22" s="82">
        <v>2330</v>
      </c>
      <c r="F22" s="82">
        <f t="shared" si="2"/>
        <v>28020</v>
      </c>
    </row>
    <row r="23" spans="1:11" x14ac:dyDescent="0.25">
      <c r="A23" s="123" t="s">
        <v>104</v>
      </c>
      <c r="B23" s="102"/>
      <c r="C23" s="118"/>
      <c r="D23" s="118"/>
      <c r="E23" s="118"/>
      <c r="F23" s="121">
        <f>AVERAGE(F20:F22)</f>
        <v>28020</v>
      </c>
    </row>
    <row r="24" spans="1:11" x14ac:dyDescent="0.25">
      <c r="A24" s="123"/>
      <c r="B24" s="102"/>
      <c r="C24" s="118"/>
      <c r="D24" s="118"/>
      <c r="E24" s="118"/>
      <c r="F24" s="121"/>
    </row>
    <row r="25" spans="1:11" ht="18.75" x14ac:dyDescent="0.25">
      <c r="A25" s="67" t="s">
        <v>152</v>
      </c>
    </row>
    <row r="26" spans="1:11" ht="15.75" x14ac:dyDescent="0.25">
      <c r="A26" s="68" t="s">
        <v>106</v>
      </c>
    </row>
    <row r="29" spans="1:11" ht="15.75" x14ac:dyDescent="0.25">
      <c r="A29" s="120" t="s">
        <v>170</v>
      </c>
      <c r="B29" s="120"/>
      <c r="C29" s="120"/>
      <c r="D29" s="120"/>
      <c r="E29" s="120"/>
      <c r="G29" s="120" t="s">
        <v>169</v>
      </c>
      <c r="H29" s="120"/>
      <c r="I29" s="120"/>
      <c r="J29" s="120"/>
      <c r="K29" s="120"/>
    </row>
    <row r="30" spans="1:11" x14ac:dyDescent="0.25">
      <c r="A30" s="64" t="s">
        <v>74</v>
      </c>
      <c r="B30" s="64" t="s">
        <v>76</v>
      </c>
      <c r="C30" s="64" t="s">
        <v>78</v>
      </c>
      <c r="D30" s="64" t="s">
        <v>80</v>
      </c>
      <c r="E30" s="64" t="s">
        <v>82</v>
      </c>
      <c r="G30" s="64" t="s">
        <v>74</v>
      </c>
      <c r="H30" s="64" t="s">
        <v>76</v>
      </c>
      <c r="I30" s="64" t="s">
        <v>78</v>
      </c>
      <c r="J30" s="64" t="s">
        <v>80</v>
      </c>
      <c r="K30" s="64" t="s">
        <v>82</v>
      </c>
    </row>
    <row r="31" spans="1:11" ht="84" x14ac:dyDescent="0.25">
      <c r="A31" s="64" t="s">
        <v>107</v>
      </c>
      <c r="B31" s="64" t="s">
        <v>96</v>
      </c>
      <c r="C31" s="64" t="s">
        <v>108</v>
      </c>
      <c r="D31" s="64" t="s">
        <v>109</v>
      </c>
      <c r="E31" s="64" t="s">
        <v>114</v>
      </c>
      <c r="G31" s="64" t="s">
        <v>107</v>
      </c>
      <c r="H31" s="64" t="s">
        <v>96</v>
      </c>
      <c r="I31" s="64" t="s">
        <v>108</v>
      </c>
      <c r="J31" s="64" t="s">
        <v>109</v>
      </c>
      <c r="K31" s="64" t="s">
        <v>114</v>
      </c>
    </row>
    <row r="32" spans="1:11" ht="38.25" x14ac:dyDescent="0.25">
      <c r="A32" s="60" t="s">
        <v>110</v>
      </c>
      <c r="B32" s="65">
        <f>'Table 1a'!E17</f>
        <v>2330</v>
      </c>
      <c r="C32" s="66">
        <v>1</v>
      </c>
      <c r="D32" s="82">
        <f>25690-7</f>
        <v>25683</v>
      </c>
      <c r="E32" s="82">
        <f>B32*C32+D32</f>
        <v>28013</v>
      </c>
      <c r="G32" s="60" t="s">
        <v>110</v>
      </c>
      <c r="H32" s="65">
        <f>'Table 1b'!E17</f>
        <v>0</v>
      </c>
      <c r="I32" s="66">
        <v>0</v>
      </c>
      <c r="J32" s="82">
        <v>7</v>
      </c>
      <c r="K32" s="82">
        <f>H32*I32+J32</f>
        <v>7</v>
      </c>
    </row>
    <row r="33" spans="1:11" ht="25.5" x14ac:dyDescent="0.25">
      <c r="A33" s="60" t="s">
        <v>111</v>
      </c>
      <c r="B33" s="65">
        <f>'Table 1a'!E18</f>
        <v>1631</v>
      </c>
      <c r="C33" s="66">
        <v>1</v>
      </c>
      <c r="D33" s="66">
        <v>0</v>
      </c>
      <c r="E33" s="65">
        <f t="shared" ref="E33:E35" si="3">B33*C33+D33</f>
        <v>1631</v>
      </c>
      <c r="G33" s="60" t="s">
        <v>111</v>
      </c>
      <c r="H33" s="65">
        <f>'Table 1b'!E18</f>
        <v>0</v>
      </c>
      <c r="I33" s="66">
        <v>0</v>
      </c>
      <c r="J33" s="66">
        <v>0</v>
      </c>
      <c r="K33" s="65">
        <f t="shared" ref="K33:K35" si="4">H33*I33+J33</f>
        <v>0</v>
      </c>
    </row>
    <row r="34" spans="1:11" ht="38.25" x14ac:dyDescent="0.25">
      <c r="A34" s="60" t="s">
        <v>112</v>
      </c>
      <c r="B34" s="65">
        <f>'Table 1a'!E19</f>
        <v>699</v>
      </c>
      <c r="C34" s="66">
        <v>1</v>
      </c>
      <c r="D34" s="66">
        <v>0</v>
      </c>
      <c r="E34" s="65">
        <f t="shared" si="3"/>
        <v>699</v>
      </c>
      <c r="G34" s="60" t="s">
        <v>112</v>
      </c>
      <c r="H34" s="65">
        <f>'Table 1b'!E19</f>
        <v>0</v>
      </c>
      <c r="I34" s="66">
        <v>0</v>
      </c>
      <c r="J34" s="66">
        <v>0</v>
      </c>
      <c r="K34" s="65">
        <f t="shared" si="4"/>
        <v>0</v>
      </c>
    </row>
    <row r="35" spans="1:11" ht="38.25" x14ac:dyDescent="0.25">
      <c r="A35" s="60" t="s">
        <v>113</v>
      </c>
      <c r="B35" s="65">
        <f>'Table 1a'!E20</f>
        <v>116.5</v>
      </c>
      <c r="C35" s="66">
        <v>1</v>
      </c>
      <c r="D35" s="66">
        <v>0</v>
      </c>
      <c r="E35" s="65">
        <f t="shared" si="3"/>
        <v>116.5</v>
      </c>
      <c r="G35" s="60" t="s">
        <v>113</v>
      </c>
      <c r="H35" s="65">
        <f>'Table 1b'!E20</f>
        <v>0</v>
      </c>
      <c r="I35" s="66">
        <v>0</v>
      </c>
      <c r="J35" s="66">
        <v>0</v>
      </c>
      <c r="K35" s="65">
        <f t="shared" si="4"/>
        <v>0</v>
      </c>
    </row>
    <row r="36" spans="1:11" x14ac:dyDescent="0.25">
      <c r="A36" s="60"/>
      <c r="B36" s="66"/>
      <c r="C36" s="66"/>
      <c r="D36" s="66" t="s">
        <v>93</v>
      </c>
      <c r="E36" s="65">
        <f>SUM(E32:E35)</f>
        <v>30459.5</v>
      </c>
      <c r="G36" s="60"/>
      <c r="H36" s="66"/>
      <c r="I36" s="66"/>
      <c r="J36" s="66" t="s">
        <v>93</v>
      </c>
      <c r="K36" s="65">
        <f>SUM(K32:K35)</f>
        <v>7</v>
      </c>
    </row>
  </sheetData>
  <mergeCells count="13">
    <mergeCell ref="G29:K29"/>
    <mergeCell ref="I1:O1"/>
    <mergeCell ref="F23:F24"/>
    <mergeCell ref="A1:G1"/>
    <mergeCell ref="A15:F15"/>
    <mergeCell ref="B16:C16"/>
    <mergeCell ref="E16:F16"/>
    <mergeCell ref="A29:E29"/>
    <mergeCell ref="A23:A24"/>
    <mergeCell ref="B23:B24"/>
    <mergeCell ref="C23:C24"/>
    <mergeCell ref="D23:D24"/>
    <mergeCell ref="E23:E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Table 1a</vt:lpstr>
      <vt:lpstr>Table 1b</vt:lpstr>
      <vt:lpstr>Table 1c</vt:lpstr>
      <vt:lpstr>Table 2</vt:lpstr>
      <vt:lpstr>Additional</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wwrigley</cp:lastModifiedBy>
  <dcterms:created xsi:type="dcterms:W3CDTF">2012-11-20T21:40:52Z</dcterms:created>
  <dcterms:modified xsi:type="dcterms:W3CDTF">2019-06-25T16:39:31Z</dcterms:modified>
</cp:coreProperties>
</file>