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-my.sharepoint.com/personal/rachelle_ragland-greene_usda_gov/Documents/HomeDrive/0584-AE79 QC Proposed Rule Reform Provisions for SNAP QC System - Tiff Wilk - Aug 3 2020/Revised AE79 Proposed Rule ICR 1-26-2024/"/>
    </mc:Choice>
  </mc:AlternateContent>
  <xr:revisionPtr revIDLastSave="0" documentId="8_{3363C468-3CB5-4662-B886-37C2ED796720}" xr6:coauthVersionLast="47" xr6:coauthVersionMax="47" xr10:uidLastSave="{00000000-0000-0000-0000-000000000000}"/>
  <bookViews>
    <workbookView xWindow="-57720" yWindow="-1935" windowWidth="28110" windowHeight="18240" tabRatio="707" activeTab="7" xr2:uid="{00000000-000D-0000-FFFF-FFFF00000000}"/>
  </bookViews>
  <sheets>
    <sheet name="OMB# 0074 FNS 380" sheetId="1" r:id="rId1"/>
    <sheet name="0074Individuals-Household Reprt" sheetId="5" r:id="rId2"/>
    <sheet name="OMB#0303 275 regs" sheetId="3" r:id="rId3"/>
    <sheet name="OMB#0299 FNS 380-1" sheetId="2" r:id="rId4"/>
    <sheet name="existing vs new burden due to" sheetId="7" r:id="rId5"/>
    <sheet name="Summary of all Burden1" sheetId="6" state="hidden" r:id="rId6"/>
    <sheet name="Check" sheetId="4" state="hidden" r:id="rId7"/>
    <sheet name="burden and cost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7" l="1"/>
  <c r="E38" i="7"/>
  <c r="D38" i="7"/>
  <c r="D29" i="7"/>
  <c r="E29" i="7"/>
  <c r="C29" i="7"/>
  <c r="E34" i="7"/>
  <c r="E33" i="7"/>
  <c r="D10" i="7"/>
  <c r="D21" i="7"/>
  <c r="E21" i="7"/>
  <c r="E10" i="7"/>
  <c r="D5" i="7"/>
  <c r="E5" i="7"/>
  <c r="D7" i="7"/>
  <c r="E7" i="7"/>
  <c r="C7" i="7"/>
  <c r="C5" i="7"/>
  <c r="D17" i="7"/>
  <c r="D18" i="7" l="1"/>
  <c r="E18" i="7"/>
  <c r="D16" i="7"/>
  <c r="E16" i="7"/>
  <c r="C18" i="7"/>
  <c r="C16" i="7"/>
  <c r="D32" i="7"/>
  <c r="E32" i="7"/>
  <c r="D27" i="7"/>
  <c r="E27" i="7"/>
  <c r="C27" i="7"/>
  <c r="K16" i="7"/>
  <c r="M17" i="7" s="1"/>
  <c r="F29" i="1"/>
  <c r="F12" i="1"/>
  <c r="K35" i="8"/>
  <c r="B30" i="8"/>
  <c r="D30" i="8"/>
  <c r="C30" i="8"/>
  <c r="F37" i="8"/>
  <c r="F38" i="8"/>
  <c r="E37" i="8"/>
  <c r="E38" i="8"/>
  <c r="D37" i="8"/>
  <c r="D38" i="8"/>
  <c r="D39" i="8"/>
  <c r="D40" i="8"/>
  <c r="C40" i="8"/>
  <c r="C39" i="8"/>
  <c r="C38" i="8"/>
  <c r="C37" i="8"/>
  <c r="C35" i="8"/>
  <c r="C34" i="8"/>
  <c r="C36" i="8"/>
  <c r="D36" i="8" s="1"/>
  <c r="E36" i="8" s="1"/>
  <c r="H29" i="6"/>
  <c r="C29" i="6"/>
  <c r="E29" i="6"/>
  <c r="D29" i="6"/>
  <c r="B24" i="6"/>
  <c r="F24" i="6"/>
  <c r="D24" i="6"/>
  <c r="E24" i="6"/>
  <c r="F40" i="8" l="1"/>
  <c r="E40" i="8"/>
  <c r="E39" i="8"/>
  <c r="F39" i="8" s="1"/>
  <c r="K37" i="8" s="1"/>
  <c r="F30" i="8"/>
  <c r="E30" i="8"/>
  <c r="F36" i="8"/>
  <c r="G46" i="1"/>
  <c r="G47" i="1" s="1"/>
  <c r="G43" i="1"/>
  <c r="G44" i="1" s="1"/>
  <c r="G42" i="1"/>
  <c r="E43" i="1"/>
  <c r="E42" i="1"/>
  <c r="E47" i="1" s="1"/>
  <c r="G12" i="3"/>
  <c r="L23" i="8"/>
  <c r="N22" i="8"/>
  <c r="N21" i="8"/>
  <c r="N20" i="8"/>
  <c r="E19" i="6"/>
  <c r="F19" i="6"/>
  <c r="C19" i="6"/>
  <c r="C29" i="8"/>
  <c r="D29" i="8" s="1"/>
  <c r="E29" i="8" s="1"/>
  <c r="F29" i="8" s="1"/>
  <c r="G29" i="6" s="1"/>
  <c r="C46" i="8"/>
  <c r="D46" i="8" s="1"/>
  <c r="G71" i="8"/>
  <c r="D71" i="8"/>
  <c r="E63" i="8"/>
  <c r="G63" i="8" s="1"/>
  <c r="E62" i="8"/>
  <c r="G62" i="8" s="1"/>
  <c r="E64" i="8"/>
  <c r="G64" i="8" s="1"/>
  <c r="E65" i="8"/>
  <c r="G65" i="8" s="1"/>
  <c r="E61" i="8"/>
  <c r="G61" i="8" s="1"/>
  <c r="E44" i="1" l="1"/>
  <c r="K36" i="8"/>
  <c r="G40" i="8"/>
  <c r="F41" i="8" s="1"/>
  <c r="O22" i="8"/>
  <c r="P22" i="8" s="1"/>
  <c r="N23" i="8"/>
  <c r="O20" i="8"/>
  <c r="O21" i="8"/>
  <c r="P21" i="8" s="1"/>
  <c r="E46" i="8"/>
  <c r="F46" i="8" s="1"/>
  <c r="O23" i="8" l="1"/>
  <c r="P20" i="8"/>
  <c r="P23" i="8" s="1"/>
  <c r="C47" i="8"/>
  <c r="C45" i="8"/>
  <c r="E67" i="8"/>
  <c r="D67" i="8" s="1"/>
  <c r="H67" i="8"/>
  <c r="H74" i="8" s="1"/>
  <c r="I67" i="8"/>
  <c r="J67" i="8"/>
  <c r="J74" i="8" s="1"/>
  <c r="F23" i="8"/>
  <c r="E25" i="8"/>
  <c r="F25" i="8" s="1"/>
  <c r="E26" i="8"/>
  <c r="F26" i="8" s="1"/>
  <c r="D28" i="8"/>
  <c r="D27" i="8"/>
  <c r="E27" i="8" s="1"/>
  <c r="F27" i="8" s="1"/>
  <c r="C23" i="6" s="1"/>
  <c r="G54" i="8"/>
  <c r="G55" i="8"/>
  <c r="G56" i="8"/>
  <c r="G57" i="8"/>
  <c r="G58" i="8"/>
  <c r="G59" i="8"/>
  <c r="G60" i="8"/>
  <c r="G70" i="8"/>
  <c r="C74" i="8"/>
  <c r="D72" i="8"/>
  <c r="D70" i="8"/>
  <c r="G72" i="8"/>
  <c r="G53" i="8"/>
  <c r="H45" i="8"/>
  <c r="G67" i="8" l="1"/>
  <c r="F67" i="8" s="1"/>
  <c r="E28" i="8"/>
  <c r="F28" i="8" s="1"/>
  <c r="C22" i="6" s="1"/>
  <c r="C24" i="6" s="1"/>
  <c r="I74" i="8"/>
  <c r="G74" i="8" l="1"/>
  <c r="E74" i="8"/>
  <c r="D74" i="8" s="1"/>
  <c r="F74" i="8" l="1"/>
  <c r="D47" i="8" l="1"/>
  <c r="E47" i="8" s="1"/>
  <c r="F47" i="8" s="1"/>
  <c r="D45" i="8" l="1"/>
  <c r="D35" i="8"/>
  <c r="D34" i="8"/>
  <c r="D33" i="8"/>
  <c r="E33" i="8" s="1"/>
  <c r="E45" i="8" l="1"/>
  <c r="F45" i="8" s="1"/>
  <c r="E34" i="8"/>
  <c r="F34" i="8" s="1"/>
  <c r="E35" i="8"/>
  <c r="F35" i="8" s="1"/>
  <c r="F33" i="8"/>
  <c r="F48" i="8" l="1"/>
  <c r="G3" i="8" l="1"/>
  <c r="G4" i="8"/>
  <c r="G5" i="8"/>
  <c r="G6" i="8"/>
  <c r="G7" i="8"/>
  <c r="G8" i="8"/>
  <c r="G9" i="8"/>
  <c r="G10" i="8"/>
  <c r="G2" i="8"/>
  <c r="F11" i="2"/>
  <c r="D33" i="7"/>
  <c r="H12" i="3"/>
  <c r="G4" i="3"/>
  <c r="G5" i="3"/>
  <c r="G6" i="3"/>
  <c r="G7" i="3"/>
  <c r="H12" i="1"/>
  <c r="E4" i="1"/>
  <c r="G4" i="1" s="1"/>
  <c r="E5" i="1"/>
  <c r="G5" i="1" s="1"/>
  <c r="I5" i="1" s="1"/>
  <c r="E6" i="1"/>
  <c r="G6" i="1" s="1"/>
  <c r="E7" i="1"/>
  <c r="G7" i="1" s="1"/>
  <c r="E8" i="1"/>
  <c r="G8" i="1" s="1"/>
  <c r="E9" i="1"/>
  <c r="G9" i="1" s="1"/>
  <c r="E10" i="1"/>
  <c r="E11" i="1"/>
  <c r="E16" i="1"/>
  <c r="G10" i="1"/>
  <c r="G11" i="1"/>
  <c r="E23" i="1"/>
  <c r="E24" i="1"/>
  <c r="E25" i="1"/>
  <c r="E26" i="1"/>
  <c r="E37" i="1"/>
  <c r="E4" i="2"/>
  <c r="G12" i="1" l="1"/>
  <c r="E12" i="1"/>
  <c r="D12" i="1" s="1"/>
  <c r="I4" i="1"/>
  <c r="E36" i="7" l="1"/>
  <c r="C21" i="7"/>
  <c r="C32" i="7"/>
  <c r="C10" i="7" l="1"/>
  <c r="E35" i="7" s="1"/>
  <c r="E11" i="7" l="1"/>
  <c r="E12" i="7" s="1"/>
  <c r="F36" i="6"/>
  <c r="G36" i="6" s="1"/>
  <c r="H36" i="6" s="1"/>
  <c r="F35" i="6"/>
  <c r="G35" i="6" s="1"/>
  <c r="H35" i="6" s="1"/>
  <c r="F34" i="6"/>
  <c r="G34" i="6" s="1"/>
  <c r="F33" i="6"/>
  <c r="F32" i="6"/>
  <c r="G32" i="6" s="1"/>
  <c r="F44" i="6"/>
  <c r="F43" i="6"/>
  <c r="G43" i="6" s="1"/>
  <c r="H43" i="6" s="1"/>
  <c r="F42" i="6"/>
  <c r="G42" i="6" s="1"/>
  <c r="H42" i="6" s="1"/>
  <c r="F41" i="6"/>
  <c r="F40" i="6"/>
  <c r="F45" i="6" l="1"/>
  <c r="H32" i="6"/>
  <c r="G33" i="6"/>
  <c r="G37" i="6" s="1"/>
  <c r="H34" i="6"/>
  <c r="F37" i="6"/>
  <c r="G41" i="6"/>
  <c r="H41" i="6" s="1"/>
  <c r="G40" i="6"/>
  <c r="G44" i="6"/>
  <c r="H44" i="6" s="1"/>
  <c r="H40" i="6" l="1"/>
  <c r="H45" i="6" s="1"/>
  <c r="G45" i="6"/>
  <c r="H33" i="6"/>
  <c r="H37" i="6" s="1"/>
  <c r="H46" i="6" l="1"/>
  <c r="C16" i="6"/>
  <c r="G5" i="6"/>
  <c r="C11" i="8"/>
  <c r="G11" i="8"/>
  <c r="E11" i="8"/>
  <c r="E19" i="3"/>
  <c r="E26" i="3"/>
  <c r="G26" i="3" s="1"/>
  <c r="H19" i="3"/>
  <c r="G18" i="3"/>
  <c r="G17" i="3"/>
  <c r="G16" i="3"/>
  <c r="G15" i="3"/>
  <c r="G14" i="3"/>
  <c r="F11" i="8" l="1"/>
  <c r="D19" i="3"/>
  <c r="H21" i="3"/>
  <c r="C32" i="3" s="1"/>
  <c r="E12" i="3"/>
  <c r="G19" i="3"/>
  <c r="D11" i="8"/>
  <c r="C38" i="1"/>
  <c r="G37" i="1"/>
  <c r="D12" i="3" l="1"/>
  <c r="E21" i="3"/>
  <c r="F19" i="3"/>
  <c r="I37" i="1"/>
  <c r="G38" i="1"/>
  <c r="E38" i="1"/>
  <c r="I12" i="3" l="1"/>
  <c r="J12" i="3"/>
  <c r="G21" i="3"/>
  <c r="C31" i="3" s="1"/>
  <c r="C33" i="3" s="1"/>
  <c r="D34" i="7" l="1"/>
  <c r="F101" i="6"/>
  <c r="D101" i="6"/>
  <c r="F89" i="6"/>
  <c r="F90" i="6"/>
  <c r="F84" i="6"/>
  <c r="K84" i="6" s="1"/>
  <c r="F91" i="6" l="1"/>
  <c r="E78" i="6" l="1"/>
  <c r="F74" i="6"/>
  <c r="G70" i="6"/>
  <c r="I70" i="6" s="1"/>
  <c r="G71" i="6"/>
  <c r="I71" i="6" s="1"/>
  <c r="G72" i="6"/>
  <c r="I72" i="6" s="1"/>
  <c r="G73" i="6"/>
  <c r="I73" i="6" s="1"/>
  <c r="G69" i="6"/>
  <c r="I69" i="6" s="1"/>
  <c r="B74" i="6"/>
  <c r="G15" i="6"/>
  <c r="D70" i="6"/>
  <c r="C71" i="6"/>
  <c r="D71" i="6" s="1"/>
  <c r="C72" i="6"/>
  <c r="D72" i="6" s="1"/>
  <c r="C73" i="6"/>
  <c r="C69" i="6"/>
  <c r="D69" i="6" s="1"/>
  <c r="G74" i="6" l="1"/>
  <c r="I74" i="6"/>
  <c r="C74" i="6"/>
  <c r="D73" i="6"/>
  <c r="D74" i="6" s="1"/>
  <c r="J12" i="1"/>
  <c r="I6" i="1"/>
  <c r="C52" i="6" l="1"/>
  <c r="J21" i="3" l="1"/>
  <c r="J18" i="1"/>
  <c r="H18" i="1"/>
  <c r="C43" i="1" s="1"/>
  <c r="H43" i="1" s="1"/>
  <c r="J8" i="6" l="1"/>
  <c r="K8" i="6" s="1"/>
  <c r="H11" i="2" l="1"/>
  <c r="B52" i="6" l="1"/>
  <c r="D52" i="6" s="1"/>
  <c r="I21" i="3"/>
  <c r="C29" i="1"/>
  <c r="G14" i="6" l="1"/>
  <c r="G13" i="6"/>
  <c r="G12" i="6"/>
  <c r="G11" i="6"/>
  <c r="G4" i="6"/>
  <c r="H4" i="6" s="1"/>
  <c r="G2" i="6"/>
  <c r="I4" i="6" l="1"/>
  <c r="D23" i="6" s="1"/>
  <c r="D21" i="8"/>
  <c r="E21" i="8" s="1"/>
  <c r="F21" i="8" s="1"/>
  <c r="G23" i="6" l="1"/>
  <c r="I23" i="6" s="1"/>
  <c r="E17" i="6"/>
  <c r="C17" i="6"/>
  <c r="H15" i="6"/>
  <c r="I15" i="6" s="1"/>
  <c r="H14" i="6"/>
  <c r="I14" i="6" s="1"/>
  <c r="E23" i="6" s="1"/>
  <c r="H5" i="6"/>
  <c r="D22" i="8" s="1"/>
  <c r="E22" i="8" s="1"/>
  <c r="F22" i="8" s="1"/>
  <c r="I5" i="6" l="1"/>
  <c r="K10" i="6"/>
  <c r="H13" i="6"/>
  <c r="I13" i="6" s="1"/>
  <c r="H12" i="6"/>
  <c r="I12" i="6" s="1"/>
  <c r="F16" i="6" l="1"/>
  <c r="H11" i="6"/>
  <c r="H18" i="6" s="1"/>
  <c r="P4" i="6"/>
  <c r="H3" i="6"/>
  <c r="R4" i="6"/>
  <c r="F17" i="6"/>
  <c r="H2" i="6"/>
  <c r="H16" i="6" s="1"/>
  <c r="E9" i="2"/>
  <c r="G9" i="2" s="1"/>
  <c r="J6" i="6" l="1"/>
  <c r="H19" i="6"/>
  <c r="D20" i="8"/>
  <c r="K13" i="6"/>
  <c r="I11" i="6"/>
  <c r="K1" i="6"/>
  <c r="I2" i="6"/>
  <c r="L5" i="6"/>
  <c r="K5" i="6"/>
  <c r="I9" i="2"/>
  <c r="I18" i="6" l="1"/>
  <c r="E22" i="6"/>
  <c r="K14" i="6"/>
  <c r="K15" i="6" s="1"/>
  <c r="I16" i="6"/>
  <c r="J17" i="6" s="1"/>
  <c r="D22" i="6"/>
  <c r="J7" i="6"/>
  <c r="I19" i="6"/>
  <c r="J19" i="6" s="1"/>
  <c r="D24" i="8"/>
  <c r="E20" i="8"/>
  <c r="F20" i="8" s="1"/>
  <c r="C3" i="5"/>
  <c r="E2" i="5"/>
  <c r="E3" i="5" s="1"/>
  <c r="G27" i="3"/>
  <c r="C27" i="3"/>
  <c r="D5" i="2"/>
  <c r="F5" i="2"/>
  <c r="C5" i="2"/>
  <c r="G4" i="2"/>
  <c r="E17" i="2"/>
  <c r="C17" i="2"/>
  <c r="G16" i="2"/>
  <c r="G17" i="2" s="1"/>
  <c r="G22" i="6" l="1"/>
  <c r="E24" i="8"/>
  <c r="F24" i="8" s="1"/>
  <c r="F31" i="8" s="1"/>
  <c r="C35" i="3"/>
  <c r="C36" i="3" s="1"/>
  <c r="B26" i="2"/>
  <c r="G2" i="5"/>
  <c r="G29" i="3"/>
  <c r="E27" i="3"/>
  <c r="F27" i="3" s="1"/>
  <c r="G5" i="2"/>
  <c r="G11" i="2" s="1"/>
  <c r="I4" i="2"/>
  <c r="F17" i="2"/>
  <c r="E5" i="2"/>
  <c r="E11" i="2" s="1"/>
  <c r="D17" i="2"/>
  <c r="E28" i="1"/>
  <c r="G28" i="1" s="1"/>
  <c r="I28" i="1" s="1"/>
  <c r="G24" i="1"/>
  <c r="I24" i="1" s="1"/>
  <c r="G25" i="1"/>
  <c r="I25" i="1" s="1"/>
  <c r="G26" i="1"/>
  <c r="I26" i="1" s="1"/>
  <c r="E27" i="1"/>
  <c r="G27" i="1" s="1"/>
  <c r="I27" i="1" s="1"/>
  <c r="G23" i="1"/>
  <c r="I23" i="1" s="1"/>
  <c r="I22" i="6" l="1"/>
  <c r="I25" i="6" s="1"/>
  <c r="G25" i="6"/>
  <c r="I46" i="6" s="1"/>
  <c r="B22" i="2"/>
  <c r="B24" i="2" s="1"/>
  <c r="I2" i="5"/>
  <c r="G3" i="5"/>
  <c r="E19" i="2"/>
  <c r="E51" i="6" s="1"/>
  <c r="D11" i="2"/>
  <c r="G19" i="2"/>
  <c r="C51" i="6"/>
  <c r="B51" i="6"/>
  <c r="D51" i="6" s="1"/>
  <c r="I11" i="2"/>
  <c r="E29" i="3"/>
  <c r="E52" i="6" s="1"/>
  <c r="G16" i="1"/>
  <c r="I16" i="1" s="1"/>
  <c r="I7" i="1"/>
  <c r="I9" i="1"/>
  <c r="I8" i="1"/>
  <c r="F21" i="3"/>
  <c r="D21" i="3"/>
  <c r="F12" i="3"/>
  <c r="G29" i="1"/>
  <c r="E29" i="1"/>
  <c r="I12" i="1" l="1"/>
  <c r="I18" i="1"/>
  <c r="C46" i="1"/>
  <c r="H46" i="1" s="1"/>
  <c r="E18" i="1"/>
  <c r="B27" i="2"/>
  <c r="C50" i="6"/>
  <c r="C53" i="6" s="1"/>
  <c r="I29" i="1"/>
  <c r="C52" i="1" s="1"/>
  <c r="B50" i="6"/>
  <c r="D29" i="1"/>
  <c r="E32" i="1" l="1"/>
  <c r="E50" i="6" s="1"/>
  <c r="E53" i="6" s="1"/>
  <c r="D2" i="6"/>
  <c r="D18" i="1"/>
  <c r="D50" i="6"/>
  <c r="I19" i="1"/>
  <c r="G18" i="1"/>
  <c r="F18" i="1" l="1"/>
  <c r="C42" i="1"/>
  <c r="G32" i="1"/>
  <c r="G39" i="1" s="1"/>
  <c r="D19" i="6"/>
  <c r="D16" i="6"/>
  <c r="D17" i="6"/>
  <c r="G19" i="1"/>
  <c r="H19" i="1"/>
  <c r="D53" i="6"/>
  <c r="B53" i="6"/>
  <c r="F20" i="1"/>
  <c r="C47" i="1" l="1"/>
  <c r="H47" i="1" s="1"/>
  <c r="C44" i="1"/>
  <c r="H44" i="1" s="1"/>
  <c r="H42" i="1"/>
  <c r="J42" i="1" s="1"/>
  <c r="C51" i="1"/>
  <c r="C53" i="1"/>
  <c r="D52" i="1" l="1"/>
  <c r="D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Ragland-Greene, Rachelle - FNS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  <comment ref="I2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these are the changes due to rulemaking which are the new hours needed for the start-up</t>
        </r>
      </text>
    </comment>
    <comment ref="H3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Ragland-Greene, Rachelle - FNS</author>
  </authors>
  <commentList>
    <comment ref="H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  <comment ref="C19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Jan 8 2021 - this should be 53 States agencies
tiff 4-14-23: updated</t>
        </r>
      </text>
    </comment>
    <comment ref="H2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tc={7CC5A6E7-0B48-4711-8153-79A6A22F828B}</author>
  </authors>
  <commentList>
    <comment ref="D8" authorId="0" shapeId="0" xr:uid="{7CC5A6E7-0B48-4711-8153-79A6A22F828B}">
      <text>
        <t>[Threaded comment]
Your version of Excel allows you to read this threaded comment; however, any edits to it will get removed if the file is opened in a newer version of Excel. Learn more: https://go.microsoft.com/fwlink/?linkid=870924
Comment:
    page 80 of rule PRA section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Ragland-Greene, Rachelle - FNS</author>
  </authors>
  <commentList>
    <comment ref="C1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1058-53=1005 it appears to be some double counting of SA we should only account for SA Director 53 + the 634 SA reviewers trained on FNS 380 and the 371 SA reviewers train on FNS 380-1 once.
Tiff comment: 
It's not- these 263 do not need training on snapqcs for the 380 or the 380-1, the 371 need training on snapqcs for both the 380 and 381
</t>
        </r>
      </text>
    </comment>
  </commentList>
</comments>
</file>

<file path=xl/sharedStrings.xml><?xml version="1.0" encoding="utf-8"?>
<sst xmlns="http://schemas.openxmlformats.org/spreadsheetml/2006/main" count="542" uniqueCount="308">
  <si>
    <t>Reporting Burden for State Agencies FNS 380, OMB 0584-0074</t>
  </si>
  <si>
    <t>Reg. Section</t>
  </si>
  <si>
    <t>Description of Activity</t>
  </si>
  <si>
    <t xml:space="preserve"> Estimated Number of Respondents </t>
  </si>
  <si>
    <t xml:space="preserve">Estimated responses per respondent </t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</si>
  <si>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Total Annual responses</t>
    </r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</si>
  <si>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Number of Burden Hours Per Response </t>
    </r>
  </si>
  <si>
    <r>
      <rPr>
        <b/>
        <sz val="10"/>
        <color rgb="FFFF0000"/>
        <rFont val="Times New Roman"/>
        <family val="1"/>
      </rPr>
      <t>REVISED</t>
    </r>
    <r>
      <rPr>
        <sz val="8"/>
        <color rgb="FFFF0000"/>
        <rFont val="Calibri"/>
        <family val="2"/>
        <scheme val="minor"/>
      </rPr>
      <t> </t>
    </r>
    <r>
      <rPr>
        <b/>
        <sz val="10"/>
        <color theme="1"/>
        <rFont val="Times New Roman"/>
        <family val="1"/>
      </rPr>
      <t xml:space="preserve"> Estimated Total Burden Hours </t>
    </r>
  </si>
  <si>
    <t>Previous Submission Total Hours</t>
  </si>
  <si>
    <t>Difference Due to Program Changes</t>
  </si>
  <si>
    <t>Difference Due to Adjustments</t>
  </si>
  <si>
    <t>275.2(c)(1)(v)</t>
  </si>
  <si>
    <t>Notification to discuss individual cases</t>
  </si>
  <si>
    <t>275.12 (b)</t>
  </si>
  <si>
    <t>Household Case Record Review</t>
  </si>
  <si>
    <t>275.12 (c)</t>
  </si>
  <si>
    <t>Field investigation</t>
  </si>
  <si>
    <t>275.12 (c)(1)</t>
  </si>
  <si>
    <t>Personal interviews</t>
  </si>
  <si>
    <t>275.12 (d)(1)</t>
  </si>
  <si>
    <t>Variance identification</t>
  </si>
  <si>
    <t>275.12 (e)</t>
  </si>
  <si>
    <t>Error analysis</t>
  </si>
  <si>
    <t>275.12 (f)</t>
  </si>
  <si>
    <t>Reporting of review findings</t>
  </si>
  <si>
    <t>n/a</t>
  </si>
  <si>
    <t>275.12 (d)(3)</t>
  </si>
  <si>
    <t>Reporting all variances to Local offices</t>
  </si>
  <si>
    <t>Sub Total Reporting Burden</t>
  </si>
  <si>
    <t>Recordkeeping Burden for State Agencies FNS 380, OMB 0584-0074</t>
  </si>
  <si>
    <t>FNS 380 Recordkeeping</t>
  </si>
  <si>
    <t>Record Retention</t>
  </si>
  <si>
    <t>Grand Total Reporting &amp; Recordkeeping Burden</t>
  </si>
  <si>
    <t>Reporting Burden Hours for State Agencies FNS 380, OMB 0584-0074  STARTUP Hours First Year Only</t>
  </si>
  <si>
    <t xml:space="preserve">Estimated Number of Respondents </t>
  </si>
  <si>
    <t>Startup Annual responses</t>
  </si>
  <si>
    <t xml:space="preserve">Startup Number of Burden Hours Per Response </t>
  </si>
  <si>
    <t xml:space="preserve">Startup Estimated Total Burden Hours </t>
  </si>
  <si>
    <t>Previously Submission Total Burden</t>
  </si>
  <si>
    <t>Differences Due to Program Changes</t>
  </si>
  <si>
    <t>Differences Due to Adjustments</t>
  </si>
  <si>
    <t>Reporting findings to Local offices</t>
  </si>
  <si>
    <t xml:space="preserve">Training State Agency QC reviewers on New Actives Process only </t>
  </si>
  <si>
    <t>275.12 and 275.21 (b)(1)</t>
  </si>
  <si>
    <t>Train reviewers  on New Actives Process AND train new SNAPQCS users (reviewers) how to use SNAPQCS for 380</t>
  </si>
  <si>
    <t>Grand Total STARTUP Hours Reporting Burden Only</t>
  </si>
  <si>
    <r>
      <t xml:space="preserve">* burden changes associated with rulemaking identified in </t>
    </r>
    <r>
      <rPr>
        <sz val="11"/>
        <color rgb="FF0070C0"/>
        <rFont val="Calibri"/>
        <family val="2"/>
        <scheme val="minor"/>
      </rPr>
      <t>blue.</t>
    </r>
  </si>
  <si>
    <t>Estimated responses per respondent</t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</si>
  <si>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Estimated Total Burden Hours </t>
    </r>
  </si>
  <si>
    <t>Personal Interviews-Individuals or Households</t>
  </si>
  <si>
    <t>Individuals &amp; Households Grand Total Reporting Burden Hours</t>
  </si>
  <si>
    <t>Ongoing revised total</t>
  </si>
  <si>
    <t>Ongoing previous</t>
  </si>
  <si>
    <t>Ongoing Difference</t>
  </si>
  <si>
    <t>Startup</t>
  </si>
  <si>
    <t>1st year grand total</t>
  </si>
  <si>
    <t>rev ong gr ttl</t>
  </si>
  <si>
    <t>startup ttl</t>
  </si>
  <si>
    <t>1st yr grand ttl</t>
  </si>
  <si>
    <t>CURRENTLY APPROVED BURDEN HOURS REFLECTING THE *DIFFERENCE DUE TO RULEMAKING.  THE DIFFERENCE IS WHAT NEEDS TO BE REQUESTED TO ADD TO THE CURRENT OMB CONTROL NUMBERS &amp; MERGED INTO THE CURRENTLY APPROVED COLLECTION</t>
  </si>
  <si>
    <t>rule related revised ongoing</t>
  </si>
  <si>
    <t>rule relatedNew startup</t>
  </si>
  <si>
    <t>ESTIMATED TOTAL NO. RESPONDENTS</t>
  </si>
  <si>
    <t>ESTIMATED AVERAGE NO. RESPONSES PER RESPONDENT</t>
  </si>
  <si>
    <t>ESTIMATED TOTAL ANNUAL RESPONSES</t>
  </si>
  <si>
    <t>ESTIMATED AVERAGE HOURS PER RESPONSE</t>
  </si>
  <si>
    <t>ESTIMATED TOTAL ANNUAL BURDEN HOURS REQUIRED TO CARRY OUT ACTIVITIES</t>
  </si>
  <si>
    <t>CURRENT OMB INVENTORY IN 0584-0074</t>
  </si>
  <si>
    <t>CURRENT OMB INVENTORY 0584-0299</t>
  </si>
  <si>
    <t>*DIFFERENCE DUE TO RULEMAKING</t>
  </si>
  <si>
    <t>CURRENT OMB INVENTORY 0584-0303</t>
  </si>
  <si>
    <t xml:space="preserve">Estimated Total Difference due to rulemaking  needed to be added to existing OMB control Nos. </t>
  </si>
  <si>
    <t>Estimated Total Start-up burden hours for OMB Control Nos. 0074; 0299 &amp; 0303</t>
  </si>
  <si>
    <t>FNS 380</t>
  </si>
  <si>
    <t>FNS 380-1</t>
  </si>
  <si>
    <t>FNS 380-1 Reporting for State Agencies OMB Control Number 0584-0299</t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</si>
  <si>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Total Annual responses</t>
    </r>
  </si>
  <si>
    <r>
      <rPr>
        <b/>
        <sz val="10"/>
        <color rgb="FFFF0000"/>
        <rFont val="Times New Roman"/>
        <family val="1"/>
      </rPr>
      <t xml:space="preserve">Revised </t>
    </r>
    <r>
      <rPr>
        <b/>
        <sz val="10"/>
        <color theme="1"/>
        <rFont val="Times New Roman"/>
        <family val="1"/>
      </rPr>
      <t xml:space="preserve">Number of Burden Hours Per Response </t>
    </r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</si>
  <si>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Estimated Total </t>
    </r>
    <r>
      <rPr>
        <b/>
        <sz val="10"/>
        <color rgb="FFFF0000"/>
        <rFont val="Times New Roman"/>
        <family val="1"/>
      </rPr>
      <t>Annual</t>
    </r>
    <r>
      <rPr>
        <b/>
        <sz val="10"/>
        <color theme="1"/>
        <rFont val="Times New Roman"/>
        <family val="1"/>
      </rPr>
      <t xml:space="preserve"> Burden Hours </t>
    </r>
  </si>
  <si>
    <t>275.12(f)</t>
  </si>
  <si>
    <t>Reporting of Review Findings</t>
  </si>
  <si>
    <t>Grand Total Reporting Burden Hours Only</t>
  </si>
  <si>
    <t>FNS 380-1 Recordkeeping ongoing</t>
  </si>
  <si>
    <t xml:space="preserve"> Annual responses</t>
  </si>
  <si>
    <t xml:space="preserve">Ongoing Number of Burden Hours Per Response </t>
  </si>
  <si>
    <r>
      <t xml:space="preserve"> Number of </t>
    </r>
    <r>
      <rPr>
        <b/>
        <sz val="10"/>
        <color rgb="FFFF0000"/>
        <rFont val="Times New Roman"/>
        <family val="1"/>
      </rPr>
      <t xml:space="preserve">Annual </t>
    </r>
    <r>
      <rPr>
        <b/>
        <sz val="10"/>
        <color theme="1"/>
        <rFont val="Times New Roman"/>
        <family val="1"/>
      </rPr>
      <t xml:space="preserve">Burden Hours Per Response </t>
    </r>
  </si>
  <si>
    <t>Grand Total Affected Public</t>
  </si>
  <si>
    <t>FNS 380-1 Reporting for State Agencies OMB Control Number 0584-0299 STARTUP First Year Only</t>
  </si>
  <si>
    <r>
      <t xml:space="preserve">Startup Number of </t>
    </r>
    <r>
      <rPr>
        <b/>
        <sz val="10"/>
        <color rgb="FFFF0000"/>
        <rFont val="Times New Roman"/>
        <family val="1"/>
      </rPr>
      <t xml:space="preserve">Annual </t>
    </r>
    <r>
      <rPr>
        <b/>
        <sz val="10"/>
        <color theme="1"/>
        <rFont val="Times New Roman"/>
        <family val="1"/>
      </rPr>
      <t xml:space="preserve">Burden Hours Per Response </t>
    </r>
  </si>
  <si>
    <t>275.21 (b)(1)</t>
  </si>
  <si>
    <r>
      <t>Train new State agency reviewers how to use SNAPQCS for 380-1</t>
    </r>
    <r>
      <rPr>
        <b/>
        <sz val="8"/>
        <color rgb="FF0070C0"/>
        <rFont val="Calibri"/>
        <family val="2"/>
        <scheme val="minor"/>
      </rPr>
      <t> </t>
    </r>
  </si>
  <si>
    <t>275 Regs Reporting OMB 0584-0303</t>
  </si>
  <si>
    <t>275.11(a)(1)-(a)(2)</t>
  </si>
  <si>
    <t>Sampling Plan</t>
  </si>
  <si>
    <t>275.2(c)(4)</t>
  </si>
  <si>
    <t>Arbitration Process</t>
  </si>
  <si>
    <t>273.23(f)</t>
  </si>
  <si>
    <t>Good Cause Process</t>
  </si>
  <si>
    <t>275.23(h)</t>
  </si>
  <si>
    <t>New Investment Plan Template Form FNS 74 A</t>
  </si>
  <si>
    <t>275.23(h)(4)</t>
  </si>
  <si>
    <t>New Investment Progress Report Template Form FNS 74 B</t>
  </si>
  <si>
    <t>SUB-TOTAL REPORTING BURDEN</t>
  </si>
  <si>
    <t>275 Recordkeeping OMB 0584-0303</t>
  </si>
  <si>
    <t>Arbitration Process
Record Retention</t>
  </si>
  <si>
    <t>Good Cause Process
Record Retention</t>
  </si>
  <si>
    <t>New Investment Plan Template Form FNS 74 A
Record Retention</t>
  </si>
  <si>
    <t>New Investment Progress Report Template Form FNS 74 B
Record Retention</t>
  </si>
  <si>
    <t>Recordkeeping Total</t>
  </si>
  <si>
    <t>Grand Total REPORTING &amp; RECORDKEEPING</t>
  </si>
  <si>
    <t xml:space="preserve">275 Regs Reporting STARTUP OMB CONTROL NUMBER 0584-0303 </t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</si>
  <si>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>Total Annual responses</t>
    </r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</si>
  <si>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Number of Burden Hours Per Response </t>
    </r>
  </si>
  <si>
    <t>Implement new sampling plan</t>
  </si>
  <si>
    <t xml:space="preserve">Grand Total Reporting Burden </t>
  </si>
  <si>
    <t>Form or Citation</t>
  </si>
  <si>
    <t>Description of Activity (Ongoing or Start up)</t>
  </si>
  <si>
    <t>Annual responses</t>
  </si>
  <si>
    <t xml:space="preserve">Number of Burden Hours Per Response </t>
  </si>
  <si>
    <t xml:space="preserve">Estimated Total Burden Hours </t>
  </si>
  <si>
    <t>Hourly Wage Rate (50% for State agency Staff)</t>
  </si>
  <si>
    <t>Total Respondent Cost</t>
  </si>
  <si>
    <t xml:space="preserve">Total Cost plus Fringe Benefit Adjustment 
(respondent cost + 33%)
</t>
  </si>
  <si>
    <t>380 SA</t>
  </si>
  <si>
    <t>Ongoing</t>
  </si>
  <si>
    <t>includes SA and I/H totals 53 SA + 59,146 I/H - it is more helpful if you delinated the SA burden from the households burden</t>
  </si>
  <si>
    <t>380 I/H</t>
  </si>
  <si>
    <t>ongoing</t>
  </si>
  <si>
    <t>380-1</t>
  </si>
  <si>
    <t>ongoing all</t>
  </si>
  <si>
    <t>SA all ongoing</t>
  </si>
  <si>
    <t xml:space="preserve">startup all </t>
  </si>
  <si>
    <t>hh</t>
  </si>
  <si>
    <t>*mean social work salary</t>
  </si>
  <si>
    <t>https://www.bls.gov/oes/2021/may/oes_nat.htm</t>
  </si>
  <si>
    <t>*mean stastician salary</t>
  </si>
  <si>
    <t>*mean General and Operations Managers</t>
  </si>
  <si>
    <t>households</t>
  </si>
  <si>
    <t>GS 12/6</t>
  </si>
  <si>
    <t>SALARY TABLE 2022-GS (opm.gov)</t>
  </si>
  <si>
    <t xml:space="preserve"> revised est</t>
  </si>
  <si>
    <t>380 SA Staff train on Review process</t>
  </si>
  <si>
    <t>revise est.</t>
  </si>
  <si>
    <t>380 SA Staff train on Review process and SNAPQCS</t>
  </si>
  <si>
    <t>380-1 SA Staff for SNAPQCS</t>
  </si>
  <si>
    <t>275 Regulations</t>
  </si>
  <si>
    <t>GRAND TOTAL REPORTING AND RECORDKEEPING BURDEN For Rule</t>
  </si>
  <si>
    <t>this will automatically update if the numbers above changes</t>
  </si>
  <si>
    <t>Worksheet</t>
  </si>
  <si>
    <t>Printing Costs</t>
  </si>
  <si>
    <t>Est. Costs Fed Staff Drafting, Reviewing &amp; Approving</t>
  </si>
  <si>
    <t>Fed share of State Startup  costs</t>
  </si>
  <si>
    <t>Automated System Costs 
(incl. Monitoring)</t>
  </si>
  <si>
    <t>Est. Total Federal Costs</t>
  </si>
  <si>
    <t>Est.  Federal Costs</t>
  </si>
  <si>
    <t>Requirement- Regional Offices</t>
  </si>
  <si>
    <t>Total Responses Per Year</t>
  </si>
  <si>
    <t>Hrs Per Response</t>
  </si>
  <si>
    <t>Regional Office Respondents per Response</t>
  </si>
  <si>
    <t>Regional Ofc Salary
GS 11/2</t>
  </si>
  <si>
    <t>Regional Office Salary Costs</t>
  </si>
  <si>
    <t>Fringe benefits (33%)</t>
  </si>
  <si>
    <t>TOTAL salary</t>
  </si>
  <si>
    <t>Arbitration</t>
  </si>
  <si>
    <t>Good Cause</t>
  </si>
  <si>
    <t>New Investment Plan Template
74B</t>
  </si>
  <si>
    <t>Total R.O Salary Costs</t>
  </si>
  <si>
    <t>Requirement- National Office</t>
  </si>
  <si>
    <t>National Office Respondents per Response</t>
  </si>
  <si>
    <t>National Ofc Salary
GS 12/2
(14/1 for arbitrator )</t>
  </si>
  <si>
    <t>National Office Base Salary Costs</t>
  </si>
  <si>
    <t>New Investment Plan  Form FNS 74 A</t>
  </si>
  <si>
    <t>New Investment Plan  Form FNS 74 B</t>
  </si>
  <si>
    <t>Total N.O Salary Costs</t>
  </si>
  <si>
    <t>grand total w/fringe</t>
  </si>
  <si>
    <t>Differences</t>
  </si>
  <si>
    <t>reporting hours</t>
  </si>
  <si>
    <t>recordkeeping hours</t>
  </si>
  <si>
    <t>totals</t>
  </si>
  <si>
    <t>responses</t>
  </si>
  <si>
    <t>fringe</t>
  </si>
  <si>
    <t xml:space="preserve"> both</t>
  </si>
  <si>
    <t>startup</t>
  </si>
  <si>
    <t>275 Sampling Regulations</t>
  </si>
  <si>
    <t>275 Sampling Regulations-attestation</t>
  </si>
  <si>
    <t>First Year costs</t>
  </si>
  <si>
    <t>Requirement</t>
  </si>
  <si>
    <t>Hrs Per Response for Feds to review/</t>
  </si>
  <si>
    <t>Regional Ofc hrly Salary</t>
  </si>
  <si>
    <t>Annual Hours for Responses</t>
  </si>
  <si>
    <t>Annualized cost for Federal oversight</t>
  </si>
  <si>
    <t xml:space="preserve">Fed Share of State Costs ongoing </t>
  </si>
  <si>
    <t>Fed Share of State Costs startup</t>
  </si>
  <si>
    <t>Est. Total</t>
  </si>
  <si>
    <t>approve</t>
  </si>
  <si>
    <t>fully loaded</t>
  </si>
  <si>
    <t>(fully loaded)</t>
  </si>
  <si>
    <t>Federal Costs</t>
  </si>
  <si>
    <t>Sampling Plans</t>
  </si>
  <si>
    <t xml:space="preserve">Est. Costs Fed Staff Drafting, </t>
  </si>
  <si>
    <t xml:space="preserve">Fed Share </t>
  </si>
  <si>
    <t xml:space="preserve">Startup associated </t>
  </si>
  <si>
    <t xml:space="preserve">Automated </t>
  </si>
  <si>
    <t xml:space="preserve">Est. Total </t>
  </si>
  <si>
    <t>Reviewing &amp; Approving</t>
  </si>
  <si>
    <t>of State Costs</t>
  </si>
  <si>
    <t>costs</t>
  </si>
  <si>
    <t>System Costs</t>
  </si>
  <si>
    <t xml:space="preserve">(incl. </t>
  </si>
  <si>
    <t>Monitoring)</t>
  </si>
  <si>
    <t>ACTIVITY</t>
  </si>
  <si>
    <t xml:space="preserve">TOTAL ANNUAL RESPONSES </t>
  </si>
  <si>
    <t xml:space="preserve">TOTAL BURDEN HOURS </t>
  </si>
  <si>
    <t>Estimated Annual Frequency of Responses</t>
  </si>
  <si>
    <t>380-1 SA</t>
  </si>
  <si>
    <t>275 Regulations  SA</t>
  </si>
  <si>
    <t>380 SA Stafftraining on Review process</t>
  </si>
  <si>
    <t>380 SA Staff training on Review process and SNAPQCS</t>
  </si>
  <si>
    <t>275 Regulations SA</t>
  </si>
  <si>
    <t>Use of 3rd Party Contractors-Notification of intent to hire</t>
  </si>
  <si>
    <t>Use of 3rd Party Contractors-Submission of signed contract and tasks</t>
  </si>
  <si>
    <t>Use of 3rd Party Contractors-Submission of completed deliverables</t>
  </si>
  <si>
    <t>Use of 3rd Party Contractors-Notification of training sessions</t>
  </si>
  <si>
    <t>275.2(c)(1)(i)</t>
  </si>
  <si>
    <t>275.2(c)(1)(ii)</t>
  </si>
  <si>
    <t>275.2(c)(1)(iii)</t>
  </si>
  <si>
    <t>275.2(c)(1)(iv)</t>
  </si>
  <si>
    <t>rounding</t>
  </si>
  <si>
    <t>Estimates of Annualized Cost to Federal Government</t>
  </si>
  <si>
    <t>Activities</t>
  </si>
  <si>
    <t>Hours Spent on Collection</t>
  </si>
  <si>
    <t>Costs or Hourly Wage Rage</t>
  </si>
  <si>
    <t xml:space="preserve"> Cost</t>
  </si>
  <si>
    <t>Fringe Benefits Cost for Staff (0.33)</t>
  </si>
  <si>
    <t>Overall Base Cost w/ Fringe Benefits for Staff</t>
  </si>
  <si>
    <t>Reporting and Recordkeeping Cost for AE79 OMB 0584-new</t>
  </si>
  <si>
    <t>.Program Analyst GS 13 Step 1 Estimates of Annualized Cost to Federal Government for drafting, reviewing &amp; approving ICR</t>
  </si>
  <si>
    <t>Program Branch Chief Estimates of Annualized Cost to Federal Government for drafting, reviewing &amp; approving ICR 14.1</t>
  </si>
  <si>
    <t>Program Division Director Estimates of Annualized Cost to Federal Government for drafting, reviewing &amp; approving ICR 15.1</t>
  </si>
  <si>
    <t>14/1</t>
  </si>
  <si>
    <t>15/1</t>
  </si>
  <si>
    <t>13/1</t>
  </si>
  <si>
    <t>12 step1</t>
  </si>
  <si>
    <t>4. 380-1 Regional Federal Staff (GS 12 Step 6)</t>
  </si>
  <si>
    <t>4. 380 Regional Federal Staff (GS 12 Step 6)</t>
  </si>
  <si>
    <t>#fed cases reviewed 2019</t>
  </si>
  <si>
    <t>#est fed reviews for rule</t>
  </si>
  <si>
    <t>recordkeeping</t>
  </si>
  <si>
    <t>380-1 review</t>
  </si>
  <si>
    <t>Automated system costs 380&amp;380-1</t>
  </si>
  <si>
    <t>50% state costs-380</t>
  </si>
  <si>
    <t>50% state costs- 380-1</t>
  </si>
  <si>
    <t>50% state costs- 275</t>
  </si>
  <si>
    <t>Sampling Plan
Record Retention</t>
  </si>
  <si>
    <t>50% state costs-380 STARTUP</t>
  </si>
  <si>
    <t>50% state costs- 380-1 STARTUP</t>
  </si>
  <si>
    <t>50% state costs- 275 STARTUP</t>
  </si>
  <si>
    <t>380-1 Regional Federal Staff (GS 12 Step 6)</t>
  </si>
  <si>
    <t>380 Regional Federal Staff (GS 12 Step 6)</t>
  </si>
  <si>
    <t xml:space="preserve">275 Regional Federal Staff </t>
  </si>
  <si>
    <t>oversight/review state submission</t>
  </si>
  <si>
    <t>275 Regional Federal Staff (GS 12 Step 6)</t>
  </si>
  <si>
    <t>SA GRAND TOTAL REPORTING AND RECORDKEEPING BURDEN For Rule</t>
  </si>
  <si>
    <t>Fed Grand Total Cost to Government</t>
  </si>
  <si>
    <t xml:space="preserve"> burden-feds</t>
  </si>
  <si>
    <t xml:space="preserve"> Total Annual responses</t>
  </si>
  <si>
    <t xml:space="preserve"> Number of Burden Hours Per Response </t>
  </si>
  <si>
    <t xml:space="preserve"> Estimated Total Burden Hours </t>
  </si>
  <si>
    <t>Cost to Fed Govt</t>
  </si>
  <si>
    <t>h</t>
  </si>
  <si>
    <t>fringe startup</t>
  </si>
  <si>
    <t>only fringe</t>
  </si>
  <si>
    <t>Est. cost Fed Staff Drafting, Reviewing &amp; Approving</t>
  </si>
  <si>
    <t>Fed Share of State ongoing Costs</t>
  </si>
  <si>
    <t>d .Program Analyst GS 13 Step 1 Estimates of Annualized Cost to Federal Government for drafting, reviewing &amp; approving RULE</t>
  </si>
  <si>
    <t>e. Program Branch Chief Estimates of Annualized Cost to Federal Government for drafting, reviewing &amp; approving RULE</t>
  </si>
  <si>
    <t>f. Program Division Director Estimates of Annualized Cost to Federal Government for drafting, reviewing &amp; approving RULE</t>
  </si>
  <si>
    <t>h. Program Branch Chief Estimates of Annualized Cost to Federal Government for Implementing rule</t>
  </si>
  <si>
    <t>a .Program Analyst GS 13 Step 1 Estimates of Annualized Cost to Federal Government for drafting, reviewing &amp; approving ICR</t>
  </si>
  <si>
    <t>b. Program Branch Chief Estimates of Annualized Cost to Federal Government for drafting, reviewing &amp; approving ICR</t>
  </si>
  <si>
    <t>c. Program Division Director Estimates of Annualized Cost to Federal Government for drafting, reviewing &amp; approving ICR</t>
  </si>
  <si>
    <t>12/2</t>
  </si>
  <si>
    <t>a .60 regional office Program Analyst GS 12 Step 2 Estimates of Annualized Cost to Federal Government for being trained on new rule provisions (80hrs)</t>
  </si>
  <si>
    <t>no icr</t>
  </si>
  <si>
    <t>no rule</t>
  </si>
  <si>
    <t>no implemtnt</t>
  </si>
  <si>
    <t>g .Program Analyst GS 13 Step 1 Estimates of Annualized Cost to Federal Government for Implementing rule (12 staff@ 522 ea)</t>
  </si>
  <si>
    <t>0074</t>
  </si>
  <si>
    <t>0299</t>
  </si>
  <si>
    <t>0303</t>
  </si>
  <si>
    <t>Appendix C- OMB 0584-NEW for AE79- Burden Charts</t>
  </si>
  <si>
    <t>380 recordkeeping</t>
  </si>
  <si>
    <t>380 reporting ongoing</t>
  </si>
  <si>
    <t>hh reporting ongoing</t>
  </si>
  <si>
    <t>380 startup reporting</t>
  </si>
  <si>
    <t>380-1reporting ongoing</t>
  </si>
  <si>
    <t>380-1 ongoing recordkeeping</t>
  </si>
  <si>
    <t>380-1 startup</t>
  </si>
  <si>
    <t>275 reporting ongoing</t>
  </si>
  <si>
    <t>275 recordkeeping</t>
  </si>
  <si>
    <t>275 startup</t>
  </si>
  <si>
    <t>w/o hh</t>
  </si>
  <si>
    <t>OMB Control Number 0074; EXPIRES 07/31/2025</t>
  </si>
  <si>
    <t>OMB Control Number 0299 exp 09/30/2026</t>
  </si>
  <si>
    <t>OMB Control Number 0303 exp 07/31/2025</t>
  </si>
  <si>
    <t>current</t>
  </si>
  <si>
    <t>these charts updated 1/26/2024</t>
  </si>
  <si>
    <t>total rule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</si>
</sst>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#,##0.000000"/>
    <numFmt numFmtId="166" formatCode="#,##0.0000"/>
    <numFmt numFmtId="167" formatCode="&quot;$&quot;#,##0.00"/>
    <numFmt numFmtId="168" formatCode="#,##0.000_);\(#,##0.000\)"/>
    <numFmt numFmtId="169" formatCode="#,##0.0000_);\(#,##0.0000\)"/>
    <numFmt numFmtId="170" formatCode="_(* #,##0.00_);_(* \(#,##0.00\);_(* &quot;-&quot;_);_(@_)"/>
    <numFmt numFmtId="171" formatCode="#,##0.00000_);\(#,##0.00000\)"/>
    <numFmt numFmtId="172" formatCode="#,##0.000000_);\(#,##0.000000\)"/>
    <numFmt numFmtId="173" formatCode="0.0000000"/>
    <numFmt numFmtId="174" formatCode="_(* #,##0.00000_);_(* \(#,##0.00000\);_(* &quot;-&quot;?????_);_(@_)"/>
  </numFmts>
  <fonts count="4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color rgb="FF0070C0"/>
      <name val="Times New Roman"/>
      <family val="1"/>
    </font>
    <font>
      <b/>
      <sz val="11"/>
      <color rgb="FF0070C0"/>
      <name val="Calibri"/>
      <family val="2"/>
      <scheme val="minor"/>
    </font>
    <font>
      <sz val="10"/>
      <color rgb="FF0070C0"/>
      <name val="Times New Roman"/>
      <family val="1"/>
    </font>
    <font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70C0"/>
      <name val="Times New Roman"/>
      <family val="1"/>
    </font>
    <font>
      <sz val="8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theme="1"/>
      <name val="Arial"/>
      <family val="2"/>
    </font>
    <font>
      <sz val="10"/>
      <color rgb="FFFF0000"/>
      <name val="Times New Roman"/>
      <family val="1"/>
    </font>
    <font>
      <sz val="8"/>
      <name val="Calibri"/>
      <family val="2"/>
      <scheme val="minor"/>
    </font>
    <font>
      <sz val="11"/>
      <color rgb="FF0070C0"/>
      <name val="Times New Roman"/>
      <family val="1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2"/>
      <color rgb="FF00B0F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Down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theme="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Grid">
        <fgColor theme="5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2" xfId="0" applyBorder="1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3" fontId="3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3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" fillId="0" borderId="0" xfId="0" applyNumberFormat="1" applyFont="1" applyAlignment="1">
      <alignment horizontal="left" vertical="center" wrapText="1"/>
    </xf>
    <xf numFmtId="0" fontId="8" fillId="0" borderId="0" xfId="0" applyFont="1"/>
    <xf numFmtId="0" fontId="11" fillId="0" borderId="4" xfId="0" applyFont="1" applyBorder="1" applyAlignment="1">
      <alignment horizontal="left" vertical="top" wrapText="1"/>
    </xf>
    <xf numFmtId="0" fontId="7" fillId="0" borderId="0" xfId="0" applyFont="1"/>
    <xf numFmtId="3" fontId="7" fillId="5" borderId="2" xfId="0" applyNumberFormat="1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5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2" xfId="0" applyFont="1" applyBorder="1"/>
    <xf numFmtId="0" fontId="1" fillId="0" borderId="4" xfId="0" applyFont="1" applyBorder="1"/>
    <xf numFmtId="0" fontId="10" fillId="0" borderId="2" xfId="1" applyNumberFormat="1" applyFont="1" applyBorder="1" applyAlignment="1">
      <alignment horizontal="left"/>
    </xf>
    <xf numFmtId="1" fontId="10" fillId="5" borderId="2" xfId="1" applyNumberFormat="1" applyFont="1" applyFill="1" applyBorder="1" applyAlignment="1">
      <alignment horizontal="left"/>
    </xf>
    <xf numFmtId="164" fontId="10" fillId="5" borderId="2" xfId="1" applyNumberFormat="1" applyFont="1" applyFill="1" applyBorder="1" applyAlignment="1">
      <alignment horizontal="left"/>
    </xf>
    <xf numFmtId="4" fontId="1" fillId="0" borderId="2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 applyAlignment="1">
      <alignment vertical="center" wrapText="1"/>
    </xf>
    <xf numFmtId="3" fontId="12" fillId="0" borderId="2" xfId="0" applyNumberFormat="1" applyFont="1" applyBorder="1" applyAlignment="1">
      <alignment wrapText="1"/>
    </xf>
    <xf numFmtId="2" fontId="12" fillId="0" borderId="2" xfId="0" applyNumberFormat="1" applyFont="1" applyBorder="1" applyAlignment="1">
      <alignment wrapText="1"/>
    </xf>
    <xf numFmtId="0" fontId="12" fillId="7" borderId="2" xfId="0" applyFont="1" applyFill="1" applyBorder="1" applyAlignment="1">
      <alignment wrapText="1"/>
    </xf>
    <xf numFmtId="0" fontId="15" fillId="0" borderId="2" xfId="0" applyFont="1" applyBorder="1" applyAlignment="1">
      <alignment wrapText="1"/>
    </xf>
    <xf numFmtId="4" fontId="0" fillId="0" borderId="2" xfId="0" applyNumberFormat="1" applyBorder="1" applyAlignment="1">
      <alignment vertical="center" wrapText="1"/>
    </xf>
    <xf numFmtId="166" fontId="3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left" vertical="center" wrapText="1"/>
    </xf>
    <xf numFmtId="167" fontId="16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3" fontId="11" fillId="8" borderId="2" xfId="0" applyNumberFormat="1" applyFont="1" applyFill="1" applyBorder="1" applyAlignment="1">
      <alignment horizontal="left" vertical="center" wrapText="1"/>
    </xf>
    <xf numFmtId="4" fontId="11" fillId="8" borderId="2" xfId="0" applyNumberFormat="1" applyFont="1" applyFill="1" applyBorder="1" applyAlignment="1">
      <alignment horizontal="left" vertical="center" wrapText="1"/>
    </xf>
    <xf numFmtId="6" fontId="8" fillId="0" borderId="2" xfId="0" applyNumberFormat="1" applyFont="1" applyBorder="1" applyAlignment="1">
      <alignment vertical="center" wrapText="1"/>
    </xf>
    <xf numFmtId="8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6" fontId="8" fillId="0" borderId="4" xfId="0" applyNumberFormat="1" applyFont="1" applyBorder="1" applyAlignment="1">
      <alignment vertical="center" wrapText="1"/>
    </xf>
    <xf numFmtId="8" fontId="8" fillId="0" borderId="4" xfId="0" applyNumberFormat="1" applyFont="1" applyBorder="1" applyAlignment="1">
      <alignment vertical="center" wrapText="1"/>
    </xf>
    <xf numFmtId="6" fontId="8" fillId="0" borderId="29" xfId="0" applyNumberFormat="1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7" fillId="0" borderId="0" xfId="2" applyAlignment="1">
      <alignment horizontal="left"/>
    </xf>
    <xf numFmtId="0" fontId="8" fillId="0" borderId="0" xfId="0" applyFont="1" applyAlignment="1">
      <alignment vertical="center" wrapText="1"/>
    </xf>
    <xf numFmtId="8" fontId="4" fillId="0" borderId="0" xfId="0" applyNumberFormat="1" applyFont="1" applyAlignment="1">
      <alignment horizontal="left"/>
    </xf>
    <xf numFmtId="0" fontId="8" fillId="0" borderId="0" xfId="0" applyFont="1" applyAlignment="1">
      <alignment wrapText="1"/>
    </xf>
    <xf numFmtId="4" fontId="16" fillId="0" borderId="4" xfId="0" applyNumberFormat="1" applyFont="1" applyBorder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/>
    <xf numFmtId="3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/>
    <xf numFmtId="0" fontId="4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167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4" fontId="0" fillId="0" borderId="0" xfId="0" applyNumberFormat="1"/>
    <xf numFmtId="3" fontId="0" fillId="0" borderId="0" xfId="0" applyNumberFormat="1" applyAlignment="1">
      <alignment horizontal="left"/>
    </xf>
    <xf numFmtId="164" fontId="0" fillId="0" borderId="0" xfId="0" applyNumberFormat="1"/>
    <xf numFmtId="3" fontId="0" fillId="0" borderId="0" xfId="0" applyNumberFormat="1"/>
    <xf numFmtId="3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167" fontId="16" fillId="0" borderId="4" xfId="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167" fontId="16" fillId="0" borderId="37" xfId="0" applyNumberFormat="1" applyFont="1" applyBorder="1" applyAlignment="1">
      <alignment horizontal="left" vertical="center" wrapText="1"/>
    </xf>
    <xf numFmtId="8" fontId="3" fillId="0" borderId="13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22" fillId="0" borderId="0" xfId="0" applyNumberFormat="1" applyFont="1" applyAlignment="1">
      <alignment horizontal="left"/>
    </xf>
    <xf numFmtId="0" fontId="25" fillId="0" borderId="38" xfId="0" applyFont="1" applyBorder="1" applyAlignment="1">
      <alignment vertical="center"/>
    </xf>
    <xf numFmtId="0" fontId="25" fillId="0" borderId="13" xfId="0" applyFont="1" applyBorder="1" applyAlignment="1">
      <alignment horizontal="right" vertical="center" wrapText="1"/>
    </xf>
    <xf numFmtId="8" fontId="25" fillId="0" borderId="6" xfId="0" applyNumberFormat="1" applyFont="1" applyBorder="1" applyAlignment="1">
      <alignment horizontal="right" vertical="center" wrapText="1"/>
    </xf>
    <xf numFmtId="8" fontId="3" fillId="0" borderId="6" xfId="0" applyNumberFormat="1" applyFont="1" applyBorder="1" applyAlignment="1">
      <alignment vertical="center" wrapText="1"/>
    </xf>
    <xf numFmtId="6" fontId="18" fillId="0" borderId="0" xfId="0" applyNumberFormat="1" applyFont="1" applyAlignment="1">
      <alignment horizontal="left" wrapText="1"/>
    </xf>
    <xf numFmtId="6" fontId="4" fillId="0" borderId="0" xfId="0" applyNumberFormat="1" applyFont="1" applyAlignment="1">
      <alignment horizontal="left"/>
    </xf>
    <xf numFmtId="0" fontId="26" fillId="0" borderId="0" xfId="0" applyFont="1"/>
    <xf numFmtId="0" fontId="1" fillId="0" borderId="2" xfId="0" applyFont="1" applyBorder="1" applyAlignment="1">
      <alignment vertical="center" wrapText="1"/>
    </xf>
    <xf numFmtId="0" fontId="26" fillId="9" borderId="2" xfId="0" applyFont="1" applyFill="1" applyBorder="1"/>
    <xf numFmtId="4" fontId="26" fillId="9" borderId="2" xfId="0" applyNumberFormat="1" applyFont="1" applyFill="1" applyBorder="1"/>
    <xf numFmtId="0" fontId="8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center" wrapText="1"/>
    </xf>
    <xf numFmtId="0" fontId="0" fillId="0" borderId="24" xfId="0" applyBorder="1"/>
    <xf numFmtId="0" fontId="1" fillId="0" borderId="26" xfId="0" applyFont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3" fontId="1" fillId="5" borderId="26" xfId="0" applyNumberFormat="1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3" fontId="7" fillId="0" borderId="26" xfId="0" applyNumberFormat="1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3" fontId="7" fillId="5" borderId="26" xfId="0" applyNumberFormat="1" applyFont="1" applyFill="1" applyBorder="1" applyAlignment="1">
      <alignment horizontal="left" wrapText="1"/>
    </xf>
    <xf numFmtId="4" fontId="7" fillId="5" borderId="26" xfId="0" applyNumberFormat="1" applyFont="1" applyFill="1" applyBorder="1" applyAlignment="1">
      <alignment horizontal="left" wrapText="1"/>
    </xf>
    <xf numFmtId="4" fontId="16" fillId="0" borderId="26" xfId="0" applyNumberFormat="1" applyFont="1" applyBorder="1" applyAlignment="1">
      <alignment horizontal="left" vertical="center" wrapText="1"/>
    </xf>
    <xf numFmtId="4" fontId="16" fillId="0" borderId="27" xfId="0" applyNumberFormat="1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4" fontId="3" fillId="0" borderId="29" xfId="0" applyNumberFormat="1" applyFont="1" applyBorder="1" applyAlignment="1">
      <alignment vertical="center" wrapText="1"/>
    </xf>
    <xf numFmtId="0" fontId="7" fillId="4" borderId="26" xfId="0" applyFont="1" applyFill="1" applyBorder="1" applyAlignment="1">
      <alignment horizontal="left" wrapText="1"/>
    </xf>
    <xf numFmtId="3" fontId="7" fillId="0" borderId="26" xfId="0" applyNumberFormat="1" applyFont="1" applyBorder="1"/>
    <xf numFmtId="3" fontId="7" fillId="0" borderId="27" xfId="0" applyNumberFormat="1" applyFont="1" applyBorder="1"/>
    <xf numFmtId="0" fontId="11" fillId="0" borderId="29" xfId="0" applyFont="1" applyBorder="1" applyAlignment="1">
      <alignment horizontal="left" vertical="top" wrapText="1"/>
    </xf>
    <xf numFmtId="3" fontId="7" fillId="6" borderId="26" xfId="0" applyNumberFormat="1" applyFont="1" applyFill="1" applyBorder="1" applyAlignment="1">
      <alignment horizontal="left" wrapText="1"/>
    </xf>
    <xf numFmtId="0" fontId="31" fillId="0" borderId="2" xfId="0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center" wrapText="1"/>
    </xf>
    <xf numFmtId="3" fontId="33" fillId="0" borderId="2" xfId="0" applyNumberFormat="1" applyFont="1" applyBorder="1" applyAlignment="1">
      <alignment horizontal="left" vertical="center" wrapText="1"/>
    </xf>
    <xf numFmtId="0" fontId="34" fillId="0" borderId="2" xfId="0" applyFont="1" applyBorder="1"/>
    <xf numFmtId="0" fontId="34" fillId="0" borderId="24" xfId="0" applyFont="1" applyBorder="1"/>
    <xf numFmtId="0" fontId="31" fillId="0" borderId="2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3" fontId="31" fillId="0" borderId="2" xfId="0" applyNumberFormat="1" applyFont="1" applyBorder="1" applyAlignment="1">
      <alignment horizontal="left" vertical="center" wrapText="1"/>
    </xf>
    <xf numFmtId="0" fontId="32" fillId="0" borderId="2" xfId="0" applyFont="1" applyBorder="1"/>
    <xf numFmtId="0" fontId="32" fillId="0" borderId="24" xfId="0" applyFont="1" applyBorder="1"/>
    <xf numFmtId="2" fontId="33" fillId="0" borderId="2" xfId="0" applyNumberFormat="1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3" fontId="33" fillId="0" borderId="4" xfId="0" applyNumberFormat="1" applyFont="1" applyBorder="1" applyAlignment="1">
      <alignment horizontal="left" vertical="center" wrapText="1"/>
    </xf>
    <xf numFmtId="4" fontId="33" fillId="0" borderId="2" xfId="0" applyNumberFormat="1" applyFont="1" applyBorder="1" applyAlignment="1">
      <alignment horizontal="left" vertical="center" wrapText="1"/>
    </xf>
    <xf numFmtId="4" fontId="33" fillId="0" borderId="24" xfId="0" applyNumberFormat="1" applyFont="1" applyBorder="1" applyAlignment="1">
      <alignment horizontal="left" vertical="center" wrapText="1"/>
    </xf>
    <xf numFmtId="0" fontId="26" fillId="9" borderId="2" xfId="0" applyFont="1" applyFill="1" applyBorder="1" applyAlignment="1">
      <alignment wrapText="1"/>
    </xf>
    <xf numFmtId="41" fontId="28" fillId="0" borderId="40" xfId="0" applyNumberFormat="1" applyFont="1" applyBorder="1"/>
    <xf numFmtId="171" fontId="30" fillId="0" borderId="40" xfId="0" applyNumberFormat="1" applyFont="1" applyBorder="1"/>
    <xf numFmtId="4" fontId="0" fillId="0" borderId="0" xfId="0" applyNumberFormat="1" applyAlignment="1">
      <alignment horizontal="left"/>
    </xf>
    <xf numFmtId="0" fontId="16" fillId="0" borderId="2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44" xfId="0" applyFont="1" applyFill="1" applyBorder="1" applyAlignment="1">
      <alignment vertical="center"/>
    </xf>
    <xf numFmtId="0" fontId="1" fillId="3" borderId="45" xfId="0" applyFont="1" applyFill="1" applyBorder="1" applyAlignment="1">
      <alignment vertical="center"/>
    </xf>
    <xf numFmtId="0" fontId="24" fillId="0" borderId="48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3" fontId="3" fillId="0" borderId="48" xfId="0" applyNumberFormat="1" applyFont="1" applyBorder="1" applyAlignment="1">
      <alignment vertical="center" wrapText="1"/>
    </xf>
    <xf numFmtId="3" fontId="38" fillId="0" borderId="48" xfId="0" applyNumberFormat="1" applyFont="1" applyBorder="1" applyAlignment="1">
      <alignment vertical="center" wrapText="1"/>
    </xf>
    <xf numFmtId="4" fontId="3" fillId="0" borderId="48" xfId="0" applyNumberFormat="1" applyFont="1" applyBorder="1" applyAlignment="1">
      <alignment vertical="center" wrapText="1"/>
    </xf>
    <xf numFmtId="3" fontId="1" fillId="13" borderId="48" xfId="0" applyNumberFormat="1" applyFont="1" applyFill="1" applyBorder="1" applyAlignment="1">
      <alignment vertical="center" wrapText="1"/>
    </xf>
    <xf numFmtId="4" fontId="24" fillId="13" borderId="48" xfId="0" applyNumberFormat="1" applyFont="1" applyFill="1" applyBorder="1" applyAlignment="1">
      <alignment vertical="center" wrapText="1"/>
    </xf>
    <xf numFmtId="3" fontId="7" fillId="14" borderId="26" xfId="0" applyNumberFormat="1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6" fontId="8" fillId="0" borderId="0" xfId="0" applyNumberFormat="1" applyFont="1" applyAlignment="1">
      <alignment vertical="center" wrapText="1"/>
    </xf>
    <xf numFmtId="6" fontId="8" fillId="8" borderId="0" xfId="0" applyNumberFormat="1" applyFont="1" applyFill="1" applyAlignment="1">
      <alignment vertical="center" wrapText="1"/>
    </xf>
    <xf numFmtId="8" fontId="2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left" wrapText="1"/>
    </xf>
    <xf numFmtId="167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8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11" fillId="8" borderId="2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8" fontId="3" fillId="0" borderId="2" xfId="0" applyNumberFormat="1" applyFont="1" applyBorder="1" applyAlignment="1">
      <alignment horizontal="center" vertical="center" wrapText="1"/>
    </xf>
    <xf numFmtId="8" fontId="0" fillId="0" borderId="2" xfId="0" applyNumberFormat="1" applyBorder="1" applyAlignment="1">
      <alignment wrapText="1"/>
    </xf>
    <xf numFmtId="8" fontId="0" fillId="0" borderId="24" xfId="0" applyNumberFormat="1" applyBorder="1" applyAlignment="1">
      <alignment wrapText="1"/>
    </xf>
    <xf numFmtId="0" fontId="12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8" fontId="0" fillId="0" borderId="26" xfId="0" applyNumberFormat="1" applyBorder="1" applyAlignment="1">
      <alignment wrapText="1"/>
    </xf>
    <xf numFmtId="8" fontId="0" fillId="0" borderId="27" xfId="0" applyNumberFormat="1" applyBorder="1" applyAlignment="1">
      <alignment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0" fillId="0" borderId="0" xfId="0" applyNumberFormat="1" applyAlignment="1">
      <alignment wrapText="1"/>
    </xf>
    <xf numFmtId="8" fontId="0" fillId="0" borderId="30" xfId="0" applyNumberFormat="1" applyBorder="1" applyAlignment="1">
      <alignment wrapText="1"/>
    </xf>
    <xf numFmtId="8" fontId="10" fillId="0" borderId="2" xfId="0" applyNumberFormat="1" applyFont="1" applyBorder="1" applyAlignment="1">
      <alignment wrapText="1"/>
    </xf>
    <xf numFmtId="4" fontId="26" fillId="0" borderId="0" xfId="0" applyNumberFormat="1" applyFont="1"/>
    <xf numFmtId="41" fontId="39" fillId="0" borderId="40" xfId="0" applyNumberFormat="1" applyFont="1" applyBorder="1"/>
    <xf numFmtId="168" fontId="30" fillId="0" borderId="49" xfId="0" applyNumberFormat="1" applyFont="1" applyBorder="1"/>
    <xf numFmtId="37" fontId="30" fillId="6" borderId="40" xfId="0" applyNumberFormat="1" applyFont="1" applyFill="1" applyBorder="1"/>
    <xf numFmtId="0" fontId="0" fillId="15" borderId="0" xfId="0" applyFill="1"/>
    <xf numFmtId="0" fontId="11" fillId="15" borderId="4" xfId="0" applyFont="1" applyFill="1" applyBorder="1" applyAlignment="1">
      <alignment horizontal="left" vertical="top" wrapText="1"/>
    </xf>
    <xf numFmtId="43" fontId="34" fillId="15" borderId="2" xfId="0" applyNumberFormat="1" applyFont="1" applyFill="1" applyBorder="1"/>
    <xf numFmtId="0" fontId="32" fillId="15" borderId="2" xfId="0" applyFont="1" applyFill="1" applyBorder="1"/>
    <xf numFmtId="0" fontId="1" fillId="15" borderId="4" xfId="0" applyFont="1" applyFill="1" applyBorder="1" applyAlignment="1">
      <alignment horizontal="left" vertical="center" wrapText="1"/>
    </xf>
    <xf numFmtId="166" fontId="33" fillId="15" borderId="2" xfId="0" applyNumberFormat="1" applyFont="1" applyFill="1" applyBorder="1" applyAlignment="1">
      <alignment horizontal="left" vertical="center" wrapText="1"/>
    </xf>
    <xf numFmtId="43" fontId="31" fillId="15" borderId="2" xfId="0" applyNumberFormat="1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vertical="center" wrapText="1"/>
    </xf>
    <xf numFmtId="0" fontId="31" fillId="15" borderId="2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36" fillId="2" borderId="2" xfId="0" applyNumberFormat="1" applyFont="1" applyFill="1" applyBorder="1" applyAlignment="1">
      <alignment wrapText="1"/>
    </xf>
    <xf numFmtId="0" fontId="16" fillId="2" borderId="2" xfId="0" applyFont="1" applyFill="1" applyBorder="1" applyAlignment="1">
      <alignment horizontal="center" vertical="top" wrapText="1"/>
    </xf>
    <xf numFmtId="0" fontId="31" fillId="2" borderId="2" xfId="0" applyFont="1" applyFill="1" applyBorder="1" applyAlignment="1">
      <alignment horizontal="left" vertical="center" wrapText="1"/>
    </xf>
    <xf numFmtId="0" fontId="0" fillId="2" borderId="2" xfId="0" applyFill="1" applyBorder="1"/>
    <xf numFmtId="0" fontId="10" fillId="2" borderId="2" xfId="0" applyFont="1" applyFill="1" applyBorder="1"/>
    <xf numFmtId="0" fontId="31" fillId="2" borderId="26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vertical="center"/>
    </xf>
    <xf numFmtId="3" fontId="32" fillId="2" borderId="2" xfId="0" applyNumberFormat="1" applyFont="1" applyFill="1" applyBorder="1"/>
    <xf numFmtId="0" fontId="32" fillId="2" borderId="26" xfId="0" applyFont="1" applyFill="1" applyBorder="1"/>
    <xf numFmtId="0" fontId="1" fillId="11" borderId="2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top" wrapText="1"/>
    </xf>
    <xf numFmtId="3" fontId="34" fillId="2" borderId="2" xfId="0" applyNumberFormat="1" applyFont="1" applyFill="1" applyBorder="1"/>
    <xf numFmtId="3" fontId="36" fillId="2" borderId="26" xfId="0" applyNumberFormat="1" applyFont="1" applyFill="1" applyBorder="1"/>
    <xf numFmtId="165" fontId="33" fillId="2" borderId="4" xfId="0" applyNumberFormat="1" applyFont="1" applyFill="1" applyBorder="1" applyAlignment="1">
      <alignment vertical="center" wrapText="1"/>
    </xf>
    <xf numFmtId="3" fontId="0" fillId="2" borderId="0" xfId="0" applyNumberFormat="1" applyFill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33" fillId="2" borderId="2" xfId="0" applyNumberFormat="1" applyFont="1" applyFill="1" applyBorder="1" applyAlignment="1">
      <alignment horizontal="left" vertical="center" wrapText="1"/>
    </xf>
    <xf numFmtId="4" fontId="31" fillId="2" borderId="2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37" fontId="27" fillId="0" borderId="0" xfId="0" applyNumberFormat="1" applyFont="1" applyAlignment="1">
      <alignment horizontal="right"/>
    </xf>
    <xf numFmtId="37" fontId="28" fillId="0" borderId="0" xfId="0" applyNumberFormat="1" applyFont="1"/>
    <xf numFmtId="41" fontId="26" fillId="9" borderId="0" xfId="0" applyNumberFormat="1" applyFont="1" applyFill="1"/>
    <xf numFmtId="0" fontId="41" fillId="0" borderId="10" xfId="0" applyFont="1" applyBorder="1"/>
    <xf numFmtId="37" fontId="41" fillId="0" borderId="11" xfId="0" applyNumberFormat="1" applyFont="1" applyBorder="1"/>
    <xf numFmtId="0" fontId="3" fillId="0" borderId="28" xfId="0" applyFont="1" applyBorder="1" applyAlignment="1">
      <alignment vertical="center" wrapText="1"/>
    </xf>
    <xf numFmtId="0" fontId="17" fillId="0" borderId="0" xfId="2" applyFill="1"/>
    <xf numFmtId="0" fontId="17" fillId="0" borderId="0" xfId="2"/>
    <xf numFmtId="0" fontId="1" fillId="0" borderId="2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8" fontId="3" fillId="0" borderId="0" xfId="0" applyNumberFormat="1" applyFont="1" applyAlignment="1">
      <alignment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" fillId="13" borderId="48" xfId="0" applyFont="1" applyFill="1" applyBorder="1" applyAlignment="1">
      <alignment vertical="center" wrapText="1"/>
    </xf>
    <xf numFmtId="173" fontId="7" fillId="0" borderId="26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41" fontId="26" fillId="0" borderId="0" xfId="0" applyNumberFormat="1" applyFont="1"/>
    <xf numFmtId="174" fontId="1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8" fontId="38" fillId="0" borderId="2" xfId="0" applyNumberFormat="1" applyFont="1" applyBorder="1" applyAlignment="1">
      <alignment horizontal="right" vertical="center" wrapText="1"/>
    </xf>
    <xf numFmtId="0" fontId="38" fillId="0" borderId="2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4" fontId="16" fillId="0" borderId="30" xfId="0" applyNumberFormat="1" applyFont="1" applyBorder="1" applyAlignment="1">
      <alignment horizontal="left" vertical="center"/>
    </xf>
    <xf numFmtId="167" fontId="16" fillId="0" borderId="30" xfId="0" applyNumberFormat="1" applyFont="1" applyBorder="1" applyAlignment="1">
      <alignment horizontal="left" vertical="center"/>
    </xf>
    <xf numFmtId="0" fontId="17" fillId="0" borderId="0" xfId="2" applyFill="1" applyAlignment="1"/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167" fontId="16" fillId="0" borderId="33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7" fontId="16" fillId="0" borderId="34" xfId="0" applyNumberFormat="1" applyFont="1" applyBorder="1" applyAlignment="1">
      <alignment horizontal="left" vertical="center"/>
    </xf>
    <xf numFmtId="167" fontId="0" fillId="0" borderId="4" xfId="0" applyNumberFormat="1" applyBorder="1" applyAlignment="1">
      <alignment wrapText="1"/>
    </xf>
    <xf numFmtId="0" fontId="38" fillId="0" borderId="2" xfId="0" applyFont="1" applyBorder="1" applyAlignment="1">
      <alignment vertical="center"/>
    </xf>
    <xf numFmtId="8" fontId="38" fillId="0" borderId="2" xfId="0" applyNumberFormat="1" applyFont="1" applyBorder="1" applyAlignment="1">
      <alignment horizontal="right" vertical="center"/>
    </xf>
    <xf numFmtId="16" fontId="0" fillId="0" borderId="0" xfId="0" applyNumberFormat="1"/>
    <xf numFmtId="0" fontId="24" fillId="0" borderId="5" xfId="0" applyFont="1" applyBorder="1" applyAlignment="1">
      <alignment vertical="center" wrapText="1"/>
    </xf>
    <xf numFmtId="0" fontId="3" fillId="0" borderId="30" xfId="0" applyFont="1" applyBorder="1" applyAlignment="1">
      <alignment horizontal="left" vertical="center" wrapText="1"/>
    </xf>
    <xf numFmtId="8" fontId="0" fillId="0" borderId="0" xfId="0" applyNumberFormat="1"/>
    <xf numFmtId="0" fontId="0" fillId="0" borderId="53" xfId="0" applyBorder="1"/>
    <xf numFmtId="4" fontId="38" fillId="0" borderId="2" xfId="0" applyNumberFormat="1" applyFont="1" applyBorder="1" applyAlignment="1">
      <alignment vertical="center" wrapText="1"/>
    </xf>
    <xf numFmtId="4" fontId="38" fillId="0" borderId="2" xfId="0" applyNumberFormat="1" applyFont="1" applyBorder="1" applyAlignment="1">
      <alignment horizontal="right" vertical="center"/>
    </xf>
    <xf numFmtId="4" fontId="38" fillId="0" borderId="2" xfId="0" applyNumberFormat="1" applyFont="1" applyBorder="1" applyAlignment="1">
      <alignment horizontal="right" vertical="center" wrapText="1"/>
    </xf>
    <xf numFmtId="3" fontId="33" fillId="0" borderId="30" xfId="0" applyNumberFormat="1" applyFont="1" applyBorder="1" applyAlignment="1">
      <alignment horizontal="left" vertical="center" wrapText="1"/>
    </xf>
    <xf numFmtId="3" fontId="3" fillId="0" borderId="30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16" fillId="0" borderId="33" xfId="0" applyFont="1" applyBorder="1" applyAlignment="1">
      <alignment wrapText="1"/>
    </xf>
    <xf numFmtId="4" fontId="3" fillId="0" borderId="30" xfId="0" applyNumberFormat="1" applyFont="1" applyBorder="1" applyAlignment="1">
      <alignment vertical="center" wrapText="1"/>
    </xf>
    <xf numFmtId="43" fontId="33" fillId="15" borderId="30" xfId="0" applyNumberFormat="1" applyFont="1" applyFill="1" applyBorder="1"/>
    <xf numFmtId="0" fontId="3" fillId="0" borderId="31" xfId="0" applyFont="1" applyBorder="1"/>
    <xf numFmtId="0" fontId="3" fillId="0" borderId="0" xfId="0" applyFont="1"/>
    <xf numFmtId="2" fontId="20" fillId="0" borderId="2" xfId="0" applyNumberFormat="1" applyFont="1" applyBorder="1"/>
    <xf numFmtId="3" fontId="44" fillId="2" borderId="2" xfId="0" applyNumberFormat="1" applyFont="1" applyFill="1" applyBorder="1"/>
    <xf numFmtId="0" fontId="8" fillId="0" borderId="24" xfId="0" applyFont="1" applyBorder="1"/>
    <xf numFmtId="0" fontId="44" fillId="0" borderId="2" xfId="0" applyFont="1" applyBorder="1"/>
    <xf numFmtId="0" fontId="44" fillId="0" borderId="24" xfId="0" applyFont="1" applyBorder="1"/>
    <xf numFmtId="0" fontId="20" fillId="0" borderId="2" xfId="0" applyFont="1" applyBorder="1" applyAlignment="1">
      <alignment wrapText="1"/>
    </xf>
    <xf numFmtId="4" fontId="8" fillId="0" borderId="2" xfId="0" applyNumberFormat="1" applyFont="1" applyBorder="1" applyAlignment="1">
      <alignment vertical="center" wrapText="1"/>
    </xf>
    <xf numFmtId="43" fontId="44" fillId="15" borderId="2" xfId="0" applyNumberFormat="1" applyFont="1" applyFill="1" applyBorder="1"/>
    <xf numFmtId="0" fontId="8" fillId="0" borderId="2" xfId="0" applyFont="1" applyBorder="1"/>
    <xf numFmtId="0" fontId="20" fillId="0" borderId="33" xfId="0" applyFont="1" applyBorder="1" applyAlignment="1">
      <alignment wrapText="1"/>
    </xf>
    <xf numFmtId="4" fontId="8" fillId="0" borderId="30" xfId="0" applyNumberFormat="1" applyFont="1" applyBorder="1" applyAlignment="1">
      <alignment vertical="center" wrapText="1"/>
    </xf>
    <xf numFmtId="43" fontId="44" fillId="15" borderId="30" xfId="0" applyNumberFormat="1" applyFont="1" applyFill="1" applyBorder="1"/>
    <xf numFmtId="0" fontId="8" fillId="0" borderId="31" xfId="0" applyFont="1" applyBorder="1"/>
    <xf numFmtId="4" fontId="13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167" fontId="1" fillId="0" borderId="2" xfId="0" applyNumberFormat="1" applyFont="1" applyBorder="1" applyAlignment="1">
      <alignment wrapText="1"/>
    </xf>
    <xf numFmtId="0" fontId="0" fillId="17" borderId="0" xfId="0" applyFill="1"/>
    <xf numFmtId="0" fontId="10" fillId="17" borderId="0" xfId="0" applyFont="1" applyFill="1"/>
    <xf numFmtId="4" fontId="10" fillId="17" borderId="0" xfId="0" applyNumberFormat="1" applyFont="1" applyFill="1"/>
    <xf numFmtId="4" fontId="0" fillId="17" borderId="0" xfId="0" applyNumberFormat="1" applyFill="1" applyAlignment="1">
      <alignment horizontal="left"/>
    </xf>
    <xf numFmtId="0" fontId="0" fillId="17" borderId="0" xfId="0" applyFill="1" applyAlignment="1">
      <alignment horizontal="left"/>
    </xf>
    <xf numFmtId="167" fontId="38" fillId="0" borderId="2" xfId="0" applyNumberFormat="1" applyFont="1" applyBorder="1" applyAlignment="1">
      <alignment horizontal="right" vertical="center"/>
    </xf>
    <xf numFmtId="167" fontId="8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167" fontId="8" fillId="0" borderId="2" xfId="0" applyNumberFormat="1" applyFont="1" applyBorder="1" applyAlignment="1">
      <alignment horizontal="left"/>
    </xf>
    <xf numFmtId="167" fontId="8" fillId="0" borderId="2" xfId="0" applyNumberFormat="1" applyFont="1" applyBorder="1" applyAlignment="1">
      <alignment wrapText="1"/>
    </xf>
    <xf numFmtId="0" fontId="13" fillId="3" borderId="4" xfId="0" applyFont="1" applyFill="1" applyBorder="1" applyAlignment="1">
      <alignment vertical="center" wrapText="1"/>
    </xf>
    <xf numFmtId="0" fontId="42" fillId="3" borderId="4" xfId="0" applyFont="1" applyFill="1" applyBorder="1" applyAlignment="1">
      <alignment vertical="center" wrapText="1"/>
    </xf>
    <xf numFmtId="8" fontId="42" fillId="3" borderId="4" xfId="0" applyNumberFormat="1" applyFont="1" applyFill="1" applyBorder="1" applyAlignment="1">
      <alignment horizontal="right" vertical="center" wrapText="1"/>
    </xf>
    <xf numFmtId="8" fontId="13" fillId="3" borderId="4" xfId="0" applyNumberFormat="1" applyFont="1" applyFill="1" applyBorder="1" applyAlignment="1">
      <alignment horizontal="right" vertical="center" wrapText="1"/>
    </xf>
    <xf numFmtId="0" fontId="38" fillId="0" borderId="2" xfId="0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8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10" fillId="17" borderId="0" xfId="0" applyNumberFormat="1" applyFont="1" applyFill="1" applyAlignment="1">
      <alignment horizontal="left"/>
    </xf>
    <xf numFmtId="0" fontId="0" fillId="0" borderId="6" xfId="0" applyBorder="1"/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0" fillId="3" borderId="0" xfId="0" applyFill="1"/>
    <xf numFmtId="0" fontId="3" fillId="3" borderId="2" xfId="0" applyFont="1" applyFill="1" applyBorder="1" applyAlignment="1">
      <alignment vertical="center" wrapText="1"/>
    </xf>
    <xf numFmtId="4" fontId="3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2" fontId="16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4" fontId="15" fillId="3" borderId="2" xfId="0" applyNumberFormat="1" applyFont="1" applyFill="1" applyBorder="1"/>
    <xf numFmtId="3" fontId="0" fillId="3" borderId="2" xfId="0" applyNumberFormat="1" applyFill="1" applyBorder="1"/>
    <xf numFmtId="0" fontId="0" fillId="3" borderId="2" xfId="0" applyFill="1" applyBorder="1"/>
    <xf numFmtId="2" fontId="12" fillId="3" borderId="2" xfId="0" applyNumberFormat="1" applyFont="1" applyFill="1" applyBorder="1" applyAlignment="1">
      <alignment horizontal="left" wrapText="1"/>
    </xf>
    <xf numFmtId="0" fontId="12" fillId="18" borderId="2" xfId="0" applyFont="1" applyFill="1" applyBorder="1" applyAlignment="1">
      <alignment wrapText="1"/>
    </xf>
    <xf numFmtId="2" fontId="12" fillId="3" borderId="2" xfId="0" applyNumberFormat="1" applyFont="1" applyFill="1" applyBorder="1" applyAlignment="1">
      <alignment wrapText="1"/>
    </xf>
    <xf numFmtId="3" fontId="12" fillId="3" borderId="2" xfId="0" applyNumberFormat="1" applyFont="1" applyFill="1" applyBorder="1" applyAlignment="1">
      <alignment wrapText="1"/>
    </xf>
    <xf numFmtId="0" fontId="14" fillId="3" borderId="2" xfId="0" applyFont="1" applyFill="1" applyBorder="1" applyAlignment="1">
      <alignment vertical="center" wrapText="1"/>
    </xf>
    <xf numFmtId="3" fontId="36" fillId="3" borderId="2" xfId="0" applyNumberFormat="1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26" fillId="19" borderId="0" xfId="0" applyFont="1" applyFill="1"/>
    <xf numFmtId="170" fontId="30" fillId="19" borderId="50" xfId="0" applyNumberFormat="1" applyFont="1" applyFill="1" applyBorder="1"/>
    <xf numFmtId="41" fontId="30" fillId="19" borderId="40" xfId="0" applyNumberFormat="1" applyFont="1" applyFill="1" applyBorder="1"/>
    <xf numFmtId="41" fontId="28" fillId="19" borderId="40" xfId="0" applyNumberFormat="1" applyFont="1" applyFill="1" applyBorder="1"/>
    <xf numFmtId="169" fontId="30" fillId="14" borderId="40" xfId="0" applyNumberFormat="1" applyFont="1" applyFill="1" applyBorder="1"/>
    <xf numFmtId="169" fontId="30" fillId="14" borderId="49" xfId="0" applyNumberFormat="1" applyFont="1" applyFill="1" applyBorder="1"/>
    <xf numFmtId="0" fontId="26" fillId="20" borderId="2" xfId="0" applyFont="1" applyFill="1" applyBorder="1"/>
    <xf numFmtId="39" fontId="30" fillId="19" borderId="50" xfId="0" applyNumberFormat="1" applyFont="1" applyFill="1" applyBorder="1"/>
    <xf numFmtId="168" fontId="30" fillId="14" borderId="49" xfId="0" applyNumberFormat="1" applyFont="1" applyFill="1" applyBorder="1"/>
    <xf numFmtId="171" fontId="30" fillId="14" borderId="40" xfId="0" applyNumberFormat="1" applyFont="1" applyFill="1" applyBorder="1"/>
    <xf numFmtId="168" fontId="30" fillId="19" borderId="40" xfId="0" applyNumberFormat="1" applyFont="1" applyFill="1" applyBorder="1"/>
    <xf numFmtId="0" fontId="26" fillId="17" borderId="2" xfId="0" applyFont="1" applyFill="1" applyBorder="1"/>
    <xf numFmtId="168" fontId="26" fillId="17" borderId="2" xfId="0" applyNumberFormat="1" applyFont="1" applyFill="1" applyBorder="1"/>
    <xf numFmtId="41" fontId="30" fillId="19" borderId="50" xfId="0" applyNumberFormat="1" applyFont="1" applyFill="1" applyBorder="1"/>
    <xf numFmtId="172" fontId="30" fillId="14" borderId="49" xfId="0" applyNumberFormat="1" applyFont="1" applyFill="1" applyBorder="1"/>
    <xf numFmtId="39" fontId="30" fillId="14" borderId="40" xfId="0" applyNumberFormat="1" applyFont="1" applyFill="1" applyBorder="1"/>
    <xf numFmtId="170" fontId="30" fillId="19" borderId="40" xfId="0" applyNumberFormat="1" applyFont="1" applyFill="1" applyBorder="1"/>
    <xf numFmtId="3" fontId="26" fillId="17" borderId="2" xfId="0" applyNumberFormat="1" applyFont="1" applyFill="1" applyBorder="1"/>
    <xf numFmtId="43" fontId="26" fillId="17" borderId="2" xfId="0" applyNumberFormat="1" applyFont="1" applyFill="1" applyBorder="1"/>
    <xf numFmtId="4" fontId="26" fillId="17" borderId="2" xfId="0" applyNumberFormat="1" applyFont="1" applyFill="1" applyBorder="1"/>
    <xf numFmtId="172" fontId="30" fillId="14" borderId="58" xfId="0" applyNumberFormat="1" applyFont="1" applyFill="1" applyBorder="1"/>
    <xf numFmtId="39" fontId="30" fillId="14" borderId="59" xfId="0" applyNumberFormat="1" applyFont="1" applyFill="1" applyBorder="1"/>
    <xf numFmtId="37" fontId="40" fillId="21" borderId="61" xfId="0" applyNumberFormat="1" applyFont="1" applyFill="1" applyBorder="1"/>
    <xf numFmtId="38" fontId="40" fillId="21" borderId="61" xfId="0" applyNumberFormat="1" applyFont="1" applyFill="1" applyBorder="1"/>
    <xf numFmtId="37" fontId="40" fillId="21" borderId="62" xfId="0" applyNumberFormat="1" applyFont="1" applyFill="1" applyBorder="1"/>
    <xf numFmtId="0" fontId="26" fillId="12" borderId="54" xfId="0" applyFont="1" applyFill="1" applyBorder="1"/>
    <xf numFmtId="0" fontId="26" fillId="12" borderId="55" xfId="0" applyFont="1" applyFill="1" applyBorder="1"/>
    <xf numFmtId="168" fontId="30" fillId="0" borderId="58" xfId="0" applyNumberFormat="1" applyFont="1" applyBorder="1"/>
    <xf numFmtId="171" fontId="30" fillId="0" borderId="59" xfId="0" applyNumberFormat="1" applyFont="1" applyBorder="1"/>
    <xf numFmtId="37" fontId="28" fillId="21" borderId="61" xfId="0" applyNumberFormat="1" applyFont="1" applyFill="1" applyBorder="1"/>
    <xf numFmtId="37" fontId="28" fillId="21" borderId="62" xfId="0" applyNumberFormat="1" applyFont="1" applyFill="1" applyBorder="1"/>
    <xf numFmtId="0" fontId="26" fillId="11" borderId="54" xfId="0" applyFont="1" applyFill="1" applyBorder="1"/>
    <xf numFmtId="0" fontId="26" fillId="11" borderId="55" xfId="0" applyFont="1" applyFill="1" applyBorder="1"/>
    <xf numFmtId="169" fontId="30" fillId="14" borderId="58" xfId="0" applyNumberFormat="1" applyFont="1" applyFill="1" applyBorder="1"/>
    <xf numFmtId="169" fontId="30" fillId="14" borderId="59" xfId="0" applyNumberFormat="1" applyFont="1" applyFill="1" applyBorder="1"/>
    <xf numFmtId="0" fontId="47" fillId="0" borderId="0" xfId="0" applyFont="1"/>
    <xf numFmtId="0" fontId="26" fillId="0" borderId="10" xfId="0" applyFont="1" applyBorder="1"/>
    <xf numFmtId="4" fontId="41" fillId="0" borderId="11" xfId="0" applyNumberFormat="1" applyFont="1" applyBorder="1"/>
    <xf numFmtId="0" fontId="8" fillId="22" borderId="31" xfId="0" applyFont="1" applyFill="1" applyBorder="1"/>
    <xf numFmtId="0" fontId="12" fillId="22" borderId="32" xfId="0" applyFont="1" applyFill="1" applyBorder="1"/>
    <xf numFmtId="0" fontId="12" fillId="22" borderId="33" xfId="0" applyFont="1" applyFill="1" applyBorder="1"/>
    <xf numFmtId="37" fontId="8" fillId="22" borderId="36" xfId="0" applyNumberFormat="1" applyFont="1" applyFill="1" applyBorder="1"/>
    <xf numFmtId="37" fontId="8" fillId="22" borderId="37" xfId="0" applyNumberFormat="1" applyFont="1" applyFill="1" applyBorder="1"/>
    <xf numFmtId="0" fontId="12" fillId="22" borderId="2" xfId="0" applyFont="1" applyFill="1" applyBorder="1"/>
    <xf numFmtId="37" fontId="12" fillId="0" borderId="4" xfId="0" applyNumberFormat="1" applyFont="1" applyBorder="1"/>
    <xf numFmtId="0" fontId="12" fillId="0" borderId="2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vertical="top" wrapText="1"/>
    </xf>
    <xf numFmtId="0" fontId="41" fillId="0" borderId="8" xfId="0" applyFont="1" applyBorder="1" applyAlignment="1">
      <alignment horizontal="left" vertical="top" wrapText="1"/>
    </xf>
    <xf numFmtId="0" fontId="41" fillId="0" borderId="7" xfId="0" applyFont="1" applyBorder="1" applyAlignment="1">
      <alignment horizontal="left" wrapText="1"/>
    </xf>
    <xf numFmtId="0" fontId="41" fillId="0" borderId="8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0" fontId="26" fillId="10" borderId="54" xfId="0" applyFont="1" applyFill="1" applyBorder="1" applyAlignment="1">
      <alignment horizontal="center"/>
    </xf>
    <xf numFmtId="0" fontId="26" fillId="10" borderId="55" xfId="0" applyFont="1" applyFill="1" applyBorder="1" applyAlignment="1">
      <alignment horizontal="center"/>
    </xf>
    <xf numFmtId="168" fontId="29" fillId="0" borderId="56" xfId="0" applyNumberFormat="1" applyFont="1" applyBorder="1" applyAlignment="1">
      <alignment horizontal="left"/>
    </xf>
    <xf numFmtId="168" fontId="29" fillId="0" borderId="6" xfId="0" applyNumberFormat="1" applyFont="1" applyBorder="1" applyAlignment="1">
      <alignment horizontal="left"/>
    </xf>
    <xf numFmtId="37" fontId="29" fillId="0" borderId="56" xfId="0" applyNumberFormat="1" applyFont="1" applyBorder="1" applyAlignment="1">
      <alignment horizontal="left"/>
    </xf>
    <xf numFmtId="37" fontId="29" fillId="0" borderId="6" xfId="0" applyNumberFormat="1" applyFont="1" applyBorder="1" applyAlignment="1">
      <alignment horizontal="left"/>
    </xf>
    <xf numFmtId="37" fontId="29" fillId="0" borderId="57" xfId="0" applyNumberFormat="1" applyFont="1" applyBorder="1" applyAlignment="1">
      <alignment wrapText="1"/>
    </xf>
    <xf numFmtId="0" fontId="26" fillId="0" borderId="3" xfId="0" applyFont="1" applyBorder="1" applyAlignment="1">
      <alignment wrapText="1"/>
    </xf>
    <xf numFmtId="37" fontId="29" fillId="0" borderId="57" xfId="0" applyNumberFormat="1" applyFont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37" fontId="27" fillId="0" borderId="57" xfId="0" applyNumberFormat="1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37" fontId="27" fillId="0" borderId="60" xfId="0" applyNumberFormat="1" applyFont="1" applyBorder="1" applyAlignment="1">
      <alignment horizontal="right"/>
    </xf>
    <xf numFmtId="0" fontId="26" fillId="0" borderId="44" xfId="0" applyFont="1" applyBorder="1"/>
    <xf numFmtId="168" fontId="29" fillId="0" borderId="57" xfId="0" applyNumberFormat="1" applyFont="1" applyBorder="1" applyAlignment="1">
      <alignment wrapText="1"/>
    </xf>
    <xf numFmtId="168" fontId="26" fillId="0" borderId="3" xfId="0" applyNumberFormat="1" applyFont="1" applyBorder="1" applyAlignment="1">
      <alignment wrapText="1"/>
    </xf>
    <xf numFmtId="168" fontId="29" fillId="0" borderId="57" xfId="0" applyNumberFormat="1" applyFont="1" applyBorder="1" applyAlignment="1">
      <alignment horizontal="left" wrapText="1"/>
    </xf>
    <xf numFmtId="168" fontId="26" fillId="0" borderId="8" xfId="0" applyNumberFormat="1" applyFont="1" applyBorder="1" applyAlignment="1">
      <alignment horizontal="left" wrapText="1"/>
    </xf>
    <xf numFmtId="37" fontId="27" fillId="21" borderId="60" xfId="0" applyNumberFormat="1" applyFont="1" applyFill="1" applyBorder="1" applyAlignment="1">
      <alignment horizontal="right"/>
    </xf>
    <xf numFmtId="0" fontId="26" fillId="21" borderId="44" xfId="0" applyFont="1" applyFill="1" applyBorder="1"/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8" fontId="25" fillId="0" borderId="8" xfId="0" applyNumberFormat="1" applyFont="1" applyBorder="1" applyAlignment="1">
      <alignment horizontal="right" vertical="center" wrapText="1"/>
    </xf>
    <xf numFmtId="8" fontId="25" fillId="0" borderId="3" xfId="0" applyNumberFormat="1" applyFont="1" applyBorder="1" applyAlignment="1">
      <alignment horizontal="right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8" fontId="3" fillId="0" borderId="0" xfId="0" applyNumberFormat="1" applyFont="1" applyAlignment="1">
      <alignment vertical="center" wrapText="1"/>
    </xf>
    <xf numFmtId="0" fontId="12" fillId="8" borderId="23" xfId="0" applyFont="1" applyFill="1" applyBorder="1" applyAlignment="1">
      <alignment horizontal="right" vertical="center" wrapText="1"/>
    </xf>
    <xf numFmtId="0" fontId="12" fillId="8" borderId="2" xfId="0" applyFont="1" applyFill="1" applyBorder="1" applyAlignment="1">
      <alignment horizontal="right" vertical="center" wrapText="1"/>
    </xf>
    <xf numFmtId="0" fontId="12" fillId="8" borderId="25" xfId="0" applyFont="1" applyFill="1" applyBorder="1" applyAlignment="1">
      <alignment horizontal="right" vertical="center" wrapText="1"/>
    </xf>
    <xf numFmtId="0" fontId="12" fillId="8" borderId="26" xfId="0" applyFont="1" applyFill="1" applyBorder="1" applyAlignment="1">
      <alignment horizontal="right" vertical="center" wrapText="1"/>
    </xf>
    <xf numFmtId="6" fontId="8" fillId="8" borderId="24" xfId="0" applyNumberFormat="1" applyFont="1" applyFill="1" applyBorder="1" applyAlignment="1">
      <alignment vertical="center" wrapText="1"/>
    </xf>
    <xf numFmtId="6" fontId="8" fillId="8" borderId="27" xfId="0" applyNumberFormat="1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" fillId="13" borderId="48" xfId="0" applyFont="1" applyFill="1" applyBorder="1" applyAlignment="1">
      <alignment vertical="center" wrapText="1"/>
    </xf>
    <xf numFmtId="0" fontId="24" fillId="16" borderId="7" xfId="0" applyFont="1" applyFill="1" applyBorder="1" applyAlignment="1">
      <alignment horizontal="center" vertical="center" wrapText="1"/>
    </xf>
    <xf numFmtId="0" fontId="24" fillId="16" borderId="8" xfId="0" applyFont="1" applyFill="1" applyBorder="1" applyAlignment="1">
      <alignment horizontal="center" vertical="center" wrapText="1"/>
    </xf>
    <xf numFmtId="0" fontId="24" fillId="16" borderId="51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52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gland-Greene, Rachelle - FNS" id="{7A3E0021-72A7-417A-8EDF-088F8C45A3F6}" userId="S::rachelle.ragland-greene@usda.gov::b22f69bd-7b27-4450-9903-9c04f006b9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3-01-04T16:19:57.65" personId="{7A3E0021-72A7-417A-8EDF-088F8C45A3F6}" id="{7CC5A6E7-0B48-4711-8153-79A6A22F828B}">
    <text>page 80 of rule PRA section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m.gov/policy-data-oversight/pay-leave/salaries-wages/salary-tables/pdf/2022/GS_h.pdf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opm.gov/policy-data-oversight/pay-leave/salaries-wages/salary-tables/pdf/2022/GS_h.pdf" TargetMode="External"/><Relationship Id="rId1" Type="http://schemas.openxmlformats.org/officeDocument/2006/relationships/hyperlink" Target="https://www.bls.gov/oes/2021/may/oes_nat.htm" TargetMode="External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opm.gov/policy-data-oversight/pay-leave/salaries-wages/salary-tables/pdf/2022/GS_h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opm.gov/policy-data-oversight/pay-leave/salaries-wages/salary-tables/pdf/2022/GS_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L53"/>
  <sheetViews>
    <sheetView zoomScaleNormal="100" workbookViewId="0">
      <selection activeCell="G29" sqref="G29"/>
    </sheetView>
  </sheetViews>
  <sheetFormatPr defaultRowHeight="14.5" x14ac:dyDescent="0.35"/>
  <cols>
    <col min="2" max="2" width="21.54296875" customWidth="1"/>
    <col min="3" max="3" width="14.453125" style="17" customWidth="1"/>
    <col min="4" max="4" width="14.54296875" style="17" customWidth="1"/>
    <col min="5" max="5" width="10.1796875" style="17" customWidth="1"/>
    <col min="6" max="6" width="11.54296875" style="17" bestFit="1" customWidth="1"/>
    <col min="7" max="7" width="12" style="17" customWidth="1"/>
    <col min="8" max="8" width="14.453125" customWidth="1"/>
    <col min="9" max="9" width="11.54296875" style="9" customWidth="1"/>
    <col min="10" max="10" width="12" customWidth="1"/>
    <col min="12" max="12" width="10" bestFit="1" customWidth="1"/>
  </cols>
  <sheetData>
    <row r="1" spans="1:10" ht="25" customHeight="1" thickBot="1" x14ac:dyDescent="0.4">
      <c r="A1" s="359" t="s">
        <v>290</v>
      </c>
      <c r="B1" s="359"/>
    </row>
    <row r="2" spans="1:10" ht="15" customHeight="1" thickBot="1" x14ac:dyDescent="0.4">
      <c r="A2" s="432" t="s">
        <v>0</v>
      </c>
      <c r="B2" s="433"/>
      <c r="C2" s="433"/>
      <c r="D2" s="433"/>
      <c r="E2" s="433"/>
      <c r="F2" s="433"/>
      <c r="G2" s="433"/>
      <c r="H2" s="433"/>
      <c r="I2" s="433"/>
      <c r="J2" s="434"/>
    </row>
    <row r="3" spans="1:10" ht="52" x14ac:dyDescent="0.35">
      <c r="A3" s="134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23" t="s">
        <v>8</v>
      </c>
      <c r="I3" s="246" t="s">
        <v>9</v>
      </c>
      <c r="J3" s="147" t="s">
        <v>10</v>
      </c>
    </row>
    <row r="4" spans="1:10" ht="26" x14ac:dyDescent="0.35">
      <c r="A4" s="261" t="s">
        <v>11</v>
      </c>
      <c r="B4" s="6" t="s">
        <v>12</v>
      </c>
      <c r="C4" s="11">
        <v>5</v>
      </c>
      <c r="D4" s="11">
        <v>1</v>
      </c>
      <c r="E4" s="155">
        <f>SUM(C4*D4)</f>
        <v>5</v>
      </c>
      <c r="F4" s="154">
        <v>0.08</v>
      </c>
      <c r="G4" s="51">
        <f>SUM(E4*F4)</f>
        <v>0.4</v>
      </c>
      <c r="H4" s="80">
        <v>0.4</v>
      </c>
      <c r="I4" s="247">
        <f>SUM(G4-H4)</f>
        <v>0</v>
      </c>
      <c r="J4" s="126"/>
    </row>
    <row r="5" spans="1:10" ht="26" x14ac:dyDescent="0.35">
      <c r="A5" s="125" t="s">
        <v>13</v>
      </c>
      <c r="B5" s="5" t="s">
        <v>14</v>
      </c>
      <c r="C5" s="10">
        <v>53</v>
      </c>
      <c r="D5" s="10">
        <v>1115.96</v>
      </c>
      <c r="E5" s="155">
        <f>SUM(C5*D5)</f>
        <v>59145.880000000005</v>
      </c>
      <c r="F5" s="154">
        <v>2</v>
      </c>
      <c r="G5" s="14">
        <f>SUM(E5*F5)</f>
        <v>118291.76000000001</v>
      </c>
      <c r="H5" s="80">
        <v>136490.37</v>
      </c>
      <c r="I5" s="247">
        <f>SUM(G5-H5)</f>
        <v>-18198.609999999986</v>
      </c>
      <c r="J5" s="126"/>
    </row>
    <row r="6" spans="1:10" x14ac:dyDescent="0.35">
      <c r="A6" s="125" t="s">
        <v>15</v>
      </c>
      <c r="B6" s="5" t="s">
        <v>16</v>
      </c>
      <c r="C6" s="10">
        <v>53</v>
      </c>
      <c r="D6" s="10">
        <v>1115.96</v>
      </c>
      <c r="E6" s="155">
        <f>SUM(C6*D6)</f>
        <v>59145.880000000005</v>
      </c>
      <c r="F6" s="154">
        <v>2</v>
      </c>
      <c r="G6" s="14">
        <f>SUM(E6*F6)</f>
        <v>118291.76000000001</v>
      </c>
      <c r="H6" s="80">
        <v>159238.76500000001</v>
      </c>
      <c r="I6" s="247">
        <f>SUM(G6-H6)</f>
        <v>-40947.005000000005</v>
      </c>
      <c r="J6" s="126"/>
    </row>
    <row r="7" spans="1:10" ht="26" x14ac:dyDescent="0.35">
      <c r="A7" s="125" t="s">
        <v>17</v>
      </c>
      <c r="B7" s="5" t="s">
        <v>18</v>
      </c>
      <c r="C7" s="10">
        <v>53</v>
      </c>
      <c r="D7" s="10">
        <v>1115.96</v>
      </c>
      <c r="E7" s="155">
        <f t="shared" ref="E7:E11" si="0">SUM(C7*D7)</f>
        <v>59145.880000000005</v>
      </c>
      <c r="F7" s="10">
        <v>0.5</v>
      </c>
      <c r="G7" s="14">
        <f t="shared" ref="G7:G11" si="1">SUM(E7*F7)</f>
        <v>29572.940000000002</v>
      </c>
      <c r="H7" s="80">
        <v>22748.395</v>
      </c>
      <c r="I7" s="247">
        <f t="shared" ref="I7:I9" si="2">SUM(G7-H7)</f>
        <v>6824.5450000000019</v>
      </c>
      <c r="J7" s="126"/>
    </row>
    <row r="8" spans="1:10" ht="26" x14ac:dyDescent="0.35">
      <c r="A8" s="125" t="s">
        <v>19</v>
      </c>
      <c r="B8" s="5" t="s">
        <v>20</v>
      </c>
      <c r="C8" s="10">
        <v>53</v>
      </c>
      <c r="D8" s="10">
        <v>1115.96</v>
      </c>
      <c r="E8" s="155">
        <f t="shared" si="0"/>
        <v>59145.880000000005</v>
      </c>
      <c r="F8" s="154">
        <v>0.5</v>
      </c>
      <c r="G8" s="14">
        <f t="shared" si="1"/>
        <v>29572.940000000002</v>
      </c>
      <c r="H8" s="80">
        <v>40947.111000000004</v>
      </c>
      <c r="I8" s="247">
        <f t="shared" si="2"/>
        <v>-11374.171000000002</v>
      </c>
      <c r="J8" s="126"/>
    </row>
    <row r="9" spans="1:10" x14ac:dyDescent="0.35">
      <c r="A9" s="125" t="s">
        <v>21</v>
      </c>
      <c r="B9" s="5" t="s">
        <v>22</v>
      </c>
      <c r="C9" s="10">
        <v>53</v>
      </c>
      <c r="D9" s="10">
        <v>1115.96</v>
      </c>
      <c r="E9" s="155">
        <f t="shared" si="0"/>
        <v>59145.880000000005</v>
      </c>
      <c r="F9" s="10">
        <v>0.5</v>
      </c>
      <c r="G9" s="14">
        <f t="shared" si="1"/>
        <v>29572.940000000002</v>
      </c>
      <c r="H9" s="80">
        <v>22748.395</v>
      </c>
      <c r="I9" s="247">
        <f t="shared" si="2"/>
        <v>6824.5450000000019</v>
      </c>
      <c r="J9" s="126"/>
    </row>
    <row r="10" spans="1:10" ht="26" x14ac:dyDescent="0.35">
      <c r="A10" s="164" t="s">
        <v>23</v>
      </c>
      <c r="B10" s="153" t="s">
        <v>24</v>
      </c>
      <c r="C10" s="154">
        <v>53</v>
      </c>
      <c r="D10" s="154">
        <v>1115.96</v>
      </c>
      <c r="E10" s="155">
        <f t="shared" si="0"/>
        <v>59145.880000000005</v>
      </c>
      <c r="F10" s="154">
        <v>0.25</v>
      </c>
      <c r="G10" s="155">
        <f t="shared" si="1"/>
        <v>14786.470000000001</v>
      </c>
      <c r="H10" s="156" t="s">
        <v>25</v>
      </c>
      <c r="I10" s="247">
        <v>14786.47</v>
      </c>
      <c r="J10" s="157"/>
    </row>
    <row r="11" spans="1:10" ht="26" x14ac:dyDescent="0.35">
      <c r="A11" s="164" t="s">
        <v>26</v>
      </c>
      <c r="B11" s="153" t="s">
        <v>27</v>
      </c>
      <c r="C11" s="154">
        <v>53</v>
      </c>
      <c r="D11" s="154">
        <v>1115.96</v>
      </c>
      <c r="E11" s="155">
        <f t="shared" si="0"/>
        <v>59145.880000000005</v>
      </c>
      <c r="F11" s="154">
        <v>0.25</v>
      </c>
      <c r="G11" s="155">
        <f t="shared" si="1"/>
        <v>14786.470000000001</v>
      </c>
      <c r="H11" s="156" t="s">
        <v>25</v>
      </c>
      <c r="I11" s="247">
        <v>14786.470000000001</v>
      </c>
      <c r="J11" s="157"/>
    </row>
    <row r="12" spans="1:10" s="24" customFormat="1" ht="26.15" customHeight="1" thickBot="1" x14ac:dyDescent="0.35">
      <c r="A12" s="437" t="s">
        <v>28</v>
      </c>
      <c r="B12" s="438"/>
      <c r="C12" s="137">
        <v>53</v>
      </c>
      <c r="D12" s="274">
        <f>SUM(E12/C12)</f>
        <v>7811.8143396226424</v>
      </c>
      <c r="E12" s="148">
        <f>SUM(E4:E11)</f>
        <v>414026.16000000003</v>
      </c>
      <c r="F12" s="137">
        <f>SUM(F4:F11)</f>
        <v>6.08</v>
      </c>
      <c r="G12" s="148">
        <f>SUM(G4:G11)</f>
        <v>354875.67999999993</v>
      </c>
      <c r="H12" s="145">
        <f>SUM(H4:H11)</f>
        <v>382173.4360000001</v>
      </c>
      <c r="I12" s="248">
        <f>SUM(I4:I11)</f>
        <v>-27297.755999999994</v>
      </c>
      <c r="J12" s="146">
        <f>SUM(J5:J11)</f>
        <v>0</v>
      </c>
    </row>
    <row r="13" spans="1:10" ht="15" thickBot="1" x14ac:dyDescent="0.4">
      <c r="A13" s="8"/>
      <c r="B13" s="9"/>
      <c r="C13" s="15"/>
      <c r="D13" s="15"/>
      <c r="E13" s="15"/>
      <c r="F13" s="15"/>
      <c r="G13" s="15"/>
      <c r="H13" s="9"/>
      <c r="J13" s="9"/>
    </row>
    <row r="14" spans="1:10" ht="14.9" customHeight="1" thickBot="1" x14ac:dyDescent="0.4">
      <c r="A14" s="439" t="s">
        <v>29</v>
      </c>
      <c r="B14" s="440"/>
      <c r="C14" s="440"/>
      <c r="D14" s="440"/>
      <c r="E14" s="440"/>
      <c r="F14" s="440"/>
      <c r="G14" s="440"/>
      <c r="H14" s="440"/>
      <c r="I14" s="440"/>
      <c r="J14" s="441"/>
    </row>
    <row r="15" spans="1:10" ht="15" thickBot="1" x14ac:dyDescent="0.4">
      <c r="A15" s="442" t="s">
        <v>30</v>
      </c>
      <c r="B15" s="443"/>
      <c r="C15" s="443"/>
      <c r="D15" s="443"/>
      <c r="E15" s="443"/>
      <c r="F15" s="443"/>
      <c r="G15" s="443"/>
      <c r="H15" s="443"/>
      <c r="I15" s="443"/>
      <c r="J15" s="444"/>
    </row>
    <row r="16" spans="1:10" x14ac:dyDescent="0.35">
      <c r="A16" s="142">
        <v>275.39999999999998</v>
      </c>
      <c r="B16" s="6" t="s">
        <v>31</v>
      </c>
      <c r="C16" s="11">
        <v>53</v>
      </c>
      <c r="D16" s="11">
        <v>1115.96</v>
      </c>
      <c r="E16" s="165">
        <f>SUM(C16*D16)</f>
        <v>59145.880000000005</v>
      </c>
      <c r="F16" s="11">
        <v>2.3599999999999999E-2</v>
      </c>
      <c r="G16" s="16">
        <f>SUM(E16*F16)</f>
        <v>1395.842768</v>
      </c>
      <c r="H16" s="74">
        <v>1073.7292</v>
      </c>
      <c r="I16" s="249">
        <f>SUM(G16-H16)</f>
        <v>322.11356799999999</v>
      </c>
      <c r="J16" s="143"/>
    </row>
    <row r="17" spans="1:12" x14ac:dyDescent="0.35">
      <c r="A17" s="445"/>
      <c r="B17" s="446"/>
      <c r="C17" s="446"/>
      <c r="D17" s="446"/>
      <c r="E17" s="446"/>
      <c r="F17" s="446"/>
      <c r="G17" s="446"/>
      <c r="H17" s="446"/>
      <c r="I17" s="446"/>
      <c r="J17" s="447"/>
    </row>
    <row r="18" spans="1:12" s="22" customFormat="1" ht="31.5" customHeight="1" thickBot="1" x14ac:dyDescent="0.35">
      <c r="A18" s="437" t="s">
        <v>32</v>
      </c>
      <c r="B18" s="438"/>
      <c r="C18" s="137">
        <v>53</v>
      </c>
      <c r="D18" s="144">
        <f>SUM(E18/C18)</f>
        <v>8927.7743396226415</v>
      </c>
      <c r="E18" s="188">
        <f>SUM(E16,E12)</f>
        <v>473172.04000000004</v>
      </c>
      <c r="F18" s="144">
        <f>SUM(G18/E18)</f>
        <v>0.75294288895007377</v>
      </c>
      <c r="G18" s="188">
        <f>SUM(G12,G16)</f>
        <v>356271.52276799991</v>
      </c>
      <c r="H18" s="145">
        <f>SUM(H12,H16)</f>
        <v>383247.1652000001</v>
      </c>
      <c r="I18" s="248">
        <f>SUM(I16,I12)</f>
        <v>-26975.642431999993</v>
      </c>
      <c r="J18" s="146">
        <f t="shared" ref="J18" si="3">SUM(J12,J16)</f>
        <v>0</v>
      </c>
    </row>
    <row r="19" spans="1:12" x14ac:dyDescent="0.35">
      <c r="A19" s="3"/>
      <c r="F19" s="17">
        <v>6.0236000000000001</v>
      </c>
      <c r="G19" s="17">
        <f>SUM(G18/E18)</f>
        <v>0.75294288895007377</v>
      </c>
      <c r="H19" s="92">
        <f>SUM(H18-G18)</f>
        <v>26975.642432000197</v>
      </c>
      <c r="I19" s="250">
        <f>SUM(J18,I18)</f>
        <v>-26975.642431999993</v>
      </c>
    </row>
    <row r="20" spans="1:12" ht="15" thickBot="1" x14ac:dyDescent="0.4">
      <c r="F20" s="17">
        <f>SUM(G18/E18)</f>
        <v>0.75294288895007377</v>
      </c>
      <c r="G20" s="17">
        <v>29573</v>
      </c>
    </row>
    <row r="21" spans="1:12" ht="15" customHeight="1" thickBot="1" x14ac:dyDescent="0.4">
      <c r="A21" s="432" t="s">
        <v>33</v>
      </c>
      <c r="B21" s="433"/>
      <c r="C21" s="433"/>
      <c r="D21" s="433"/>
      <c r="E21" s="433"/>
      <c r="F21" s="433"/>
      <c r="G21" s="433"/>
      <c r="H21" s="150"/>
      <c r="I21" s="251"/>
      <c r="J21" s="151"/>
    </row>
    <row r="22" spans="1:12" ht="52.4" customHeight="1" x14ac:dyDescent="0.35">
      <c r="A22" s="134" t="s">
        <v>1</v>
      </c>
      <c r="B22" s="12" t="s">
        <v>2</v>
      </c>
      <c r="C22" s="13" t="s">
        <v>34</v>
      </c>
      <c r="D22" s="13" t="s">
        <v>4</v>
      </c>
      <c r="E22" s="13" t="s">
        <v>35</v>
      </c>
      <c r="F22" s="13" t="s">
        <v>36</v>
      </c>
      <c r="G22" s="13" t="s">
        <v>37</v>
      </c>
      <c r="H22" s="13" t="s">
        <v>38</v>
      </c>
      <c r="I22" s="252" t="s">
        <v>39</v>
      </c>
      <c r="J22" s="135" t="s">
        <v>40</v>
      </c>
    </row>
    <row r="23" spans="1:12" ht="26.15" customHeight="1" x14ac:dyDescent="0.35">
      <c r="A23" s="164" t="s">
        <v>19</v>
      </c>
      <c r="B23" s="153" t="s">
        <v>20</v>
      </c>
      <c r="C23" s="154">
        <v>53</v>
      </c>
      <c r="D23" s="154">
        <v>1115.96</v>
      </c>
      <c r="E23" s="155">
        <f t="shared" ref="E23:E28" si="4">SUM(C23*D23)</f>
        <v>59145.880000000005</v>
      </c>
      <c r="F23" s="154">
        <v>0.75</v>
      </c>
      <c r="G23" s="166">
        <f t="shared" ref="G23:G28" si="5">SUM(E23*F23)</f>
        <v>44359.41</v>
      </c>
      <c r="H23" s="166">
        <v>0</v>
      </c>
      <c r="I23" s="253">
        <f>SUM(G23)</f>
        <v>44359.41</v>
      </c>
      <c r="J23" s="167">
        <v>0</v>
      </c>
    </row>
    <row r="24" spans="1:12" ht="26.15" customHeight="1" x14ac:dyDescent="0.35">
      <c r="A24" s="164" t="s">
        <v>21</v>
      </c>
      <c r="B24" s="153" t="s">
        <v>22</v>
      </c>
      <c r="C24" s="154">
        <v>53</v>
      </c>
      <c r="D24" s="154">
        <v>1115.96</v>
      </c>
      <c r="E24" s="155">
        <f t="shared" si="4"/>
        <v>59145.880000000005</v>
      </c>
      <c r="F24" s="154">
        <v>0.75</v>
      </c>
      <c r="G24" s="166">
        <f t="shared" si="5"/>
        <v>44359.41</v>
      </c>
      <c r="H24" s="166">
        <v>0</v>
      </c>
      <c r="I24" s="253">
        <f t="shared" ref="I24:I28" si="6">SUM(G24)</f>
        <v>44359.41</v>
      </c>
      <c r="J24" s="167">
        <v>0</v>
      </c>
    </row>
    <row r="25" spans="1:12" ht="39" customHeight="1" x14ac:dyDescent="0.35">
      <c r="A25" s="164" t="s">
        <v>23</v>
      </c>
      <c r="B25" s="153" t="s">
        <v>24</v>
      </c>
      <c r="C25" s="154">
        <v>53</v>
      </c>
      <c r="D25" s="154">
        <v>1115.96</v>
      </c>
      <c r="E25" s="155">
        <f t="shared" si="4"/>
        <v>59145.880000000005</v>
      </c>
      <c r="F25" s="154">
        <v>0.5</v>
      </c>
      <c r="G25" s="166">
        <f t="shared" si="5"/>
        <v>29572.940000000002</v>
      </c>
      <c r="H25" s="166">
        <v>0</v>
      </c>
      <c r="I25" s="253">
        <f t="shared" si="6"/>
        <v>29572.940000000002</v>
      </c>
      <c r="J25" s="167">
        <v>0</v>
      </c>
    </row>
    <row r="26" spans="1:12" ht="39" customHeight="1" x14ac:dyDescent="0.35">
      <c r="A26" s="164" t="s">
        <v>26</v>
      </c>
      <c r="B26" s="153" t="s">
        <v>41</v>
      </c>
      <c r="C26" s="154">
        <v>53</v>
      </c>
      <c r="D26" s="154">
        <v>1115.96</v>
      </c>
      <c r="E26" s="155">
        <f t="shared" si="4"/>
        <v>59145.880000000005</v>
      </c>
      <c r="F26" s="154">
        <v>0.75</v>
      </c>
      <c r="G26" s="166">
        <f t="shared" si="5"/>
        <v>44359.41</v>
      </c>
      <c r="H26" s="166">
        <v>0</v>
      </c>
      <c r="I26" s="253">
        <f t="shared" si="6"/>
        <v>44359.41</v>
      </c>
      <c r="J26" s="167">
        <v>0</v>
      </c>
    </row>
    <row r="27" spans="1:12" ht="51" customHeight="1" x14ac:dyDescent="0.35">
      <c r="A27" s="152">
        <v>275.12</v>
      </c>
      <c r="B27" s="153" t="s">
        <v>42</v>
      </c>
      <c r="C27" s="154">
        <v>263</v>
      </c>
      <c r="D27" s="154">
        <v>1</v>
      </c>
      <c r="E27" s="155">
        <f t="shared" si="4"/>
        <v>263</v>
      </c>
      <c r="F27" s="154">
        <v>40</v>
      </c>
      <c r="G27" s="166">
        <f t="shared" si="5"/>
        <v>10520</v>
      </c>
      <c r="H27" s="166">
        <v>0</v>
      </c>
      <c r="I27" s="253">
        <f t="shared" si="6"/>
        <v>10520</v>
      </c>
      <c r="J27" s="167">
        <v>0</v>
      </c>
      <c r="L27" s="89"/>
    </row>
    <row r="28" spans="1:12" ht="69" customHeight="1" x14ac:dyDescent="0.35">
      <c r="A28" s="164" t="s">
        <v>43</v>
      </c>
      <c r="B28" s="153" t="s">
        <v>44</v>
      </c>
      <c r="C28" s="154">
        <v>371</v>
      </c>
      <c r="D28" s="154">
        <v>1</v>
      </c>
      <c r="E28" s="155">
        <f t="shared" si="4"/>
        <v>371</v>
      </c>
      <c r="F28" s="154">
        <v>64</v>
      </c>
      <c r="G28" s="166">
        <f t="shared" si="5"/>
        <v>23744</v>
      </c>
      <c r="H28" s="166">
        <v>0</v>
      </c>
      <c r="I28" s="253">
        <f t="shared" si="6"/>
        <v>23744</v>
      </c>
      <c r="J28" s="167">
        <v>0</v>
      </c>
    </row>
    <row r="29" spans="1:12" s="27" customFormat="1" ht="41.9" customHeight="1" thickBot="1" x14ac:dyDescent="0.4">
      <c r="A29" s="435" t="s">
        <v>45</v>
      </c>
      <c r="B29" s="436"/>
      <c r="C29" s="136">
        <f>SUM(C26:C28)</f>
        <v>687</v>
      </c>
      <c r="D29" s="137">
        <f>SUM(E29/C29)</f>
        <v>345.29478893740907</v>
      </c>
      <c r="E29" s="138">
        <f>SUM(E23:E28)</f>
        <v>237217.52000000002</v>
      </c>
      <c r="F29" s="137">
        <f>SUM(F23:F28)</f>
        <v>106.75</v>
      </c>
      <c r="G29" s="139">
        <f>SUM(G23:G28)</f>
        <v>196915.17</v>
      </c>
      <c r="H29" s="140">
        <v>0</v>
      </c>
      <c r="I29" s="254">
        <f>SUM(G29)</f>
        <v>196915.17</v>
      </c>
      <c r="J29" s="141">
        <v>0</v>
      </c>
    </row>
    <row r="30" spans="1:12" x14ac:dyDescent="0.35">
      <c r="A30" s="2"/>
      <c r="B30" s="1"/>
      <c r="C30" s="19"/>
      <c r="D30" s="20"/>
      <c r="E30" s="20"/>
      <c r="F30" s="20"/>
      <c r="G30" s="21"/>
      <c r="H30" s="1"/>
      <c r="I30" s="255"/>
    </row>
    <row r="31" spans="1:12" x14ac:dyDescent="0.35">
      <c r="A31" t="s">
        <v>46</v>
      </c>
    </row>
    <row r="32" spans="1:12" x14ac:dyDescent="0.35">
      <c r="E32" s="90">
        <f>SUM(E18,E29)</f>
        <v>710389.56</v>
      </c>
      <c r="G32" s="89">
        <f>SUM(G29,G18)</f>
        <v>553186.69276799995</v>
      </c>
    </row>
    <row r="35" spans="1:10" ht="15" thickBot="1" x14ac:dyDescent="0.4"/>
    <row r="36" spans="1:10" ht="65" x14ac:dyDescent="0.35">
      <c r="A36" s="39" t="s">
        <v>1</v>
      </c>
      <c r="B36" s="40" t="s">
        <v>2</v>
      </c>
      <c r="C36" s="40" t="s">
        <v>3</v>
      </c>
      <c r="D36" s="40" t="s">
        <v>47</v>
      </c>
      <c r="E36" s="40" t="s">
        <v>5</v>
      </c>
      <c r="F36" s="40" t="s">
        <v>6</v>
      </c>
      <c r="G36" s="40" t="s">
        <v>48</v>
      </c>
      <c r="H36" s="42" t="s">
        <v>8</v>
      </c>
      <c r="I36" s="234" t="s">
        <v>9</v>
      </c>
      <c r="J36" s="41" t="s">
        <v>10</v>
      </c>
    </row>
    <row r="37" spans="1:10" ht="26" x14ac:dyDescent="0.35">
      <c r="A37" s="5" t="s">
        <v>17</v>
      </c>
      <c r="B37" s="5" t="s">
        <v>49</v>
      </c>
      <c r="C37" s="18">
        <v>59146</v>
      </c>
      <c r="D37" s="10">
        <v>1</v>
      </c>
      <c r="E37" s="163">
        <f>SUM(C37*D37)</f>
        <v>59146</v>
      </c>
      <c r="F37" s="5">
        <v>0.5</v>
      </c>
      <c r="G37" s="30">
        <f>SUM(E37*F37)</f>
        <v>29573</v>
      </c>
      <c r="H37" s="76">
        <v>22748.5</v>
      </c>
      <c r="I37" s="235">
        <f>SUM(G37-H37)</f>
        <v>6824.5</v>
      </c>
      <c r="J37" s="7"/>
    </row>
    <row r="38" spans="1:10" x14ac:dyDescent="0.35">
      <c r="A38" s="431" t="s">
        <v>50</v>
      </c>
      <c r="B38" s="431"/>
      <c r="C38" s="43">
        <f>SUM(C37)</f>
        <v>59146</v>
      </c>
      <c r="D38" s="48"/>
      <c r="E38" s="47">
        <f>SUM(E37)</f>
        <v>59146</v>
      </c>
      <c r="F38" s="48"/>
      <c r="G38" s="46">
        <f>SUM(G37)</f>
        <v>29573</v>
      </c>
      <c r="H38" s="45"/>
      <c r="I38" s="236">
        <v>6825</v>
      </c>
      <c r="J38" s="44"/>
    </row>
    <row r="39" spans="1:10" x14ac:dyDescent="0.35">
      <c r="G39" s="171">
        <f>SUM(G32,G38)</f>
        <v>582759.69276799995</v>
      </c>
    </row>
    <row r="41" spans="1:10" x14ac:dyDescent="0.35">
      <c r="B41" s="338"/>
      <c r="C41" s="358" t="s">
        <v>287</v>
      </c>
      <c r="D41" s="358"/>
      <c r="E41" s="358" t="s">
        <v>288</v>
      </c>
      <c r="F41" s="358"/>
      <c r="G41" s="358" t="s">
        <v>289</v>
      </c>
      <c r="H41" s="339" t="s">
        <v>178</v>
      </c>
    </row>
    <row r="42" spans="1:10" x14ac:dyDescent="0.35">
      <c r="B42" s="338" t="s">
        <v>51</v>
      </c>
      <c r="C42" s="341">
        <f>SUM(G38,G18)</f>
        <v>385844.52276799991</v>
      </c>
      <c r="D42" s="341" t="s">
        <v>51</v>
      </c>
      <c r="E42" s="341">
        <f>SUM('OMB#0299 FNS 380-1'!G11)</f>
        <v>63853.892048000009</v>
      </c>
      <c r="F42" s="341" t="s">
        <v>51</v>
      </c>
      <c r="G42" s="341">
        <f>SUM('OMB#0303 275 regs'!G12)</f>
        <v>2825.99</v>
      </c>
      <c r="H42" s="340">
        <f>SUM(C42,E42,G42)</f>
        <v>452524.40481599991</v>
      </c>
      <c r="J42" s="89">
        <f>SUM(H42-G38)</f>
        <v>422951.40481599991</v>
      </c>
    </row>
    <row r="43" spans="1:10" x14ac:dyDescent="0.35">
      <c r="B43" s="338" t="s">
        <v>52</v>
      </c>
      <c r="C43" s="341">
        <f>SUM(H37,H18)</f>
        <v>405995.6652000001</v>
      </c>
      <c r="D43" s="341" t="s">
        <v>52</v>
      </c>
      <c r="E43" s="341">
        <f>SUM('OMB#0299 FNS 380-1'!H11)</f>
        <v>49118.561200000004</v>
      </c>
      <c r="F43" s="341" t="s">
        <v>52</v>
      </c>
      <c r="G43" s="341">
        <f>SUM('OMB#0303 275 regs'!H12)</f>
        <v>2825.99</v>
      </c>
      <c r="H43" s="340">
        <f>SUM(C43,E43,G43)</f>
        <v>457940.21640000009</v>
      </c>
    </row>
    <row r="44" spans="1:10" x14ac:dyDescent="0.35">
      <c r="B44" s="338" t="s">
        <v>53</v>
      </c>
      <c r="C44" s="341">
        <f>SUM(C42-C43)</f>
        <v>-20151.142432000197</v>
      </c>
      <c r="D44" s="341" t="s">
        <v>53</v>
      </c>
      <c r="E44" s="341">
        <f>SUM(E42-E43)</f>
        <v>14735.330848000005</v>
      </c>
      <c r="F44" s="341" t="s">
        <v>53</v>
      </c>
      <c r="G44" s="341">
        <f>SUM(G42-G43)</f>
        <v>0</v>
      </c>
      <c r="H44" s="340">
        <f>SUM(C44,E44,G44)</f>
        <v>-5415.8115840001919</v>
      </c>
    </row>
    <row r="45" spans="1:10" x14ac:dyDescent="0.35">
      <c r="B45" s="338"/>
      <c r="C45" s="341"/>
      <c r="D45" s="341"/>
      <c r="E45" s="341"/>
      <c r="F45" s="341"/>
      <c r="G45" s="341"/>
      <c r="H45" s="340"/>
    </row>
    <row r="46" spans="1:10" x14ac:dyDescent="0.35">
      <c r="B46" s="338" t="s">
        <v>54</v>
      </c>
      <c r="C46" s="341">
        <f>SUM(G29)</f>
        <v>196915.17</v>
      </c>
      <c r="D46" s="341" t="s">
        <v>54</v>
      </c>
      <c r="E46" s="341">
        <v>742</v>
      </c>
      <c r="F46" s="341" t="s">
        <v>54</v>
      </c>
      <c r="G46" s="341">
        <f>SUM('OMB#0303 275 regs'!G27)</f>
        <v>2120</v>
      </c>
      <c r="H46" s="340">
        <f>SUM(C46,E46,G46)</f>
        <v>199777.17</v>
      </c>
    </row>
    <row r="47" spans="1:10" x14ac:dyDescent="0.35">
      <c r="B47" s="338" t="s">
        <v>55</v>
      </c>
      <c r="C47" s="341">
        <f>SUM(C42,C46)</f>
        <v>582759.69276799995</v>
      </c>
      <c r="D47" s="341" t="s">
        <v>55</v>
      </c>
      <c r="E47" s="341">
        <f>SUM(E42,E46)</f>
        <v>64595.892048000009</v>
      </c>
      <c r="F47" s="341" t="s">
        <v>55</v>
      </c>
      <c r="G47" s="341">
        <f>SUM(G42,G46)</f>
        <v>4945.99</v>
      </c>
      <c r="H47" s="340">
        <f>SUM(C47,E47,G47)</f>
        <v>652301.57481599995</v>
      </c>
    </row>
    <row r="48" spans="1:10" x14ac:dyDescent="0.35">
      <c r="B48" s="338"/>
      <c r="C48" s="341"/>
      <c r="D48" s="342"/>
      <c r="E48" s="342"/>
      <c r="F48" s="342"/>
      <c r="G48" s="342"/>
      <c r="H48" s="338"/>
    </row>
    <row r="49" spans="2:8" x14ac:dyDescent="0.35">
      <c r="B49" s="338"/>
      <c r="C49" s="342"/>
      <c r="D49" s="342"/>
      <c r="E49" s="342"/>
      <c r="F49" s="342"/>
      <c r="G49" s="342"/>
      <c r="H49" s="338"/>
    </row>
    <row r="50" spans="2:8" x14ac:dyDescent="0.35">
      <c r="B50" s="338"/>
      <c r="C50" s="342"/>
      <c r="D50" s="342"/>
      <c r="E50" s="342"/>
      <c r="F50" s="342"/>
      <c r="G50" s="342"/>
      <c r="H50" s="338"/>
    </row>
    <row r="51" spans="2:8" x14ac:dyDescent="0.35">
      <c r="B51" s="338" t="s">
        <v>56</v>
      </c>
      <c r="C51" s="341">
        <f>SUM(C42,E42,G42)</f>
        <v>452524.40481599991</v>
      </c>
      <c r="D51" s="341">
        <f>SUM(C51-29573)</f>
        <v>422951.40481599991</v>
      </c>
      <c r="E51" s="342"/>
      <c r="F51" s="342"/>
      <c r="G51" s="342"/>
      <c r="H51" s="338"/>
    </row>
    <row r="52" spans="2:8" x14ac:dyDescent="0.35">
      <c r="B52" s="338" t="s">
        <v>57</v>
      </c>
      <c r="C52" s="341">
        <f>SUM(C46,E46,G46)</f>
        <v>199777.17</v>
      </c>
      <c r="D52" s="341">
        <f>SUM(C51:C52)</f>
        <v>652301.57481599995</v>
      </c>
      <c r="E52" s="342"/>
      <c r="F52" s="342"/>
      <c r="G52" s="342"/>
      <c r="H52" s="338"/>
    </row>
    <row r="53" spans="2:8" x14ac:dyDescent="0.35">
      <c r="B53" s="338" t="s">
        <v>58</v>
      </c>
      <c r="C53" s="341">
        <f>SUM(C47,E47,G47)</f>
        <v>652301.57481599995</v>
      </c>
      <c r="D53" s="342"/>
      <c r="E53" s="342"/>
      <c r="F53" s="342"/>
      <c r="G53" s="342"/>
      <c r="H53" s="338"/>
    </row>
  </sheetData>
  <mergeCells count="9">
    <mergeCell ref="A38:B38"/>
    <mergeCell ref="A21:G21"/>
    <mergeCell ref="A2:J2"/>
    <mergeCell ref="A29:B29"/>
    <mergeCell ref="A18:B18"/>
    <mergeCell ref="A12:B12"/>
    <mergeCell ref="A14:J14"/>
    <mergeCell ref="A15:J15"/>
    <mergeCell ref="A17:J1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9"/>
  <sheetViews>
    <sheetView workbookViewId="0">
      <selection activeCell="G3" sqref="G3"/>
    </sheetView>
  </sheetViews>
  <sheetFormatPr defaultColWidth="8.81640625" defaultRowHeight="14.5" x14ac:dyDescent="0.35"/>
  <cols>
    <col min="1" max="1" width="8.81640625" style="365"/>
    <col min="2" max="2" width="14.453125" style="365" customWidth="1"/>
    <col min="3" max="3" width="11.1796875" style="365" customWidth="1"/>
    <col min="4" max="4" width="10.54296875" style="365" customWidth="1"/>
    <col min="5" max="7" width="8.81640625" style="365"/>
    <col min="8" max="8" width="11" style="365" customWidth="1"/>
    <col min="9" max="9" width="10.54296875" style="365" customWidth="1"/>
    <col min="10" max="10" width="11" style="365" customWidth="1"/>
    <col min="11" max="16384" width="8.81640625" style="365"/>
  </cols>
  <sheetData>
    <row r="1" spans="1:10" ht="65" x14ac:dyDescent="0.35">
      <c r="A1" s="360" t="s">
        <v>1</v>
      </c>
      <c r="B1" s="361" t="s">
        <v>2</v>
      </c>
      <c r="C1" s="361" t="s">
        <v>3</v>
      </c>
      <c r="D1" s="361" t="s">
        <v>47</v>
      </c>
      <c r="E1" s="361" t="s">
        <v>5</v>
      </c>
      <c r="F1" s="361" t="s">
        <v>6</v>
      </c>
      <c r="G1" s="361" t="s">
        <v>48</v>
      </c>
      <c r="H1" s="362" t="s">
        <v>8</v>
      </c>
      <c r="I1" s="363" t="s">
        <v>9</v>
      </c>
      <c r="J1" s="364" t="s">
        <v>10</v>
      </c>
    </row>
    <row r="2" spans="1:10" ht="52" x14ac:dyDescent="0.35">
      <c r="A2" s="366" t="s">
        <v>17</v>
      </c>
      <c r="B2" s="366" t="s">
        <v>49</v>
      </c>
      <c r="C2" s="367">
        <v>59146</v>
      </c>
      <c r="D2" s="368">
        <v>1</v>
      </c>
      <c r="E2" s="369">
        <f>SUM(C2*D2)</f>
        <v>59146</v>
      </c>
      <c r="F2" s="366">
        <v>0.5</v>
      </c>
      <c r="G2" s="370">
        <f>SUM(E2*F2)</f>
        <v>29573</v>
      </c>
      <c r="H2" s="371">
        <v>22748.5</v>
      </c>
      <c r="I2" s="372">
        <f>SUM(G2-H2)</f>
        <v>6824.5</v>
      </c>
      <c r="J2" s="373"/>
    </row>
    <row r="3" spans="1:10" s="381" customFormat="1" ht="54.65" customHeight="1" x14ac:dyDescent="0.3">
      <c r="A3" s="448" t="s">
        <v>50</v>
      </c>
      <c r="B3" s="448"/>
      <c r="C3" s="374">
        <f>SUM(C2)</f>
        <v>59146</v>
      </c>
      <c r="D3" s="375"/>
      <c r="E3" s="376">
        <f>SUM(E2)</f>
        <v>59146</v>
      </c>
      <c r="F3" s="375"/>
      <c r="G3" s="377">
        <f>SUM(G2)</f>
        <v>29573</v>
      </c>
      <c r="H3" s="378"/>
      <c r="I3" s="379">
        <v>6825</v>
      </c>
      <c r="J3" s="380"/>
    </row>
    <row r="5" spans="1:10" x14ac:dyDescent="0.35">
      <c r="A5" s="365" t="s">
        <v>46</v>
      </c>
      <c r="C5" s="382"/>
    </row>
    <row r="6" spans="1:10" ht="15" customHeight="1" x14ac:dyDescent="0.35">
      <c r="C6" s="383"/>
    </row>
    <row r="7" spans="1:10" x14ac:dyDescent="0.35">
      <c r="C7" s="383"/>
    </row>
    <row r="8" spans="1:10" x14ac:dyDescent="0.35">
      <c r="C8" s="383"/>
    </row>
    <row r="9" spans="1:10" x14ac:dyDescent="0.35">
      <c r="C9" s="383"/>
    </row>
  </sheetData>
  <mergeCells count="1">
    <mergeCell ref="A3:B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</sheetPr>
  <dimension ref="A1:J46"/>
  <sheetViews>
    <sheetView topLeftCell="A17" workbookViewId="0">
      <selection activeCell="G26" sqref="G26"/>
    </sheetView>
  </sheetViews>
  <sheetFormatPr defaultRowHeight="14.5" x14ac:dyDescent="0.35"/>
  <cols>
    <col min="1" max="1" width="14.1796875" customWidth="1"/>
    <col min="2" max="2" width="23.1796875" customWidth="1"/>
    <col min="3" max="3" width="12.1796875" customWidth="1"/>
    <col min="4" max="4" width="11.54296875" customWidth="1"/>
    <col min="5" max="5" width="9.26953125" bestFit="1" customWidth="1"/>
    <col min="6" max="6" width="11.453125" bestFit="1" customWidth="1"/>
    <col min="7" max="7" width="10.1796875" customWidth="1"/>
    <col min="8" max="8" width="10.54296875" customWidth="1"/>
    <col min="9" max="9" width="9.81640625" style="9" customWidth="1"/>
    <col min="10" max="10" width="11.453125" customWidth="1"/>
  </cols>
  <sheetData>
    <row r="1" spans="1:10" ht="15" thickBot="1" x14ac:dyDescent="0.4">
      <c r="A1" s="451" t="s">
        <v>91</v>
      </c>
      <c r="B1" s="452"/>
      <c r="C1" s="452"/>
      <c r="D1" s="452"/>
      <c r="E1" s="452"/>
      <c r="F1" s="452"/>
      <c r="G1" s="452"/>
      <c r="H1" s="452"/>
      <c r="I1" s="452"/>
      <c r="J1" s="453"/>
    </row>
    <row r="2" spans="1:10" ht="65" x14ac:dyDescent="0.35">
      <c r="A2" s="39" t="s">
        <v>1</v>
      </c>
      <c r="B2" s="40" t="s">
        <v>2</v>
      </c>
      <c r="C2" s="40" t="s">
        <v>3</v>
      </c>
      <c r="D2" s="40" t="s">
        <v>47</v>
      </c>
      <c r="E2" s="40" t="s">
        <v>5</v>
      </c>
      <c r="F2" s="40" t="s">
        <v>6</v>
      </c>
      <c r="G2" s="40" t="s">
        <v>48</v>
      </c>
      <c r="H2" s="42" t="s">
        <v>8</v>
      </c>
      <c r="I2" s="234" t="s">
        <v>9</v>
      </c>
      <c r="J2" s="41" t="s">
        <v>10</v>
      </c>
    </row>
    <row r="3" spans="1:10" ht="26" x14ac:dyDescent="0.35">
      <c r="A3" s="172" t="s">
        <v>92</v>
      </c>
      <c r="B3" s="173" t="s">
        <v>93</v>
      </c>
      <c r="C3" s="174">
        <v>53</v>
      </c>
      <c r="D3" s="174">
        <v>1</v>
      </c>
      <c r="E3" s="174">
        <v>53</v>
      </c>
      <c r="F3" s="174">
        <v>20</v>
      </c>
      <c r="G3" s="174">
        <v>1060</v>
      </c>
      <c r="H3" s="329">
        <v>1060</v>
      </c>
      <c r="I3" s="330">
        <v>0</v>
      </c>
      <c r="J3" s="331">
        <v>0</v>
      </c>
    </row>
    <row r="4" spans="1:10" ht="26" x14ac:dyDescent="0.35">
      <c r="A4" s="173" t="s">
        <v>223</v>
      </c>
      <c r="B4" s="173" t="s">
        <v>219</v>
      </c>
      <c r="C4" s="275">
        <v>3</v>
      </c>
      <c r="D4" s="275">
        <v>1</v>
      </c>
      <c r="E4" s="275">
        <v>3</v>
      </c>
      <c r="F4" s="275">
        <v>0.25</v>
      </c>
      <c r="G4" s="275">
        <f t="shared" ref="G4:G7" si="0">SUM(E4*F4)</f>
        <v>0.75</v>
      </c>
      <c r="H4" s="329">
        <v>0.75</v>
      </c>
      <c r="I4" s="330">
        <v>0</v>
      </c>
      <c r="J4" s="329">
        <v>0</v>
      </c>
    </row>
    <row r="5" spans="1:10" ht="39" x14ac:dyDescent="0.35">
      <c r="A5" s="173" t="s">
        <v>224</v>
      </c>
      <c r="B5" s="173" t="s">
        <v>220</v>
      </c>
      <c r="C5" s="275">
        <v>3</v>
      </c>
      <c r="D5" s="275">
        <v>1</v>
      </c>
      <c r="E5" s="275">
        <v>3</v>
      </c>
      <c r="F5" s="275">
        <v>0.5</v>
      </c>
      <c r="G5" s="275">
        <f t="shared" si="0"/>
        <v>1.5</v>
      </c>
      <c r="H5" s="329">
        <v>1.5</v>
      </c>
      <c r="I5" s="330">
        <v>0</v>
      </c>
      <c r="J5" s="329">
        <v>0</v>
      </c>
    </row>
    <row r="6" spans="1:10" ht="39" x14ac:dyDescent="0.35">
      <c r="A6" s="173" t="s">
        <v>225</v>
      </c>
      <c r="B6" s="173" t="s">
        <v>221</v>
      </c>
      <c r="C6" s="275">
        <v>3</v>
      </c>
      <c r="D6" s="275">
        <v>1</v>
      </c>
      <c r="E6" s="275">
        <v>3</v>
      </c>
      <c r="F6" s="275">
        <v>0.5</v>
      </c>
      <c r="G6" s="275">
        <f t="shared" si="0"/>
        <v>1.5</v>
      </c>
      <c r="H6" s="329">
        <v>1.5</v>
      </c>
      <c r="I6" s="330">
        <v>0</v>
      </c>
      <c r="J6" s="329">
        <v>0</v>
      </c>
    </row>
    <row r="7" spans="1:10" ht="39" x14ac:dyDescent="0.35">
      <c r="A7" s="173" t="s">
        <v>226</v>
      </c>
      <c r="B7" s="173" t="s">
        <v>222</v>
      </c>
      <c r="C7" s="275">
        <v>3</v>
      </c>
      <c r="D7" s="275">
        <v>1</v>
      </c>
      <c r="E7" s="275">
        <v>3</v>
      </c>
      <c r="F7" s="275">
        <v>0.08</v>
      </c>
      <c r="G7" s="275">
        <f t="shared" si="0"/>
        <v>0.24</v>
      </c>
      <c r="H7" s="329">
        <v>0.24</v>
      </c>
      <c r="I7" s="330">
        <v>0</v>
      </c>
      <c r="J7" s="329">
        <v>0</v>
      </c>
    </row>
    <row r="8" spans="1:10" x14ac:dyDescent="0.35">
      <c r="A8" s="5" t="s">
        <v>94</v>
      </c>
      <c r="B8" s="5" t="s">
        <v>95</v>
      </c>
      <c r="C8" s="123">
        <v>12</v>
      </c>
      <c r="D8" s="123">
        <v>3</v>
      </c>
      <c r="E8" s="123">
        <v>36</v>
      </c>
      <c r="F8" s="123">
        <v>34</v>
      </c>
      <c r="G8" s="123">
        <v>1224</v>
      </c>
      <c r="H8" s="124">
        <v>1224</v>
      </c>
      <c r="I8" s="237">
        <v>0</v>
      </c>
      <c r="J8" s="124">
        <v>0</v>
      </c>
    </row>
    <row r="9" spans="1:10" x14ac:dyDescent="0.35">
      <c r="A9" s="5" t="s">
        <v>96</v>
      </c>
      <c r="B9" s="5" t="s">
        <v>97</v>
      </c>
      <c r="C9" s="123">
        <v>1</v>
      </c>
      <c r="D9" s="123">
        <v>1</v>
      </c>
      <c r="E9" s="123">
        <v>1</v>
      </c>
      <c r="F9" s="123">
        <v>160</v>
      </c>
      <c r="G9" s="123">
        <v>160</v>
      </c>
      <c r="H9" s="124">
        <v>160</v>
      </c>
      <c r="I9" s="237">
        <v>0</v>
      </c>
      <c r="J9" s="124">
        <v>0</v>
      </c>
    </row>
    <row r="10" spans="1:10" ht="26.5" x14ac:dyDescent="0.35">
      <c r="A10" s="5" t="s">
        <v>98</v>
      </c>
      <c r="B10" s="308" t="s">
        <v>99</v>
      </c>
      <c r="C10" s="123">
        <v>9</v>
      </c>
      <c r="D10" s="123">
        <v>1</v>
      </c>
      <c r="E10" s="123">
        <v>9</v>
      </c>
      <c r="F10" s="123">
        <v>32</v>
      </c>
      <c r="G10" s="123">
        <v>288</v>
      </c>
      <c r="H10" s="124">
        <v>288</v>
      </c>
      <c r="I10" s="237">
        <v>0</v>
      </c>
      <c r="J10" s="124">
        <v>0</v>
      </c>
    </row>
    <row r="11" spans="1:10" ht="26.5" customHeight="1" x14ac:dyDescent="0.35">
      <c r="A11" s="125" t="s">
        <v>100</v>
      </c>
      <c r="B11" s="309" t="s">
        <v>101</v>
      </c>
      <c r="C11" s="123">
        <v>9</v>
      </c>
      <c r="D11" s="123">
        <v>2</v>
      </c>
      <c r="E11" s="123">
        <v>18</v>
      </c>
      <c r="F11" s="123">
        <v>5</v>
      </c>
      <c r="G11" s="123">
        <v>90</v>
      </c>
      <c r="H11" s="332">
        <v>90</v>
      </c>
      <c r="I11" s="333">
        <v>0</v>
      </c>
      <c r="J11" s="334">
        <v>0</v>
      </c>
    </row>
    <row r="12" spans="1:10" s="28" customFormat="1" ht="39" customHeight="1" x14ac:dyDescent="0.35">
      <c r="A12" s="456" t="s">
        <v>102</v>
      </c>
      <c r="B12" s="457"/>
      <c r="C12" s="26">
        <v>53</v>
      </c>
      <c r="D12" s="26">
        <f>SUM(E12/C12)</f>
        <v>2.4339622641509435</v>
      </c>
      <c r="E12" s="29">
        <f>SUM(E3:E11)</f>
        <v>129</v>
      </c>
      <c r="F12" s="26">
        <f>SUM(G12/E12)</f>
        <v>21.9068992248062</v>
      </c>
      <c r="G12" s="75">
        <f>SUM(G3:G11)</f>
        <v>2825.99</v>
      </c>
      <c r="H12" s="75">
        <f>SUM(H3:H11)</f>
        <v>2825.99</v>
      </c>
      <c r="I12" s="238">
        <f>SUM(I3:I11)</f>
        <v>0</v>
      </c>
      <c r="J12" s="175">
        <f>SUM(J3:J11)</f>
        <v>0</v>
      </c>
    </row>
    <row r="13" spans="1:10" x14ac:dyDescent="0.35">
      <c r="A13" s="458" t="s">
        <v>103</v>
      </c>
      <c r="B13" s="459"/>
      <c r="C13" s="459"/>
      <c r="D13" s="459"/>
      <c r="E13" s="459"/>
      <c r="F13" s="459"/>
      <c r="G13" s="459"/>
      <c r="H13" s="459"/>
      <c r="I13" s="459"/>
      <c r="J13" s="460"/>
    </row>
    <row r="14" spans="1:10" ht="26" x14ac:dyDescent="0.35">
      <c r="A14" s="125">
        <v>275.39999999999998</v>
      </c>
      <c r="B14" s="5" t="s">
        <v>253</v>
      </c>
      <c r="C14" s="176">
        <v>53</v>
      </c>
      <c r="D14" s="176">
        <v>1</v>
      </c>
      <c r="E14" s="176">
        <v>53</v>
      </c>
      <c r="F14" s="176">
        <v>2.3599999999999999E-2</v>
      </c>
      <c r="G14" s="176">
        <f>SUM(E14*F14)</f>
        <v>1.2507999999999999</v>
      </c>
      <c r="H14" s="7">
        <v>1.2507999999999999</v>
      </c>
      <c r="I14" s="239">
        <v>0</v>
      </c>
      <c r="J14" s="7"/>
    </row>
    <row r="15" spans="1:10" ht="26" x14ac:dyDescent="0.35">
      <c r="A15" s="125">
        <v>275.39999999999998</v>
      </c>
      <c r="B15" s="5" t="s">
        <v>104</v>
      </c>
      <c r="C15" s="176">
        <v>12</v>
      </c>
      <c r="D15" s="176">
        <v>3</v>
      </c>
      <c r="E15" s="176">
        <v>36</v>
      </c>
      <c r="F15" s="176">
        <v>2.3599999999999999E-2</v>
      </c>
      <c r="G15" s="176">
        <f t="shared" ref="G15:G18" si="1">SUM(E15*F15)</f>
        <v>0.84960000000000002</v>
      </c>
      <c r="H15" s="7">
        <v>0.84960000000000002</v>
      </c>
      <c r="I15" s="239">
        <v>0</v>
      </c>
      <c r="J15" s="7"/>
    </row>
    <row r="16" spans="1:10" ht="26" x14ac:dyDescent="0.35">
      <c r="A16" s="5">
        <v>275.39999999999998</v>
      </c>
      <c r="B16" s="5" t="s">
        <v>105</v>
      </c>
      <c r="C16" s="176">
        <v>1</v>
      </c>
      <c r="D16" s="176">
        <v>1</v>
      </c>
      <c r="E16" s="176">
        <v>1</v>
      </c>
      <c r="F16" s="176">
        <v>2.3599999999999999E-2</v>
      </c>
      <c r="G16" s="176">
        <f t="shared" si="1"/>
        <v>2.3599999999999999E-2</v>
      </c>
      <c r="H16" s="7">
        <v>2.3599999999999999E-2</v>
      </c>
      <c r="I16" s="239">
        <v>0</v>
      </c>
      <c r="J16" s="7"/>
    </row>
    <row r="17" spans="1:10" ht="42.5" x14ac:dyDescent="0.35">
      <c r="A17" s="5">
        <v>275.39999999999998</v>
      </c>
      <c r="B17" s="122" t="s">
        <v>106</v>
      </c>
      <c r="C17" s="176">
        <v>9</v>
      </c>
      <c r="D17" s="176">
        <v>1</v>
      </c>
      <c r="E17" s="176">
        <v>9</v>
      </c>
      <c r="F17" s="176">
        <v>2.3599999999999999E-2</v>
      </c>
      <c r="G17" s="176">
        <f t="shared" si="1"/>
        <v>0.21240000000000001</v>
      </c>
      <c r="H17" s="7">
        <v>0.21240000000000001</v>
      </c>
      <c r="I17" s="239">
        <v>0</v>
      </c>
      <c r="J17" s="7"/>
    </row>
    <row r="18" spans="1:10" ht="56.5" x14ac:dyDescent="0.35">
      <c r="A18" s="5">
        <v>275.39999999999998</v>
      </c>
      <c r="B18" s="122" t="s">
        <v>107</v>
      </c>
      <c r="C18" s="176">
        <v>9</v>
      </c>
      <c r="D18" s="176">
        <v>2</v>
      </c>
      <c r="E18" s="176">
        <v>18</v>
      </c>
      <c r="F18" s="176">
        <v>2.3599999999999999E-2</v>
      </c>
      <c r="G18" s="176">
        <f t="shared" si="1"/>
        <v>0.42480000000000001</v>
      </c>
      <c r="H18" s="7">
        <v>0.42480000000000001</v>
      </c>
      <c r="I18" s="239">
        <v>0</v>
      </c>
      <c r="J18" s="7"/>
    </row>
    <row r="19" spans="1:10" x14ac:dyDescent="0.35">
      <c r="A19" s="457" t="s">
        <v>108</v>
      </c>
      <c r="B19" s="457"/>
      <c r="C19" s="245">
        <v>53</v>
      </c>
      <c r="D19" s="264">
        <f>SUM(E19/C19)</f>
        <v>2.2075471698113209</v>
      </c>
      <c r="E19" s="264">
        <f>SUM(E14:E18)</f>
        <v>117</v>
      </c>
      <c r="F19" s="264">
        <f>SUM(G19/E19)</f>
        <v>2.3599999999999999E-2</v>
      </c>
      <c r="G19" s="264">
        <f>SUM(G14:G18)</f>
        <v>2.7612000000000001</v>
      </c>
      <c r="H19" s="33">
        <f>SUM(H14:H18)</f>
        <v>2.7612000000000001</v>
      </c>
      <c r="I19" s="240">
        <v>0</v>
      </c>
      <c r="J19" s="33"/>
    </row>
    <row r="20" spans="1:10" x14ac:dyDescent="0.35">
      <c r="A20" s="445"/>
      <c r="B20" s="446"/>
      <c r="C20" s="446"/>
      <c r="D20" s="446"/>
      <c r="E20" s="446"/>
      <c r="F20" s="446"/>
      <c r="G20" s="446"/>
      <c r="H20" s="446"/>
      <c r="I20" s="446"/>
      <c r="J20" s="447"/>
    </row>
    <row r="21" spans="1:10" ht="26.15" customHeight="1" thickBot="1" x14ac:dyDescent="0.4">
      <c r="A21" s="454" t="s">
        <v>109</v>
      </c>
      <c r="B21" s="455"/>
      <c r="C21" s="127">
        <v>53</v>
      </c>
      <c r="D21" s="127">
        <f>SUM(E21/C21)</f>
        <v>4.6415094339622645</v>
      </c>
      <c r="E21" s="128">
        <f>SUM(E12,E19)</f>
        <v>246</v>
      </c>
      <c r="F21" s="127">
        <f>SUM(G21/E21)</f>
        <v>11.498988617886178</v>
      </c>
      <c r="G21" s="128">
        <f>SUM(G19,G12)</f>
        <v>2828.7511999999997</v>
      </c>
      <c r="H21" s="128">
        <f>SUM(H19,H12)</f>
        <v>2828.7511999999997</v>
      </c>
      <c r="I21" s="241">
        <f>SUM(I12,I14)</f>
        <v>0</v>
      </c>
      <c r="J21" s="129">
        <f>SUM(J12,J14)</f>
        <v>0</v>
      </c>
    </row>
    <row r="22" spans="1:10" x14ac:dyDescent="0.35">
      <c r="B22" t="s">
        <v>227</v>
      </c>
      <c r="C22" s="17"/>
      <c r="D22" s="17"/>
      <c r="E22" s="17"/>
      <c r="F22" s="17"/>
      <c r="G22" s="17"/>
    </row>
    <row r="23" spans="1:10" ht="15" thickBot="1" x14ac:dyDescent="0.4"/>
    <row r="24" spans="1:10" ht="15" thickBot="1" x14ac:dyDescent="0.4">
      <c r="A24" s="461" t="s">
        <v>110</v>
      </c>
      <c r="B24" s="462"/>
      <c r="C24" s="462"/>
      <c r="D24" s="462"/>
      <c r="E24" s="462"/>
      <c r="F24" s="462"/>
      <c r="G24" s="462"/>
      <c r="H24" s="179"/>
      <c r="I24" s="242"/>
      <c r="J24" s="180"/>
    </row>
    <row r="25" spans="1:10" ht="91.75" customHeight="1" x14ac:dyDescent="0.35">
      <c r="A25" s="130" t="s">
        <v>1</v>
      </c>
      <c r="B25" s="119" t="s">
        <v>2</v>
      </c>
      <c r="C25" s="119" t="s">
        <v>3</v>
      </c>
      <c r="D25" s="119" t="s">
        <v>47</v>
      </c>
      <c r="E25" s="119" t="s">
        <v>111</v>
      </c>
      <c r="F25" s="119" t="s">
        <v>112</v>
      </c>
      <c r="G25" s="119" t="s">
        <v>48</v>
      </c>
      <c r="H25" s="42" t="s">
        <v>8</v>
      </c>
      <c r="I25" s="234" t="s">
        <v>9</v>
      </c>
      <c r="J25" s="41" t="s">
        <v>10</v>
      </c>
    </row>
    <row r="26" spans="1:10" ht="52.4" customHeight="1" x14ac:dyDescent="0.35">
      <c r="A26" s="158">
        <v>275.11</v>
      </c>
      <c r="B26" s="149" t="s">
        <v>113</v>
      </c>
      <c r="C26" s="159">
        <v>53</v>
      </c>
      <c r="D26" s="159">
        <v>1</v>
      </c>
      <c r="E26" s="159">
        <f>SUM(C26*D26)</f>
        <v>53</v>
      </c>
      <c r="F26" s="159">
        <v>40</v>
      </c>
      <c r="G26" s="160">
        <f>SUM(E26*F26)</f>
        <v>2120</v>
      </c>
      <c r="H26" s="161">
        <v>0</v>
      </c>
      <c r="I26" s="243">
        <v>2120</v>
      </c>
      <c r="J26" s="162"/>
    </row>
    <row r="27" spans="1:10" ht="15" thickBot="1" x14ac:dyDescent="0.4">
      <c r="A27" s="449" t="s">
        <v>114</v>
      </c>
      <c r="B27" s="450"/>
      <c r="C27" s="127">
        <f>SUM(C26)</f>
        <v>53</v>
      </c>
      <c r="D27" s="127">
        <v>1</v>
      </c>
      <c r="E27" s="128">
        <f>SUM(E26)</f>
        <v>53</v>
      </c>
      <c r="F27" s="127">
        <f>SUM(G27/E27)</f>
        <v>40</v>
      </c>
      <c r="G27" s="131">
        <f>SUM(G26)</f>
        <v>2120</v>
      </c>
      <c r="H27" s="132"/>
      <c r="I27" s="244">
        <v>2120</v>
      </c>
      <c r="J27" s="133"/>
    </row>
    <row r="28" spans="1:10" x14ac:dyDescent="0.35">
      <c r="A28" t="s">
        <v>46</v>
      </c>
    </row>
    <row r="29" spans="1:10" x14ac:dyDescent="0.35">
      <c r="A29" s="4"/>
      <c r="E29">
        <f>SUM(E27,E21)</f>
        <v>299</v>
      </c>
      <c r="G29" s="92">
        <f>SUM(G27,G21)</f>
        <v>4948.7511999999997</v>
      </c>
    </row>
    <row r="30" spans="1:10" x14ac:dyDescent="0.35">
      <c r="A30" s="4"/>
    </row>
    <row r="31" spans="1:10" x14ac:dyDescent="0.35">
      <c r="A31" s="4"/>
      <c r="B31" t="s">
        <v>51</v>
      </c>
      <c r="C31">
        <f>SUM(G21)</f>
        <v>2828.7511999999997</v>
      </c>
    </row>
    <row r="32" spans="1:10" x14ac:dyDescent="0.35">
      <c r="B32" t="s">
        <v>52</v>
      </c>
      <c r="C32">
        <f>SUM(H21)</f>
        <v>2828.7511999999997</v>
      </c>
    </row>
    <row r="33" spans="2:3" x14ac:dyDescent="0.35">
      <c r="B33" t="s">
        <v>53</v>
      </c>
      <c r="C33">
        <f>SUM(C31-C32)</f>
        <v>0</v>
      </c>
    </row>
    <row r="35" spans="2:3" x14ac:dyDescent="0.35">
      <c r="B35" t="s">
        <v>54</v>
      </c>
      <c r="C35" s="92">
        <f>SUM(G27)</f>
        <v>2120</v>
      </c>
    </row>
    <row r="36" spans="2:3" x14ac:dyDescent="0.35">
      <c r="B36" t="s">
        <v>55</v>
      </c>
      <c r="C36" s="92">
        <f>SUM(C35,C31)</f>
        <v>4948.7511999999997</v>
      </c>
    </row>
    <row r="41" spans="2:3" x14ac:dyDescent="0.35">
      <c r="B41" s="89"/>
    </row>
    <row r="42" spans="2:3" x14ac:dyDescent="0.35">
      <c r="B42" s="89"/>
    </row>
    <row r="43" spans="2:3" x14ac:dyDescent="0.35">
      <c r="B43" s="89"/>
    </row>
    <row r="44" spans="2:3" x14ac:dyDescent="0.35">
      <c r="B44" s="89"/>
    </row>
    <row r="45" spans="2:3" x14ac:dyDescent="0.35">
      <c r="B45" s="89"/>
    </row>
    <row r="46" spans="2:3" x14ac:dyDescent="0.35">
      <c r="B46" s="89"/>
    </row>
  </sheetData>
  <mergeCells count="8">
    <mergeCell ref="A27:B27"/>
    <mergeCell ref="A1:J1"/>
    <mergeCell ref="A21:B21"/>
    <mergeCell ref="A12:B12"/>
    <mergeCell ref="A13:J13"/>
    <mergeCell ref="A20:J20"/>
    <mergeCell ref="A19:B19"/>
    <mergeCell ref="A24:G2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50"/>
  </sheetPr>
  <dimension ref="A1:J27"/>
  <sheetViews>
    <sheetView topLeftCell="A7" workbookViewId="0">
      <selection activeCell="G11" sqref="G11"/>
    </sheetView>
  </sheetViews>
  <sheetFormatPr defaultRowHeight="14.5" x14ac:dyDescent="0.35"/>
  <cols>
    <col min="1" max="2" width="12.453125" customWidth="1"/>
    <col min="3" max="3" width="12.54296875" customWidth="1"/>
    <col min="4" max="4" width="10.1796875" customWidth="1"/>
    <col min="5" max="5" width="11.453125" bestFit="1" customWidth="1"/>
    <col min="6" max="6" width="12.453125" customWidth="1"/>
    <col min="7" max="7" width="12.54296875" customWidth="1"/>
    <col min="8" max="8" width="10" customWidth="1"/>
    <col min="9" max="9" width="11.54296875" style="225" customWidth="1"/>
    <col min="10" max="10" width="10.453125" customWidth="1"/>
  </cols>
  <sheetData>
    <row r="1" spans="1:10" ht="15" customHeight="1" thickBot="1" x14ac:dyDescent="0.4">
      <c r="I1" s="225">
        <v>14413.2222</v>
      </c>
    </row>
    <row r="2" spans="1:10" ht="14.9" customHeight="1" thickBot="1" x14ac:dyDescent="0.4">
      <c r="A2" s="432" t="s">
        <v>75</v>
      </c>
      <c r="B2" s="433"/>
      <c r="C2" s="433"/>
      <c r="D2" s="433"/>
      <c r="E2" s="433"/>
      <c r="F2" s="433"/>
      <c r="G2" s="433"/>
      <c r="H2" s="433"/>
      <c r="I2" s="433"/>
      <c r="J2" s="434"/>
    </row>
    <row r="3" spans="1:10" ht="52" x14ac:dyDescent="0.35">
      <c r="A3" s="34" t="s">
        <v>1</v>
      </c>
      <c r="B3" s="12" t="s">
        <v>2</v>
      </c>
      <c r="C3" s="12" t="s">
        <v>3</v>
      </c>
      <c r="D3" s="12" t="s">
        <v>47</v>
      </c>
      <c r="E3" s="12" t="s">
        <v>76</v>
      </c>
      <c r="F3" s="12" t="s">
        <v>77</v>
      </c>
      <c r="G3" s="12" t="s">
        <v>78</v>
      </c>
      <c r="H3" s="23" t="s">
        <v>8</v>
      </c>
      <c r="I3" s="226" t="s">
        <v>9</v>
      </c>
      <c r="J3" s="23" t="s">
        <v>10</v>
      </c>
    </row>
    <row r="4" spans="1:10" ht="39" x14ac:dyDescent="0.35">
      <c r="A4" s="49" t="s">
        <v>79</v>
      </c>
      <c r="B4" s="5" t="s">
        <v>80</v>
      </c>
      <c r="C4" s="10">
        <v>53</v>
      </c>
      <c r="D4" s="10">
        <v>1115.96</v>
      </c>
      <c r="E4" s="155">
        <f>SUM(C4*D4)</f>
        <v>59145.880000000005</v>
      </c>
      <c r="F4" s="10">
        <v>1.056</v>
      </c>
      <c r="G4" s="31">
        <f>SUM(E4*F4)</f>
        <v>62458.049280000007</v>
      </c>
      <c r="H4" s="50">
        <v>48044.832000000002</v>
      </c>
      <c r="I4" s="227">
        <f>SUM(G4-H4)</f>
        <v>14413.217280000004</v>
      </c>
      <c r="J4" s="7"/>
    </row>
    <row r="5" spans="1:10" ht="33.65" customHeight="1" x14ac:dyDescent="0.35">
      <c r="A5" s="463" t="s">
        <v>81</v>
      </c>
      <c r="B5" s="463"/>
      <c r="C5" s="35">
        <f>SUM(C4)</f>
        <v>53</v>
      </c>
      <c r="D5" s="35">
        <f t="shared" ref="D5:G5" si="0">SUM(D4)</f>
        <v>1115.96</v>
      </c>
      <c r="E5" s="36">
        <f>SUM(E4)</f>
        <v>59145.880000000005</v>
      </c>
      <c r="F5" s="35">
        <f t="shared" si="0"/>
        <v>1.056</v>
      </c>
      <c r="G5" s="37">
        <f t="shared" si="0"/>
        <v>62458.049280000007</v>
      </c>
      <c r="H5" s="33"/>
      <c r="I5" s="228">
        <v>14413.22</v>
      </c>
      <c r="J5" s="33"/>
    </row>
    <row r="7" spans="1:10" x14ac:dyDescent="0.35">
      <c r="A7" s="464" t="s">
        <v>82</v>
      </c>
      <c r="B7" s="465"/>
      <c r="C7" s="465"/>
      <c r="D7" s="465"/>
      <c r="E7" s="465"/>
      <c r="F7" s="465"/>
      <c r="G7" s="465"/>
      <c r="H7" s="465"/>
      <c r="I7" s="465"/>
      <c r="J7" s="466"/>
    </row>
    <row r="8" spans="1:10" ht="52" x14ac:dyDescent="0.35">
      <c r="A8" s="119" t="s">
        <v>1</v>
      </c>
      <c r="B8" s="119" t="s">
        <v>2</v>
      </c>
      <c r="C8" s="26" t="s">
        <v>3</v>
      </c>
      <c r="D8" s="26" t="s">
        <v>47</v>
      </c>
      <c r="E8" s="26" t="s">
        <v>83</v>
      </c>
      <c r="F8" s="119" t="s">
        <v>84</v>
      </c>
      <c r="G8" s="119" t="s">
        <v>85</v>
      </c>
      <c r="H8" s="13" t="s">
        <v>38</v>
      </c>
      <c r="I8" s="229" t="s">
        <v>39</v>
      </c>
      <c r="J8" s="13" t="s">
        <v>40</v>
      </c>
    </row>
    <row r="9" spans="1:10" ht="32.9" customHeight="1" x14ac:dyDescent="0.35">
      <c r="A9" s="10">
        <v>275.39999999999998</v>
      </c>
      <c r="B9" s="5" t="s">
        <v>31</v>
      </c>
      <c r="C9" s="10">
        <v>53</v>
      </c>
      <c r="D9" s="10">
        <v>1115.96</v>
      </c>
      <c r="E9" s="155">
        <f>SUM(C9*D9)</f>
        <v>59145.880000000005</v>
      </c>
      <c r="F9" s="51">
        <v>2.3599999999999999E-2</v>
      </c>
      <c r="G9" s="10">
        <f>SUM(E9*F9)</f>
        <v>1395.842768</v>
      </c>
      <c r="H9" s="51">
        <v>1073.7292</v>
      </c>
      <c r="I9" s="230">
        <f>SUM(G9-H9:H9)</f>
        <v>322.11356799999999</v>
      </c>
      <c r="J9" s="18"/>
    </row>
    <row r="10" spans="1:10" ht="18" customHeight="1" x14ac:dyDescent="0.35">
      <c r="A10" s="469"/>
      <c r="B10" s="446"/>
      <c r="C10" s="446"/>
      <c r="D10" s="446"/>
      <c r="E10" s="446"/>
      <c r="F10" s="446"/>
      <c r="G10" s="446"/>
      <c r="H10" s="446"/>
      <c r="I10" s="446"/>
      <c r="J10" s="470"/>
    </row>
    <row r="11" spans="1:10" ht="42.65" customHeight="1" x14ac:dyDescent="0.35">
      <c r="A11" s="467" t="s">
        <v>86</v>
      </c>
      <c r="B11" s="468"/>
      <c r="C11" s="266">
        <v>53</v>
      </c>
      <c r="D11" s="266">
        <f>SUM(E11/C11)</f>
        <v>2231.92</v>
      </c>
      <c r="E11" s="77">
        <f>SUM(E5,E9)</f>
        <v>118291.76000000001</v>
      </c>
      <c r="F11" s="277">
        <f>SUM(F5,F9)</f>
        <v>1.0796000000000001</v>
      </c>
      <c r="G11" s="78">
        <f>SUM(G9,G5)</f>
        <v>63853.892048000009</v>
      </c>
      <c r="H11" s="79">
        <f>SUM(H4,H9)</f>
        <v>49118.561200000004</v>
      </c>
      <c r="I11" s="231">
        <f>SUM(I4,I9)</f>
        <v>14735.330848000005</v>
      </c>
      <c r="J11" s="38"/>
    </row>
    <row r="14" spans="1:10" ht="14.5" customHeight="1" x14ac:dyDescent="0.35">
      <c r="A14" s="471" t="s">
        <v>87</v>
      </c>
      <c r="B14" s="472"/>
      <c r="C14" s="472"/>
      <c r="D14" s="472"/>
      <c r="E14" s="472"/>
      <c r="F14" s="472"/>
      <c r="G14" s="472"/>
      <c r="H14" s="177"/>
      <c r="I14" s="232"/>
      <c r="J14" s="178"/>
    </row>
    <row r="15" spans="1:10" ht="65" x14ac:dyDescent="0.35">
      <c r="A15" s="119" t="s">
        <v>1</v>
      </c>
      <c r="B15" s="119" t="s">
        <v>2</v>
      </c>
      <c r="C15" s="26" t="s">
        <v>3</v>
      </c>
      <c r="D15" s="26" t="s">
        <v>47</v>
      </c>
      <c r="E15" s="26" t="s">
        <v>35</v>
      </c>
      <c r="F15" s="119" t="s">
        <v>36</v>
      </c>
      <c r="G15" s="119" t="s">
        <v>88</v>
      </c>
      <c r="H15" s="13" t="s">
        <v>38</v>
      </c>
      <c r="I15" s="229" t="s">
        <v>39</v>
      </c>
      <c r="J15" s="13" t="s">
        <v>40</v>
      </c>
    </row>
    <row r="16" spans="1:10" ht="78" x14ac:dyDescent="0.35">
      <c r="A16" s="149" t="s">
        <v>89</v>
      </c>
      <c r="B16" s="149" t="s">
        <v>90</v>
      </c>
      <c r="C16" s="159">
        <v>371</v>
      </c>
      <c r="D16" s="159">
        <v>1</v>
      </c>
      <c r="E16" s="159">
        <v>371</v>
      </c>
      <c r="F16" s="159">
        <v>2</v>
      </c>
      <c r="G16" s="159">
        <f>SUM(E16*F16)</f>
        <v>742</v>
      </c>
      <c r="H16" s="159"/>
      <c r="I16" s="233">
        <v>742</v>
      </c>
      <c r="J16" s="10"/>
    </row>
    <row r="17" spans="1:10" ht="63" customHeight="1" x14ac:dyDescent="0.35">
      <c r="A17" s="467" t="s">
        <v>45</v>
      </c>
      <c r="B17" s="468"/>
      <c r="C17" s="26">
        <f>C16</f>
        <v>371</v>
      </c>
      <c r="D17" s="26">
        <f>SUM(E17/C17)</f>
        <v>1</v>
      </c>
      <c r="E17" s="29">
        <f>SUM(E16:E16)</f>
        <v>371</v>
      </c>
      <c r="F17" s="26">
        <f>SUM(G17/E17)</f>
        <v>2</v>
      </c>
      <c r="G17" s="29">
        <f>SUM(G16:G16)</f>
        <v>742</v>
      </c>
      <c r="H17" s="26"/>
      <c r="I17" s="233">
        <v>742</v>
      </c>
      <c r="J17" s="26"/>
    </row>
    <row r="18" spans="1:10" x14ac:dyDescent="0.35">
      <c r="A18" t="s">
        <v>46</v>
      </c>
    </row>
    <row r="19" spans="1:10" x14ac:dyDescent="0.35">
      <c r="E19" s="92">
        <f>SUM(E11,E17)</f>
        <v>118662.76000000001</v>
      </c>
      <c r="G19" s="91">
        <f>SUM(G17,G11)</f>
        <v>64595.892048000009</v>
      </c>
    </row>
    <row r="22" spans="1:10" x14ac:dyDescent="0.35">
      <c r="A22" t="s">
        <v>51</v>
      </c>
      <c r="B22" s="89">
        <f>SUM(G11)</f>
        <v>63853.892048000009</v>
      </c>
      <c r="D22" s="171"/>
    </row>
    <row r="23" spans="1:10" x14ac:dyDescent="0.35">
      <c r="A23" t="s">
        <v>52</v>
      </c>
      <c r="B23" s="89">
        <v>49119</v>
      </c>
      <c r="D23" s="171"/>
    </row>
    <row r="24" spans="1:10" x14ac:dyDescent="0.35">
      <c r="A24" t="s">
        <v>53</v>
      </c>
      <c r="B24" s="89">
        <f>SUM(B22-B23)</f>
        <v>14734.892048000009</v>
      </c>
      <c r="D24" s="171"/>
    </row>
    <row r="25" spans="1:10" x14ac:dyDescent="0.35">
      <c r="B25" s="89"/>
      <c r="D25" s="171"/>
    </row>
    <row r="26" spans="1:10" x14ac:dyDescent="0.35">
      <c r="A26" t="s">
        <v>54</v>
      </c>
      <c r="B26" s="89">
        <f>SUM(G17)</f>
        <v>742</v>
      </c>
      <c r="D26" s="171"/>
    </row>
    <row r="27" spans="1:10" x14ac:dyDescent="0.35">
      <c r="A27" t="s">
        <v>55</v>
      </c>
      <c r="B27" s="89">
        <f>SUM(B26,B22)</f>
        <v>64595.892048000009</v>
      </c>
      <c r="D27" s="171"/>
    </row>
  </sheetData>
  <mergeCells count="7">
    <mergeCell ref="A2:J2"/>
    <mergeCell ref="A5:B5"/>
    <mergeCell ref="A7:J7"/>
    <mergeCell ref="A17:B17"/>
    <mergeCell ref="A10:J10"/>
    <mergeCell ref="A11:B11"/>
    <mergeCell ref="A14:G1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FF"/>
  </sheetPr>
  <dimension ref="A1:N39"/>
  <sheetViews>
    <sheetView topLeftCell="A26" workbookViewId="0">
      <selection activeCell="G17" sqref="G17"/>
    </sheetView>
  </sheetViews>
  <sheetFormatPr defaultColWidth="8.81640625" defaultRowHeight="15.5" x14ac:dyDescent="0.35"/>
  <cols>
    <col min="1" max="1" width="21" style="118" customWidth="1"/>
    <col min="2" max="2" width="36.81640625" style="118" customWidth="1"/>
    <col min="3" max="3" width="17.81640625" style="118" customWidth="1"/>
    <col min="4" max="4" width="25.54296875" style="118" customWidth="1"/>
    <col min="5" max="5" width="25.1796875" style="118" customWidth="1"/>
    <col min="6" max="6" width="38.7265625" style="384" customWidth="1"/>
    <col min="7" max="10" width="8.81640625" style="118"/>
    <col min="11" max="11" width="11.54296875" style="118" bestFit="1" customWidth="1"/>
    <col min="12" max="12" width="8.81640625" style="118"/>
    <col min="13" max="13" width="11.54296875" style="118" bestFit="1" customWidth="1"/>
    <col min="14" max="16384" width="8.81640625" style="118"/>
  </cols>
  <sheetData>
    <row r="1" spans="1:12" x14ac:dyDescent="0.35">
      <c r="A1" s="118" t="s">
        <v>59</v>
      </c>
    </row>
    <row r="2" spans="1:12" x14ac:dyDescent="0.35">
      <c r="A2" s="421" t="s">
        <v>306</v>
      </c>
    </row>
    <row r="3" spans="1:12" ht="31.5" thickBot="1" x14ac:dyDescent="0.4">
      <c r="A3" s="478" t="s">
        <v>302</v>
      </c>
      <c r="B3" s="479"/>
      <c r="C3" s="479"/>
      <c r="D3" s="168" t="s">
        <v>60</v>
      </c>
      <c r="E3" s="120" t="s">
        <v>61</v>
      </c>
    </row>
    <row r="4" spans="1:12" ht="16" thickBot="1" x14ac:dyDescent="0.4">
      <c r="A4" s="482" t="s">
        <v>62</v>
      </c>
      <c r="B4" s="483"/>
      <c r="C4" s="399">
        <v>45550</v>
      </c>
      <c r="D4" s="403">
        <v>59199</v>
      </c>
      <c r="E4" s="397">
        <v>687</v>
      </c>
      <c r="K4" s="386">
        <v>29573</v>
      </c>
      <c r="L4" s="118" t="s">
        <v>293</v>
      </c>
    </row>
    <row r="5" spans="1:12" ht="64.400000000000006" customHeight="1" thickBot="1" x14ac:dyDescent="0.4">
      <c r="A5" s="484" t="s">
        <v>63</v>
      </c>
      <c r="B5" s="485"/>
      <c r="C5" s="400">
        <f>SUM(C6/C4)</f>
        <v>6.9918331503841928</v>
      </c>
      <c r="D5" s="400">
        <f t="shared" ref="D5:E5" si="0">SUM(D6/D4)</f>
        <v>8.9920100001689214</v>
      </c>
      <c r="E5" s="406">
        <f t="shared" si="0"/>
        <v>345.29548762736533</v>
      </c>
      <c r="F5" s="385"/>
      <c r="K5" s="386">
        <v>354876</v>
      </c>
      <c r="L5" s="118" t="s">
        <v>292</v>
      </c>
    </row>
    <row r="6" spans="1:12" ht="31" customHeight="1" thickTop="1" thickBot="1" x14ac:dyDescent="0.4">
      <c r="A6" s="486" t="s">
        <v>64</v>
      </c>
      <c r="B6" s="487"/>
      <c r="C6" s="402">
        <v>318478</v>
      </c>
      <c r="D6" s="404">
        <v>532318</v>
      </c>
      <c r="E6" s="403">
        <v>237218</v>
      </c>
      <c r="F6" s="385"/>
      <c r="K6" s="386">
        <v>1396</v>
      </c>
      <c r="L6" s="118" t="s">
        <v>291</v>
      </c>
    </row>
    <row r="7" spans="1:12" ht="38.15" customHeight="1" thickTop="1" thickBot="1" x14ac:dyDescent="0.4">
      <c r="A7" s="486" t="s">
        <v>65</v>
      </c>
      <c r="B7" s="487"/>
      <c r="C7" s="401">
        <f>SUM(C8/C6)</f>
        <v>1.2748007711678673</v>
      </c>
      <c r="D7" s="401">
        <f t="shared" ref="D7:E7" si="1">SUM(D8/D6)</f>
        <v>0.72483928779413809</v>
      </c>
      <c r="E7" s="407">
        <f t="shared" si="1"/>
        <v>0.83010214233321256</v>
      </c>
      <c r="K7" s="386">
        <v>196915.17</v>
      </c>
      <c r="L7" s="118" t="s">
        <v>294</v>
      </c>
    </row>
    <row r="8" spans="1:12" ht="34.5" customHeight="1" thickTop="1" thickBot="1" x14ac:dyDescent="0.4">
      <c r="A8" s="486" t="s">
        <v>66</v>
      </c>
      <c r="B8" s="487"/>
      <c r="C8" s="222">
        <v>405996</v>
      </c>
      <c r="D8" s="403">
        <v>385845</v>
      </c>
      <c r="E8" s="405">
        <v>196915.17</v>
      </c>
    </row>
    <row r="9" spans="1:12" ht="16.5" thickTop="1" thickBot="1" x14ac:dyDescent="0.4">
      <c r="A9" s="488" t="s">
        <v>67</v>
      </c>
      <c r="B9" s="489"/>
      <c r="C9" s="169">
        <v>405996</v>
      </c>
      <c r="D9" s="169">
        <v>405996</v>
      </c>
      <c r="E9" s="121"/>
      <c r="K9" s="386">
        <v>62458.048999999999</v>
      </c>
      <c r="L9" s="118" t="s">
        <v>295</v>
      </c>
    </row>
    <row r="10" spans="1:12" ht="16" thickTop="1" x14ac:dyDescent="0.35">
      <c r="A10" s="490">
        <v>6150628</v>
      </c>
      <c r="B10" s="491"/>
      <c r="C10" s="408">
        <f>SUM(C8-C9)</f>
        <v>0</v>
      </c>
      <c r="D10" s="409">
        <f>SUM(D8-D9)</f>
        <v>-20151</v>
      </c>
      <c r="E10" s="410">
        <f t="shared" ref="E10" si="2">SUM(E8-E9)</f>
        <v>196915.17</v>
      </c>
      <c r="K10" s="386">
        <v>1395.8420000000001</v>
      </c>
      <c r="L10" s="118" t="s">
        <v>296</v>
      </c>
    </row>
    <row r="11" spans="1:12" x14ac:dyDescent="0.35">
      <c r="E11" s="221">
        <f>SUM(C10-6825)</f>
        <v>-6825</v>
      </c>
      <c r="K11" s="386">
        <v>742</v>
      </c>
      <c r="L11" s="118" t="s">
        <v>297</v>
      </c>
    </row>
    <row r="12" spans="1:12" x14ac:dyDescent="0.35">
      <c r="E12" s="221">
        <f>SUM(E11-322)</f>
        <v>-7147</v>
      </c>
    </row>
    <row r="13" spans="1:12" x14ac:dyDescent="0.35">
      <c r="K13" s="386">
        <v>2825.99</v>
      </c>
      <c r="L13" s="118" t="s">
        <v>298</v>
      </c>
    </row>
    <row r="14" spans="1:12" ht="31.5" thickBot="1" x14ac:dyDescent="0.4">
      <c r="A14" s="411" t="s">
        <v>303</v>
      </c>
      <c r="B14" s="412"/>
      <c r="C14" s="412" t="s">
        <v>305</v>
      </c>
      <c r="D14" s="168" t="s">
        <v>60</v>
      </c>
      <c r="E14" s="120" t="s">
        <v>61</v>
      </c>
      <c r="K14" s="386">
        <v>2.7612000000000001</v>
      </c>
      <c r="L14" s="118" t="s">
        <v>299</v>
      </c>
    </row>
    <row r="15" spans="1:12" ht="16" thickBot="1" x14ac:dyDescent="0.4">
      <c r="A15" s="480" t="s">
        <v>62</v>
      </c>
      <c r="B15" s="481"/>
      <c r="C15" s="393">
        <v>53</v>
      </c>
      <c r="D15" s="397">
        <v>53</v>
      </c>
      <c r="E15" s="397">
        <v>371</v>
      </c>
      <c r="K15" s="386">
        <v>2120</v>
      </c>
      <c r="L15" s="118" t="s">
        <v>300</v>
      </c>
    </row>
    <row r="16" spans="1:12" ht="36.65" customHeight="1" thickBot="1" x14ac:dyDescent="0.4">
      <c r="A16" s="492" t="s">
        <v>63</v>
      </c>
      <c r="B16" s="493"/>
      <c r="C16" s="394">
        <f>SUM(C17/C15)</f>
        <v>1716.867924528302</v>
      </c>
      <c r="D16" s="223">
        <f t="shared" ref="D16:E16" si="3">SUM(D17/D15)</f>
        <v>2231.92</v>
      </c>
      <c r="E16" s="413">
        <f t="shared" si="3"/>
        <v>1</v>
      </c>
      <c r="K16" s="118">
        <f>SUM(K4:K15)</f>
        <v>652304.81219999993</v>
      </c>
    </row>
    <row r="17" spans="1:14" ht="37.5" customHeight="1" thickTop="1" thickBot="1" x14ac:dyDescent="0.4">
      <c r="A17" s="494" t="s">
        <v>64</v>
      </c>
      <c r="B17" s="495"/>
      <c r="C17" s="396">
        <v>90994</v>
      </c>
      <c r="D17" s="398">
        <f>SUM('OMB#0299 FNS 380-1'!E11)</f>
        <v>118291.76000000001</v>
      </c>
      <c r="E17" s="397">
        <v>371</v>
      </c>
      <c r="M17" s="118">
        <f>SUM(K16-K4)</f>
        <v>622731.81219999993</v>
      </c>
      <c r="N17" s="118" t="s">
        <v>301</v>
      </c>
    </row>
    <row r="18" spans="1:14" ht="36.65" customHeight="1" thickTop="1" thickBot="1" x14ac:dyDescent="0.4">
      <c r="A18" s="494" t="s">
        <v>65</v>
      </c>
      <c r="B18" s="495"/>
      <c r="C18" s="395">
        <f>SUM(C19/C17)</f>
        <v>0.53980482229597559</v>
      </c>
      <c r="D18" s="170">
        <f t="shared" ref="D18:E18" si="4">SUM(D19/D17)</f>
        <v>0.53980091259103757</v>
      </c>
      <c r="E18" s="414">
        <f t="shared" si="4"/>
        <v>2</v>
      </c>
    </row>
    <row r="19" spans="1:14" ht="46.5" customHeight="1" thickTop="1" thickBot="1" x14ac:dyDescent="0.4">
      <c r="A19" s="494" t="s">
        <v>66</v>
      </c>
      <c r="B19" s="495"/>
      <c r="C19" s="396">
        <v>49119</v>
      </c>
      <c r="D19" s="397">
        <v>63854</v>
      </c>
      <c r="E19" s="397">
        <v>742</v>
      </c>
    </row>
    <row r="20" spans="1:14" ht="21.65" customHeight="1" thickTop="1" thickBot="1" x14ac:dyDescent="0.4">
      <c r="A20" s="488" t="s">
        <v>68</v>
      </c>
      <c r="B20" s="489"/>
      <c r="C20" s="169">
        <v>49119</v>
      </c>
      <c r="D20" s="169">
        <v>49119</v>
      </c>
      <c r="E20" s="120"/>
    </row>
    <row r="21" spans="1:14" ht="16" thickTop="1" x14ac:dyDescent="0.35">
      <c r="A21" s="496" t="s">
        <v>69</v>
      </c>
      <c r="B21" s="497"/>
      <c r="C21" s="415">
        <f>SUM(C19-C20)</f>
        <v>0</v>
      </c>
      <c r="D21" s="415">
        <f>SUM(D19-D20)</f>
        <v>14735</v>
      </c>
      <c r="E21" s="416">
        <f t="shared" ref="E21" si="5">SUM(E19-E20)</f>
        <v>742</v>
      </c>
    </row>
    <row r="25" spans="1:14" ht="31.5" thickBot="1" x14ac:dyDescent="0.4">
      <c r="A25" s="417" t="s">
        <v>304</v>
      </c>
      <c r="B25" s="418"/>
      <c r="C25" s="418" t="s">
        <v>305</v>
      </c>
      <c r="D25" s="168" t="s">
        <v>60</v>
      </c>
      <c r="E25" s="120" t="s">
        <v>61</v>
      </c>
    </row>
    <row r="26" spans="1:14" ht="37" customHeight="1" thickBot="1" x14ac:dyDescent="0.4">
      <c r="A26" s="482" t="s">
        <v>62</v>
      </c>
      <c r="B26" s="483"/>
      <c r="C26" s="387">
        <v>53</v>
      </c>
      <c r="D26" s="392">
        <v>53</v>
      </c>
      <c r="E26" s="392">
        <v>53</v>
      </c>
    </row>
    <row r="27" spans="1:14" ht="40" customHeight="1" thickBot="1" x14ac:dyDescent="0.4">
      <c r="A27" s="484" t="s">
        <v>63</v>
      </c>
      <c r="B27" s="485"/>
      <c r="C27" s="391">
        <f>SUM(C28/C26)</f>
        <v>4.6415094339622645</v>
      </c>
      <c r="D27" s="391">
        <f t="shared" ref="D27:E27" si="6">SUM(D28/D26)</f>
        <v>4.6415094339622645</v>
      </c>
      <c r="E27" s="419">
        <f t="shared" si="6"/>
        <v>1</v>
      </c>
    </row>
    <row r="28" spans="1:14" ht="30" customHeight="1" thickTop="1" thickBot="1" x14ac:dyDescent="0.4">
      <c r="A28" s="486" t="s">
        <v>64</v>
      </c>
      <c r="B28" s="487"/>
      <c r="C28" s="388">
        <v>246</v>
      </c>
      <c r="D28" s="392">
        <v>246</v>
      </c>
      <c r="E28" s="392">
        <v>53</v>
      </c>
    </row>
    <row r="29" spans="1:14" ht="31.5" customHeight="1" thickTop="1" thickBot="1" x14ac:dyDescent="0.4">
      <c r="A29" s="486" t="s">
        <v>65</v>
      </c>
      <c r="B29" s="487"/>
      <c r="C29" s="390">
        <f>SUM(C30/C28)</f>
        <v>11.5</v>
      </c>
      <c r="D29" s="390">
        <f t="shared" ref="D29:E29" si="7">SUM(D30/D28)</f>
        <v>11.5</v>
      </c>
      <c r="E29" s="420">
        <f t="shared" si="7"/>
        <v>40</v>
      </c>
    </row>
    <row r="30" spans="1:14" ht="30.65" customHeight="1" thickTop="1" thickBot="1" x14ac:dyDescent="0.4">
      <c r="A30" s="494" t="s">
        <v>66</v>
      </c>
      <c r="B30" s="495"/>
      <c r="C30" s="224">
        <v>2829</v>
      </c>
      <c r="D30" s="392">
        <v>2829</v>
      </c>
      <c r="E30" s="392">
        <v>2120</v>
      </c>
    </row>
    <row r="31" spans="1:14" ht="16.5" thickTop="1" thickBot="1" x14ac:dyDescent="0.4">
      <c r="A31" s="488" t="s">
        <v>70</v>
      </c>
      <c r="B31" s="489"/>
      <c r="C31" s="389">
        <v>2829</v>
      </c>
      <c r="D31" s="120">
        <v>2829</v>
      </c>
      <c r="E31" s="120"/>
    </row>
    <row r="32" spans="1:14" ht="16" thickTop="1" x14ac:dyDescent="0.35">
      <c r="A32" s="490" t="s">
        <v>69</v>
      </c>
      <c r="B32" s="491"/>
      <c r="C32" s="415">
        <f>SUM(C30-C31)</f>
        <v>0</v>
      </c>
      <c r="D32" s="415">
        <f t="shared" ref="D32:E32" si="8">SUM(D30-D31)</f>
        <v>0</v>
      </c>
      <c r="E32" s="416">
        <f t="shared" si="8"/>
        <v>2120</v>
      </c>
    </row>
    <row r="33" spans="1:5" x14ac:dyDescent="0.35">
      <c r="A33" s="256"/>
      <c r="C33" s="257"/>
      <c r="D33" s="258">
        <f>SUM(D30,D19,D8)</f>
        <v>452528</v>
      </c>
      <c r="E33" s="258">
        <f>SUM(E30,E19,E8)</f>
        <v>199777.17</v>
      </c>
    </row>
    <row r="34" spans="1:5" ht="16" thickBot="1" x14ac:dyDescent="0.4">
      <c r="D34" s="276">
        <f>SUM(D32,D21,D10)</f>
        <v>-5416</v>
      </c>
      <c r="E34" s="276">
        <f>SUM(E32,E21,E10)</f>
        <v>199777.17</v>
      </c>
    </row>
    <row r="35" spans="1:5" ht="35.5" customHeight="1" thickBot="1" x14ac:dyDescent="0.4">
      <c r="A35" s="473" t="s">
        <v>71</v>
      </c>
      <c r="B35" s="474"/>
      <c r="C35" s="474"/>
      <c r="D35" s="259"/>
      <c r="E35" s="260">
        <f>SUM(C10+C21+C32)</f>
        <v>0</v>
      </c>
    </row>
    <row r="36" spans="1:5" ht="33.65" customHeight="1" thickBot="1" x14ac:dyDescent="0.4">
      <c r="A36" s="475" t="s">
        <v>72</v>
      </c>
      <c r="B36" s="476"/>
      <c r="C36" s="477"/>
      <c r="D36" s="422"/>
      <c r="E36" s="423">
        <f>SUM(E10, E21,E32)</f>
        <v>199777.17</v>
      </c>
    </row>
    <row r="37" spans="1:5" x14ac:dyDescent="0.35">
      <c r="C37" s="424"/>
      <c r="D37" s="425" t="s">
        <v>127</v>
      </c>
      <c r="E37" s="426" t="s">
        <v>182</v>
      </c>
    </row>
    <row r="38" spans="1:5" x14ac:dyDescent="0.35">
      <c r="C38" s="429" t="s">
        <v>307</v>
      </c>
      <c r="D38" s="427">
        <f>SUM(D32,D21,D10)</f>
        <v>-5416</v>
      </c>
      <c r="E38" s="428">
        <f>SUM(E32,E21,E10)</f>
        <v>199777.17</v>
      </c>
    </row>
    <row r="39" spans="1:5" x14ac:dyDescent="0.35">
      <c r="C39" s="430">
        <f>SUM(D38:E38)</f>
        <v>194361.17</v>
      </c>
    </row>
  </sheetData>
  <mergeCells count="24">
    <mergeCell ref="A20:B20"/>
    <mergeCell ref="A21:B21"/>
    <mergeCell ref="A26:B26"/>
    <mergeCell ref="A27:B27"/>
    <mergeCell ref="A32:B32"/>
    <mergeCell ref="A29:B29"/>
    <mergeCell ref="A30:B30"/>
    <mergeCell ref="A31:B31"/>
    <mergeCell ref="A35:C35"/>
    <mergeCell ref="A36:C36"/>
    <mergeCell ref="A3:C3"/>
    <mergeCell ref="A15:B15"/>
    <mergeCell ref="A4:B4"/>
    <mergeCell ref="A5:B5"/>
    <mergeCell ref="A6:B6"/>
    <mergeCell ref="A7:B7"/>
    <mergeCell ref="A9:B9"/>
    <mergeCell ref="A10:B10"/>
    <mergeCell ref="A8:B8"/>
    <mergeCell ref="A16:B16"/>
    <mergeCell ref="A17:B17"/>
    <mergeCell ref="A18:B18"/>
    <mergeCell ref="A28:B28"/>
    <mergeCell ref="A19:B19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101"/>
  <sheetViews>
    <sheetView zoomScaleNormal="100" workbookViewId="0">
      <selection activeCell="K44" sqref="K44"/>
    </sheetView>
  </sheetViews>
  <sheetFormatPr defaultColWidth="8.54296875" defaultRowHeight="13" x14ac:dyDescent="0.3"/>
  <cols>
    <col min="1" max="1" width="29.453125" style="86" customWidth="1"/>
    <col min="2" max="2" width="13" style="57" customWidth="1"/>
    <col min="3" max="3" width="13.453125" style="57" customWidth="1"/>
    <col min="4" max="4" width="14.453125" style="57" customWidth="1"/>
    <col min="5" max="5" width="15" style="57" customWidth="1"/>
    <col min="6" max="8" width="15.54296875" style="57" customWidth="1"/>
    <col min="9" max="9" width="15.54296875" style="197" customWidth="1"/>
    <col min="10" max="10" width="15" style="57" customWidth="1"/>
    <col min="11" max="11" width="14.81640625" style="57" customWidth="1"/>
    <col min="12" max="12" width="14.54296875" style="57" customWidth="1"/>
    <col min="13" max="13" width="10" style="57" bestFit="1" customWidth="1"/>
    <col min="14" max="14" width="27.453125" style="81" customWidth="1"/>
    <col min="15" max="15" width="8.54296875" style="57"/>
    <col min="16" max="16" width="10.1796875" style="57" customWidth="1"/>
    <col min="17" max="17" width="8.54296875" style="57"/>
    <col min="18" max="18" width="8.81640625" style="57" bestFit="1" customWidth="1"/>
    <col min="19" max="16384" width="8.54296875" style="57"/>
  </cols>
  <sheetData>
    <row r="1" spans="1:18" ht="78" x14ac:dyDescent="0.3">
      <c r="A1" s="56" t="s">
        <v>115</v>
      </c>
      <c r="B1" s="56" t="s">
        <v>116</v>
      </c>
      <c r="C1" s="56" t="s">
        <v>3</v>
      </c>
      <c r="D1" s="56" t="s">
        <v>117</v>
      </c>
      <c r="E1" s="56" t="s">
        <v>118</v>
      </c>
      <c r="F1" s="56" t="s">
        <v>119</v>
      </c>
      <c r="G1" s="56" t="s">
        <v>120</v>
      </c>
      <c r="H1" s="56" t="s">
        <v>121</v>
      </c>
      <c r="I1" s="194" t="s">
        <v>122</v>
      </c>
      <c r="K1" s="59">
        <f>SUM(H2*0.88)+(H2)</f>
        <v>9241666.1743999999</v>
      </c>
    </row>
    <row r="2" spans="1:18" x14ac:dyDescent="0.3">
      <c r="A2" s="56" t="s">
        <v>123</v>
      </c>
      <c r="B2" s="56" t="s">
        <v>124</v>
      </c>
      <c r="C2" s="52">
        <v>53</v>
      </c>
      <c r="D2" s="53">
        <f>SUM('OMB# 0074 FNS 380'!E18)</f>
        <v>473172.04000000004</v>
      </c>
      <c r="E2" s="52">
        <v>0.75295000000000001</v>
      </c>
      <c r="F2" s="54">
        <v>353272</v>
      </c>
      <c r="G2" s="55">
        <f>SUM(M6/2)</f>
        <v>13.914999999999999</v>
      </c>
      <c r="H2" s="55">
        <f>SUM(F2*G2)</f>
        <v>4915779.88</v>
      </c>
      <c r="I2" s="195">
        <f>SUM(H2*0.33)+H2</f>
        <v>6537987.2403999995</v>
      </c>
      <c r="J2" s="57" t="s">
        <v>125</v>
      </c>
    </row>
    <row r="3" spans="1:18" x14ac:dyDescent="0.3">
      <c r="A3" s="56" t="s">
        <v>126</v>
      </c>
      <c r="B3" s="56" t="s">
        <v>127</v>
      </c>
      <c r="C3" s="53">
        <v>59146</v>
      </c>
      <c r="D3" s="53">
        <v>59146</v>
      </c>
      <c r="E3" s="52">
        <v>0.5</v>
      </c>
      <c r="F3" s="54">
        <v>29573</v>
      </c>
      <c r="G3" s="55">
        <v>7.25</v>
      </c>
      <c r="H3" s="55">
        <f>SUM(F3*G3)</f>
        <v>214404.25</v>
      </c>
      <c r="I3" s="195">
        <v>214404.25</v>
      </c>
      <c r="J3" s="58"/>
    </row>
    <row r="4" spans="1:18" x14ac:dyDescent="0.3">
      <c r="A4" s="56" t="s">
        <v>128</v>
      </c>
      <c r="B4" s="56" t="s">
        <v>124</v>
      </c>
      <c r="C4" s="52">
        <v>53</v>
      </c>
      <c r="D4" s="53">
        <v>118292</v>
      </c>
      <c r="E4" s="52">
        <v>1.0795999999999999</v>
      </c>
      <c r="F4" s="54">
        <v>63854</v>
      </c>
      <c r="G4" s="55">
        <f>SUM(M6/2)</f>
        <v>13.914999999999999</v>
      </c>
      <c r="H4" s="55">
        <f>SUM(F4*G4)</f>
        <v>888528.40999999992</v>
      </c>
      <c r="I4" s="195">
        <f t="shared" ref="I4:I15" si="0">SUM(H4*0.33)+H4</f>
        <v>1181742.7852999999</v>
      </c>
      <c r="K4" s="57" t="s">
        <v>129</v>
      </c>
      <c r="L4" s="57" t="s">
        <v>130</v>
      </c>
      <c r="M4" s="58"/>
      <c r="O4" s="57" t="s">
        <v>131</v>
      </c>
      <c r="P4" s="57">
        <f>SUM(F11:F15)</f>
        <v>199777</v>
      </c>
      <c r="Q4" s="57" t="s">
        <v>132</v>
      </c>
      <c r="R4" s="58">
        <f>SUM(F3)</f>
        <v>29573</v>
      </c>
    </row>
    <row r="5" spans="1:18" x14ac:dyDescent="0.3">
      <c r="A5" s="56">
        <v>275</v>
      </c>
      <c r="B5" s="56" t="s">
        <v>124</v>
      </c>
      <c r="C5" s="52">
        <v>53</v>
      </c>
      <c r="D5" s="52">
        <v>246</v>
      </c>
      <c r="E5" s="52">
        <v>20</v>
      </c>
      <c r="F5" s="52">
        <v>2828</v>
      </c>
      <c r="G5" s="55">
        <f>SUM(M7/2)</f>
        <v>23.905000000000001</v>
      </c>
      <c r="H5" s="55">
        <f>SUM(F5*G5)</f>
        <v>67603.34</v>
      </c>
      <c r="I5" s="195">
        <f t="shared" si="0"/>
        <v>89912.44219999999</v>
      </c>
      <c r="K5" s="59">
        <f>SUM(H2:H10)</f>
        <v>6086315.8799999999</v>
      </c>
      <c r="L5" s="59">
        <f>SUM(H2:H10,H3)</f>
        <v>6300720.1299999999</v>
      </c>
    </row>
    <row r="6" spans="1:18" ht="15" customHeight="1" x14ac:dyDescent="0.35">
      <c r="A6" s="282"/>
      <c r="B6" s="282"/>
      <c r="C6" s="283"/>
      <c r="D6" s="283"/>
      <c r="E6" s="283"/>
      <c r="F6" s="283"/>
      <c r="G6" s="284"/>
      <c r="H6" s="285"/>
      <c r="I6" s="195"/>
      <c r="J6" s="59">
        <f>SUM(H2:H5)</f>
        <v>6086315.8799999999</v>
      </c>
      <c r="K6" s="59"/>
      <c r="M6" s="22">
        <v>27.83</v>
      </c>
      <c r="N6" s="22" t="s">
        <v>133</v>
      </c>
      <c r="O6" s="286" t="s">
        <v>134</v>
      </c>
    </row>
    <row r="7" spans="1:18" ht="14" x14ac:dyDescent="0.3">
      <c r="A7" s="287"/>
      <c r="B7" s="288"/>
      <c r="C7" s="289"/>
      <c r="D7" s="289"/>
      <c r="E7" s="289"/>
      <c r="F7" s="289"/>
      <c r="G7" s="289"/>
      <c r="H7" s="290"/>
      <c r="I7" s="195"/>
      <c r="J7" s="59">
        <f>SUM(I2:I5)</f>
        <v>8024046.7178999996</v>
      </c>
      <c r="K7" s="59"/>
      <c r="M7" s="22">
        <v>47.81</v>
      </c>
      <c r="N7" s="22" t="s">
        <v>135</v>
      </c>
    </row>
    <row r="8" spans="1:18" ht="14" x14ac:dyDescent="0.3">
      <c r="A8" s="291"/>
      <c r="B8" s="292"/>
      <c r="C8" s="293"/>
      <c r="D8" s="293"/>
      <c r="E8" s="293"/>
      <c r="F8" s="293"/>
      <c r="G8" s="293"/>
      <c r="H8" s="294"/>
      <c r="I8" s="195"/>
      <c r="J8" s="57">
        <f>SUM(H7:H10)*(0.33)</f>
        <v>0</v>
      </c>
      <c r="K8" s="59">
        <f>SUM(H7:H10)+J8</f>
        <v>0</v>
      </c>
      <c r="M8" s="22">
        <v>55.41</v>
      </c>
      <c r="N8" s="22" t="s">
        <v>136</v>
      </c>
    </row>
    <row r="9" spans="1:18" ht="14" x14ac:dyDescent="0.3">
      <c r="A9" s="291"/>
      <c r="B9" s="292"/>
      <c r="C9" s="293"/>
      <c r="D9" s="293"/>
      <c r="E9" s="293"/>
      <c r="F9" s="293"/>
      <c r="G9" s="293"/>
      <c r="H9" s="294"/>
      <c r="I9" s="195"/>
      <c r="K9" s="59"/>
      <c r="M9" s="22">
        <v>7.25</v>
      </c>
      <c r="N9" s="22" t="s">
        <v>137</v>
      </c>
    </row>
    <row r="10" spans="1:18" ht="14.5" x14ac:dyDescent="0.35">
      <c r="A10" s="103"/>
      <c r="B10" s="104"/>
      <c r="C10" s="105"/>
      <c r="D10" s="105"/>
      <c r="E10" s="105"/>
      <c r="F10" s="105"/>
      <c r="G10" s="105"/>
      <c r="H10" s="106"/>
      <c r="I10" s="195"/>
      <c r="K10" s="59">
        <f>SUM(H5:H10)</f>
        <v>67603.34</v>
      </c>
      <c r="M10" s="57">
        <v>38.18</v>
      </c>
      <c r="N10" s="81" t="s">
        <v>138</v>
      </c>
      <c r="O10" s="263" t="s">
        <v>139</v>
      </c>
    </row>
    <row r="11" spans="1:18" ht="14" x14ac:dyDescent="0.3">
      <c r="A11" s="100" t="s">
        <v>123</v>
      </c>
      <c r="B11" s="100" t="s">
        <v>54</v>
      </c>
      <c r="C11" s="101">
        <v>53</v>
      </c>
      <c r="D11" s="101">
        <v>236584</v>
      </c>
      <c r="E11" s="101">
        <v>2.75</v>
      </c>
      <c r="F11" s="101">
        <v>162651</v>
      </c>
      <c r="G11" s="102">
        <f>SUM(M6/2)</f>
        <v>13.914999999999999</v>
      </c>
      <c r="H11" s="102">
        <f>SUM(F11*G11)</f>
        <v>2263288.665</v>
      </c>
      <c r="I11" s="195">
        <f t="shared" si="0"/>
        <v>3010173.9244499998</v>
      </c>
      <c r="J11" s="57" t="s">
        <v>140</v>
      </c>
      <c r="M11" s="73"/>
      <c r="N11" s="73"/>
    </row>
    <row r="12" spans="1:18" ht="26" x14ac:dyDescent="0.3">
      <c r="A12" s="56" t="s">
        <v>141</v>
      </c>
      <c r="B12" s="56" t="s">
        <v>54</v>
      </c>
      <c r="C12" s="52">
        <v>263</v>
      </c>
      <c r="D12" s="53">
        <v>263</v>
      </c>
      <c r="E12" s="52">
        <v>40</v>
      </c>
      <c r="F12" s="54">
        <v>10520</v>
      </c>
      <c r="G12" s="55">
        <f>SUM(M6/2)</f>
        <v>13.914999999999999</v>
      </c>
      <c r="H12" s="55">
        <f>SUM(F12*G12)</f>
        <v>146385.79999999999</v>
      </c>
      <c r="I12" s="195">
        <f t="shared" si="0"/>
        <v>194693.114</v>
      </c>
      <c r="J12" s="57" t="s">
        <v>142</v>
      </c>
      <c r="M12" s="73"/>
      <c r="N12" s="73"/>
    </row>
    <row r="13" spans="1:18" ht="26" x14ac:dyDescent="0.3">
      <c r="A13" s="56" t="s">
        <v>143</v>
      </c>
      <c r="B13" s="56" t="s">
        <v>54</v>
      </c>
      <c r="C13" s="52">
        <v>371</v>
      </c>
      <c r="D13" s="53">
        <v>371</v>
      </c>
      <c r="E13" s="52">
        <v>64</v>
      </c>
      <c r="F13" s="54">
        <v>23744</v>
      </c>
      <c r="G13" s="55">
        <f>SUM(M6/2)</f>
        <v>13.914999999999999</v>
      </c>
      <c r="H13" s="55">
        <f>SUM(F13*G13)</f>
        <v>330397.75999999995</v>
      </c>
      <c r="I13" s="195">
        <f t="shared" si="0"/>
        <v>439429.02079999994</v>
      </c>
      <c r="K13" s="87">
        <f>SUM(H11:H15)</f>
        <v>2801075.7549999999</v>
      </c>
      <c r="L13" s="88" t="s">
        <v>57</v>
      </c>
      <c r="M13" s="73"/>
      <c r="N13" s="73"/>
    </row>
    <row r="14" spans="1:18" ht="14.5" x14ac:dyDescent="0.35">
      <c r="A14" s="56" t="s">
        <v>144</v>
      </c>
      <c r="B14" s="56" t="s">
        <v>54</v>
      </c>
      <c r="C14" s="52">
        <v>371</v>
      </c>
      <c r="D14" s="52">
        <v>371</v>
      </c>
      <c r="E14" s="52">
        <v>2</v>
      </c>
      <c r="F14" s="52">
        <v>742</v>
      </c>
      <c r="G14" s="55">
        <f>SUM(M6/2)</f>
        <v>13.914999999999999</v>
      </c>
      <c r="H14" s="55">
        <f>SUM(F14*G14)</f>
        <v>10324.929999999998</v>
      </c>
      <c r="I14" s="195">
        <f t="shared" si="0"/>
        <v>13732.156899999998</v>
      </c>
      <c r="K14" s="59">
        <f>SUM(I11:I15)</f>
        <v>3725430.7541499999</v>
      </c>
      <c r="L14" s="57" t="s">
        <v>270</v>
      </c>
      <c r="O14" s="70"/>
    </row>
    <row r="15" spans="1:18" x14ac:dyDescent="0.3">
      <c r="A15" s="56" t="s">
        <v>145</v>
      </c>
      <c r="B15" s="56" t="s">
        <v>54</v>
      </c>
      <c r="C15" s="52">
        <v>53</v>
      </c>
      <c r="D15" s="52">
        <v>53</v>
      </c>
      <c r="E15" s="52">
        <v>40</v>
      </c>
      <c r="F15" s="52">
        <v>2120</v>
      </c>
      <c r="G15" s="55">
        <f>SUM(M7/2)</f>
        <v>23.905000000000001</v>
      </c>
      <c r="H15" s="55">
        <f>SUM(F15*G15)</f>
        <v>50678.600000000006</v>
      </c>
      <c r="I15" s="195">
        <f t="shared" si="0"/>
        <v>67402.538</v>
      </c>
      <c r="K15" s="59">
        <f>SUM(K14-K13)</f>
        <v>924354.99915000005</v>
      </c>
      <c r="L15" s="57" t="s">
        <v>271</v>
      </c>
    </row>
    <row r="16" spans="1:18" ht="52.4" customHeight="1" x14ac:dyDescent="0.3">
      <c r="A16" s="515" t="s">
        <v>146</v>
      </c>
      <c r="B16" s="515"/>
      <c r="C16" s="268">
        <f>SUM(C2:C3,C11,C12,C13)</f>
        <v>59886</v>
      </c>
      <c r="D16" s="60">
        <f>SUM(D2:D15)</f>
        <v>888498.04</v>
      </c>
      <c r="E16" s="268">
        <v>98</v>
      </c>
      <c r="F16" s="61">
        <f>SUM(F2:F15)</f>
        <v>649304</v>
      </c>
      <c r="G16" s="61"/>
      <c r="H16" s="200">
        <f>SUM(H2:H15)</f>
        <v>8887391.6349999998</v>
      </c>
      <c r="I16" s="200">
        <f>SUM(I2:I15)</f>
        <v>11749477.47205</v>
      </c>
      <c r="J16" s="57" t="s">
        <v>147</v>
      </c>
    </row>
    <row r="17" spans="1:12" x14ac:dyDescent="0.3">
      <c r="A17" s="82"/>
      <c r="C17" s="57">
        <f>SUM(C2:C15)</f>
        <v>60416</v>
      </c>
      <c r="D17" s="57">
        <f>SUM(D2:D15)</f>
        <v>888498.04</v>
      </c>
      <c r="E17" s="57">
        <f>SUM(E2:E15)</f>
        <v>171.08255</v>
      </c>
      <c r="F17" s="57">
        <f>SUM(F2:F15)</f>
        <v>649304</v>
      </c>
      <c r="J17" s="59">
        <f>SUM(I16-H16)</f>
        <v>2862085.8370500002</v>
      </c>
    </row>
    <row r="18" spans="1:12" x14ac:dyDescent="0.3">
      <c r="A18" s="82"/>
      <c r="H18" s="199">
        <f>SUM(H11:H15)</f>
        <v>2801075.7549999999</v>
      </c>
      <c r="I18" s="199">
        <f>SUM(I11:I15)</f>
        <v>3725430.7541499999</v>
      </c>
    </row>
    <row r="19" spans="1:12" x14ac:dyDescent="0.3">
      <c r="A19" s="82"/>
      <c r="C19" s="57">
        <f>SUM(59146+53)</f>
        <v>59199</v>
      </c>
      <c r="D19" s="93">
        <f>SUM(D2:D5)</f>
        <v>650856.04</v>
      </c>
      <c r="E19" s="93">
        <f t="shared" ref="E19:F19" si="1">SUM(E2:E5)</f>
        <v>22.332550000000001</v>
      </c>
      <c r="F19" s="93">
        <f t="shared" si="1"/>
        <v>449527</v>
      </c>
      <c r="H19" s="59">
        <f>SUM(H2:H5)</f>
        <v>6086315.8799999999</v>
      </c>
      <c r="I19" s="59">
        <f>SUM(I2:I5)</f>
        <v>8024046.7178999996</v>
      </c>
      <c r="J19" s="59">
        <f>SUM(I19-H19)</f>
        <v>1937730.8378999997</v>
      </c>
    </row>
    <row r="20" spans="1:12" ht="13.5" thickBot="1" x14ac:dyDescent="0.35">
      <c r="A20" s="82"/>
    </row>
    <row r="21" spans="1:12" ht="98.5" customHeight="1" x14ac:dyDescent="0.3">
      <c r="A21" s="83" t="s">
        <v>148</v>
      </c>
      <c r="B21" s="65" t="s">
        <v>149</v>
      </c>
      <c r="C21" s="65" t="s">
        <v>272</v>
      </c>
      <c r="D21" s="65" t="s">
        <v>273</v>
      </c>
      <c r="E21" s="65" t="s">
        <v>151</v>
      </c>
      <c r="F21" s="65" t="s">
        <v>152</v>
      </c>
      <c r="G21" s="69" t="s">
        <v>153</v>
      </c>
      <c r="H21" s="189"/>
    </row>
    <row r="22" spans="1:12" ht="14.5" x14ac:dyDescent="0.35">
      <c r="A22" s="84" t="s">
        <v>73</v>
      </c>
      <c r="B22" s="66">
        <v>2000</v>
      </c>
      <c r="C22" s="343">
        <f>SUM('burden and costs'!F28)</f>
        <v>6552358.1297999993</v>
      </c>
      <c r="D22" s="67">
        <f>SUM(I2)</f>
        <v>6537987.2403999995</v>
      </c>
      <c r="E22" s="67">
        <f>SUM(I11:I13)</f>
        <v>3644296.0592499999</v>
      </c>
      <c r="F22" s="66">
        <v>180000</v>
      </c>
      <c r="G22" s="68">
        <f>SUM(B22:F22)</f>
        <v>16916641.429449998</v>
      </c>
      <c r="H22" s="190"/>
      <c r="I22" s="198">
        <f>SUM(G22-E22)</f>
        <v>13272345.370199997</v>
      </c>
      <c r="J22" s="73"/>
      <c r="K22" s="73"/>
      <c r="L22" s="262"/>
    </row>
    <row r="23" spans="1:12" ht="15" customHeight="1" x14ac:dyDescent="0.3">
      <c r="A23" s="85" t="s">
        <v>74</v>
      </c>
      <c r="B23" s="62">
        <v>2000</v>
      </c>
      <c r="C23" s="344">
        <f>SUM('burden and costs'!F27)</f>
        <v>1075126.1682</v>
      </c>
      <c r="D23" s="63">
        <f>SUM(I4)</f>
        <v>1181742.7852999999</v>
      </c>
      <c r="E23" s="63">
        <f>SUM(I14)</f>
        <v>13732.156899999998</v>
      </c>
      <c r="F23" s="62">
        <v>180000</v>
      </c>
      <c r="G23" s="68">
        <f>SUM(B23:F23)</f>
        <v>2452601.1103999997</v>
      </c>
      <c r="H23" s="190"/>
      <c r="I23" s="198">
        <f>SUM(G23-E23)</f>
        <v>2438868.9534999998</v>
      </c>
      <c r="J23" s="73"/>
      <c r="K23" s="73"/>
    </row>
    <row r="24" spans="1:12" ht="15" customHeight="1" x14ac:dyDescent="0.3">
      <c r="A24" s="85"/>
      <c r="B24" s="62">
        <f>SUM(B22:B23)</f>
        <v>4000</v>
      </c>
      <c r="C24" s="344">
        <f>SUM(C22:C23)</f>
        <v>7627484.2979999995</v>
      </c>
      <c r="D24" s="344">
        <f t="shared" ref="D24:E24" si="2">SUM(D22:D23)</f>
        <v>7719730.0256999992</v>
      </c>
      <c r="E24" s="344">
        <f t="shared" si="2"/>
        <v>3658028.2161499998</v>
      </c>
      <c r="F24" s="344">
        <f>SUM(F22:F23)</f>
        <v>360000</v>
      </c>
      <c r="G24" s="68"/>
      <c r="H24" s="190"/>
      <c r="I24" s="198"/>
      <c r="J24" s="73"/>
      <c r="K24" s="73"/>
    </row>
    <row r="25" spans="1:12" ht="14" x14ac:dyDescent="0.3">
      <c r="A25" s="509" t="s">
        <v>153</v>
      </c>
      <c r="B25" s="510"/>
      <c r="C25" s="510"/>
      <c r="D25" s="510"/>
      <c r="E25" s="510"/>
      <c r="F25" s="510"/>
      <c r="G25" s="513">
        <f>SUM(G22:G23)</f>
        <v>19369242.539849997</v>
      </c>
      <c r="H25" s="191"/>
      <c r="I25" s="198">
        <f>SUM(I22:I23)</f>
        <v>15711214.323699996</v>
      </c>
      <c r="J25" s="73"/>
      <c r="K25" s="73"/>
    </row>
    <row r="26" spans="1:12" ht="14.5" thickBot="1" x14ac:dyDescent="0.35">
      <c r="A26" s="511"/>
      <c r="B26" s="512"/>
      <c r="C26" s="512"/>
      <c r="D26" s="512"/>
      <c r="E26" s="512"/>
      <c r="F26" s="512"/>
      <c r="G26" s="514"/>
      <c r="H26" s="191"/>
      <c r="I26" s="198"/>
      <c r="J26" s="73"/>
      <c r="K26" s="73"/>
    </row>
    <row r="27" spans="1:12" ht="14.5" x14ac:dyDescent="0.35">
      <c r="J27" s="57">
        <v>38.18</v>
      </c>
      <c r="K27" s="81" t="s">
        <v>138</v>
      </c>
      <c r="L27" s="263" t="s">
        <v>139</v>
      </c>
    </row>
    <row r="28" spans="1:12" ht="56" x14ac:dyDescent="0.3">
      <c r="A28" s="345" t="s">
        <v>148</v>
      </c>
      <c r="B28" s="346" t="s">
        <v>149</v>
      </c>
      <c r="C28" s="346" t="s">
        <v>150</v>
      </c>
      <c r="D28" s="346" t="s">
        <v>273</v>
      </c>
      <c r="E28" s="346" t="s">
        <v>151</v>
      </c>
      <c r="F28" s="346" t="s">
        <v>152</v>
      </c>
      <c r="G28" s="346" t="s">
        <v>154</v>
      </c>
    </row>
    <row r="29" spans="1:12" ht="14" x14ac:dyDescent="0.3">
      <c r="A29" s="347">
        <v>275</v>
      </c>
      <c r="B29" s="348">
        <v>0</v>
      </c>
      <c r="C29" s="349">
        <f>SUM(H46)</f>
        <v>398879.86109999998</v>
      </c>
      <c r="D29" s="348">
        <f>SUM(I5)</f>
        <v>89912.44219999999</v>
      </c>
      <c r="E29" s="348">
        <f>SUM(I15)</f>
        <v>67402.538</v>
      </c>
      <c r="F29" s="348">
        <v>0</v>
      </c>
      <c r="G29" s="348">
        <f>SUM(B29:F29)</f>
        <v>556194.84129999997</v>
      </c>
      <c r="H29" s="59">
        <f>SUM(G29-E29)</f>
        <v>488792.30329999997</v>
      </c>
    </row>
    <row r="30" spans="1:12" ht="15" thickBot="1" x14ac:dyDescent="0.4">
      <c r="B30" s="59"/>
      <c r="C30" s="295"/>
      <c r="D30" s="59"/>
      <c r="E30" s="59"/>
      <c r="F30" s="59"/>
      <c r="G30" s="59"/>
    </row>
    <row r="31" spans="1:12" ht="39" x14ac:dyDescent="0.35">
      <c r="A31" s="201" t="s">
        <v>155</v>
      </c>
      <c r="B31" s="202" t="s">
        <v>156</v>
      </c>
      <c r="C31" s="202" t="s">
        <v>157</v>
      </c>
      <c r="D31" s="202" t="s">
        <v>158</v>
      </c>
      <c r="E31" s="203" t="s">
        <v>159</v>
      </c>
      <c r="F31" s="203" t="s">
        <v>160</v>
      </c>
      <c r="G31" s="204" t="s">
        <v>161</v>
      </c>
      <c r="H31" s="205" t="s">
        <v>162</v>
      </c>
    </row>
    <row r="32" spans="1:12" ht="14.5" x14ac:dyDescent="0.35">
      <c r="A32" s="265" t="s">
        <v>93</v>
      </c>
      <c r="B32" s="123">
        <v>53</v>
      </c>
      <c r="C32" s="123">
        <v>24</v>
      </c>
      <c r="D32" s="123">
        <v>7</v>
      </c>
      <c r="E32" s="206">
        <v>28.21</v>
      </c>
      <c r="F32" s="206">
        <f>SUM(E32*D32*C32*B32)</f>
        <v>251181.84</v>
      </c>
      <c r="G32" s="207">
        <f>SUM(F32*0.33)</f>
        <v>82890.007200000007</v>
      </c>
      <c r="H32" s="208">
        <f>SUM(F32+G32)</f>
        <v>334071.84720000002</v>
      </c>
    </row>
    <row r="33" spans="1:11" ht="14.5" x14ac:dyDescent="0.35">
      <c r="A33" s="265" t="s">
        <v>163</v>
      </c>
      <c r="B33" s="123">
        <v>36</v>
      </c>
      <c r="C33" s="123">
        <v>5</v>
      </c>
      <c r="D33" s="123">
        <v>1</v>
      </c>
      <c r="E33" s="206">
        <v>28.21</v>
      </c>
      <c r="F33" s="206">
        <f t="shared" ref="F33:F36" si="3">SUM(E33*D33*C33*B33)</f>
        <v>5077.8</v>
      </c>
      <c r="G33" s="207">
        <f t="shared" ref="G33:G36" si="4">SUM(F33*0.33)</f>
        <v>1675.6740000000002</v>
      </c>
      <c r="H33" s="208">
        <f t="shared" ref="H33:H36" si="5">SUM(F33+G33)</f>
        <v>6753.4740000000002</v>
      </c>
    </row>
    <row r="34" spans="1:11" ht="14.5" x14ac:dyDescent="0.35">
      <c r="A34" s="265" t="s">
        <v>164</v>
      </c>
      <c r="B34" s="123">
        <v>1</v>
      </c>
      <c r="C34" s="123">
        <v>0</v>
      </c>
      <c r="D34" s="123">
        <v>0</v>
      </c>
      <c r="E34" s="206">
        <v>28.21</v>
      </c>
      <c r="F34" s="206">
        <f t="shared" si="3"/>
        <v>0</v>
      </c>
      <c r="G34" s="207">
        <f t="shared" si="4"/>
        <v>0</v>
      </c>
      <c r="H34" s="208">
        <f t="shared" si="5"/>
        <v>0</v>
      </c>
    </row>
    <row r="35" spans="1:11" ht="28" x14ac:dyDescent="0.35">
      <c r="A35" s="209" t="s">
        <v>99</v>
      </c>
      <c r="B35" s="210">
        <v>9</v>
      </c>
      <c r="C35" s="210">
        <v>8</v>
      </c>
      <c r="D35" s="123">
        <v>1</v>
      </c>
      <c r="E35" s="206">
        <v>28.21</v>
      </c>
      <c r="F35" s="206">
        <f t="shared" si="3"/>
        <v>2031.1200000000001</v>
      </c>
      <c r="G35" s="207">
        <f t="shared" si="4"/>
        <v>670.26960000000008</v>
      </c>
      <c r="H35" s="208">
        <f t="shared" si="5"/>
        <v>2701.3896000000004</v>
      </c>
    </row>
    <row r="36" spans="1:11" ht="28" x14ac:dyDescent="0.35">
      <c r="A36" s="211" t="s">
        <v>165</v>
      </c>
      <c r="B36" s="210">
        <v>18</v>
      </c>
      <c r="C36" s="210">
        <v>4</v>
      </c>
      <c r="D36" s="123">
        <v>1</v>
      </c>
      <c r="E36" s="206">
        <v>28.21</v>
      </c>
      <c r="F36" s="206">
        <f t="shared" si="3"/>
        <v>2031.1200000000001</v>
      </c>
      <c r="G36" s="207">
        <f t="shared" si="4"/>
        <v>670.26960000000008</v>
      </c>
      <c r="H36" s="208">
        <f t="shared" si="5"/>
        <v>2701.3896000000004</v>
      </c>
    </row>
    <row r="37" spans="1:11" ht="15" thickBot="1" x14ac:dyDescent="0.4">
      <c r="A37" s="516" t="s">
        <v>166</v>
      </c>
      <c r="B37" s="517"/>
      <c r="C37" s="517"/>
      <c r="D37" s="517"/>
      <c r="E37" s="517"/>
      <c r="F37" s="212">
        <f>SUM(F32:F36)</f>
        <v>260321.87999999998</v>
      </c>
      <c r="G37" s="212">
        <f>SUM(G32:G36)</f>
        <v>85906.220400000006</v>
      </c>
      <c r="H37" s="213">
        <f>SUM(H32:H36)</f>
        <v>346228.1004</v>
      </c>
    </row>
    <row r="38" spans="1:11" ht="13.5" thickBot="1" x14ac:dyDescent="0.35"/>
    <row r="39" spans="1:11" ht="65" x14ac:dyDescent="0.35">
      <c r="A39" s="201" t="s">
        <v>167</v>
      </c>
      <c r="B39" s="202" t="s">
        <v>156</v>
      </c>
      <c r="C39" s="202" t="s">
        <v>157</v>
      </c>
      <c r="D39" s="202" t="s">
        <v>168</v>
      </c>
      <c r="E39" s="203" t="s">
        <v>169</v>
      </c>
      <c r="F39" s="203" t="s">
        <v>170</v>
      </c>
      <c r="G39" s="204" t="s">
        <v>161</v>
      </c>
      <c r="H39" s="205" t="s">
        <v>162</v>
      </c>
      <c r="K39" s="25"/>
    </row>
    <row r="40" spans="1:11" ht="14.5" x14ac:dyDescent="0.35">
      <c r="A40" s="265" t="s">
        <v>93</v>
      </c>
      <c r="B40" s="123">
        <v>53</v>
      </c>
      <c r="C40" s="123">
        <v>0</v>
      </c>
      <c r="D40" s="123">
        <v>0</v>
      </c>
      <c r="E40" s="206">
        <v>32.729999999999997</v>
      </c>
      <c r="F40" s="206">
        <f>SUM(E40*D40*C40*B40)</f>
        <v>0</v>
      </c>
      <c r="G40" s="207">
        <f t="shared" ref="G40:G44" si="6">SUM(F40*0.33)</f>
        <v>0</v>
      </c>
      <c r="H40" s="208">
        <f t="shared" ref="H40:H44" si="7">SUM(F40+G40)</f>
        <v>0</v>
      </c>
      <c r="K40" s="71"/>
    </row>
    <row r="41" spans="1:11" ht="14.5" x14ac:dyDescent="0.35">
      <c r="A41" s="265" t="s">
        <v>163</v>
      </c>
      <c r="B41" s="123">
        <v>36</v>
      </c>
      <c r="C41" s="123">
        <v>18</v>
      </c>
      <c r="D41" s="123">
        <v>1</v>
      </c>
      <c r="E41" s="206">
        <v>45.99</v>
      </c>
      <c r="F41" s="206">
        <f t="shared" ref="F41:F44" si="8">SUM(E41*D41*C41*B41)</f>
        <v>29801.52</v>
      </c>
      <c r="G41" s="207">
        <f t="shared" si="6"/>
        <v>9834.5016000000014</v>
      </c>
      <c r="H41" s="208">
        <f t="shared" si="7"/>
        <v>39636.0216</v>
      </c>
    </row>
    <row r="42" spans="1:11" ht="14.5" x14ac:dyDescent="0.35">
      <c r="A42" s="265" t="s">
        <v>164</v>
      </c>
      <c r="B42" s="123">
        <v>1</v>
      </c>
      <c r="C42" s="123">
        <v>50</v>
      </c>
      <c r="D42" s="123">
        <v>4</v>
      </c>
      <c r="E42" s="206">
        <v>32.729999999999997</v>
      </c>
      <c r="F42" s="206">
        <f t="shared" si="8"/>
        <v>6545.9999999999991</v>
      </c>
      <c r="G42" s="207">
        <f t="shared" si="6"/>
        <v>2160.1799999999998</v>
      </c>
      <c r="H42" s="208">
        <f t="shared" si="7"/>
        <v>8706.1799999999985</v>
      </c>
    </row>
    <row r="43" spans="1:11" ht="28" x14ac:dyDescent="0.35">
      <c r="A43" s="209" t="s">
        <v>171</v>
      </c>
      <c r="B43" s="210">
        <v>9</v>
      </c>
      <c r="C43" s="123">
        <v>4</v>
      </c>
      <c r="D43" s="123">
        <v>2</v>
      </c>
      <c r="E43" s="206">
        <v>32.729999999999997</v>
      </c>
      <c r="F43" s="206">
        <f t="shared" si="8"/>
        <v>2356.56</v>
      </c>
      <c r="G43" s="207">
        <f t="shared" si="6"/>
        <v>777.66480000000001</v>
      </c>
      <c r="H43" s="208">
        <f t="shared" si="7"/>
        <v>3134.2248</v>
      </c>
      <c r="K43" s="93"/>
    </row>
    <row r="44" spans="1:11" ht="28" x14ac:dyDescent="0.35">
      <c r="A44" s="211" t="s">
        <v>172</v>
      </c>
      <c r="B44" s="210">
        <v>18</v>
      </c>
      <c r="C44" s="123">
        <v>1.5</v>
      </c>
      <c r="D44" s="123">
        <v>1</v>
      </c>
      <c r="E44" s="206">
        <v>32.729999999999997</v>
      </c>
      <c r="F44" s="206">
        <f t="shared" si="8"/>
        <v>883.71</v>
      </c>
      <c r="G44" s="207">
        <f t="shared" si="6"/>
        <v>291.62430000000001</v>
      </c>
      <c r="H44" s="208">
        <f t="shared" si="7"/>
        <v>1175.3343</v>
      </c>
    </row>
    <row r="45" spans="1:11" ht="15" thickBot="1" x14ac:dyDescent="0.4">
      <c r="A45" s="516" t="s">
        <v>173</v>
      </c>
      <c r="B45" s="517"/>
      <c r="C45" s="517"/>
      <c r="D45" s="517"/>
      <c r="E45" s="517"/>
      <c r="F45" s="212">
        <f>SUM(F40:F44)</f>
        <v>39587.789999999994</v>
      </c>
      <c r="G45" s="219">
        <f t="shared" ref="G45:H45" si="9">SUM(G40:G44)</f>
        <v>13063.970700000002</v>
      </c>
      <c r="H45" s="219">
        <f t="shared" si="9"/>
        <v>52651.760699999999</v>
      </c>
    </row>
    <row r="46" spans="1:11" ht="29" x14ac:dyDescent="0.35">
      <c r="A46" s="214"/>
      <c r="B46" s="215"/>
      <c r="C46" s="216"/>
      <c r="D46" s="216"/>
      <c r="E46" s="217"/>
      <c r="F46" s="217"/>
      <c r="G46" s="220" t="s">
        <v>174</v>
      </c>
      <c r="H46" s="207">
        <f>SUM(H45,H37)</f>
        <v>398879.86109999998</v>
      </c>
      <c r="I46" s="198">
        <f>SUM(H46,G25)</f>
        <v>19768122.400949996</v>
      </c>
    </row>
    <row r="47" spans="1:11" ht="14.5" x14ac:dyDescent="0.35">
      <c r="A47" s="214"/>
      <c r="B47" s="215"/>
      <c r="C47" s="216"/>
      <c r="D47" s="216"/>
      <c r="E47" s="217"/>
      <c r="F47" s="217"/>
      <c r="G47" s="218"/>
      <c r="H47" s="218"/>
    </row>
    <row r="48" spans="1:11" ht="14.5" x14ac:dyDescent="0.35">
      <c r="F48" s="263" t="s">
        <v>139</v>
      </c>
    </row>
    <row r="49" spans="1:8" x14ac:dyDescent="0.3">
      <c r="A49" s="98" t="s">
        <v>175</v>
      </c>
      <c r="B49" s="99" t="s">
        <v>176</v>
      </c>
      <c r="C49" s="99" t="s">
        <v>177</v>
      </c>
      <c r="D49" s="99" t="s">
        <v>178</v>
      </c>
      <c r="E49" s="99" t="s">
        <v>179</v>
      </c>
    </row>
    <row r="50" spans="1:8" x14ac:dyDescent="0.3">
      <c r="A50" s="57">
        <v>380</v>
      </c>
      <c r="B50" s="95">
        <f>-SUM('OMB# 0074 FNS 380'!G29,'OMB# 0074 FNS 380'!I12:J12)</f>
        <v>-169617.41400000002</v>
      </c>
      <c r="C50" s="57">
        <f>SUM('OMB# 0074 FNS 380'!I16)</f>
        <v>322.11356799999999</v>
      </c>
      <c r="D50" s="96">
        <f>SUM(B50:C50)</f>
        <v>-169295.30043200002</v>
      </c>
      <c r="E50" s="93">
        <f>SUM('OMB# 0074 FNS 380'!E32)</f>
        <v>710389.56</v>
      </c>
    </row>
    <row r="51" spans="1:8" x14ac:dyDescent="0.3">
      <c r="A51" s="57" t="s">
        <v>128</v>
      </c>
      <c r="B51" s="95">
        <f>SUM('OMB#0299 FNS 380-1'!I4,'OMB#0299 FNS 380-1'!I16)</f>
        <v>15155.217280000004</v>
      </c>
      <c r="C51" s="94">
        <f>SUM('OMB#0299 FNS 380-1'!I4)</f>
        <v>14413.217280000004</v>
      </c>
      <c r="D51" s="96">
        <f t="shared" ref="D51:D52" si="10">SUM(B51:C51)</f>
        <v>29568.434560000009</v>
      </c>
      <c r="E51" s="93">
        <f>SUM('OMB#0299 FNS 380-1'!E19)</f>
        <v>118662.76000000001</v>
      </c>
      <c r="F51" s="267"/>
      <c r="G51" s="192"/>
      <c r="H51" s="192"/>
    </row>
    <row r="52" spans="1:8" x14ac:dyDescent="0.3">
      <c r="A52" s="57">
        <v>275</v>
      </c>
      <c r="B52" s="95">
        <f>SUM('OMB#0303 275 regs'!I12,'OMB#0303 275 regs'!I26)</f>
        <v>2120</v>
      </c>
      <c r="C52" s="57">
        <f>SUM('OMB#0303 275 regs'!I14)</f>
        <v>0</v>
      </c>
      <c r="D52" s="96">
        <f t="shared" si="10"/>
        <v>2120</v>
      </c>
      <c r="E52" s="57">
        <f>SUM('OMB#0303 275 regs'!E29)</f>
        <v>299</v>
      </c>
      <c r="F52" s="267"/>
      <c r="G52" s="267"/>
      <c r="H52" s="267"/>
    </row>
    <row r="53" spans="1:8" x14ac:dyDescent="0.3">
      <c r="B53" s="97">
        <f>SUM(B50:B52)</f>
        <v>-152342.19672000001</v>
      </c>
      <c r="C53" s="97">
        <f t="shared" ref="C53:D53" si="11">SUM(C50:C52)</f>
        <v>14735.330848000005</v>
      </c>
      <c r="D53" s="97">
        <f t="shared" si="11"/>
        <v>-137606.86587199999</v>
      </c>
      <c r="E53" s="97">
        <f>SUM(E50:E52)</f>
        <v>829351.32000000007</v>
      </c>
      <c r="F53" s="267"/>
      <c r="G53" s="267"/>
      <c r="H53" s="267"/>
    </row>
    <row r="54" spans="1:8" x14ac:dyDescent="0.3">
      <c r="F54" s="508"/>
      <c r="G54" s="193"/>
      <c r="H54" s="193"/>
    </row>
    <row r="55" spans="1:8" x14ac:dyDescent="0.3">
      <c r="F55" s="508"/>
      <c r="G55" s="267"/>
      <c r="H55" s="267"/>
    </row>
    <row r="56" spans="1:8" x14ac:dyDescent="0.3">
      <c r="F56" s="508"/>
      <c r="G56" s="193"/>
      <c r="H56" s="193"/>
    </row>
    <row r="57" spans="1:8" x14ac:dyDescent="0.3">
      <c r="F57" s="508"/>
      <c r="G57" s="193"/>
      <c r="H57" s="193"/>
    </row>
    <row r="58" spans="1:8" x14ac:dyDescent="0.3">
      <c r="F58" s="508"/>
      <c r="G58" s="267"/>
      <c r="H58" s="267"/>
    </row>
    <row r="59" spans="1:8" x14ac:dyDescent="0.3">
      <c r="F59" s="508"/>
      <c r="G59" s="193"/>
      <c r="H59" s="193"/>
    </row>
    <row r="60" spans="1:8" x14ac:dyDescent="0.3">
      <c r="F60" s="508"/>
      <c r="G60" s="193"/>
      <c r="H60" s="193"/>
    </row>
    <row r="61" spans="1:8" x14ac:dyDescent="0.3">
      <c r="F61" s="508"/>
      <c r="G61" s="267"/>
      <c r="H61" s="267"/>
    </row>
    <row r="62" spans="1:8" x14ac:dyDescent="0.3">
      <c r="F62" s="72"/>
      <c r="G62" s="72"/>
      <c r="H62" s="72"/>
    </row>
    <row r="68" spans="1:10" x14ac:dyDescent="0.3">
      <c r="A68" s="108"/>
      <c r="B68" s="109" t="s">
        <v>127</v>
      </c>
      <c r="C68" s="109" t="s">
        <v>180</v>
      </c>
      <c r="D68" s="109" t="s">
        <v>181</v>
      </c>
      <c r="F68" s="109" t="s">
        <v>182</v>
      </c>
      <c r="G68" s="109" t="s">
        <v>180</v>
      </c>
      <c r="H68" s="109"/>
      <c r="I68" s="196" t="s">
        <v>181</v>
      </c>
      <c r="J68" s="109"/>
    </row>
    <row r="69" spans="1:10" ht="14" x14ac:dyDescent="0.3">
      <c r="A69" s="56" t="s">
        <v>123</v>
      </c>
      <c r="B69" s="110">
        <v>4321567.2300000004</v>
      </c>
      <c r="C69" s="110">
        <f>SUM(B69*0.33)</f>
        <v>1426117.1859000002</v>
      </c>
      <c r="D69" s="110">
        <f>SUM(B69:C69)</f>
        <v>5747684.4159000004</v>
      </c>
      <c r="F69" s="109">
        <v>148902.54280000002</v>
      </c>
      <c r="G69" s="109">
        <f>SUM(F69*0.33)</f>
        <v>49137.839124000013</v>
      </c>
      <c r="H69" s="109"/>
      <c r="I69" s="196">
        <f>SUM(F69:G69)</f>
        <v>198040.38192400004</v>
      </c>
      <c r="J69" s="64" t="s">
        <v>123</v>
      </c>
    </row>
    <row r="70" spans="1:10" ht="42" x14ac:dyDescent="0.3">
      <c r="A70" s="56" t="s">
        <v>126</v>
      </c>
      <c r="B70" s="110">
        <v>214404.25</v>
      </c>
      <c r="C70" s="110">
        <v>0</v>
      </c>
      <c r="D70" s="110">
        <f t="shared" ref="D70:D73" si="12">SUM(B70:C70)</f>
        <v>214404.25</v>
      </c>
      <c r="F70" s="109">
        <v>127607.6</v>
      </c>
      <c r="G70" s="109">
        <f t="shared" ref="G70:G73" si="13">SUM(F70*0.33)</f>
        <v>42110.508000000002</v>
      </c>
      <c r="H70" s="109"/>
      <c r="I70" s="196">
        <f t="shared" ref="I70:I73" si="14">SUM(F70:G70)</f>
        <v>169718.10800000001</v>
      </c>
      <c r="J70" s="64" t="s">
        <v>141</v>
      </c>
    </row>
    <row r="71" spans="1:10" ht="56" x14ac:dyDescent="0.3">
      <c r="A71" s="56" t="s">
        <v>128</v>
      </c>
      <c r="B71" s="110">
        <v>774549.28200800007</v>
      </c>
      <c r="C71" s="110">
        <f t="shared" ref="C71:C73" si="15">SUM(B71*0.33)</f>
        <v>255601.26306264004</v>
      </c>
      <c r="D71" s="110">
        <f t="shared" si="12"/>
        <v>1030150.54507064</v>
      </c>
      <c r="F71" s="109">
        <v>288014.72000000003</v>
      </c>
      <c r="G71" s="109">
        <f t="shared" si="13"/>
        <v>95044.857600000018</v>
      </c>
      <c r="H71" s="109"/>
      <c r="I71" s="196">
        <f t="shared" si="14"/>
        <v>383059.57760000008</v>
      </c>
      <c r="J71" s="64" t="s">
        <v>143</v>
      </c>
    </row>
    <row r="72" spans="1:10" ht="28" x14ac:dyDescent="0.3">
      <c r="A72" s="56" t="s">
        <v>183</v>
      </c>
      <c r="B72" s="110">
        <v>5807.4749999999995</v>
      </c>
      <c r="C72" s="110">
        <f t="shared" si="15"/>
        <v>1916.4667499999998</v>
      </c>
      <c r="D72" s="110">
        <f t="shared" si="12"/>
        <v>7723.941749999999</v>
      </c>
      <c r="F72" s="109">
        <v>9000.4600000000009</v>
      </c>
      <c r="G72" s="109">
        <f t="shared" si="13"/>
        <v>2970.1518000000005</v>
      </c>
      <c r="H72" s="109"/>
      <c r="I72" s="196">
        <f t="shared" si="14"/>
        <v>11970.611800000002</v>
      </c>
      <c r="J72" s="64" t="s">
        <v>144</v>
      </c>
    </row>
    <row r="73" spans="1:10" ht="26" x14ac:dyDescent="0.3">
      <c r="A73" s="56" t="s">
        <v>184</v>
      </c>
      <c r="B73" s="110">
        <v>256.78500000000003</v>
      </c>
      <c r="C73" s="110">
        <f t="shared" si="15"/>
        <v>84.739050000000006</v>
      </c>
      <c r="D73" s="110">
        <f t="shared" si="12"/>
        <v>341.52405000000005</v>
      </c>
      <c r="F73" s="109">
        <v>46459.799999999996</v>
      </c>
      <c r="G73" s="109">
        <f t="shared" si="13"/>
        <v>15331.733999999999</v>
      </c>
      <c r="H73" s="109"/>
      <c r="I73" s="196">
        <f t="shared" si="14"/>
        <v>61791.533999999992</v>
      </c>
      <c r="J73" s="64" t="s">
        <v>145</v>
      </c>
    </row>
    <row r="74" spans="1:10" x14ac:dyDescent="0.3">
      <c r="A74" s="108"/>
      <c r="B74" s="110">
        <f>SUM(B69:B73)</f>
        <v>5316585.0220079999</v>
      </c>
      <c r="C74" s="110">
        <f>SUM(C69:C73)</f>
        <v>1683719.6547626401</v>
      </c>
      <c r="D74" s="110">
        <f>SUM(D69:D73)</f>
        <v>7000304.6767706405</v>
      </c>
      <c r="F74" s="109">
        <f>SUM(F69:F73)</f>
        <v>619985.12280000001</v>
      </c>
      <c r="G74" s="109">
        <f t="shared" ref="G74:I74" si="16">SUM(G69:G73)</f>
        <v>204595.09052400003</v>
      </c>
      <c r="H74" s="109"/>
      <c r="I74" s="196">
        <f t="shared" si="16"/>
        <v>824580.21332400001</v>
      </c>
      <c r="J74" s="109"/>
    </row>
    <row r="76" spans="1:10" x14ac:dyDescent="0.3">
      <c r="B76" s="59">
        <v>5316585.0220079999</v>
      </c>
      <c r="C76" s="59">
        <v>1683719.6547626401</v>
      </c>
      <c r="D76" s="59">
        <v>7000304.6767706405</v>
      </c>
      <c r="F76" s="59">
        <v>619985.12280000001</v>
      </c>
      <c r="G76" s="59">
        <v>204595.090524</v>
      </c>
      <c r="H76" s="59"/>
      <c r="I76" s="199">
        <v>824580.21332400001</v>
      </c>
    </row>
    <row r="78" spans="1:10" x14ac:dyDescent="0.3">
      <c r="D78" s="99" t="s">
        <v>185</v>
      </c>
      <c r="E78" s="111">
        <f>SUM(D76,I76)</f>
        <v>7824884.8900946407</v>
      </c>
    </row>
    <row r="79" spans="1:10" x14ac:dyDescent="0.3">
      <c r="B79" s="59"/>
    </row>
    <row r="81" spans="1:11" ht="13.5" thickBot="1" x14ac:dyDescent="0.35">
      <c r="B81" s="59"/>
      <c r="C81" s="59"/>
      <c r="D81" s="59"/>
    </row>
    <row r="82" spans="1:11" ht="39" x14ac:dyDescent="0.3">
      <c r="A82" s="504" t="s">
        <v>186</v>
      </c>
      <c r="B82" s="504" t="s">
        <v>156</v>
      </c>
      <c r="C82" s="269" t="s">
        <v>187</v>
      </c>
      <c r="D82" s="269" t="s">
        <v>188</v>
      </c>
      <c r="E82" s="504" t="s">
        <v>189</v>
      </c>
      <c r="F82" s="500" t="s">
        <v>190</v>
      </c>
      <c r="G82" s="506"/>
      <c r="H82" s="271"/>
      <c r="I82" s="498" t="s">
        <v>191</v>
      </c>
      <c r="J82" s="500" t="s">
        <v>192</v>
      </c>
      <c r="K82" s="269" t="s">
        <v>193</v>
      </c>
    </row>
    <row r="83" spans="1:11" ht="13.5" thickBot="1" x14ac:dyDescent="0.35">
      <c r="A83" s="505"/>
      <c r="B83" s="505"/>
      <c r="C83" s="270" t="s">
        <v>194</v>
      </c>
      <c r="D83" s="270" t="s">
        <v>195</v>
      </c>
      <c r="E83" s="505"/>
      <c r="F83" s="501" t="s">
        <v>196</v>
      </c>
      <c r="G83" s="507"/>
      <c r="H83" s="272"/>
      <c r="I83" s="499"/>
      <c r="J83" s="501"/>
      <c r="K83" s="270" t="s">
        <v>197</v>
      </c>
    </row>
    <row r="84" spans="1:11" ht="14.5" thickBot="1" x14ac:dyDescent="0.35">
      <c r="A84" s="112" t="s">
        <v>198</v>
      </c>
      <c r="B84" s="113">
        <v>53</v>
      </c>
      <c r="C84" s="113">
        <v>24</v>
      </c>
      <c r="D84" s="113">
        <v>63.77</v>
      </c>
      <c r="E84" s="113">
        <v>1272</v>
      </c>
      <c r="F84" s="114">
        <f>SUM(E84*D84)</f>
        <v>81115.44</v>
      </c>
      <c r="G84" s="502">
        <v>6064.26</v>
      </c>
      <c r="H84" s="502"/>
      <c r="I84" s="503"/>
      <c r="J84" s="115">
        <v>46459.8</v>
      </c>
      <c r="K84" s="107">
        <f>SUM(F84,G84,J84)</f>
        <v>133639.5</v>
      </c>
    </row>
    <row r="89" spans="1:11" x14ac:dyDescent="0.3">
      <c r="A89" s="116">
        <v>2000</v>
      </c>
      <c r="B89" s="72">
        <v>205346.68</v>
      </c>
      <c r="C89" s="72">
        <v>5747684.4199999999</v>
      </c>
      <c r="D89" s="72">
        <v>750818.07</v>
      </c>
      <c r="E89" s="117">
        <v>180000</v>
      </c>
      <c r="F89" s="117">
        <f>SUM(B89:E89)</f>
        <v>6883849.1699999999</v>
      </c>
    </row>
    <row r="90" spans="1:11" x14ac:dyDescent="0.3">
      <c r="A90" s="116">
        <v>2000</v>
      </c>
      <c r="B90" s="57">
        <v>0</v>
      </c>
      <c r="C90" s="72">
        <v>1030150.55</v>
      </c>
      <c r="D90" s="72">
        <v>11970.61</v>
      </c>
      <c r="E90" s="117">
        <v>180000</v>
      </c>
      <c r="F90" s="117">
        <f>SUM(B90:E90)</f>
        <v>1222121.1600000001</v>
      </c>
    </row>
    <row r="91" spans="1:11" x14ac:dyDescent="0.3">
      <c r="A91" s="86" t="s">
        <v>153</v>
      </c>
      <c r="F91" s="117">
        <f>SUM(F89:F90)</f>
        <v>8105970.3300000001</v>
      </c>
      <c r="G91" s="117">
        <v>8104762</v>
      </c>
      <c r="H91" s="117"/>
    </row>
    <row r="92" spans="1:11" x14ac:dyDescent="0.3">
      <c r="B92" s="57" t="s">
        <v>199</v>
      </c>
      <c r="C92" s="57" t="s">
        <v>200</v>
      </c>
      <c r="D92" s="57" t="s">
        <v>201</v>
      </c>
      <c r="E92" s="57" t="s">
        <v>202</v>
      </c>
      <c r="F92" s="57" t="s">
        <v>203</v>
      </c>
    </row>
    <row r="93" spans="1:11" x14ac:dyDescent="0.3">
      <c r="B93" s="57" t="s">
        <v>204</v>
      </c>
      <c r="C93" s="57" t="s">
        <v>205</v>
      </c>
      <c r="D93" s="57" t="s">
        <v>206</v>
      </c>
      <c r="E93" s="57" t="s">
        <v>207</v>
      </c>
      <c r="F93" s="57" t="s">
        <v>197</v>
      </c>
    </row>
    <row r="94" spans="1:11" x14ac:dyDescent="0.3">
      <c r="C94" s="57" t="s">
        <v>127</v>
      </c>
      <c r="E94" s="57" t="s">
        <v>208</v>
      </c>
    </row>
    <row r="95" spans="1:11" x14ac:dyDescent="0.3">
      <c r="E95" s="57" t="s">
        <v>209</v>
      </c>
    </row>
    <row r="99" spans="4:6" x14ac:dyDescent="0.3">
      <c r="D99" s="57">
        <v>6064.26</v>
      </c>
      <c r="F99" s="72">
        <v>133639.5</v>
      </c>
    </row>
    <row r="100" spans="4:6" x14ac:dyDescent="0.3">
      <c r="D100" s="93">
        <v>7343182</v>
      </c>
      <c r="F100" s="117">
        <v>8105970</v>
      </c>
    </row>
    <row r="101" spans="4:6" x14ac:dyDescent="0.3">
      <c r="D101" s="57">
        <f>SUM(D99:D100)</f>
        <v>7349246.2599999998</v>
      </c>
      <c r="F101" s="72">
        <f>SUM(F99:F100)</f>
        <v>8239609.5</v>
      </c>
    </row>
  </sheetData>
  <mergeCells count="16">
    <mergeCell ref="F59:F61"/>
    <mergeCell ref="A25:F26"/>
    <mergeCell ref="G25:G26"/>
    <mergeCell ref="A16:B16"/>
    <mergeCell ref="F54:F55"/>
    <mergeCell ref="F56:F58"/>
    <mergeCell ref="A37:E37"/>
    <mergeCell ref="A45:E45"/>
    <mergeCell ref="I82:I83"/>
    <mergeCell ref="J82:J83"/>
    <mergeCell ref="G84:I84"/>
    <mergeCell ref="A82:A83"/>
    <mergeCell ref="B82:B83"/>
    <mergeCell ref="E82:E83"/>
    <mergeCell ref="F82:G82"/>
    <mergeCell ref="F83:G83"/>
  </mergeCells>
  <hyperlinks>
    <hyperlink ref="O6" r:id="rId1" xr:uid="{5089105A-B4D6-4383-A35A-7A068F6925B0}"/>
    <hyperlink ref="O10" r:id="rId2" display="https://www.opm.gov/policy-data-oversight/pay-leave/salaries-wages/salary-tables/pdf/2022/GS_h.pdf" xr:uid="{22EB2F6A-1014-43FC-920E-E6808391A871}"/>
    <hyperlink ref="L27" r:id="rId3" display="https://www.opm.gov/policy-data-oversight/pay-leave/salaries-wages/salary-tables/pdf/2022/GS_h.pdf" xr:uid="{92877CF6-62C8-4B25-9B37-E94CED0A22A9}"/>
    <hyperlink ref="F48" r:id="rId4" display="https://www.opm.gov/policy-data-oversight/pay-leave/salaries-wages/salary-tables/pdf/2022/GS_h.pdf" xr:uid="{C095392F-66BF-49B6-9BC2-1646F3033424}"/>
  </hyperlinks>
  <pageMargins left="0.7" right="0.7" top="0.75" bottom="0.75" header="0.3" footer="0.3"/>
  <pageSetup orientation="portrait"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D21"/>
  <sheetViews>
    <sheetView workbookViewId="0">
      <selection activeCell="M17" sqref="M17"/>
    </sheetView>
  </sheetViews>
  <sheetFormatPr defaultRowHeight="14.5" x14ac:dyDescent="0.35"/>
  <cols>
    <col min="1" max="1" width="18.81640625" customWidth="1"/>
    <col min="2" max="2" width="14.453125" customWidth="1"/>
    <col min="4" max="4" width="18.453125" customWidth="1"/>
  </cols>
  <sheetData>
    <row r="1" spans="1:4" ht="29" x14ac:dyDescent="0.35">
      <c r="A1" t="s">
        <v>210</v>
      </c>
      <c r="B1" s="32" t="s">
        <v>211</v>
      </c>
      <c r="D1" s="32" t="s">
        <v>212</v>
      </c>
    </row>
    <row r="17" spans="1:4" ht="29" x14ac:dyDescent="0.35">
      <c r="A17" s="32" t="s">
        <v>91</v>
      </c>
      <c r="B17">
        <v>106</v>
      </c>
      <c r="D17">
        <v>275.60000000000002</v>
      </c>
    </row>
    <row r="18" spans="1:4" ht="58" x14ac:dyDescent="0.35">
      <c r="A18" s="32" t="s">
        <v>110</v>
      </c>
      <c r="B18">
        <v>53</v>
      </c>
      <c r="D18">
        <v>2120</v>
      </c>
    </row>
    <row r="21" spans="1:4" ht="29" x14ac:dyDescent="0.35">
      <c r="A21" s="32" t="s">
        <v>103</v>
      </c>
      <c r="B21">
        <v>53</v>
      </c>
      <c r="D21">
        <v>1.2507999999999999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P74"/>
  <sheetViews>
    <sheetView tabSelected="1" topLeftCell="A22" workbookViewId="0">
      <selection activeCell="H15" sqref="H15"/>
    </sheetView>
  </sheetViews>
  <sheetFormatPr defaultRowHeight="14.5" x14ac:dyDescent="0.35"/>
  <cols>
    <col min="1" max="1" width="31.81640625" customWidth="1"/>
    <col min="2" max="7" width="16" customWidth="1"/>
    <col min="8" max="8" width="12.26953125" customWidth="1"/>
    <col min="11" max="11" width="32.453125" style="32" customWidth="1"/>
    <col min="12" max="16" width="10.7265625" style="32" customWidth="1"/>
  </cols>
  <sheetData>
    <row r="1" spans="1:7" ht="52.4" customHeight="1" thickTop="1" thickBot="1" x14ac:dyDescent="0.4">
      <c r="A1" s="181" t="s">
        <v>115</v>
      </c>
      <c r="B1" s="181" t="s">
        <v>116</v>
      </c>
      <c r="C1" s="181" t="s">
        <v>3</v>
      </c>
      <c r="D1" s="181" t="s">
        <v>213</v>
      </c>
      <c r="E1" s="181" t="s">
        <v>117</v>
      </c>
      <c r="F1" s="181" t="s">
        <v>118</v>
      </c>
      <c r="G1" s="181" t="s">
        <v>119</v>
      </c>
    </row>
    <row r="2" spans="1:7" ht="15.5" thickTop="1" thickBot="1" x14ac:dyDescent="0.4">
      <c r="A2" s="182" t="s">
        <v>123</v>
      </c>
      <c r="B2" s="182" t="s">
        <v>124</v>
      </c>
      <c r="C2" s="182">
        <v>53</v>
      </c>
      <c r="D2" s="183">
        <v>8927</v>
      </c>
      <c r="E2" s="183">
        <v>473172</v>
      </c>
      <c r="F2" s="182">
        <v>0.75295000000000001</v>
      </c>
      <c r="G2" s="184">
        <f>SUM(E2*F2)</f>
        <v>356274.85739999998</v>
      </c>
    </row>
    <row r="3" spans="1:7" ht="15.5" thickTop="1" thickBot="1" x14ac:dyDescent="0.4">
      <c r="A3" s="182" t="s">
        <v>126</v>
      </c>
      <c r="B3" s="182" t="s">
        <v>124</v>
      </c>
      <c r="C3" s="183">
        <v>59146</v>
      </c>
      <c r="D3" s="182">
        <v>1</v>
      </c>
      <c r="E3" s="183">
        <v>59146</v>
      </c>
      <c r="F3" s="182">
        <v>0.5</v>
      </c>
      <c r="G3" s="184">
        <f t="shared" ref="G3:G10" si="0">SUM(E3*F3)</f>
        <v>29573</v>
      </c>
    </row>
    <row r="4" spans="1:7" ht="15.5" thickTop="1" thickBot="1" x14ac:dyDescent="0.4">
      <c r="A4" s="182" t="s">
        <v>214</v>
      </c>
      <c r="B4" s="182" t="s">
        <v>124</v>
      </c>
      <c r="C4" s="182">
        <v>53</v>
      </c>
      <c r="D4" s="183">
        <v>2232</v>
      </c>
      <c r="E4" s="183">
        <v>118292</v>
      </c>
      <c r="F4" s="182">
        <v>1.0795999999999999</v>
      </c>
      <c r="G4" s="184">
        <f t="shared" si="0"/>
        <v>127708.04319999999</v>
      </c>
    </row>
    <row r="5" spans="1:7" ht="15.5" thickTop="1" thickBot="1" x14ac:dyDescent="0.4">
      <c r="A5" s="182" t="s">
        <v>215</v>
      </c>
      <c r="B5" s="182" t="s">
        <v>124</v>
      </c>
      <c r="C5" s="182">
        <v>53</v>
      </c>
      <c r="D5" s="182">
        <v>5.415</v>
      </c>
      <c r="E5" s="182">
        <v>287</v>
      </c>
      <c r="F5" s="182">
        <v>20</v>
      </c>
      <c r="G5" s="184">
        <f t="shared" si="0"/>
        <v>5740</v>
      </c>
    </row>
    <row r="6" spans="1:7" ht="15.5" thickTop="1" thickBot="1" x14ac:dyDescent="0.4">
      <c r="A6" s="182" t="s">
        <v>123</v>
      </c>
      <c r="B6" s="182" t="s">
        <v>54</v>
      </c>
      <c r="C6" s="182">
        <v>53</v>
      </c>
      <c r="D6" s="185">
        <v>4463.8500000000004</v>
      </c>
      <c r="E6" s="183">
        <v>236584</v>
      </c>
      <c r="F6" s="182">
        <v>2.75</v>
      </c>
      <c r="G6" s="184">
        <f t="shared" si="0"/>
        <v>650606</v>
      </c>
    </row>
    <row r="7" spans="1:7" ht="15.5" thickTop="1" thickBot="1" x14ac:dyDescent="0.4">
      <c r="A7" s="182" t="s">
        <v>216</v>
      </c>
      <c r="B7" s="182" t="s">
        <v>54</v>
      </c>
      <c r="C7" s="182">
        <v>263</v>
      </c>
      <c r="D7" s="182">
        <v>1</v>
      </c>
      <c r="E7" s="182">
        <v>263</v>
      </c>
      <c r="F7" s="182">
        <v>40</v>
      </c>
      <c r="G7" s="184">
        <f t="shared" si="0"/>
        <v>10520</v>
      </c>
    </row>
    <row r="8" spans="1:7" ht="27" thickTop="1" thickBot="1" x14ac:dyDescent="0.4">
      <c r="A8" s="182" t="s">
        <v>217</v>
      </c>
      <c r="B8" s="182" t="s">
        <v>54</v>
      </c>
      <c r="C8" s="182">
        <v>371</v>
      </c>
      <c r="D8" s="182">
        <v>1</v>
      </c>
      <c r="E8" s="182">
        <v>371</v>
      </c>
      <c r="F8" s="182">
        <v>64</v>
      </c>
      <c r="G8" s="184">
        <f t="shared" si="0"/>
        <v>23744</v>
      </c>
    </row>
    <row r="9" spans="1:7" ht="15.5" thickTop="1" thickBot="1" x14ac:dyDescent="0.4">
      <c r="A9" s="182" t="s">
        <v>144</v>
      </c>
      <c r="B9" s="182" t="s">
        <v>54</v>
      </c>
      <c r="C9" s="182">
        <v>371</v>
      </c>
      <c r="D9" s="182">
        <v>1</v>
      </c>
      <c r="E9" s="182">
        <v>371</v>
      </c>
      <c r="F9" s="182">
        <v>2</v>
      </c>
      <c r="G9" s="184">
        <f t="shared" si="0"/>
        <v>742</v>
      </c>
    </row>
    <row r="10" spans="1:7" ht="15.5" thickTop="1" thickBot="1" x14ac:dyDescent="0.4">
      <c r="A10" s="182" t="s">
        <v>218</v>
      </c>
      <c r="B10" s="182" t="s">
        <v>54</v>
      </c>
      <c r="C10" s="182">
        <v>53</v>
      </c>
      <c r="D10" s="182">
        <v>1</v>
      </c>
      <c r="E10" s="182">
        <v>53</v>
      </c>
      <c r="F10" s="182">
        <v>40</v>
      </c>
      <c r="G10" s="184">
        <f t="shared" si="0"/>
        <v>2120</v>
      </c>
    </row>
    <row r="11" spans="1:7" ht="52.75" customHeight="1" thickTop="1" thickBot="1" x14ac:dyDescent="0.4">
      <c r="A11" s="518" t="s">
        <v>262</v>
      </c>
      <c r="B11" s="518"/>
      <c r="C11" s="186">
        <f>SUM(C2,C3,C6,C7,C8)</f>
        <v>59886</v>
      </c>
      <c r="D11" s="273">
        <f>SUM(E11/C11)</f>
        <v>14.837173963864677</v>
      </c>
      <c r="E11" s="186">
        <f>SUM(E2:E10)</f>
        <v>888539</v>
      </c>
      <c r="F11" s="273">
        <f>SUM(G11/E11)</f>
        <v>1.3584411045547802</v>
      </c>
      <c r="G11" s="187">
        <f>SUM(G2:G10)</f>
        <v>1207027.9005999998</v>
      </c>
    </row>
    <row r="12" spans="1:7" ht="15" thickTop="1" x14ac:dyDescent="0.35"/>
    <row r="16" spans="1:7" ht="15" thickBot="1" x14ac:dyDescent="0.4"/>
    <row r="17" spans="1:16" ht="26.25" customHeight="1" thickBot="1" x14ac:dyDescent="0.4">
      <c r="A17" s="519" t="s">
        <v>228</v>
      </c>
      <c r="B17" s="520"/>
      <c r="C17" s="520"/>
      <c r="D17" s="520"/>
      <c r="E17" s="520"/>
      <c r="F17" s="521"/>
    </row>
    <row r="18" spans="1:16" ht="26.25" customHeight="1" x14ac:dyDescent="0.35">
      <c r="A18" s="522" t="s">
        <v>235</v>
      </c>
      <c r="B18" s="523"/>
      <c r="C18" s="523"/>
      <c r="D18" s="523"/>
      <c r="E18" s="523"/>
      <c r="F18" s="524"/>
    </row>
    <row r="19" spans="1:16" ht="65" x14ac:dyDescent="0.35">
      <c r="A19" s="278" t="s">
        <v>229</v>
      </c>
      <c r="B19" s="278" t="s">
        <v>230</v>
      </c>
      <c r="C19" s="278" t="s">
        <v>231</v>
      </c>
      <c r="D19" s="278" t="s">
        <v>232</v>
      </c>
      <c r="E19" s="278" t="s">
        <v>233</v>
      </c>
      <c r="F19" s="278" t="s">
        <v>234</v>
      </c>
      <c r="G19" s="298" t="s">
        <v>242</v>
      </c>
      <c r="H19">
        <v>32.729999999999997</v>
      </c>
      <c r="K19" s="278" t="s">
        <v>229</v>
      </c>
      <c r="L19" s="278" t="s">
        <v>230</v>
      </c>
      <c r="M19" s="278" t="s">
        <v>231</v>
      </c>
      <c r="N19" s="278" t="s">
        <v>232</v>
      </c>
      <c r="O19" s="278" t="s">
        <v>233</v>
      </c>
      <c r="P19" s="278" t="s">
        <v>234</v>
      </c>
    </row>
    <row r="20" spans="1:16" ht="39" x14ac:dyDescent="0.35">
      <c r="A20" s="279" t="s">
        <v>250</v>
      </c>
      <c r="B20" s="279"/>
      <c r="C20" s="279"/>
      <c r="D20" s="303">
        <f>SUM('Summary of all Burden1'!H2)</f>
        <v>4915779.88</v>
      </c>
      <c r="E20" s="303">
        <f>SUM(D20*0.33)</f>
        <v>1622207.3604000001</v>
      </c>
      <c r="F20" s="304">
        <f t="shared" ref="F20:F26" si="1">SUM(D20:E20)</f>
        <v>6537987.2403999995</v>
      </c>
      <c r="G20" s="298"/>
      <c r="K20" s="279" t="s">
        <v>236</v>
      </c>
      <c r="L20" s="281">
        <v>100</v>
      </c>
      <c r="M20" s="280">
        <v>38.92</v>
      </c>
      <c r="N20" s="305">
        <f t="shared" ref="N20:N22" si="2">SUM(M20*L20)</f>
        <v>3892</v>
      </c>
      <c r="O20" s="305">
        <f t="shared" ref="O20:O22" si="3">SUM(N20*(0.33))</f>
        <v>1284.3600000000001</v>
      </c>
      <c r="P20" s="305">
        <f t="shared" ref="P20:P22" si="4">SUM(N20:O20)</f>
        <v>5176.3600000000006</v>
      </c>
    </row>
    <row r="21" spans="1:16" ht="52" x14ac:dyDescent="0.35">
      <c r="A21" s="279" t="s">
        <v>251</v>
      </c>
      <c r="B21" s="279"/>
      <c r="C21" s="279"/>
      <c r="D21" s="303">
        <f>SUM('Summary of all Burden1'!H4)</f>
        <v>888528.40999999992</v>
      </c>
      <c r="E21" s="303">
        <f t="shared" ref="E21:E26" si="5">SUM(D21*0.33)</f>
        <v>293214.37530000001</v>
      </c>
      <c r="F21" s="304">
        <f t="shared" si="1"/>
        <v>1181742.7852999999</v>
      </c>
      <c r="G21" s="298"/>
      <c r="K21" s="279" t="s">
        <v>237</v>
      </c>
      <c r="L21" s="281">
        <v>10</v>
      </c>
      <c r="M21" s="280">
        <v>45.99</v>
      </c>
      <c r="N21" s="305">
        <f t="shared" si="2"/>
        <v>459.90000000000003</v>
      </c>
      <c r="O21" s="305">
        <f t="shared" si="3"/>
        <v>151.76700000000002</v>
      </c>
      <c r="P21" s="305">
        <f t="shared" si="4"/>
        <v>611.66700000000003</v>
      </c>
    </row>
    <row r="22" spans="1:16" ht="52" x14ac:dyDescent="0.35">
      <c r="A22" s="279" t="s">
        <v>252</v>
      </c>
      <c r="B22" s="279"/>
      <c r="C22" s="279"/>
      <c r="D22" s="303">
        <f>SUM('Summary of all Burden1'!H5)</f>
        <v>67603.34</v>
      </c>
      <c r="E22" s="303">
        <f t="shared" si="5"/>
        <v>22309.102200000001</v>
      </c>
      <c r="F22" s="304">
        <f t="shared" si="1"/>
        <v>89912.44219999999</v>
      </c>
      <c r="G22" s="298"/>
      <c r="K22" s="279" t="s">
        <v>238</v>
      </c>
      <c r="L22" s="281">
        <v>5</v>
      </c>
      <c r="M22" s="280">
        <v>54.09</v>
      </c>
      <c r="N22" s="305">
        <f t="shared" si="2"/>
        <v>270.45000000000005</v>
      </c>
      <c r="O22" s="305">
        <f t="shared" si="3"/>
        <v>89.248500000000021</v>
      </c>
      <c r="P22" s="305">
        <f t="shared" si="4"/>
        <v>359.69850000000008</v>
      </c>
    </row>
    <row r="23" spans="1:16" x14ac:dyDescent="0.35">
      <c r="A23" s="279" t="s">
        <v>249</v>
      </c>
      <c r="B23" s="279"/>
      <c r="C23" s="279"/>
      <c r="D23" s="303">
        <v>360000</v>
      </c>
      <c r="E23" s="303">
        <v>0</v>
      </c>
      <c r="F23" s="304">
        <f t="shared" si="1"/>
        <v>360000</v>
      </c>
      <c r="G23" s="298"/>
      <c r="K23" s="336" t="s">
        <v>268</v>
      </c>
      <c r="L23" s="336">
        <f>SUM(L20:L22)</f>
        <v>115</v>
      </c>
      <c r="M23" s="336"/>
      <c r="N23" s="337">
        <f t="shared" ref="N23:P23" si="6">SUM(N20:N22)</f>
        <v>4622.3499999999995</v>
      </c>
      <c r="O23" s="337">
        <f t="shared" si="6"/>
        <v>1525.3755000000001</v>
      </c>
      <c r="P23" s="337">
        <f t="shared" si="6"/>
        <v>6147.7255000000014</v>
      </c>
    </row>
    <row r="24" spans="1:16" x14ac:dyDescent="0.35">
      <c r="A24" s="279" t="s">
        <v>254</v>
      </c>
      <c r="B24" s="279"/>
      <c r="C24" s="279"/>
      <c r="D24" s="303">
        <f>SUM('Summary of all Burden1'!I11:I13)</f>
        <v>3644296.0592499999</v>
      </c>
      <c r="E24" s="303">
        <f t="shared" si="5"/>
        <v>1202617.6995524999</v>
      </c>
      <c r="F24" s="304">
        <f t="shared" si="1"/>
        <v>4846913.7588024996</v>
      </c>
      <c r="G24" s="298"/>
    </row>
    <row r="25" spans="1:16" x14ac:dyDescent="0.35">
      <c r="A25" s="279" t="s">
        <v>255</v>
      </c>
      <c r="B25" s="279"/>
      <c r="C25" s="279"/>
      <c r="D25" s="303">
        <v>13732.156899999998</v>
      </c>
      <c r="E25" s="303">
        <f t="shared" si="5"/>
        <v>4531.6117769999992</v>
      </c>
      <c r="F25" s="304">
        <f t="shared" si="1"/>
        <v>18263.768676999996</v>
      </c>
      <c r="G25" s="298"/>
    </row>
    <row r="26" spans="1:16" x14ac:dyDescent="0.35">
      <c r="A26" s="279" t="s">
        <v>256</v>
      </c>
      <c r="B26" s="279"/>
      <c r="C26" s="279"/>
      <c r="D26" s="303">
        <v>67402.538</v>
      </c>
      <c r="E26" s="303">
        <f t="shared" si="5"/>
        <v>22242.83754</v>
      </c>
      <c r="F26" s="304">
        <f t="shared" si="1"/>
        <v>89645.375540000008</v>
      </c>
      <c r="G26" s="298"/>
    </row>
    <row r="27" spans="1:16" ht="26" x14ac:dyDescent="0.35">
      <c r="A27" s="279" t="s">
        <v>257</v>
      </c>
      <c r="B27" s="296">
        <v>24698</v>
      </c>
      <c r="C27" s="297">
        <v>32.729999999999997</v>
      </c>
      <c r="D27" s="304">
        <f>SUM(C27*B27)</f>
        <v>808365.53999999992</v>
      </c>
      <c r="E27" s="304">
        <f>SUM(D27*(0.33))</f>
        <v>266760.62819999998</v>
      </c>
      <c r="F27" s="304">
        <f t="shared" ref="F27:F28" si="7">SUM(D27:E27)</f>
        <v>1075126.1682</v>
      </c>
      <c r="G27" s="89"/>
      <c r="K27" s="32" t="s">
        <v>269</v>
      </c>
    </row>
    <row r="28" spans="1:16" ht="26" x14ac:dyDescent="0.35">
      <c r="A28" s="279" t="s">
        <v>258</v>
      </c>
      <c r="B28" s="296">
        <v>150522</v>
      </c>
      <c r="C28" s="297">
        <v>32.729999999999997</v>
      </c>
      <c r="D28" s="304">
        <f>SUM(C28*B28)</f>
        <v>4926585.0599999996</v>
      </c>
      <c r="E28" s="304">
        <f>SUM(D28*(0.33))</f>
        <v>1625773.0697999999</v>
      </c>
      <c r="F28" s="304">
        <f t="shared" si="7"/>
        <v>6552358.1297999993</v>
      </c>
      <c r="G28" s="89"/>
    </row>
    <row r="29" spans="1:16" x14ac:dyDescent="0.35">
      <c r="A29" s="279" t="s">
        <v>259</v>
      </c>
      <c r="B29" s="296">
        <v>193</v>
      </c>
      <c r="C29" s="297">
        <f>SUM(H33)</f>
        <v>38.92</v>
      </c>
      <c r="D29" s="304">
        <f>SUM(C29*B29)</f>
        <v>7511.56</v>
      </c>
      <c r="E29" s="304">
        <f>SUM(D29*(0.33))</f>
        <v>2478.8148000000001</v>
      </c>
      <c r="F29" s="304">
        <f t="shared" ref="F29" si="8">SUM(D29:E29)</f>
        <v>9990.3748000000014</v>
      </c>
      <c r="G29" s="81">
        <v>12.6</v>
      </c>
      <c r="H29">
        <v>38.18</v>
      </c>
    </row>
    <row r="30" spans="1:16" ht="52.5" x14ac:dyDescent="0.35">
      <c r="A30" s="356" t="s">
        <v>282</v>
      </c>
      <c r="B30" s="296">
        <f>SUM(60*80)</f>
        <v>4800</v>
      </c>
      <c r="C30" s="297">
        <f>SUM(H32)</f>
        <v>33.82</v>
      </c>
      <c r="D30" s="304">
        <f>SUM(B30*C30)</f>
        <v>162336</v>
      </c>
      <c r="E30" s="304">
        <f>SUM(D30*(0.33))</f>
        <v>53570.880000000005</v>
      </c>
      <c r="F30" s="304">
        <f t="shared" ref="F30" si="9">SUM(D30:E30)</f>
        <v>215906.88</v>
      </c>
      <c r="G30" s="81"/>
    </row>
    <row r="31" spans="1:16" x14ac:dyDescent="0.35">
      <c r="A31" s="279"/>
      <c r="B31" s="296"/>
      <c r="C31" s="297"/>
      <c r="D31" s="304"/>
      <c r="E31" s="304"/>
      <c r="F31" s="328">
        <f>SUM(F20:F29)</f>
        <v>20761940.043719497</v>
      </c>
      <c r="G31" s="81"/>
    </row>
    <row r="32" spans="1:16" x14ac:dyDescent="0.35">
      <c r="A32" s="279"/>
      <c r="B32" s="296"/>
      <c r="C32" s="297"/>
      <c r="D32" s="304"/>
      <c r="E32" s="304"/>
      <c r="F32" s="304"/>
      <c r="G32" s="357" t="s">
        <v>281</v>
      </c>
      <c r="H32">
        <v>33.82</v>
      </c>
    </row>
    <row r="33" spans="1:12" s="32" customFormat="1" ht="60" customHeight="1" x14ac:dyDescent="0.35">
      <c r="A33" s="354" t="s">
        <v>278</v>
      </c>
      <c r="B33" s="281">
        <v>120</v>
      </c>
      <c r="C33" s="280">
        <v>38.92</v>
      </c>
      <c r="D33" s="305">
        <f t="shared" ref="D33:D35" si="10">SUM(C33*B33)</f>
        <v>4670.4000000000005</v>
      </c>
      <c r="E33" s="305">
        <f t="shared" ref="E33:E35" si="11">SUM(D33*(0.33))</f>
        <v>1541.2320000000002</v>
      </c>
      <c r="F33" s="305">
        <f t="shared" ref="F33:F35" si="12">SUM(D33:E33)</f>
        <v>6211.6320000000005</v>
      </c>
      <c r="G33" s="81" t="s">
        <v>241</v>
      </c>
      <c r="H33" s="32">
        <v>38.92</v>
      </c>
    </row>
    <row r="34" spans="1:12" s="32" customFormat="1" ht="60" customHeight="1" x14ac:dyDescent="0.35">
      <c r="A34" s="354" t="s">
        <v>279</v>
      </c>
      <c r="B34" s="281">
        <v>30</v>
      </c>
      <c r="C34" s="280">
        <f>SUM(H34)</f>
        <v>45.99</v>
      </c>
      <c r="D34" s="305">
        <f t="shared" si="10"/>
        <v>1379.7</v>
      </c>
      <c r="E34" s="305">
        <f t="shared" si="11"/>
        <v>455.30100000000004</v>
      </c>
      <c r="F34" s="305">
        <f t="shared" si="12"/>
        <v>1835.0010000000002</v>
      </c>
      <c r="G34" s="32" t="s">
        <v>239</v>
      </c>
      <c r="H34" s="32">
        <v>45.99</v>
      </c>
    </row>
    <row r="35" spans="1:12" s="32" customFormat="1" ht="60" customHeight="1" x14ac:dyDescent="0.35">
      <c r="A35" s="354" t="s">
        <v>280</v>
      </c>
      <c r="B35" s="281">
        <v>10</v>
      </c>
      <c r="C35" s="280">
        <f>SUM(H35)</f>
        <v>54.09</v>
      </c>
      <c r="D35" s="305">
        <f t="shared" si="10"/>
        <v>540.90000000000009</v>
      </c>
      <c r="E35" s="305">
        <f t="shared" si="11"/>
        <v>178.49700000000004</v>
      </c>
      <c r="F35" s="305">
        <f t="shared" si="12"/>
        <v>719.39700000000016</v>
      </c>
      <c r="G35" s="32" t="s">
        <v>240</v>
      </c>
      <c r="H35" s="32">
        <v>54.09</v>
      </c>
      <c r="K35" s="355">
        <f>SUM(F33:F35)</f>
        <v>8766.0300000000007</v>
      </c>
      <c r="L35" s="32" t="s">
        <v>283</v>
      </c>
    </row>
    <row r="36" spans="1:12" s="32" customFormat="1" ht="60" customHeight="1" x14ac:dyDescent="0.35">
      <c r="A36" s="279" t="s">
        <v>274</v>
      </c>
      <c r="B36" s="281">
        <v>320</v>
      </c>
      <c r="C36" s="280">
        <f>SUM(H33)</f>
        <v>38.92</v>
      </c>
      <c r="D36" s="305">
        <f t="shared" ref="D36:D40" si="13">SUM(C36*B36)</f>
        <v>12454.400000000001</v>
      </c>
      <c r="E36" s="305">
        <f t="shared" ref="E36:E40" si="14">SUM(D36*(0.33))</f>
        <v>4109.9520000000002</v>
      </c>
      <c r="F36" s="305">
        <f t="shared" ref="F36:F40" si="15">SUM(D36:E36)</f>
        <v>16564.352000000003</v>
      </c>
      <c r="K36" s="355">
        <f>SUM(F36:F38)</f>
        <v>20449.814000000006</v>
      </c>
      <c r="L36" s="32" t="s">
        <v>284</v>
      </c>
    </row>
    <row r="37" spans="1:12" s="32" customFormat="1" ht="60" customHeight="1" x14ac:dyDescent="0.35">
      <c r="A37" s="354" t="s">
        <v>275</v>
      </c>
      <c r="B37" s="281">
        <v>40</v>
      </c>
      <c r="C37" s="280">
        <f>SUM(H34)</f>
        <v>45.99</v>
      </c>
      <c r="D37" s="305">
        <f t="shared" si="13"/>
        <v>1839.6000000000001</v>
      </c>
      <c r="E37" s="305">
        <f t="shared" si="14"/>
        <v>607.0680000000001</v>
      </c>
      <c r="F37" s="305">
        <f t="shared" si="15"/>
        <v>2446.6680000000001</v>
      </c>
      <c r="K37" s="355">
        <f>SUM(F39:F40)</f>
        <v>451902.09330000007</v>
      </c>
      <c r="L37" s="32" t="s">
        <v>285</v>
      </c>
    </row>
    <row r="38" spans="1:12" s="32" customFormat="1" ht="60" customHeight="1" x14ac:dyDescent="0.35">
      <c r="A38" s="354" t="s">
        <v>276</v>
      </c>
      <c r="B38" s="281">
        <v>20</v>
      </c>
      <c r="C38" s="280">
        <f>SUM(H35)</f>
        <v>54.09</v>
      </c>
      <c r="D38" s="305">
        <f t="shared" si="13"/>
        <v>1081.8000000000002</v>
      </c>
      <c r="E38" s="305">
        <f t="shared" si="14"/>
        <v>356.99400000000009</v>
      </c>
      <c r="F38" s="305">
        <f t="shared" si="15"/>
        <v>1438.7940000000003</v>
      </c>
    </row>
    <row r="39" spans="1:12" s="32" customFormat="1" ht="60" customHeight="1" x14ac:dyDescent="0.35">
      <c r="A39" s="354" t="s">
        <v>286</v>
      </c>
      <c r="B39" s="281">
        <v>6264</v>
      </c>
      <c r="C39" s="280">
        <f>SUM(H33)</f>
        <v>38.92</v>
      </c>
      <c r="D39" s="305">
        <f t="shared" si="13"/>
        <v>243794.88</v>
      </c>
      <c r="E39" s="305">
        <f t="shared" si="14"/>
        <v>80452.310400000002</v>
      </c>
      <c r="F39" s="305">
        <f t="shared" si="15"/>
        <v>324247.19040000002</v>
      </c>
    </row>
    <row r="40" spans="1:12" s="32" customFormat="1" ht="60" customHeight="1" x14ac:dyDescent="0.35">
      <c r="A40" s="354" t="s">
        <v>277</v>
      </c>
      <c r="B40" s="281">
        <v>2087</v>
      </c>
      <c r="C40" s="280">
        <f>SUM(H34)</f>
        <v>45.99</v>
      </c>
      <c r="D40" s="305">
        <f t="shared" si="13"/>
        <v>95981.13</v>
      </c>
      <c r="E40" s="305">
        <f t="shared" si="14"/>
        <v>31673.772900000004</v>
      </c>
      <c r="F40" s="305">
        <f t="shared" si="15"/>
        <v>127654.90290000002</v>
      </c>
      <c r="G40" s="355">
        <f>SUM(F33:F40)</f>
        <v>481117.93729999999</v>
      </c>
    </row>
    <row r="41" spans="1:12" x14ac:dyDescent="0.35">
      <c r="A41" s="350" t="s">
        <v>263</v>
      </c>
      <c r="B41" s="351"/>
      <c r="C41" s="352"/>
      <c r="D41" s="352"/>
      <c r="E41" s="352"/>
      <c r="F41" s="353">
        <f>SUM(F31,G40)</f>
        <v>21243057.981019497</v>
      </c>
      <c r="G41" s="263" t="s">
        <v>139</v>
      </c>
    </row>
    <row r="44" spans="1:12" ht="52" x14ac:dyDescent="0.35">
      <c r="A44" s="278" t="s">
        <v>229</v>
      </c>
      <c r="B44" s="278" t="s">
        <v>230</v>
      </c>
      <c r="C44" s="278" t="s">
        <v>231</v>
      </c>
      <c r="D44" s="278" t="s">
        <v>232</v>
      </c>
      <c r="E44" s="278" t="s">
        <v>233</v>
      </c>
      <c r="F44" s="278" t="s">
        <v>234</v>
      </c>
      <c r="H44" s="299">
        <v>17597</v>
      </c>
      <c r="I44" s="299" t="s">
        <v>245</v>
      </c>
    </row>
    <row r="45" spans="1:12" ht="26" x14ac:dyDescent="0.35">
      <c r="A45" s="279" t="s">
        <v>243</v>
      </c>
      <c r="B45" s="296">
        <v>24698</v>
      </c>
      <c r="C45" s="297">
        <f>SUM(H29)</f>
        <v>38.18</v>
      </c>
      <c r="D45" s="297">
        <f>SUM(C45*B45)</f>
        <v>942969.64</v>
      </c>
      <c r="E45" s="297">
        <f>SUM(D45*(0.33))</f>
        <v>311179.98120000004</v>
      </c>
      <c r="F45" s="297">
        <f t="shared" ref="F45:F46" si="16">SUM(D45:E45)</f>
        <v>1254149.6211999999</v>
      </c>
      <c r="H45">
        <f>SUM(H44+(H44*0.3))</f>
        <v>22876.1</v>
      </c>
      <c r="I45" t="s">
        <v>246</v>
      </c>
    </row>
    <row r="46" spans="1:12" ht="26" x14ac:dyDescent="0.35">
      <c r="A46" s="279" t="s">
        <v>244</v>
      </c>
      <c r="B46" s="296">
        <v>150522</v>
      </c>
      <c r="C46" s="297">
        <f>SUM(H29)</f>
        <v>38.18</v>
      </c>
      <c r="D46" s="297">
        <f>SUM(C46*B46)</f>
        <v>5746929.96</v>
      </c>
      <c r="E46" s="297">
        <f>SUM(D46*(0.33))</f>
        <v>1896486.8868</v>
      </c>
      <c r="F46" s="297">
        <f t="shared" si="16"/>
        <v>7643416.8467999995</v>
      </c>
    </row>
    <row r="47" spans="1:12" ht="26" x14ac:dyDescent="0.35">
      <c r="A47" s="279" t="s">
        <v>261</v>
      </c>
      <c r="B47" s="296">
        <v>193</v>
      </c>
      <c r="C47" s="297">
        <f>SUM(H29)</f>
        <v>38.18</v>
      </c>
      <c r="D47" s="297">
        <f>SUM(C47*B47)</f>
        <v>7368.74</v>
      </c>
      <c r="E47" s="297">
        <f>SUM(D47*(0.33))</f>
        <v>2431.6842000000001</v>
      </c>
      <c r="F47" s="297">
        <f t="shared" ref="F47" si="17">SUM(D47:E47)</f>
        <v>9800.4241999999995</v>
      </c>
    </row>
    <row r="48" spans="1:12" x14ac:dyDescent="0.35">
      <c r="F48" s="301">
        <f>SUM(F45:F47)</f>
        <v>8907366.8921999987</v>
      </c>
    </row>
    <row r="49" spans="1:16" x14ac:dyDescent="0.35">
      <c r="G49" s="302"/>
    </row>
    <row r="50" spans="1:16" ht="15" thickBot="1" x14ac:dyDescent="0.4"/>
    <row r="51" spans="1:16" ht="15" thickBot="1" x14ac:dyDescent="0.4">
      <c r="A51" s="432" t="s">
        <v>264</v>
      </c>
      <c r="B51" s="433"/>
      <c r="C51" s="433"/>
      <c r="D51" s="433"/>
      <c r="E51" s="433"/>
      <c r="F51" s="433"/>
      <c r="G51" s="433"/>
      <c r="H51" s="433"/>
      <c r="I51" s="433"/>
      <c r="J51" s="434"/>
    </row>
    <row r="52" spans="1:16" ht="52" x14ac:dyDescent="0.35">
      <c r="A52" s="134" t="s">
        <v>1</v>
      </c>
      <c r="B52" s="12" t="s">
        <v>2</v>
      </c>
      <c r="C52" s="13" t="s">
        <v>3</v>
      </c>
      <c r="D52" s="13" t="s">
        <v>4</v>
      </c>
      <c r="E52" s="13" t="s">
        <v>265</v>
      </c>
      <c r="F52" s="13" t="s">
        <v>266</v>
      </c>
      <c r="G52" s="13" t="s">
        <v>267</v>
      </c>
      <c r="H52" s="23" t="s">
        <v>8</v>
      </c>
      <c r="I52" s="246" t="s">
        <v>9</v>
      </c>
      <c r="J52" s="147" t="s">
        <v>10</v>
      </c>
    </row>
    <row r="53" spans="1:16" ht="26" x14ac:dyDescent="0.35">
      <c r="A53" s="125" t="s">
        <v>13</v>
      </c>
      <c r="B53" s="5" t="s">
        <v>14</v>
      </c>
      <c r="C53" s="10">
        <v>60</v>
      </c>
      <c r="D53" s="10">
        <v>1</v>
      </c>
      <c r="E53" s="155">
        <v>22877</v>
      </c>
      <c r="F53" s="154">
        <v>2</v>
      </c>
      <c r="G53" s="14">
        <f>SUM(E53*F53)</f>
        <v>45754</v>
      </c>
      <c r="H53" s="315"/>
      <c r="I53" s="316"/>
      <c r="J53" s="317"/>
    </row>
    <row r="54" spans="1:16" x14ac:dyDescent="0.35">
      <c r="A54" s="125" t="s">
        <v>15</v>
      </c>
      <c r="B54" s="5" t="s">
        <v>16</v>
      </c>
      <c r="C54" s="10">
        <v>60</v>
      </c>
      <c r="D54" s="10">
        <v>1</v>
      </c>
      <c r="E54" s="155">
        <v>22877</v>
      </c>
      <c r="F54" s="154">
        <v>2</v>
      </c>
      <c r="G54" s="14">
        <f t="shared" ref="G54:G60" si="18">SUM(E54*F54)</f>
        <v>45754</v>
      </c>
      <c r="H54" s="315"/>
      <c r="I54" s="316"/>
      <c r="J54" s="317"/>
    </row>
    <row r="55" spans="1:16" ht="26" x14ac:dyDescent="0.35">
      <c r="A55" s="125" t="s">
        <v>19</v>
      </c>
      <c r="B55" s="5" t="s">
        <v>20</v>
      </c>
      <c r="C55" s="10">
        <v>60</v>
      </c>
      <c r="D55" s="10">
        <v>1</v>
      </c>
      <c r="E55" s="155">
        <v>22877</v>
      </c>
      <c r="F55" s="154">
        <v>0.5</v>
      </c>
      <c r="G55" s="14">
        <f t="shared" si="18"/>
        <v>11438.5</v>
      </c>
      <c r="H55" s="315"/>
      <c r="I55" s="316"/>
      <c r="J55" s="317"/>
    </row>
    <row r="56" spans="1:16" x14ac:dyDescent="0.35">
      <c r="A56" s="125" t="s">
        <v>21</v>
      </c>
      <c r="B56" s="5" t="s">
        <v>22</v>
      </c>
      <c r="C56" s="10">
        <v>60</v>
      </c>
      <c r="D56" s="10">
        <v>1</v>
      </c>
      <c r="E56" s="155">
        <v>22877</v>
      </c>
      <c r="F56" s="10">
        <v>0.5</v>
      </c>
      <c r="G56" s="14">
        <f t="shared" si="18"/>
        <v>11438.5</v>
      </c>
      <c r="H56" s="315"/>
      <c r="I56" s="316"/>
      <c r="J56" s="317"/>
    </row>
    <row r="57" spans="1:16" ht="26" x14ac:dyDescent="0.35">
      <c r="A57" s="164" t="s">
        <v>23</v>
      </c>
      <c r="B57" s="153" t="s">
        <v>24</v>
      </c>
      <c r="C57" s="10">
        <v>60</v>
      </c>
      <c r="D57" s="10">
        <v>1</v>
      </c>
      <c r="E57" s="155">
        <v>22877</v>
      </c>
      <c r="F57" s="154">
        <v>0.25</v>
      </c>
      <c r="G57" s="14">
        <f t="shared" si="18"/>
        <v>5719.25</v>
      </c>
      <c r="H57" s="318"/>
      <c r="I57" s="316"/>
      <c r="J57" s="319"/>
    </row>
    <row r="58" spans="1:16" ht="39" x14ac:dyDescent="0.35">
      <c r="A58" s="164" t="s">
        <v>26</v>
      </c>
      <c r="B58" s="153" t="s">
        <v>27</v>
      </c>
      <c r="C58" s="10">
        <v>60</v>
      </c>
      <c r="D58" s="10">
        <v>1</v>
      </c>
      <c r="E58" s="155">
        <v>22877</v>
      </c>
      <c r="F58" s="154">
        <v>0.25</v>
      </c>
      <c r="G58" s="14">
        <f t="shared" si="18"/>
        <v>5719.25</v>
      </c>
      <c r="H58" s="318"/>
      <c r="I58" s="316"/>
      <c r="J58" s="319"/>
    </row>
    <row r="59" spans="1:16" ht="26" x14ac:dyDescent="0.35">
      <c r="A59" s="320" t="s">
        <v>79</v>
      </c>
      <c r="B59" s="5" t="s">
        <v>80</v>
      </c>
      <c r="C59" s="10">
        <v>60</v>
      </c>
      <c r="D59" s="10">
        <v>1115.96</v>
      </c>
      <c r="E59" s="155">
        <v>22877</v>
      </c>
      <c r="F59" s="10">
        <v>1.056</v>
      </c>
      <c r="G59" s="14">
        <f t="shared" si="18"/>
        <v>24158.112000000001</v>
      </c>
      <c r="H59" s="321"/>
      <c r="I59" s="322"/>
      <c r="J59" s="323"/>
    </row>
    <row r="60" spans="1:16" x14ac:dyDescent="0.35">
      <c r="A60" s="324" t="s">
        <v>128</v>
      </c>
      <c r="B60" s="324" t="s">
        <v>248</v>
      </c>
      <c r="C60" s="300">
        <v>60</v>
      </c>
      <c r="D60" s="300">
        <v>1</v>
      </c>
      <c r="E60" s="155">
        <v>22877</v>
      </c>
      <c r="F60" s="300">
        <v>1.056</v>
      </c>
      <c r="G60" s="14">
        <f t="shared" si="18"/>
        <v>24158.112000000001</v>
      </c>
      <c r="H60" s="325"/>
      <c r="I60" s="326"/>
      <c r="J60" s="327"/>
    </row>
    <row r="61" spans="1:16" s="314" customFormat="1" ht="26" x14ac:dyDescent="0.3">
      <c r="A61" s="173" t="s">
        <v>93</v>
      </c>
      <c r="B61" s="310" t="s">
        <v>260</v>
      </c>
      <c r="C61" s="123">
        <v>53</v>
      </c>
      <c r="D61" s="123">
        <v>1</v>
      </c>
      <c r="E61" s="306">
        <f>SUM(C61*D61)</f>
        <v>53</v>
      </c>
      <c r="F61" s="123">
        <v>0</v>
      </c>
      <c r="G61" s="307">
        <f>SUM(E61,F61)</f>
        <v>53</v>
      </c>
      <c r="H61" s="311"/>
      <c r="I61" s="312"/>
      <c r="J61" s="313"/>
      <c r="K61" s="335"/>
      <c r="L61" s="335"/>
      <c r="M61" s="335"/>
      <c r="N61" s="335"/>
      <c r="O61" s="335"/>
      <c r="P61" s="335"/>
    </row>
    <row r="62" spans="1:16" s="314" customFormat="1" ht="26" x14ac:dyDescent="0.3">
      <c r="A62" s="5" t="s">
        <v>95</v>
      </c>
      <c r="B62" s="310" t="s">
        <v>260</v>
      </c>
      <c r="C62" s="123">
        <v>36</v>
      </c>
      <c r="D62" s="123">
        <v>1</v>
      </c>
      <c r="E62" s="306">
        <f t="shared" ref="E62:E65" si="19">SUM(C62*D62)</f>
        <v>36</v>
      </c>
      <c r="F62" s="123">
        <v>18</v>
      </c>
      <c r="G62" s="307">
        <f t="shared" ref="G62:G65" si="20">SUM(E62,F62)</f>
        <v>54</v>
      </c>
      <c r="H62" s="311"/>
      <c r="I62" s="312"/>
      <c r="J62" s="313"/>
      <c r="K62" s="335"/>
      <c r="L62" s="335"/>
      <c r="M62" s="335"/>
      <c r="N62" s="335"/>
      <c r="O62" s="335"/>
      <c r="P62" s="335"/>
    </row>
    <row r="63" spans="1:16" s="314" customFormat="1" ht="26" x14ac:dyDescent="0.3">
      <c r="A63" s="5" t="s">
        <v>97</v>
      </c>
      <c r="B63" s="310" t="s">
        <v>260</v>
      </c>
      <c r="C63" s="123">
        <v>1</v>
      </c>
      <c r="D63" s="123">
        <v>1</v>
      </c>
      <c r="E63" s="306">
        <f t="shared" si="19"/>
        <v>1</v>
      </c>
      <c r="F63" s="123">
        <v>50</v>
      </c>
      <c r="G63" s="307">
        <f t="shared" si="20"/>
        <v>51</v>
      </c>
      <c r="H63" s="311"/>
      <c r="I63" s="312"/>
      <c r="J63" s="313"/>
      <c r="K63" s="335"/>
      <c r="L63" s="335"/>
      <c r="M63" s="335"/>
      <c r="N63" s="335"/>
      <c r="O63" s="335"/>
      <c r="P63" s="335"/>
    </row>
    <row r="64" spans="1:16" s="314" customFormat="1" ht="26" x14ac:dyDescent="0.3">
      <c r="A64" s="308" t="s">
        <v>99</v>
      </c>
      <c r="B64" s="310" t="s">
        <v>260</v>
      </c>
      <c r="C64" s="123">
        <v>9</v>
      </c>
      <c r="D64" s="123">
        <v>1</v>
      </c>
      <c r="E64" s="306">
        <f t="shared" si="19"/>
        <v>9</v>
      </c>
      <c r="F64" s="123">
        <v>4</v>
      </c>
      <c r="G64" s="307">
        <f t="shared" si="20"/>
        <v>13</v>
      </c>
      <c r="H64" s="311"/>
      <c r="I64" s="312"/>
      <c r="J64" s="313"/>
      <c r="K64" s="335"/>
      <c r="L64" s="335"/>
      <c r="M64" s="335"/>
      <c r="N64" s="335"/>
      <c r="O64" s="335"/>
      <c r="P64" s="335"/>
    </row>
    <row r="65" spans="1:16" s="314" customFormat="1" ht="26" x14ac:dyDescent="0.3">
      <c r="A65" s="309" t="s">
        <v>101</v>
      </c>
      <c r="B65" s="310" t="s">
        <v>260</v>
      </c>
      <c r="C65" s="123">
        <v>18</v>
      </c>
      <c r="D65" s="123">
        <v>1</v>
      </c>
      <c r="E65" s="306">
        <f t="shared" si="19"/>
        <v>18</v>
      </c>
      <c r="F65" s="123">
        <v>1.5</v>
      </c>
      <c r="G65" s="307">
        <f t="shared" si="20"/>
        <v>19.5</v>
      </c>
      <c r="H65" s="311"/>
      <c r="I65" s="312"/>
      <c r="J65" s="313"/>
      <c r="K65" s="335"/>
      <c r="L65" s="335"/>
      <c r="M65" s="335"/>
      <c r="N65" s="335"/>
      <c r="O65" s="335"/>
      <c r="P65" s="335"/>
    </row>
    <row r="66" spans="1:16" x14ac:dyDescent="0.35">
      <c r="A66" s="324"/>
      <c r="B66" s="324"/>
      <c r="C66" s="300"/>
      <c r="D66" s="300"/>
      <c r="E66" s="306"/>
      <c r="F66" s="300"/>
      <c r="G66" s="307"/>
      <c r="H66" s="325"/>
      <c r="I66" s="326"/>
      <c r="J66" s="327"/>
    </row>
    <row r="67" spans="1:16" ht="15" thickBot="1" x14ac:dyDescent="0.4">
      <c r="A67" s="437" t="s">
        <v>28</v>
      </c>
      <c r="B67" s="438"/>
      <c r="C67" s="137">
        <v>60</v>
      </c>
      <c r="D67" s="274">
        <f>SUM(E67/C67)</f>
        <v>2287.6999999999998</v>
      </c>
      <c r="E67" s="148">
        <f>SUM(E53:E58)</f>
        <v>137262</v>
      </c>
      <c r="F67" s="137">
        <f>SUM(G67/E67)</f>
        <v>1.26905278955574</v>
      </c>
      <c r="G67" s="148">
        <f>SUM(G53:G61)</f>
        <v>174192.72399999999</v>
      </c>
      <c r="H67" s="145">
        <f>SUM(H53:H58)</f>
        <v>0</v>
      </c>
      <c r="I67" s="248">
        <f>SUM(I53:I58)</f>
        <v>0</v>
      </c>
      <c r="J67" s="146">
        <f>SUM(J53:J58)</f>
        <v>0</v>
      </c>
    </row>
    <row r="68" spans="1:16" ht="15" thickBot="1" x14ac:dyDescent="0.4">
      <c r="A68" s="8"/>
      <c r="B68" s="9"/>
      <c r="C68" s="15"/>
      <c r="D68" s="15"/>
      <c r="E68" s="15"/>
      <c r="F68" s="15"/>
      <c r="G68" s="15"/>
      <c r="H68" s="9"/>
      <c r="I68" s="9"/>
      <c r="J68" s="9"/>
    </row>
    <row r="69" spans="1:16" ht="15" thickBot="1" x14ac:dyDescent="0.4">
      <c r="A69" s="442" t="s">
        <v>247</v>
      </c>
      <c r="B69" s="443"/>
      <c r="C69" s="443"/>
      <c r="D69" s="443"/>
      <c r="E69" s="443"/>
      <c r="F69" s="443"/>
      <c r="G69" s="443"/>
      <c r="H69" s="443"/>
      <c r="I69" s="443"/>
      <c r="J69" s="444"/>
    </row>
    <row r="70" spans="1:16" ht="15" thickBot="1" x14ac:dyDescent="0.4">
      <c r="A70" s="142">
        <v>380</v>
      </c>
      <c r="B70" s="6" t="s">
        <v>31</v>
      </c>
      <c r="C70" s="11">
        <v>60</v>
      </c>
      <c r="D70" s="274">
        <f>SUM(E70/C70)</f>
        <v>381.28333333333336</v>
      </c>
      <c r="E70" s="165">
        <v>22877</v>
      </c>
      <c r="F70" s="11">
        <v>2.3599999999999999E-2</v>
      </c>
      <c r="G70" s="16">
        <f>SUM(E70*F70)</f>
        <v>539.8972</v>
      </c>
      <c r="H70" s="74"/>
      <c r="I70" s="249"/>
      <c r="J70" s="143"/>
    </row>
    <row r="71" spans="1:16" ht="15" thickBot="1" x14ac:dyDescent="0.4">
      <c r="A71" s="142" t="s">
        <v>128</v>
      </c>
      <c r="B71" s="6" t="s">
        <v>31</v>
      </c>
      <c r="C71" s="11">
        <v>60</v>
      </c>
      <c r="D71" s="274">
        <f>SUM(E71/C71)</f>
        <v>381.28333333333336</v>
      </c>
      <c r="E71" s="165">
        <v>22877</v>
      </c>
      <c r="F71" s="11">
        <v>2.3599999999999999E-2</v>
      </c>
      <c r="G71" s="16">
        <f>SUM(E71*F71)</f>
        <v>539.8972</v>
      </c>
      <c r="H71" s="74"/>
      <c r="I71" s="249"/>
      <c r="J71" s="143"/>
    </row>
    <row r="72" spans="1:16" ht="15" thickBot="1" x14ac:dyDescent="0.4">
      <c r="A72" s="142">
        <v>275</v>
      </c>
      <c r="B72" s="6" t="s">
        <v>31</v>
      </c>
      <c r="C72" s="11">
        <v>60</v>
      </c>
      <c r="D72" s="274">
        <f>SUM(E72/C72)</f>
        <v>1.95</v>
      </c>
      <c r="E72" s="165">
        <v>117</v>
      </c>
      <c r="F72" s="11">
        <v>2.3599999999999999E-2</v>
      </c>
      <c r="G72" s="16">
        <f>SUM(E72*F72)</f>
        <v>2.7612000000000001</v>
      </c>
      <c r="H72" s="74"/>
      <c r="I72" s="249"/>
      <c r="J72" s="143"/>
    </row>
    <row r="73" spans="1:16" x14ac:dyDescent="0.35">
      <c r="A73" s="445"/>
      <c r="B73" s="446"/>
      <c r="C73" s="446"/>
      <c r="D73" s="446"/>
      <c r="E73" s="446"/>
      <c r="F73" s="446"/>
      <c r="G73" s="446"/>
      <c r="H73" s="446"/>
      <c r="I73" s="446"/>
      <c r="J73" s="447"/>
    </row>
    <row r="74" spans="1:16" ht="15" thickBot="1" x14ac:dyDescent="0.4">
      <c r="A74" s="437" t="s">
        <v>32</v>
      </c>
      <c r="B74" s="438"/>
      <c r="C74" s="137">
        <f>SUM(C67,C70:C72)</f>
        <v>240</v>
      </c>
      <c r="D74" s="144">
        <f>SUM(E74/C74)</f>
        <v>763.05416666666667</v>
      </c>
      <c r="E74" s="188">
        <f>SUM(E67,E70:E72)</f>
        <v>183133</v>
      </c>
      <c r="F74" s="144">
        <f>SUM(G74/E74)</f>
        <v>0.95709282106447235</v>
      </c>
      <c r="G74" s="188">
        <f>SUM(G67,G70:G72)</f>
        <v>175275.27960000001</v>
      </c>
      <c r="H74" s="145">
        <f>SUM(H67,H72)</f>
        <v>0</v>
      </c>
      <c r="I74" s="248">
        <f>SUM(I72,I67)</f>
        <v>0</v>
      </c>
      <c r="J74" s="146">
        <f>SUM(J67,J72)</f>
        <v>0</v>
      </c>
    </row>
  </sheetData>
  <mergeCells count="8">
    <mergeCell ref="A69:J69"/>
    <mergeCell ref="A73:J73"/>
    <mergeCell ref="A74:B74"/>
    <mergeCell ref="A11:B11"/>
    <mergeCell ref="A17:F17"/>
    <mergeCell ref="A18:F18"/>
    <mergeCell ref="A51:J51"/>
    <mergeCell ref="A67:B67"/>
  </mergeCells>
  <phoneticPr fontId="43" type="noConversion"/>
  <hyperlinks>
    <hyperlink ref="G41" r:id="rId1" display="https://www.opm.gov/policy-data-oversight/pay-leave/salaries-wages/salary-tables/pdf/2022/GS_h.pdf" xr:uid="{B5AFD1D8-FCC2-43F1-974E-084F99D8869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OMB# 0074 FNS 380</vt:lpstr>
      <vt:lpstr>0074Individuals-Household Reprt</vt:lpstr>
      <vt:lpstr>OMB#0303 275 regs</vt:lpstr>
      <vt:lpstr>OMB#0299 FNS 380-1</vt:lpstr>
      <vt:lpstr>existing vs new burden due to</vt:lpstr>
      <vt:lpstr>Summary of all Burden1</vt:lpstr>
      <vt:lpstr>Check</vt:lpstr>
      <vt:lpstr>burden and costs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Ragland-Greene, Rachelle - FNS</dc:creator>
  <cp:keywords/>
  <dc:description/>
  <cp:lastModifiedBy>Ragland-Greene, Rachelle - FNS</cp:lastModifiedBy>
  <cp:revision/>
  <dcterms:created xsi:type="dcterms:W3CDTF">2019-06-04T19:22:51Z</dcterms:created>
  <dcterms:modified xsi:type="dcterms:W3CDTF">2024-01-29T14:16:15Z</dcterms:modified>
  <cp:category/>
  <cp:contentStatus/>
</cp:coreProperties>
</file>