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0584-0006 National School Lunch Program 2019 Renewal\ICR from PO 10.21.19\"/>
    </mc:Choice>
  </mc:AlternateContent>
  <bookViews>
    <workbookView xWindow="13080" yWindow="30" windowWidth="18750" windowHeight="8175" tabRatio="640"/>
  </bookViews>
  <sheets>
    <sheet name="Reporting" sheetId="27" r:id="rId1"/>
    <sheet name="RecordKeeping" sheetId="8" r:id="rId2"/>
    <sheet name="PublicNotification" sheetId="31" r:id="rId3"/>
    <sheet name="60 day Summ" sheetId="28" r:id="rId4"/>
    <sheet name="Burden Summary" sheetId="4" r:id="rId5"/>
    <sheet name="Notes" sheetId="29" r:id="rId6"/>
  </sheets>
  <definedNames>
    <definedName name="_xlnm._FilterDatabase" localSheetId="2" hidden="1">PublicNotification!$A$3:$N$17</definedName>
    <definedName name="_xlnm._FilterDatabase" localSheetId="1" hidden="1">RecordKeeping!$A$3:$N$38</definedName>
    <definedName name="_xlnm._FilterDatabase" localSheetId="0" hidden="1">Reporting!$A$4:$N$26</definedName>
    <definedName name="Local_Educational_Agency___School_Food_Authority_Level">PublicNotification!#REF!</definedName>
    <definedName name="_xlnm.Print_Area" localSheetId="3">'60 day Summ'!$B$2:$C$9</definedName>
    <definedName name="_xlnm.Print_Area" localSheetId="4">'Burden Summary'!$A$1:$F$20</definedName>
    <definedName name="_xlnm.Print_Area" localSheetId="2">PublicNotification!$A$1:$N$18</definedName>
    <definedName name="_xlnm.Print_Area" localSheetId="1">RecordKeeping!$A$1:$N$39</definedName>
    <definedName name="_xlnm.Print_Area" localSheetId="0">Reporting!$A$2:$N$29</definedName>
  </definedNames>
  <calcPr calcId="162913"/>
</workbook>
</file>

<file path=xl/calcChain.xml><?xml version="1.0" encoding="utf-8"?>
<calcChain xmlns="http://schemas.openxmlformats.org/spreadsheetml/2006/main">
  <c r="N12" i="27" l="1"/>
  <c r="K12" i="27"/>
  <c r="J12" i="27"/>
  <c r="E12" i="27"/>
  <c r="G12" i="27"/>
  <c r="I12" i="27"/>
  <c r="G10" i="27" l="1"/>
  <c r="I10" i="27" s="1"/>
  <c r="N10" i="27" s="1"/>
  <c r="K10" i="27" s="1"/>
  <c r="K8" i="31" l="1"/>
  <c r="K13" i="31"/>
  <c r="K16" i="31"/>
  <c r="K17" i="31"/>
  <c r="G10" i="8" l="1"/>
  <c r="I10" i="8" s="1"/>
  <c r="N10" i="8" s="1"/>
  <c r="K10" i="8" s="1"/>
  <c r="G9" i="27" l="1"/>
  <c r="I9" i="27" s="1"/>
  <c r="G8" i="27"/>
  <c r="L12" i="27" l="1"/>
  <c r="N9" i="27"/>
  <c r="G11" i="31"/>
  <c r="I11" i="31" l="1"/>
  <c r="N11" i="31" s="1"/>
  <c r="M11" i="31" s="1"/>
  <c r="E37" i="8"/>
  <c r="G6" i="31"/>
  <c r="I6" i="31" s="1"/>
  <c r="N6" i="31" s="1"/>
  <c r="G7" i="31"/>
  <c r="I7" i="31" s="1"/>
  <c r="N7" i="31" s="1"/>
  <c r="L8" i="31" s="1"/>
  <c r="N16" i="31"/>
  <c r="M16" i="31"/>
  <c r="L16" i="31"/>
  <c r="J16" i="31"/>
  <c r="I16" i="31"/>
  <c r="F17" i="4" s="1"/>
  <c r="G16" i="31"/>
  <c r="D17" i="4" s="1"/>
  <c r="F16" i="31"/>
  <c r="C17" i="4" s="1"/>
  <c r="E16" i="31"/>
  <c r="B17" i="4" s="1"/>
  <c r="E13" i="31"/>
  <c r="B16" i="4" s="1"/>
  <c r="G12" i="31"/>
  <c r="I12" i="31" s="1"/>
  <c r="N12" i="31" s="1"/>
  <c r="M12" i="31" s="1"/>
  <c r="J8" i="31"/>
  <c r="E8" i="31"/>
  <c r="B15" i="4" s="1"/>
  <c r="G5" i="31"/>
  <c r="G13" i="31" l="1"/>
  <c r="L17" i="31"/>
  <c r="H16" i="31"/>
  <c r="E17" i="4" s="1"/>
  <c r="D16" i="4"/>
  <c r="I10" i="31"/>
  <c r="N10" i="31" s="1"/>
  <c r="M10" i="31" s="1"/>
  <c r="M13" i="31" s="1"/>
  <c r="G8" i="31"/>
  <c r="E17" i="31"/>
  <c r="B18" i="4" s="1"/>
  <c r="I5" i="31"/>
  <c r="D15" i="4" l="1"/>
  <c r="G17" i="31"/>
  <c r="I13" i="31"/>
  <c r="F16" i="4" s="1"/>
  <c r="J13" i="31"/>
  <c r="J17" i="31" s="1"/>
  <c r="F13" i="31"/>
  <c r="C16" i="4" s="1"/>
  <c r="F8" i="31"/>
  <c r="C15" i="4" s="1"/>
  <c r="I8" i="31"/>
  <c r="F15" i="4" s="1"/>
  <c r="N5" i="31"/>
  <c r="M5" i="31" s="1"/>
  <c r="M8" i="31" s="1"/>
  <c r="M17" i="31" s="1"/>
  <c r="H13" i="31" l="1"/>
  <c r="E16" i="4" s="1"/>
  <c r="N13" i="31"/>
  <c r="F17" i="31"/>
  <c r="C18" i="4" s="1"/>
  <c r="D18" i="4"/>
  <c r="I17" i="31"/>
  <c r="H8" i="31"/>
  <c r="E15" i="4" s="1"/>
  <c r="N8" i="31"/>
  <c r="N17" i="31" l="1"/>
  <c r="H17" i="31"/>
  <c r="E18" i="4" s="1"/>
  <c r="F18" i="4"/>
  <c r="G5" i="8"/>
  <c r="I5" i="8" s="1"/>
  <c r="N5" i="8" s="1"/>
  <c r="M5" i="8" s="1"/>
  <c r="E22" i="27" l="1"/>
  <c r="K37" i="8" l="1"/>
  <c r="G31" i="8"/>
  <c r="I31" i="8" s="1"/>
  <c r="N31" i="8" s="1"/>
  <c r="M31" i="8" s="1"/>
  <c r="K28" i="8"/>
  <c r="G19" i="8"/>
  <c r="I19" i="8" s="1"/>
  <c r="N19" i="8" s="1"/>
  <c r="M19" i="8" s="1"/>
  <c r="G27" i="8"/>
  <c r="I27" i="8" s="1"/>
  <c r="N27" i="8" s="1"/>
  <c r="M27" i="8" s="1"/>
  <c r="L16" i="8"/>
  <c r="K16" i="8"/>
  <c r="J16" i="8"/>
  <c r="G15" i="8" l="1"/>
  <c r="I15" i="8" s="1"/>
  <c r="N15" i="8" s="1"/>
  <c r="M15" i="8" s="1"/>
  <c r="J28" i="8"/>
  <c r="G26" i="8"/>
  <c r="I26" i="8" s="1"/>
  <c r="L25" i="27"/>
  <c r="K25" i="27"/>
  <c r="J25" i="27"/>
  <c r="G20" i="27"/>
  <c r="G19" i="27"/>
  <c r="I19" i="27" s="1"/>
  <c r="N19" i="27" s="1"/>
  <c r="M19" i="27" s="1"/>
  <c r="G18" i="27"/>
  <c r="I18" i="27" s="1"/>
  <c r="N18" i="27" s="1"/>
  <c r="M18" i="27" s="1"/>
  <c r="G17" i="27"/>
  <c r="G16" i="27"/>
  <c r="I16" i="27" s="1"/>
  <c r="N16" i="27" s="1"/>
  <c r="M16" i="27" s="1"/>
  <c r="G15" i="27"/>
  <c r="I15" i="27" s="1"/>
  <c r="N15" i="27" s="1"/>
  <c r="M15" i="27" s="1"/>
  <c r="G14" i="27"/>
  <c r="I14" i="27" s="1"/>
  <c r="N14" i="27" s="1"/>
  <c r="M14" i="27" s="1"/>
  <c r="G35" i="8"/>
  <c r="I35" i="8" s="1"/>
  <c r="G36" i="8"/>
  <c r="I36" i="8" s="1"/>
  <c r="E25" i="27"/>
  <c r="G24" i="27"/>
  <c r="I24" i="27" s="1"/>
  <c r="N24" i="27" s="1"/>
  <c r="M24" i="27" s="1"/>
  <c r="G7" i="27"/>
  <c r="I7" i="27" s="1"/>
  <c r="N7" i="27" s="1"/>
  <c r="M7" i="27" s="1"/>
  <c r="G25" i="8"/>
  <c r="I25" i="8" s="1"/>
  <c r="G24" i="8"/>
  <c r="I24" i="8" s="1"/>
  <c r="N24" i="8" s="1"/>
  <c r="M24" i="8" s="1"/>
  <c r="G23" i="8"/>
  <c r="I23" i="8" s="1"/>
  <c r="N23" i="8" s="1"/>
  <c r="M23" i="8" s="1"/>
  <c r="G22" i="8"/>
  <c r="I22" i="8" s="1"/>
  <c r="N22" i="8" s="1"/>
  <c r="M22" i="8" s="1"/>
  <c r="G21" i="8"/>
  <c r="G20" i="8"/>
  <c r="I20" i="8" s="1"/>
  <c r="G13" i="8"/>
  <c r="I17" i="27" l="1"/>
  <c r="N17" i="27" s="1"/>
  <c r="M17" i="27" s="1"/>
  <c r="I20" i="27"/>
  <c r="N20" i="27" s="1"/>
  <c r="M20" i="27" s="1"/>
  <c r="N26" i="8"/>
  <c r="M26" i="8"/>
  <c r="L28" i="8" s="1"/>
  <c r="I21" i="8"/>
  <c r="N21" i="8" s="1"/>
  <c r="N25" i="8"/>
  <c r="M25" i="8" s="1"/>
  <c r="N20" i="8"/>
  <c r="M20" i="8" s="1"/>
  <c r="G22" i="27"/>
  <c r="G33" i="8"/>
  <c r="I33" i="8" s="1"/>
  <c r="N33" i="8" s="1"/>
  <c r="M33" i="8" s="1"/>
  <c r="G32" i="8"/>
  <c r="I32" i="8" s="1"/>
  <c r="N32" i="8" s="1"/>
  <c r="M32" i="8" s="1"/>
  <c r="N36" i="8"/>
  <c r="G18" i="8"/>
  <c r="I13" i="8"/>
  <c r="G12" i="8"/>
  <c r="I12" i="8" s="1"/>
  <c r="N12" i="8" s="1"/>
  <c r="M12" i="8" s="1"/>
  <c r="G9" i="8"/>
  <c r="I9" i="8" s="1"/>
  <c r="N9" i="8" s="1"/>
  <c r="M9" i="8" s="1"/>
  <c r="G8" i="8"/>
  <c r="G7" i="8"/>
  <c r="G6" i="8"/>
  <c r="G11" i="8"/>
  <c r="I11" i="8" s="1"/>
  <c r="N11" i="8" s="1"/>
  <c r="M11" i="8" s="1"/>
  <c r="G34" i="8"/>
  <c r="I34" i="8" s="1"/>
  <c r="N34" i="8" s="1"/>
  <c r="M34" i="8" s="1"/>
  <c r="I8" i="27"/>
  <c r="N8" i="27" s="1"/>
  <c r="G6" i="27"/>
  <c r="I6" i="27" l="1"/>
  <c r="I22" i="27"/>
  <c r="M22" i="27"/>
  <c r="N13" i="8"/>
  <c r="M21" i="8"/>
  <c r="I7" i="8"/>
  <c r="I8" i="8"/>
  <c r="I6" i="8"/>
  <c r="I18" i="8"/>
  <c r="I28" i="8" s="1"/>
  <c r="G28" i="8"/>
  <c r="G25" i="27"/>
  <c r="B11" i="4"/>
  <c r="G14" i="8"/>
  <c r="N6" i="27" l="1"/>
  <c r="M13" i="8"/>
  <c r="I14" i="8"/>
  <c r="N7" i="8"/>
  <c r="N8" i="8"/>
  <c r="N6" i="8"/>
  <c r="G16" i="8"/>
  <c r="I16" i="8"/>
  <c r="I25" i="27"/>
  <c r="J22" i="27"/>
  <c r="M6" i="27" l="1"/>
  <c r="M12" i="27" s="1"/>
  <c r="N14" i="8"/>
  <c r="M8" i="8"/>
  <c r="M7" i="8"/>
  <c r="M6" i="8"/>
  <c r="N16" i="8"/>
  <c r="M25" i="27"/>
  <c r="N25" i="27"/>
  <c r="H16" i="8"/>
  <c r="E28" i="8"/>
  <c r="M14" i="8" l="1"/>
  <c r="M16" i="8" s="1"/>
  <c r="E16" i="8"/>
  <c r="F12" i="4"/>
  <c r="J26" i="27"/>
  <c r="F16" i="8" l="1"/>
  <c r="E38" i="8"/>
  <c r="N22" i="27"/>
  <c r="B12" i="4"/>
  <c r="E29" i="27" l="1"/>
  <c r="E26" i="27"/>
  <c r="N18" i="8"/>
  <c r="N28" i="8" s="1"/>
  <c r="M18" i="8" l="1"/>
  <c r="M28" i="8" s="1"/>
  <c r="B13" i="4"/>
  <c r="C3" i="28"/>
  <c r="H22" i="27"/>
  <c r="E11" i="4" s="1"/>
  <c r="F28" i="8"/>
  <c r="F22" i="27"/>
  <c r="I26" i="27"/>
  <c r="H28" i="8"/>
  <c r="M26" i="27"/>
  <c r="C10" i="28" s="1"/>
  <c r="D29" i="27"/>
  <c r="N28" i="27"/>
  <c r="M28" i="27"/>
  <c r="L28" i="27"/>
  <c r="K28" i="27"/>
  <c r="J28" i="27"/>
  <c r="I28" i="27"/>
  <c r="H28" i="27"/>
  <c r="G28" i="27"/>
  <c r="F28" i="27"/>
  <c r="E28" i="27"/>
  <c r="D28" i="27"/>
  <c r="L22" i="27"/>
  <c r="L26" i="27" s="1"/>
  <c r="K22" i="27"/>
  <c r="K26" i="27" s="1"/>
  <c r="J37" i="8"/>
  <c r="L37" i="8"/>
  <c r="B6" i="4"/>
  <c r="B5" i="4"/>
  <c r="G30" i="8"/>
  <c r="G37" i="8" s="1"/>
  <c r="F37" i="8" s="1"/>
  <c r="F13" i="4" l="1"/>
  <c r="I30" i="8"/>
  <c r="I37" i="8" s="1"/>
  <c r="F12" i="27"/>
  <c r="H12" i="27"/>
  <c r="B7" i="4"/>
  <c r="G29" i="27"/>
  <c r="K29" i="27"/>
  <c r="L29" i="27"/>
  <c r="M29" i="27"/>
  <c r="C11" i="4"/>
  <c r="C6" i="4"/>
  <c r="E6" i="4"/>
  <c r="L38" i="8"/>
  <c r="J38" i="8"/>
  <c r="C8" i="28" s="1"/>
  <c r="B10" i="4"/>
  <c r="F11" i="4"/>
  <c r="D11" i="4"/>
  <c r="J29" i="27"/>
  <c r="K38" i="8"/>
  <c r="C11" i="28" s="1"/>
  <c r="F6" i="4"/>
  <c r="D6" i="4"/>
  <c r="C7" i="4"/>
  <c r="N30" i="8" l="1"/>
  <c r="N37" i="8" s="1"/>
  <c r="F7" i="4"/>
  <c r="D7" i="4"/>
  <c r="B8" i="4"/>
  <c r="B19" i="4" s="1"/>
  <c r="F29" i="27"/>
  <c r="D5" i="4"/>
  <c r="F5" i="4"/>
  <c r="C10" i="4"/>
  <c r="D10" i="4"/>
  <c r="I29" i="27"/>
  <c r="H29" i="27" s="1"/>
  <c r="G38" i="8"/>
  <c r="D8" i="4" s="1"/>
  <c r="F38" i="8" l="1"/>
  <c r="C8" i="4" s="1"/>
  <c r="M30" i="8"/>
  <c r="N38" i="8"/>
  <c r="I38" i="8"/>
  <c r="H37" i="8"/>
  <c r="E7" i="4" s="1"/>
  <c r="C5" i="4"/>
  <c r="E5" i="4"/>
  <c r="E10" i="4"/>
  <c r="N26" i="27"/>
  <c r="F10" i="4"/>
  <c r="N29" i="27"/>
  <c r="C9" i="28" l="1"/>
  <c r="F8" i="4"/>
  <c r="F19" i="4" s="1"/>
  <c r="C7" i="28"/>
  <c r="M37" i="8"/>
  <c r="M38" i="8" s="1"/>
  <c r="H38" i="8"/>
  <c r="E8" i="4" s="1"/>
  <c r="D12" i="4" l="1"/>
  <c r="H25" i="27"/>
  <c r="E12" i="4" s="1"/>
  <c r="G26" i="27"/>
  <c r="F25" i="27"/>
  <c r="C12" i="4" s="1"/>
  <c r="C5" i="28" l="1"/>
  <c r="C4" i="28" s="1"/>
  <c r="F26" i="27"/>
  <c r="C13" i="4" s="1"/>
  <c r="H26" i="27"/>
  <c r="E13" i="4" s="1"/>
  <c r="D13" i="4"/>
  <c r="D19" i="4" s="1"/>
  <c r="E19" i="4" s="1"/>
  <c r="C19" i="4" l="1"/>
  <c r="C6" i="28"/>
</calcChain>
</file>

<file path=xl/comments1.xml><?xml version="1.0" encoding="utf-8"?>
<comments xmlns="http://schemas.openxmlformats.org/spreadsheetml/2006/main">
  <authors>
    <author>Gaddie, Wesley - FNS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# of SFAs/3 for every 3 years divided by the # of SAs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SNOPS study shows 33.2% of SFAs particpate in NSLP afterschool snack 
service
previous estimates were dubious</t>
        </r>
      </text>
    </comment>
    <comment ref="F16" authorId="0" shapeId="0">
      <text>
        <r>
          <rPr>
            <b/>
            <sz val="9"/>
            <color indexed="81"/>
            <rFont val="Tahoma"/>
            <charset val="1"/>
          </rPr>
          <t>Gaddie, Wesley - FNS:</t>
        </r>
        <r>
          <rPr>
            <sz val="9"/>
            <color indexed="81"/>
            <rFont val="Tahoma"/>
            <charset val="1"/>
          </rPr>
          <t xml:space="preserve">
school year is ypically 10 months long
</t>
        </r>
      </text>
    </comment>
  </commentList>
</comments>
</file>

<file path=xl/comments2.xml><?xml version="1.0" encoding="utf-8"?>
<comments xmlns="http://schemas.openxmlformats.org/spreadsheetml/2006/main">
  <authors>
    <author>sweeks</author>
    <author>Gaddie, Wesley - FNS</author>
  </authors>
  <commentList>
    <comment ref="E6" authorId="0" shapeId="0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6" authorId="1" shapeId="0">
      <text>
        <r>
          <rPr>
            <b/>
            <sz val="9"/>
            <color indexed="81"/>
            <rFont val="Tahoma"/>
            <charset val="1"/>
          </rPr>
          <t>Gaddie, Wesley - FNS:
SFAs/SAs</t>
        </r>
      </text>
    </comment>
    <comment ref="F7" authorId="0" shapeId="0">
      <text>
        <r>
          <rPr>
            <b/>
            <sz val="9"/>
            <color indexed="81"/>
            <rFont val="Tahoma"/>
            <charset val="1"/>
          </rPr>
          <t>reported annually on the FNS-13</t>
        </r>
      </text>
    </comment>
    <comment ref="F8" authorId="0" shapeId="0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E11" authorId="0" shapeId="0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12" authorId="0" shapeId="0">
      <text>
        <r>
          <rPr>
            <b/>
            <sz val="9"/>
            <color indexed="81"/>
            <rFont val="Tahoma"/>
            <charset val="1"/>
          </rPr>
          <t xml:space="preserve">Total SFAs / SAs 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Often automated with little manual review </t>
        </r>
      </text>
    </comment>
    <comment ref="E30" authorId="1" shapeId="0">
      <text>
        <r>
          <rPr>
            <b/>
            <sz val="9"/>
            <color indexed="81"/>
            <rFont val="Tahoma"/>
            <family val="2"/>
          </rPr>
          <t>Estimate 30% of schools might have this occur.</t>
        </r>
      </text>
    </comment>
  </commentList>
</comments>
</file>

<file path=xl/comments3.xml><?xml version="1.0" encoding="utf-8"?>
<comments xmlns="http://schemas.openxmlformats.org/spreadsheetml/2006/main">
  <authors>
    <author>sweeks</author>
    <author>Gaddie, Wesley - FNS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this was a one time burden that was accounted for in last ICR. Removing here.</t>
        </r>
      </text>
    </comment>
    <comment ref="E12" authorId="1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#of SFAs/3</t>
        </r>
      </text>
    </comment>
  </commentList>
</comments>
</file>

<file path=xl/sharedStrings.xml><?xml version="1.0" encoding="utf-8"?>
<sst xmlns="http://schemas.openxmlformats.org/spreadsheetml/2006/main" count="262" uniqueCount="171">
  <si>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</si>
  <si>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</si>
  <si>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</si>
  <si>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</si>
  <si>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</si>
  <si>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</si>
  <si>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</si>
  <si>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</si>
  <si>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</si>
  <si>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</si>
  <si>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</si>
  <si>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</si>
  <si>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</si>
  <si>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</si>
  <si>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</si>
  <si>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</si>
  <si>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</si>
  <si>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</si>
  <si>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</si>
  <si>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</si>
  <si>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</si>
  <si>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</si>
  <si>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</si>
  <si>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</si>
  <si>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</si>
  <si>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</si>
  <si>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</si>
  <si>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</si>
  <si>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</si>
  <si>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</si>
  <si>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</si>
  <si>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</si>
  <si>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</si>
  <si>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School Food Authority Level Total</t>
  </si>
  <si>
    <t>State Agency Level Total</t>
  </si>
  <si>
    <t>State Agency Level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</si>
  <si>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</si>
  <si>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</si>
  <si>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</si>
  <si>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</si>
  <si>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</si>
  <si>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</si>
  <si>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</si>
  <si>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</si>
  <si>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</si>
  <si>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</si>
  <si>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</si>
  <si>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</si>
  <si>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</si>
  <si>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</si>
  <si>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</si>
  <si>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School Level</t>
  </si>
  <si>
    <t>Program Rule</t>
  </si>
  <si>
    <t>Local Wellness Policy</t>
  </si>
  <si>
    <t>SFA/LEA must retain records to document compliance with the local school wellness policy requirements in 210.30(f).</t>
  </si>
  <si>
    <t>School Food Authority/Local Education Agency Level</t>
  </si>
  <si>
    <t xml:space="preserve">CURRENT OMB INVENTORY </t>
  </si>
  <si>
    <t>LEA must inform the public annually about the content and implementation of the local school wellness policy and any updates.</t>
  </si>
  <si>
    <t>LEA must conduct triennial assessments of schools' compliance with the local school wellness policy and inform public about progress.</t>
  </si>
  <si>
    <t>Professional Standards</t>
  </si>
  <si>
    <t>Six Cents Certification</t>
  </si>
  <si>
    <t>Nutrition Standards</t>
  </si>
  <si>
    <t>Paid Lunch Revenue</t>
  </si>
  <si>
    <t>210.19(f)</t>
  </si>
  <si>
    <t>FNS-13</t>
  </si>
  <si>
    <t>SFA maintains files of school meal applications.</t>
  </si>
  <si>
    <t>210.9(b)(19)</t>
  </si>
  <si>
    <t>SFA maintains files of children directly certified.</t>
  </si>
  <si>
    <t>SFAs maintain documentation to support performance based reimbursement and the attestation of compliance.</t>
  </si>
  <si>
    <t>FNS-828</t>
  </si>
  <si>
    <t>210.13(b)</t>
  </si>
  <si>
    <t>210.15(b)(1)</t>
  </si>
  <si>
    <t>FNS-10</t>
  </si>
  <si>
    <t>SA maintains records from SFAs of food safety inspections obtained by schools.</t>
  </si>
  <si>
    <t>210.20(b)(1&amp;2) &amp; 210.23(c) &amp; 210.5</t>
  </si>
  <si>
    <t>FNS-640</t>
  </si>
  <si>
    <t>210.9(c)(7)</t>
  </si>
  <si>
    <t>210.15(a)(7)</t>
  </si>
  <si>
    <t>SA maintains records of paid reimbursable lunch prices obtained from SFAs.</t>
  </si>
  <si>
    <t>SFA maintains calculations of average paid lunch prices and adjustments.</t>
  </si>
  <si>
    <t>SFA documents revenue from sale of nonprogram foods accrues to the nonprofit school food service account and is compliant with requirements.</t>
  </si>
  <si>
    <t>TOTAL BURDEN HOURS</t>
  </si>
  <si>
    <t>TOTAL BURDEN FOR                        NATIONAL SCHOOL LUNCH PROGRAM</t>
  </si>
  <si>
    <t xml:space="preserve">ICR #0584-0006, National School Lunch Program 7 CFR Part 210 - Summary </t>
  </si>
  <si>
    <t>SFA maintains documentation of compliance with professional standards for school nutrition directors, managers and personnel.</t>
  </si>
  <si>
    <t>Competitive Foods</t>
  </si>
  <si>
    <t>210.15(b)(8); 210.30(g)</t>
  </si>
  <si>
    <t>210.11(b)(2)</t>
  </si>
  <si>
    <t>DIFFERENCE (NEW BURDEN REQUESTED)</t>
  </si>
  <si>
    <t>SA maintains documentation of LEA/SFA compliance with nutrition standards for competitive foods.</t>
  </si>
  <si>
    <t>SA maintains documentation of compliance with professional standards for State directors of School Nutrition Programs.</t>
  </si>
  <si>
    <t>SA maintains accounting records and source documents to control the receipt, custody and disbursement of Federal NSLP funds and documentation supporting all SFA claims paid by the SA.</t>
  </si>
  <si>
    <t>SA reports to FNS schools' compliance with the food safety inspections requirements.</t>
  </si>
  <si>
    <t>210.15(a)(8) &amp; 210.14(e)(7)</t>
  </si>
  <si>
    <t>210.15(b)(2) &amp; 210.7(d)(2)</t>
  </si>
  <si>
    <t>210.15(b)(1) &amp; 210.8(a)(5)</t>
  </si>
  <si>
    <t>210.15(b)(7) &amp; 210.14(f)</t>
  </si>
  <si>
    <t>210.15(b)(6) &amp; 210.14(e)</t>
  </si>
  <si>
    <t>SFA maintains documentation of participation data by school to support monthly Claim for Reimbursement and data used in the claims review process.</t>
  </si>
  <si>
    <t>210.15(b)(2)(3) &amp; 210.10(a)(3)</t>
  </si>
  <si>
    <t>210.20(b)(3) &amp; 210.17(g)&amp;(h)</t>
  </si>
  <si>
    <t>LEAs &amp; SFAs maintain documentation of compliance with nutrition standards for all competitive food for sale to students.</t>
  </si>
  <si>
    <t>School maintains food safety records and records from most recent food safety inspection.</t>
  </si>
  <si>
    <t>School maintains documentation of participation data by school to support the Claim for Reimbursement.</t>
  </si>
  <si>
    <t>Schools maintain production and menu records.</t>
  </si>
  <si>
    <t>210.15(b)(5) &amp; 210.13(b&amp;c)</t>
  </si>
  <si>
    <t>SFA submits to the SA a written response to reviews documenting corrective action for Program deficiencies.</t>
  </si>
  <si>
    <t>SA reporting burden for electronic reports accounted  for in the Food Program Reporting System (FPRS) ICR #0584-0594.</t>
  </si>
  <si>
    <t>210.9(b)(21)</t>
  </si>
  <si>
    <t>SFA provides SA with list of all schools with at least 50% free or reduced-price enrolled children and the attendance boundaries for those schools upon request of a CACFP sponsor of homes.</t>
  </si>
  <si>
    <t>210.15(a)(1) &amp; 210.8(b)&amp;(c)</t>
  </si>
  <si>
    <t>210.15(a)(2)&amp;(4) &amp; 210.9(a&amp;b) &amp; 210.7(d)(2)</t>
  </si>
  <si>
    <t>SFA submits to the SA monthly claims for reimbursement and eligibility data for enrolled children for October.</t>
  </si>
  <si>
    <t>SFA submits to the SA an application, agreement, Free and Reduced Price Policy Statement, commodity preference, and annual certifications.</t>
  </si>
  <si>
    <t>School food authorities shall report prices of paid lunches for each school to the State agency.</t>
  </si>
  <si>
    <t>SFA reports to the SA the number of safety inspections obtained by each school.</t>
  </si>
  <si>
    <t>210.10(m)</t>
  </si>
  <si>
    <t>SA maintains documentation of fiscal action taken to disallow improper claims submitted by SFAs, as determined through claims processing, reviews, and USDA audits.</t>
  </si>
  <si>
    <t>Due to Program Change - Rule</t>
  </si>
  <si>
    <t>Organizations responsible for food service in schools maintain records.</t>
  </si>
  <si>
    <t>Recordkeeping</t>
  </si>
  <si>
    <t>Schools shall post the most recent food safety inspection and provide a copy upon request.</t>
  </si>
  <si>
    <t>SA provides the CACFP SA with a list of all NSLP schools with at least 50% or more children eligible for free or reduced price meals by February 1 each year.</t>
  </si>
  <si>
    <t>210.20(b)(10) &amp; 210.19(b)</t>
  </si>
  <si>
    <t>210.20(b)(11)</t>
  </si>
  <si>
    <t>210.20(b)(14)</t>
  </si>
  <si>
    <t>210.20(a)(7)</t>
  </si>
  <si>
    <t>Public Notification</t>
  </si>
  <si>
    <t>Due to Program Change - Final Rule</t>
  </si>
  <si>
    <t>Local Educational Agency / School Food Authority Level Total</t>
  </si>
  <si>
    <t>Admin Review</t>
  </si>
  <si>
    <t>210.18(m)(1)</t>
  </si>
  <si>
    <t>Local Educational Agency Level</t>
  </si>
  <si>
    <t>Public Notification Total</t>
  </si>
  <si>
    <t>This is the Burden doc using the redesigned template.  Revisions made to include merges from rules and moving of forms into FPRS.</t>
  </si>
  <si>
    <t>This is now the most current verison of the information collection for the NSLP following the Feb 2016 renewal.</t>
  </si>
  <si>
    <t>SA must post a summary of the most recent administrative review results of SFAs on the SA website and make a copy available upon request.</t>
  </si>
  <si>
    <t>210.18(h)(2)(iv)</t>
  </si>
  <si>
    <r>
      <t>210.20(b)(12)</t>
    </r>
    <r>
      <rPr>
        <sz val="6"/>
        <rFont val="Calibri"/>
        <family val="2"/>
      </rPr>
      <t xml:space="preserve"> &amp; </t>
    </r>
    <r>
      <rPr>
        <sz val="11"/>
        <rFont val="Calibri"/>
        <family val="2"/>
      </rPr>
      <t>210.14(e)(7)</t>
    </r>
  </si>
  <si>
    <t>*</t>
  </si>
  <si>
    <t>210.18(i)(3)</t>
  </si>
  <si>
    <t>SA notifies SFAs in writing of review findings, corrective actions, deadlines, and potential fiscal action with grounds and right to appeal.</t>
  </si>
  <si>
    <t>210.15(a)(3) &amp; 210.18(j)(2)</t>
  </si>
  <si>
    <t>210.20(b)(7) &amp; 210.19(c) &amp; 210.18(o)</t>
  </si>
  <si>
    <t>SA maintains records of all reviews (including Program violations, corrective action, fiscal action and withholding of payments).</t>
  </si>
  <si>
    <t>210.15(b)(4) &amp; 210.9(b)(18 &amp; 20)</t>
  </si>
  <si>
    <t>Due to Program Change</t>
  </si>
  <si>
    <t>CS</t>
  </si>
  <si>
    <t>Merge of 0584-0592 and deletion of FNS-640 reporting burden.</t>
  </si>
  <si>
    <t>LEA must establish a local wellness policy for all schools participating in school meal.  (This was a one time burden averaged over three years).</t>
  </si>
  <si>
    <t xml:space="preserve"> Total Public Notirifcation Burden</t>
  </si>
  <si>
    <t>210.5(d)(2)(ii)</t>
  </si>
  <si>
    <t>SAs submit a quarterly report to FNS detailing the disbursement of performance-based reimbursement to SFAs.</t>
  </si>
  <si>
    <t>210.18 (c-h)</t>
  </si>
  <si>
    <t xml:space="preserve">SA completes and maintains documentation used to conduct Administrative Review. </t>
  </si>
  <si>
    <t>SFAs review NSLP afterschool care programs</t>
  </si>
  <si>
    <t>School maintains written statements signed by a licensed physician of the need for substitutions and recommending alternate foods.</t>
  </si>
  <si>
    <t>210.31(d)(3), €(2), €(3)</t>
  </si>
  <si>
    <t>210.31(a)&amp;(c)(5)</t>
  </si>
  <si>
    <t xml:space="preserve">210.31d)(2) </t>
  </si>
  <si>
    <t xml:space="preserve">210.20(b)(6) &amp; 210.18(f)(k,l,m,(o) &amp; 210.23(c) </t>
  </si>
  <si>
    <t>SA maintains documentation to support the amount of State funds reported  for State revenue matching requirements.</t>
  </si>
  <si>
    <t>210.15(b)(9) and 210.31(f)</t>
  </si>
  <si>
    <t>210.20(a)(2)&amp;(3)&amp;(4)&amp;(8)&amp;(9) &amp; 210.5(d)(1)&amp;(2) &amp; 210.14(e)(7) &amp; 210.17(g), 210.20(a)(5) &amp; 210.18(n) &amp; (o)(2)</t>
  </si>
  <si>
    <t>FNS-10, FNS-13, FNS-777, FNS-640, FNS-828</t>
  </si>
  <si>
    <t>Existing Requirements in Use without OMB approval</t>
  </si>
  <si>
    <t>Attachment A. Burden Chart for 0584-0006 7 CFR Part 210 National School Lunch Program</t>
  </si>
  <si>
    <t>DIFFERENCE DUE TO ADJUSTMENT</t>
  </si>
  <si>
    <t>DIFFERENCE DUE TO EXISITING REQUIREMENTS IN USE WITHOUT OMB APPROVAL</t>
  </si>
  <si>
    <t xml:space="preserve">SA completes documentation used to conduct Administrative Review. </t>
  </si>
  <si>
    <t>SA shall prepare records on schools eligible to received USDA donated foods  and maintain records on the annual food preference survey.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</si>
</sst>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_(* #,##0.0000_);_(* \(#,##0.0000\);_(* &quot;-&quot;??_);_(@_)"/>
    <numFmt numFmtId="171" formatCode="_(* #,##0.00000_);_(* \(#,##0.0000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_(* #,##0.00000000_);_(* \(#,##0.00000000\);_(* &quot;-&quot;??_);_(@_)"/>
    <numFmt numFmtId="175" formatCode="#,##0.0"/>
    <numFmt numFmtId="176" formatCode="#,##0.000_);\(#,##0.000\)"/>
    <numFmt numFmtId="177" formatCode="#,##0.00000000000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1"/>
      <scheme val="major"/>
    </font>
    <font>
      <sz val="6"/>
      <name val="Calibri"/>
      <family val="2"/>
    </font>
    <font>
      <sz val="11"/>
      <color rgb="FF000000"/>
      <name val="Arial"/>
      <family val="2"/>
    </font>
    <font>
      <sz val="11"/>
      <color indexed="81"/>
      <name val="Tahoma"/>
      <family val="2"/>
    </font>
    <font>
      <sz val="16"/>
      <color indexed="81"/>
      <name val="Tahoma"/>
      <family val="2"/>
    </font>
    <font>
      <b/>
      <sz val="11"/>
      <name val="Calibri"/>
      <family val="2"/>
    </font>
    <font>
      <b/>
      <sz val="10"/>
      <color indexed="54"/>
      <name val="Arial"/>
      <family val="2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</cellStyleXfs>
  <cellXfs count="294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166" fontId="11" fillId="0" borderId="0" xfId="3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166" fontId="5" fillId="10" borderId="12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167" fontId="24" fillId="12" borderId="0" xfId="0" applyNumberFormat="1" applyFont="1" applyFill="1" applyBorder="1"/>
    <xf numFmtId="0" fontId="1" fillId="0" borderId="0" xfId="0" applyFont="1"/>
    <xf numFmtId="166" fontId="5" fillId="11" borderId="1" xfId="3" applyNumberFormat="1" applyFont="1" applyFill="1" applyBorder="1" applyAlignment="1" applyProtection="1">
      <alignment vertical="center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2" borderId="23" xfId="0" applyFont="1" applyFill="1" applyBorder="1" applyAlignment="1">
      <alignment horizontal="left"/>
    </xf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166" fontId="30" fillId="0" borderId="1" xfId="3" applyNumberFormat="1" applyFont="1" applyFill="1" applyBorder="1" applyAlignment="1" applyProtection="1">
      <alignment vertical="center"/>
      <protection locked="0"/>
    </xf>
    <xf numFmtId="166" fontId="30" fillId="0" borderId="12" xfId="3" applyNumberFormat="1" applyFont="1" applyFill="1" applyBorder="1" applyAlignment="1" applyProtection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1" applyFont="1" applyFill="1" applyBorder="1" applyAlignment="1">
      <alignment vertical="center"/>
    </xf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3" fontId="30" fillId="0" borderId="1" xfId="1" applyNumberFormat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" fontId="30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1" fontId="6" fillId="11" borderId="1" xfId="3" applyNumberFormat="1" applyFont="1" applyFill="1" applyBorder="1" applyAlignment="1" applyProtection="1">
      <alignment horizontal="center"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2" fillId="0" borderId="1" xfId="1" applyNumberFormat="1" applyBorder="1" applyAlignment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2" borderId="0" xfId="0" applyNumberFormat="1" applyFont="1" applyFill="1" applyBorder="1"/>
    <xf numFmtId="37" fontId="24" fillId="12" borderId="24" xfId="0" applyNumberFormat="1" applyFont="1" applyFill="1" applyBorder="1"/>
    <xf numFmtId="2" fontId="24" fillId="12" borderId="0" xfId="0" applyNumberFormat="1" applyFont="1" applyFill="1" applyBorder="1"/>
    <xf numFmtId="3" fontId="24" fillId="12" borderId="0" xfId="0" applyNumberFormat="1" applyFont="1" applyFill="1" applyBorder="1"/>
    <xf numFmtId="3" fontId="5" fillId="11" borderId="12" xfId="3" applyNumberFormat="1" applyFont="1" applyFill="1" applyBorder="1" applyAlignment="1" applyProtection="1">
      <alignment vertical="center"/>
    </xf>
    <xf numFmtId="37" fontId="6" fillId="8" borderId="16" xfId="3" applyNumberFormat="1" applyFont="1" applyFill="1" applyBorder="1" applyProtection="1"/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1" borderId="1" xfId="3" applyNumberFormat="1" applyFont="1" applyFill="1" applyBorder="1" applyAlignment="1" applyProtection="1">
      <alignment vertical="center"/>
    </xf>
    <xf numFmtId="2" fontId="24" fillId="11" borderId="1" xfId="3" applyNumberFormat="1" applyFont="1" applyFill="1" applyBorder="1" applyAlignment="1" applyProtection="1">
      <alignment vertical="center"/>
    </xf>
    <xf numFmtId="37" fontId="24" fillId="11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37" fontId="30" fillId="0" borderId="1" xfId="3" applyNumberFormat="1" applyFont="1" applyFill="1" applyBorder="1" applyAlignment="1" applyProtection="1">
      <alignment vertical="center"/>
      <protection locked="0"/>
    </xf>
    <xf numFmtId="3" fontId="5" fillId="10" borderId="1" xfId="3" applyNumberFormat="1" applyFont="1" applyFill="1" applyBorder="1" applyAlignment="1" applyProtection="1">
      <alignment vertical="center"/>
    </xf>
    <xf numFmtId="3" fontId="5" fillId="10" borderId="12" xfId="3" applyNumberFormat="1" applyFont="1" applyFill="1" applyBorder="1" applyAlignment="1" applyProtection="1">
      <alignment vertical="center"/>
    </xf>
    <xf numFmtId="1" fontId="24" fillId="11" borderId="12" xfId="3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wrapText="1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0" borderId="12" xfId="3" applyNumberFormat="1" applyFont="1" applyFill="1" applyBorder="1" applyAlignment="1" applyProtection="1">
      <alignment vertical="center"/>
    </xf>
    <xf numFmtId="37" fontId="5" fillId="10" borderId="1" xfId="3" applyNumberFormat="1" applyFont="1" applyFill="1" applyBorder="1" applyAlignment="1" applyProtection="1">
      <alignment vertical="center"/>
    </xf>
    <xf numFmtId="43" fontId="5" fillId="10" borderId="1" xfId="3" applyNumberFormat="1" applyFont="1" applyFill="1" applyBorder="1" applyAlignment="1" applyProtection="1">
      <alignment vertical="center"/>
    </xf>
    <xf numFmtId="41" fontId="5" fillId="10" borderId="1" xfId="3" applyNumberFormat="1" applyFont="1" applyFill="1" applyBorder="1" applyAlignment="1" applyProtection="1">
      <alignment vertical="center"/>
    </xf>
    <xf numFmtId="168" fontId="24" fillId="11" borderId="1" xfId="3" applyNumberFormat="1" applyFont="1" applyFill="1" applyBorder="1" applyAlignment="1" applyProtection="1">
      <alignment vertical="center"/>
    </xf>
    <xf numFmtId="41" fontId="6" fillId="8" borderId="15" xfId="3" applyNumberFormat="1" applyFont="1" applyFill="1" applyBorder="1" applyProtection="1"/>
    <xf numFmtId="0" fontId="9" fillId="3" borderId="0" xfId="0" applyFont="1" applyFill="1" applyBorder="1" applyAlignment="1">
      <alignment horizontal="left" vertical="center" wrapText="1"/>
    </xf>
    <xf numFmtId="0" fontId="0" fillId="8" borderId="21" xfId="0" applyFont="1" applyFill="1" applyBorder="1" applyAlignment="1">
      <alignment horizont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5" fillId="0" borderId="2" xfId="3" applyNumberFormat="1" applyFont="1" applyFill="1" applyBorder="1" applyAlignment="1" applyProtection="1">
      <alignment vertical="center" wrapText="1"/>
      <protection locked="0"/>
    </xf>
    <xf numFmtId="0" fontId="29" fillId="0" borderId="1" xfId="0" applyFont="1" applyFill="1" applyBorder="1" applyAlignment="1">
      <alignment vertical="center"/>
    </xf>
    <xf numFmtId="0" fontId="30" fillId="0" borderId="1" xfId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vertical="center" wrapText="1"/>
    </xf>
    <xf numFmtId="3" fontId="2" fillId="0" borderId="1" xfId="1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3" fillId="13" borderId="11" xfId="1" applyFont="1" applyFill="1" applyBorder="1" applyAlignment="1" applyProtection="1">
      <alignment horizontal="center" vertical="center" wrapText="1"/>
    </xf>
    <xf numFmtId="170" fontId="11" fillId="0" borderId="0" xfId="3" applyNumberFormat="1" applyFont="1" applyBorder="1" applyAlignment="1">
      <alignment vertical="center"/>
    </xf>
    <xf numFmtId="171" fontId="11" fillId="0" borderId="4" xfId="3" applyNumberFormat="1" applyFont="1" applyBorder="1" applyAlignment="1">
      <alignment vertical="center"/>
    </xf>
    <xf numFmtId="174" fontId="11" fillId="0" borderId="0" xfId="3" applyNumberFormat="1" applyFont="1" applyFill="1" applyBorder="1" applyAlignment="1">
      <alignment horizontal="right" vertical="center"/>
    </xf>
    <xf numFmtId="170" fontId="11" fillId="9" borderId="0" xfId="3" applyNumberFormat="1" applyFont="1" applyFill="1" applyBorder="1" applyAlignment="1">
      <alignment vertical="center"/>
    </xf>
    <xf numFmtId="0" fontId="15" fillId="0" borderId="9" xfId="5" applyFont="1" applyBorder="1" applyAlignment="1">
      <alignment horizontal="center"/>
    </xf>
    <xf numFmtId="0" fontId="16" fillId="0" borderId="9" xfId="5" applyFont="1" applyBorder="1" applyAlignment="1">
      <alignment horizontal="center"/>
    </xf>
    <xf numFmtId="0" fontId="17" fillId="0" borderId="9" xfId="5" applyFont="1" applyBorder="1" applyAlignment="1" applyProtection="1">
      <alignment horizontal="center"/>
    </xf>
    <xf numFmtId="0" fontId="17" fillId="0" borderId="10" xfId="5" applyFont="1" applyBorder="1" applyAlignment="1" applyProtection="1">
      <alignment horizontal="center"/>
    </xf>
    <xf numFmtId="0" fontId="4" fillId="0" borderId="0" xfId="5" applyFont="1" applyAlignment="1">
      <alignment horizontal="center" vertical="center" wrapText="1"/>
    </xf>
    <xf numFmtId="0" fontId="4" fillId="0" borderId="0" xfId="5" applyFont="1" applyAlignment="1">
      <alignment horizontal="center"/>
    </xf>
    <xf numFmtId="0" fontId="13" fillId="14" borderId="1" xfId="1" applyFont="1" applyFill="1" applyBorder="1" applyAlignment="1" applyProtection="1">
      <alignment horizontal="center" vertical="center" wrapText="1"/>
    </xf>
    <xf numFmtId="0" fontId="13" fillId="14" borderId="12" xfId="1" applyFont="1" applyFill="1" applyBorder="1" applyAlignment="1" applyProtection="1">
      <alignment horizontal="center" vertical="center" wrapText="1"/>
    </xf>
    <xf numFmtId="37" fontId="24" fillId="0" borderId="1" xfId="6" applyNumberFormat="1" applyFont="1" applyFill="1" applyBorder="1" applyAlignment="1" applyProtection="1">
      <alignment vertical="center"/>
      <protection locked="0"/>
    </xf>
    <xf numFmtId="1" fontId="5" fillId="0" borderId="1" xfId="6" applyNumberFormat="1" applyFont="1" applyFill="1" applyBorder="1" applyAlignment="1" applyProtection="1">
      <alignment vertical="center"/>
      <protection locked="0"/>
    </xf>
    <xf numFmtId="37" fontId="30" fillId="0" borderId="1" xfId="6" applyNumberFormat="1" applyFont="1" applyFill="1" applyBorder="1" applyAlignment="1" applyProtection="1">
      <alignment vertical="center"/>
    </xf>
    <xf numFmtId="39" fontId="24" fillId="0" borderId="1" xfId="6" applyNumberFormat="1" applyFont="1" applyFill="1" applyBorder="1" applyAlignment="1" applyProtection="1">
      <alignment vertical="center"/>
      <protection locked="0"/>
    </xf>
    <xf numFmtId="175" fontId="30" fillId="0" borderId="5" xfId="6" applyNumberFormat="1" applyFont="1" applyFill="1" applyBorder="1" applyAlignment="1" applyProtection="1">
      <alignment vertical="center"/>
    </xf>
    <xf numFmtId="175" fontId="30" fillId="0" borderId="1" xfId="1" applyNumberFormat="1" applyFont="1" applyFill="1" applyBorder="1" applyAlignment="1">
      <alignment vertical="center"/>
    </xf>
    <xf numFmtId="1" fontId="24" fillId="0" borderId="12" xfId="6" applyNumberFormat="1" applyFont="1" applyFill="1" applyBorder="1" applyAlignment="1" applyProtection="1">
      <alignment vertical="center"/>
    </xf>
    <xf numFmtId="0" fontId="30" fillId="0" borderId="35" xfId="1" applyFont="1" applyFill="1" applyBorder="1" applyAlignment="1">
      <alignment vertical="center" wrapText="1"/>
    </xf>
    <xf numFmtId="0" fontId="30" fillId="0" borderId="35" xfId="1" applyFont="1" applyFill="1" applyBorder="1" applyAlignment="1">
      <alignment vertical="center"/>
    </xf>
    <xf numFmtId="0" fontId="5" fillId="15" borderId="2" xfId="6" applyNumberFormat="1" applyFont="1" applyFill="1" applyBorder="1" applyAlignment="1" applyProtection="1">
      <alignment vertical="center" wrapText="1"/>
      <protection locked="0"/>
    </xf>
    <xf numFmtId="0" fontId="22" fillId="15" borderId="1" xfId="6" applyNumberFormat="1" applyFont="1" applyFill="1" applyBorder="1" applyAlignment="1" applyProtection="1">
      <alignment horizontal="right" vertical="center" wrapText="1"/>
      <protection locked="0"/>
    </xf>
    <xf numFmtId="1" fontId="6" fillId="15" borderId="1" xfId="6" applyNumberFormat="1" applyFont="1" applyFill="1" applyBorder="1" applyAlignment="1" applyProtection="1">
      <alignment horizontal="center" vertical="center"/>
      <protection locked="0"/>
    </xf>
    <xf numFmtId="1" fontId="24" fillId="15" borderId="1" xfId="6" applyNumberFormat="1" applyFont="1" applyFill="1" applyBorder="1" applyAlignment="1" applyProtection="1">
      <alignment vertical="center"/>
    </xf>
    <xf numFmtId="2" fontId="24" fillId="15" borderId="1" xfId="6" applyNumberFormat="1" applyFont="1" applyFill="1" applyBorder="1" applyAlignment="1" applyProtection="1">
      <alignment vertical="center"/>
    </xf>
    <xf numFmtId="37" fontId="24" fillId="15" borderId="1" xfId="6" applyNumberFormat="1" applyFont="1" applyFill="1" applyBorder="1" applyAlignment="1" applyProtection="1">
      <alignment vertical="center"/>
    </xf>
    <xf numFmtId="1" fontId="24" fillId="15" borderId="12" xfId="6" applyNumberFormat="1" applyFont="1" applyFill="1" applyBorder="1" applyAlignment="1" applyProtection="1">
      <alignment vertical="center"/>
    </xf>
    <xf numFmtId="3" fontId="5" fillId="0" borderId="1" xfId="6" applyNumberFormat="1" applyFont="1" applyFill="1" applyBorder="1" applyAlignment="1" applyProtection="1">
      <alignment vertical="center"/>
    </xf>
    <xf numFmtId="3" fontId="5" fillId="0" borderId="1" xfId="6" applyNumberFormat="1" applyFont="1" applyFill="1" applyBorder="1" applyAlignment="1" applyProtection="1">
      <alignment vertical="center"/>
      <protection locked="0"/>
    </xf>
    <xf numFmtId="3" fontId="5" fillId="0" borderId="12" xfId="6" applyNumberFormat="1" applyFont="1" applyFill="1" applyBorder="1" applyAlignment="1" applyProtection="1">
      <alignment vertical="center"/>
    </xf>
    <xf numFmtId="0" fontId="6" fillId="15" borderId="1" xfId="6" applyNumberFormat="1" applyFont="1" applyFill="1" applyBorder="1" applyAlignment="1" applyProtection="1">
      <alignment horizontal="center" vertical="center" wrapText="1"/>
      <protection locked="0"/>
    </xf>
    <xf numFmtId="3" fontId="5" fillId="15" borderId="1" xfId="6" applyNumberFormat="1" applyFont="1" applyFill="1" applyBorder="1" applyAlignment="1" applyProtection="1">
      <alignment vertical="center"/>
    </xf>
    <xf numFmtId="3" fontId="5" fillId="15" borderId="1" xfId="6" applyNumberFormat="1" applyFont="1" applyFill="1" applyBorder="1" applyAlignment="1" applyProtection="1">
      <alignment vertical="center"/>
      <protection locked="0"/>
    </xf>
    <xf numFmtId="3" fontId="5" fillId="15" borderId="12" xfId="6" applyNumberFormat="1" applyFont="1" applyFill="1" applyBorder="1" applyAlignment="1" applyProtection="1">
      <alignment vertical="center"/>
    </xf>
    <xf numFmtId="2" fontId="30" fillId="0" borderId="1" xfId="1" applyNumberFormat="1" applyFont="1" applyBorder="1" applyAlignment="1">
      <alignment vertical="center"/>
    </xf>
    <xf numFmtId="37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  <protection locked="0"/>
    </xf>
    <xf numFmtId="166" fontId="5" fillId="15" borderId="1" xfId="6" applyNumberFormat="1" applyFont="1" applyFill="1" applyBorder="1" applyAlignment="1" applyProtection="1">
      <alignment vertical="center"/>
    </xf>
    <xf numFmtId="2" fontId="5" fillId="15" borderId="1" xfId="6" applyNumberFormat="1" applyFont="1" applyFill="1" applyBorder="1" applyAlignment="1" applyProtection="1">
      <alignment vertical="center"/>
    </xf>
    <xf numFmtId="37" fontId="5" fillId="15" borderId="12" xfId="6" applyNumberFormat="1" applyFont="1" applyFill="1" applyBorder="1" applyAlignment="1" applyProtection="1">
      <alignment vertical="center"/>
    </xf>
    <xf numFmtId="0" fontId="6" fillId="8" borderId="14" xfId="6" applyNumberFormat="1" applyFont="1" applyFill="1" applyBorder="1" applyAlignment="1" applyProtection="1">
      <alignment vertical="center" wrapText="1"/>
    </xf>
    <xf numFmtId="0" fontId="22" fillId="8" borderId="15" xfId="6" applyNumberFormat="1" applyFont="1" applyFill="1" applyBorder="1" applyAlignment="1" applyProtection="1">
      <alignment horizontal="right" vertical="center"/>
    </xf>
    <xf numFmtId="0" fontId="6" fillId="8" borderId="15" xfId="6" applyNumberFormat="1" applyFont="1" applyFill="1" applyBorder="1" applyAlignment="1" applyProtection="1">
      <alignment horizontal="center" vertical="center"/>
    </xf>
    <xf numFmtId="37" fontId="6" fillId="8" borderId="15" xfId="6" applyNumberFormat="1" applyFont="1" applyFill="1" applyBorder="1" applyProtection="1"/>
    <xf numFmtId="2" fontId="6" fillId="8" borderId="15" xfId="6" applyNumberFormat="1" applyFont="1" applyFill="1" applyBorder="1" applyProtection="1"/>
    <xf numFmtId="166" fontId="6" fillId="8" borderId="15" xfId="6" applyNumberFormat="1" applyFont="1" applyFill="1" applyBorder="1" applyProtection="1"/>
    <xf numFmtId="37" fontId="6" fillId="8" borderId="16" xfId="6" applyNumberFormat="1" applyFont="1" applyFill="1" applyBorder="1" applyProtection="1"/>
    <xf numFmtId="0" fontId="30" fillId="0" borderId="2" xfId="1" applyFont="1" applyFill="1" applyBorder="1" applyAlignment="1">
      <alignment horizontal="left" vertical="center" wrapText="1"/>
    </xf>
    <xf numFmtId="1" fontId="24" fillId="0" borderId="34" xfId="0" applyNumberFormat="1" applyFont="1" applyFill="1" applyBorder="1" applyAlignment="1">
      <alignment vertical="center"/>
    </xf>
    <xf numFmtId="1" fontId="24" fillId="0" borderId="12" xfId="3" applyNumberFormat="1" applyFont="1" applyFill="1" applyBorder="1" applyAlignment="1" applyProtection="1">
      <alignment vertical="center"/>
    </xf>
    <xf numFmtId="166" fontId="11" fillId="5" borderId="0" xfId="3" applyNumberFormat="1" applyFont="1" applyFill="1" applyBorder="1" applyAlignment="1">
      <alignment vertical="center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Fill="1"/>
    <xf numFmtId="3" fontId="29" fillId="0" borderId="1" xfId="0" applyNumberFormat="1" applyFont="1" applyFill="1" applyBorder="1" applyAlignment="1">
      <alignment vertical="center"/>
    </xf>
    <xf numFmtId="166" fontId="11" fillId="15" borderId="0" xfId="6" applyNumberFormat="1" applyFont="1" applyFill="1" applyBorder="1" applyAlignment="1">
      <alignment vertical="center"/>
    </xf>
    <xf numFmtId="166" fontId="11" fillId="17" borderId="0" xfId="6" applyNumberFormat="1" applyFont="1" applyFill="1" applyBorder="1" applyAlignment="1">
      <alignment vertical="center"/>
    </xf>
    <xf numFmtId="176" fontId="11" fillId="17" borderId="0" xfId="6" applyNumberFormat="1" applyFont="1" applyFill="1" applyBorder="1" applyAlignment="1">
      <alignment vertical="center"/>
    </xf>
    <xf numFmtId="0" fontId="21" fillId="17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vertical="center"/>
    </xf>
    <xf numFmtId="166" fontId="11" fillId="16" borderId="0" xfId="6" applyNumberFormat="1" applyFont="1" applyFill="1" applyBorder="1" applyAlignment="1">
      <alignment vertical="center"/>
    </xf>
    <xf numFmtId="0" fontId="19" fillId="15" borderId="0" xfId="0" applyFont="1" applyFill="1" applyBorder="1" applyAlignment="1">
      <alignment horizontal="right" vertical="center"/>
    </xf>
    <xf numFmtId="0" fontId="11" fillId="16" borderId="0" xfId="0" applyFont="1" applyFill="1" applyBorder="1" applyAlignment="1">
      <alignment horizontal="left" vertical="center"/>
    </xf>
    <xf numFmtId="0" fontId="11" fillId="1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right" vertical="center"/>
    </xf>
    <xf numFmtId="166" fontId="0" fillId="0" borderId="0" xfId="0" applyNumberFormat="1" applyFill="1"/>
    <xf numFmtId="0" fontId="30" fillId="0" borderId="1" xfId="0" applyFont="1" applyFill="1" applyBorder="1" applyAlignment="1">
      <alignment vertical="center" wrapText="1"/>
    </xf>
    <xf numFmtId="173" fontId="11" fillId="5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70" fontId="11" fillId="9" borderId="4" xfId="3" applyNumberFormat="1" applyFont="1" applyFill="1" applyBorder="1" applyAlignment="1">
      <alignment vertical="center"/>
    </xf>
    <xf numFmtId="166" fontId="11" fillId="15" borderId="36" xfId="6" applyNumberFormat="1" applyFont="1" applyFill="1" applyBorder="1" applyAlignment="1">
      <alignment vertical="center"/>
    </xf>
    <xf numFmtId="166" fontId="9" fillId="3" borderId="37" xfId="3" applyNumberFormat="1" applyFont="1" applyFill="1" applyBorder="1" applyAlignment="1">
      <alignment vertical="center"/>
    </xf>
    <xf numFmtId="39" fontId="9" fillId="3" borderId="37" xfId="3" applyNumberFormat="1" applyFont="1" applyFill="1" applyBorder="1" applyAlignment="1">
      <alignment vertical="center"/>
    </xf>
    <xf numFmtId="3" fontId="40" fillId="0" borderId="0" xfId="0" applyNumberFormat="1" applyFont="1"/>
    <xf numFmtId="177" fontId="0" fillId="0" borderId="0" xfId="0" applyNumberFormat="1"/>
    <xf numFmtId="0" fontId="6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NumberFormat="1" applyFont="1" applyFill="1" applyBorder="1" applyAlignment="1" applyProtection="1">
      <alignment horizontal="center" vertical="center"/>
    </xf>
    <xf numFmtId="43" fontId="6" fillId="0" borderId="0" xfId="3" applyFont="1" applyFill="1" applyBorder="1" applyAlignment="1" applyProtection="1">
      <alignment horizontal="center" vertical="center" wrapText="1"/>
      <protection locked="0"/>
    </xf>
    <xf numFmtId="43" fontId="6" fillId="15" borderId="11" xfId="3" applyFont="1" applyFill="1" applyBorder="1" applyAlignment="1" applyProtection="1">
      <alignment horizontal="center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 wrapText="1"/>
      <protection locked="0"/>
    </xf>
    <xf numFmtId="39" fontId="11" fillId="16" borderId="0" xfId="6" applyNumberFormat="1" applyFont="1" applyFill="1" applyBorder="1" applyAlignment="1">
      <alignment vertical="center"/>
    </xf>
    <xf numFmtId="166" fontId="5" fillId="0" borderId="1" xfId="6" applyNumberFormat="1" applyFont="1" applyFill="1" applyBorder="1" applyAlignment="1" applyProtection="1">
      <alignment vertical="center"/>
      <protection locked="0"/>
    </xf>
    <xf numFmtId="0" fontId="30" fillId="0" borderId="1" xfId="1" applyFont="1" applyFill="1" applyBorder="1"/>
    <xf numFmtId="4" fontId="5" fillId="0" borderId="1" xfId="6" applyNumberFormat="1" applyFont="1" applyFill="1" applyBorder="1" applyAlignment="1" applyProtection="1">
      <alignment vertical="center"/>
      <protection locked="0"/>
    </xf>
    <xf numFmtId="37" fontId="5" fillId="0" borderId="1" xfId="3" applyNumberFormat="1" applyFont="1" applyFill="1" applyBorder="1" applyAlignment="1" applyProtection="1">
      <alignment vertical="center"/>
    </xf>
    <xf numFmtId="37" fontId="30" fillId="0" borderId="12" xfId="3" applyNumberFormat="1" applyFont="1" applyFill="1" applyBorder="1" applyAlignment="1" applyProtection="1">
      <alignment vertical="center"/>
    </xf>
    <xf numFmtId="173" fontId="11" fillId="15" borderId="36" xfId="6" applyNumberFormat="1" applyFont="1" applyFill="1" applyBorder="1" applyAlignment="1">
      <alignment vertical="center"/>
    </xf>
    <xf numFmtId="0" fontId="5" fillId="0" borderId="1" xfId="1" applyFont="1" applyFill="1" applyBorder="1" applyAlignment="1" applyProtection="1">
      <alignment horizontal="center" vertical="center" wrapText="1"/>
    </xf>
    <xf numFmtId="3" fontId="24" fillId="0" borderId="1" xfId="0" applyNumberFormat="1" applyFont="1" applyFill="1" applyBorder="1" applyAlignment="1">
      <alignment vertical="center" wrapText="1"/>
    </xf>
    <xf numFmtId="3" fontId="5" fillId="0" borderId="1" xfId="6" applyNumberFormat="1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vertical="center"/>
    </xf>
    <xf numFmtId="1" fontId="2" fillId="0" borderId="34" xfId="0" applyNumberFormat="1" applyFont="1" applyFill="1" applyBorder="1" applyAlignment="1">
      <alignment vertical="center"/>
    </xf>
    <xf numFmtId="1" fontId="31" fillId="0" borderId="34" xfId="0" applyNumberFormat="1" applyFont="1" applyFill="1" applyBorder="1" applyAlignment="1">
      <alignment vertical="center"/>
    </xf>
    <xf numFmtId="0" fontId="43" fillId="0" borderId="2" xfId="1" applyFont="1" applyFill="1" applyBorder="1" applyAlignment="1">
      <alignment vertical="center"/>
    </xf>
    <xf numFmtId="0" fontId="43" fillId="0" borderId="1" xfId="1" applyFont="1" applyFill="1" applyBorder="1" applyAlignment="1">
      <alignment vertical="center" wrapText="1"/>
    </xf>
    <xf numFmtId="0" fontId="43" fillId="0" borderId="1" xfId="1" applyFont="1" applyFill="1" applyBorder="1" applyAlignment="1">
      <alignment vertical="center"/>
    </xf>
    <xf numFmtId="37" fontId="27" fillId="0" borderId="1" xfId="3" applyNumberFormat="1" applyFont="1" applyFill="1" applyBorder="1" applyAlignment="1" applyProtection="1">
      <alignment vertical="center"/>
      <protection locked="0"/>
    </xf>
    <xf numFmtId="166" fontId="6" fillId="0" borderId="1" xfId="3" applyNumberFormat="1" applyFont="1" applyFill="1" applyBorder="1" applyAlignment="1" applyProtection="1">
      <alignment vertical="center"/>
    </xf>
    <xf numFmtId="39" fontId="27" fillId="0" borderId="1" xfId="3" applyNumberFormat="1" applyFont="1" applyFill="1" applyBorder="1" applyAlignment="1" applyProtection="1">
      <alignment vertical="center"/>
      <protection locked="0"/>
    </xf>
    <xf numFmtId="3" fontId="43" fillId="0" borderId="1" xfId="1" applyNumberFormat="1" applyFont="1" applyFill="1" applyBorder="1" applyAlignment="1">
      <alignment vertical="center"/>
    </xf>
    <xf numFmtId="3" fontId="6" fillId="0" borderId="12" xfId="3" applyNumberFormat="1" applyFont="1" applyFill="1" applyBorder="1" applyAlignment="1" applyProtection="1">
      <alignment vertical="center"/>
    </xf>
    <xf numFmtId="43" fontId="0" fillId="0" borderId="0" xfId="0" applyNumberFormat="1" applyFill="1"/>
    <xf numFmtId="1" fontId="30" fillId="0" borderId="1" xfId="6" applyNumberFormat="1" applyFont="1" applyFill="1" applyBorder="1" applyAlignment="1" applyProtection="1">
      <alignment vertical="center"/>
      <protection locked="0"/>
    </xf>
    <xf numFmtId="1" fontId="2" fillId="0" borderId="1" xfId="0" applyNumberFormat="1" applyFont="1" applyFill="1" applyBorder="1" applyAlignment="1">
      <alignment vertical="center"/>
    </xf>
    <xf numFmtId="1" fontId="31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  <xf numFmtId="0" fontId="26" fillId="0" borderId="17" xfId="0" applyFont="1" applyFill="1" applyBorder="1" applyAlignment="1"/>
    <xf numFmtId="3" fontId="26" fillId="0" borderId="19" xfId="0" applyNumberFormat="1" applyFont="1" applyBorder="1"/>
    <xf numFmtId="37" fontId="26" fillId="0" borderId="19" xfId="0" applyNumberFormat="1" applyFont="1" applyBorder="1"/>
    <xf numFmtId="0" fontId="43" fillId="0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vertical="center"/>
    </xf>
    <xf numFmtId="3" fontId="46" fillId="0" borderId="1" xfId="0" applyNumberFormat="1" applyFont="1" applyFill="1" applyBorder="1" applyAlignment="1">
      <alignment vertical="center"/>
    </xf>
    <xf numFmtId="4" fontId="46" fillId="0" borderId="1" xfId="0" applyNumberFormat="1" applyFont="1" applyFill="1" applyBorder="1" applyAlignment="1">
      <alignment vertical="center"/>
    </xf>
    <xf numFmtId="37" fontId="43" fillId="0" borderId="1" xfId="3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/>
    <xf numFmtId="0" fontId="1" fillId="0" borderId="0" xfId="0" applyFont="1" applyFill="1"/>
    <xf numFmtId="166" fontId="6" fillId="0" borderId="12" xfId="3" applyNumberFormat="1" applyFont="1" applyFill="1" applyBorder="1" applyAlignment="1" applyProtection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0" borderId="25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26" xfId="1" applyFont="1" applyFill="1" applyBorder="1" applyAlignment="1" applyProtection="1">
      <alignment horizontal="center" vertical="center" wrapText="1"/>
    </xf>
    <xf numFmtId="0" fontId="23" fillId="8" borderId="25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6" xfId="1" applyFont="1" applyFill="1" applyBorder="1" applyAlignment="1" applyProtection="1">
      <alignment horizontal="center" vertical="center" wrapText="1"/>
    </xf>
    <xf numFmtId="0" fontId="45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38" fillId="0" borderId="18" xfId="0" applyFont="1" applyFill="1" applyBorder="1" applyAlignment="1">
      <alignment horizontal="center"/>
    </xf>
    <xf numFmtId="0" fontId="38" fillId="0" borderId="19" xfId="0" applyFont="1" applyFill="1" applyBorder="1" applyAlignment="1">
      <alignment horizontal="center"/>
    </xf>
    <xf numFmtId="0" fontId="26" fillId="13" borderId="17" xfId="0" applyFont="1" applyFill="1" applyBorder="1" applyAlignment="1">
      <alignment horizontal="center"/>
    </xf>
    <xf numFmtId="0" fontId="26" fillId="13" borderId="3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" fontId="44" fillId="0" borderId="1" xfId="0" applyNumberFormat="1" applyFont="1" applyFill="1" applyBorder="1" applyAlignment="1">
      <alignment vertical="center"/>
    </xf>
  </cellXfs>
  <cellStyles count="26">
    <cellStyle name="Comma 2" xfId="3"/>
    <cellStyle name="Comma 2 2" xfId="6"/>
    <cellStyle name="Comma 2 3" xfId="7"/>
    <cellStyle name="Comma 2 4" xfId="8"/>
    <cellStyle name="Comma 2 5" xfId="9"/>
    <cellStyle name="Comma 3" xfId="2"/>
    <cellStyle name="Comma 3 2" xfId="10"/>
    <cellStyle name="Comma 3 3" xfId="11"/>
    <cellStyle name="Comma 3 4" xfId="12"/>
    <cellStyle name="Comma 3 5" xfId="13"/>
    <cellStyle name="Currency 2" xfId="14"/>
    <cellStyle name="Normal" xfId="0" builtinId="0"/>
    <cellStyle name="Normal 2" xfId="1"/>
    <cellStyle name="Normal 2 2" xfId="15"/>
    <cellStyle name="Normal 3" xfId="4"/>
    <cellStyle name="Normal 3 2" xfId="5"/>
    <cellStyle name="Normal 3 3" xfId="16"/>
    <cellStyle name="Normal 3 4" xfId="17"/>
    <cellStyle name="Normal 3 5" xfId="18"/>
    <cellStyle name="Normal 3 6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F8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20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9"/>
  <sheetViews>
    <sheetView tabSelected="1" zoomScale="75" zoomScaleNormal="75" workbookViewId="0">
      <pane ySplit="3" topLeftCell="A4" activePane="bottomLeft" state="frozen"/>
      <selection pane="bottomLeft" activeCell="V14" sqref="V14"/>
    </sheetView>
  </sheetViews>
  <sheetFormatPr defaultRowHeight="15" outlineLevelCol="1" x14ac:dyDescent="0.25"/>
  <cols>
    <col min="1" max="1" width="11.28515625" customWidth="1"/>
    <col min="2" max="2" width="13.710937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customWidth="1"/>
    <col min="8" max="8" width="14.42578125" customWidth="1"/>
    <col min="9" max="9" width="17.28515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55000000000000004">
      <c r="A1" s="284" t="s">
        <v>166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7" ht="24" customHeight="1" thickBot="1" x14ac:dyDescent="0.4">
      <c r="A2" s="275" t="s">
        <v>31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7"/>
      <c r="O2" s="3"/>
      <c r="P2" s="2"/>
    </row>
    <row r="3" spans="1:17" ht="50.25" customHeight="1" thickBot="1" x14ac:dyDescent="0.3">
      <c r="A3" s="16"/>
      <c r="B3" s="17"/>
      <c r="C3" s="17"/>
      <c r="D3" s="18"/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19" t="s">
        <v>18</v>
      </c>
      <c r="K3" s="19"/>
      <c r="L3" s="19"/>
      <c r="M3" s="19"/>
      <c r="N3" s="20" t="s">
        <v>19</v>
      </c>
      <c r="O3" s="15" t="s">
        <v>10</v>
      </c>
      <c r="P3" s="1"/>
      <c r="Q3" s="46" t="s">
        <v>26</v>
      </c>
    </row>
    <row r="4" spans="1:17" ht="42" customHeight="1" x14ac:dyDescent="0.25">
      <c r="A4" s="23" t="s">
        <v>52</v>
      </c>
      <c r="B4" s="24" t="s">
        <v>0</v>
      </c>
      <c r="C4" s="24" t="s">
        <v>1</v>
      </c>
      <c r="D4" s="24" t="s">
        <v>2</v>
      </c>
      <c r="E4" s="24" t="s">
        <v>21</v>
      </c>
      <c r="F4" s="24" t="s">
        <v>27</v>
      </c>
      <c r="G4" s="24" t="s">
        <v>5</v>
      </c>
      <c r="H4" s="24" t="s">
        <v>24</v>
      </c>
      <c r="I4" s="24" t="s">
        <v>7</v>
      </c>
      <c r="J4" s="24" t="s">
        <v>44</v>
      </c>
      <c r="K4" s="24" t="s">
        <v>165</v>
      </c>
      <c r="L4" s="24" t="s">
        <v>146</v>
      </c>
      <c r="M4" s="24" t="s">
        <v>8</v>
      </c>
      <c r="N4" s="25" t="s">
        <v>9</v>
      </c>
      <c r="O4" s="52"/>
      <c r="P4" s="1"/>
      <c r="Q4" s="46"/>
    </row>
    <row r="5" spans="1:17" ht="18.75" x14ac:dyDescent="0.25">
      <c r="A5" s="278" t="s">
        <v>35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80"/>
      <c r="Q5" s="49"/>
    </row>
    <row r="6" spans="1:17" ht="45" x14ac:dyDescent="0.25">
      <c r="A6" s="98"/>
      <c r="B6" s="85" t="s">
        <v>140</v>
      </c>
      <c r="C6" s="146" t="s">
        <v>141</v>
      </c>
      <c r="D6" s="85"/>
      <c r="E6" s="120">
        <v>56</v>
      </c>
      <c r="F6" s="120">
        <v>113</v>
      </c>
      <c r="G6" s="4">
        <f t="shared" ref="G6:G8" si="0">+E6*F6</f>
        <v>6328</v>
      </c>
      <c r="H6" s="124">
        <v>8</v>
      </c>
      <c r="I6" s="4">
        <f t="shared" ref="I6:I8" si="1">+G6*H6</f>
        <v>50624</v>
      </c>
      <c r="J6" s="86">
        <v>52864</v>
      </c>
      <c r="K6" s="92"/>
      <c r="L6" s="249"/>
      <c r="M6" s="249">
        <f>N6</f>
        <v>-2240</v>
      </c>
      <c r="N6" s="105">
        <f t="shared" ref="N6:N8" si="2">+I6-J6</f>
        <v>-2240</v>
      </c>
      <c r="Q6" s="49" t="s">
        <v>130</v>
      </c>
    </row>
    <row r="7" spans="1:17" ht="60" x14ac:dyDescent="0.25">
      <c r="A7" s="98"/>
      <c r="B7" s="248" t="s">
        <v>63</v>
      </c>
      <c r="C7" s="223" t="s">
        <v>122</v>
      </c>
      <c r="D7" s="145"/>
      <c r="E7" s="210">
        <v>56</v>
      </c>
      <c r="F7" s="210">
        <v>1</v>
      </c>
      <c r="G7" s="4">
        <f>+E7*F7</f>
        <v>56</v>
      </c>
      <c r="H7" s="148">
        <v>2</v>
      </c>
      <c r="I7" s="4">
        <f>+G7*H7</f>
        <v>112</v>
      </c>
      <c r="J7" s="150">
        <v>112</v>
      </c>
      <c r="K7" s="92"/>
      <c r="L7" s="249"/>
      <c r="M7" s="249">
        <f>N7</f>
        <v>0</v>
      </c>
      <c r="N7" s="105">
        <f t="shared" si="2"/>
        <v>0</v>
      </c>
      <c r="Q7" s="49"/>
    </row>
    <row r="8" spans="1:17" s="208" customFormat="1" ht="35.25" customHeight="1" x14ac:dyDescent="0.25">
      <c r="A8" s="98"/>
      <c r="B8" s="85" t="s">
        <v>126</v>
      </c>
      <c r="C8" s="146" t="s">
        <v>92</v>
      </c>
      <c r="D8" s="85"/>
      <c r="E8" s="120">
        <v>56</v>
      </c>
      <c r="F8" s="120">
        <v>1</v>
      </c>
      <c r="G8" s="4">
        <f t="shared" si="0"/>
        <v>56</v>
      </c>
      <c r="H8" s="124">
        <v>1.5</v>
      </c>
      <c r="I8" s="4">
        <f t="shared" si="1"/>
        <v>84</v>
      </c>
      <c r="J8" s="86">
        <v>84</v>
      </c>
      <c r="K8" s="92"/>
      <c r="L8" s="263"/>
      <c r="M8" s="250">
        <v>0</v>
      </c>
      <c r="N8" s="105">
        <f t="shared" si="2"/>
        <v>0</v>
      </c>
      <c r="Q8" s="49"/>
    </row>
    <row r="9" spans="1:17" ht="82.5" customHeight="1" x14ac:dyDescent="0.25">
      <c r="A9" s="98"/>
      <c r="B9" s="251" t="s">
        <v>151</v>
      </c>
      <c r="C9" s="252" t="s">
        <v>152</v>
      </c>
      <c r="D9" s="253"/>
      <c r="E9" s="254">
        <v>56</v>
      </c>
      <c r="F9" s="254">
        <v>4</v>
      </c>
      <c r="G9" s="255">
        <f>+E9*F9</f>
        <v>224</v>
      </c>
      <c r="H9" s="256">
        <v>0.25</v>
      </c>
      <c r="I9" s="259">
        <f>G9*H9</f>
        <v>56</v>
      </c>
      <c r="J9" s="257">
        <v>0</v>
      </c>
      <c r="K9" s="255">
        <v>56</v>
      </c>
      <c r="L9" s="208"/>
      <c r="M9" s="293"/>
      <c r="N9" s="258">
        <f>+K9-J9</f>
        <v>56</v>
      </c>
      <c r="Q9" s="49"/>
    </row>
    <row r="10" spans="1:17" s="208" customFormat="1" ht="54.75" customHeight="1" x14ac:dyDescent="0.25">
      <c r="A10" s="141" t="s">
        <v>130</v>
      </c>
      <c r="B10" s="267" t="s">
        <v>153</v>
      </c>
      <c r="C10" s="267" t="s">
        <v>169</v>
      </c>
      <c r="D10" s="268"/>
      <c r="E10" s="269">
        <v>56</v>
      </c>
      <c r="F10" s="269">
        <v>113.339</v>
      </c>
      <c r="G10" s="255">
        <f t="shared" ref="G10" si="3">+E10*F10</f>
        <v>6346.9840000000004</v>
      </c>
      <c r="H10" s="270">
        <v>47.5</v>
      </c>
      <c r="I10" s="255">
        <f t="shared" ref="I10" si="4">+G10*H10</f>
        <v>301481.74</v>
      </c>
      <c r="J10" s="269">
        <v>0</v>
      </c>
      <c r="K10" s="271">
        <f>N10</f>
        <v>301481.74</v>
      </c>
      <c r="L10" s="272"/>
      <c r="M10" s="273"/>
      <c r="N10" s="274">
        <f t="shared" ref="N10" si="5">+I10-J10</f>
        <v>301481.74</v>
      </c>
      <c r="Q10" s="49"/>
    </row>
    <row r="11" spans="1:17" ht="150" x14ac:dyDescent="0.25">
      <c r="A11" s="98"/>
      <c r="B11" s="202" t="s">
        <v>163</v>
      </c>
      <c r="C11" s="146" t="s">
        <v>107</v>
      </c>
      <c r="D11" s="146" t="s">
        <v>164</v>
      </c>
      <c r="E11" s="120"/>
      <c r="F11" s="120"/>
      <c r="G11" s="4"/>
      <c r="H11" s="124"/>
      <c r="I11" s="4"/>
      <c r="J11" s="86"/>
      <c r="K11" s="92"/>
      <c r="L11" s="203"/>
      <c r="M11" s="203"/>
      <c r="N11" s="204"/>
      <c r="Q11" s="47"/>
    </row>
    <row r="12" spans="1:17" ht="18.75" customHeight="1" x14ac:dyDescent="0.25">
      <c r="A12" s="96" t="s">
        <v>139</v>
      </c>
      <c r="B12" s="97"/>
      <c r="C12" s="95" t="s">
        <v>34</v>
      </c>
      <c r="D12" s="100"/>
      <c r="E12" s="121">
        <f>+MAX(E6:E10)</f>
        <v>56</v>
      </c>
      <c r="F12" s="122">
        <f>IF(E12=0,"",G12/E12)</f>
        <v>232.339</v>
      </c>
      <c r="G12" s="121">
        <f>SUM(G6:G10)</f>
        <v>13010.984</v>
      </c>
      <c r="H12" s="122">
        <f>IF(G12=0,"",I12/G12)</f>
        <v>27.081559703708802</v>
      </c>
      <c r="I12" s="121">
        <f>SUM(I6:I10)</f>
        <v>352357.74</v>
      </c>
      <c r="J12" s="121">
        <f>SUM(J6:J10)</f>
        <v>53060</v>
      </c>
      <c r="K12" s="123">
        <f>SUM(K6:K10)</f>
        <v>301537.74</v>
      </c>
      <c r="L12" s="123">
        <f t="shared" ref="L12:M12" si="6">SUM(L6:L9)</f>
        <v>0</v>
      </c>
      <c r="M12" s="123">
        <f t="shared" si="6"/>
        <v>-2240</v>
      </c>
      <c r="N12" s="128">
        <f>SUM(N6:N10)</f>
        <v>299297.74</v>
      </c>
      <c r="O12" s="52"/>
      <c r="P12" s="1"/>
      <c r="Q12" s="47"/>
    </row>
    <row r="13" spans="1:17" ht="18.75" x14ac:dyDescent="0.25">
      <c r="A13" s="281" t="s">
        <v>55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3"/>
      <c r="Q13" s="47"/>
    </row>
    <row r="14" spans="1:17" ht="87.75" customHeight="1" x14ac:dyDescent="0.25">
      <c r="A14" s="21"/>
      <c r="B14" s="85" t="s">
        <v>108</v>
      </c>
      <c r="C14" s="146" t="s">
        <v>109</v>
      </c>
      <c r="D14" s="85"/>
      <c r="E14" s="142">
        <v>19019</v>
      </c>
      <c r="F14" s="104">
        <v>1.25</v>
      </c>
      <c r="G14" s="101">
        <f t="shared" ref="G14:G15" si="7">+E14*F14</f>
        <v>23773.75</v>
      </c>
      <c r="H14" s="147">
        <v>0.25</v>
      </c>
      <c r="I14" s="101">
        <f t="shared" ref="I14:I15" si="8">+G14*H14</f>
        <v>5943.4375</v>
      </c>
      <c r="J14" s="86">
        <v>6194</v>
      </c>
      <c r="K14" s="102"/>
      <c r="L14" s="102"/>
      <c r="M14" s="102">
        <f t="shared" ref="M14:M20" si="9">N14</f>
        <v>-250.5625</v>
      </c>
      <c r="N14" s="105">
        <f t="shared" ref="N14:N15" si="10">+I14-J14</f>
        <v>-250.5625</v>
      </c>
      <c r="Q14" s="47"/>
    </row>
    <row r="15" spans="1:17" ht="49.5" customHeight="1" x14ac:dyDescent="0.25">
      <c r="A15" s="21"/>
      <c r="B15" s="85" t="s">
        <v>76</v>
      </c>
      <c r="C15" s="146" t="s">
        <v>155</v>
      </c>
      <c r="D15" s="85"/>
      <c r="E15" s="86">
        <v>6314</v>
      </c>
      <c r="F15" s="93">
        <v>2</v>
      </c>
      <c r="G15" s="101">
        <f t="shared" si="7"/>
        <v>12628</v>
      </c>
      <c r="H15" s="147">
        <v>0.25</v>
      </c>
      <c r="I15" s="101">
        <f t="shared" si="8"/>
        <v>3157</v>
      </c>
      <c r="J15" s="86">
        <v>241</v>
      </c>
      <c r="K15" s="102"/>
      <c r="L15" s="102"/>
      <c r="M15" s="102">
        <f t="shared" si="9"/>
        <v>2916</v>
      </c>
      <c r="N15" s="105">
        <f t="shared" si="10"/>
        <v>2916</v>
      </c>
      <c r="Q15" s="47"/>
    </row>
    <row r="16" spans="1:17" ht="63" customHeight="1" x14ac:dyDescent="0.25">
      <c r="A16" s="21"/>
      <c r="B16" s="146" t="s">
        <v>110</v>
      </c>
      <c r="C16" s="146" t="s">
        <v>112</v>
      </c>
      <c r="D16" s="85"/>
      <c r="E16" s="142">
        <v>19019</v>
      </c>
      <c r="F16" s="104">
        <v>10.15</v>
      </c>
      <c r="G16" s="101">
        <f>+E16*F16</f>
        <v>193042.85</v>
      </c>
      <c r="H16" s="147">
        <v>1</v>
      </c>
      <c r="I16" s="101">
        <f>+G16*H16</f>
        <v>193042.85</v>
      </c>
      <c r="J16" s="86">
        <v>201193</v>
      </c>
      <c r="K16" s="102"/>
      <c r="L16" s="102"/>
      <c r="M16" s="102">
        <f t="shared" si="9"/>
        <v>-8150.1499999999942</v>
      </c>
      <c r="N16" s="105">
        <f>+I16-J16</f>
        <v>-8150.1499999999942</v>
      </c>
      <c r="Q16" s="47"/>
    </row>
    <row r="17" spans="1:17" ht="74.25" customHeight="1" x14ac:dyDescent="0.25">
      <c r="A17" s="21"/>
      <c r="B17" s="146" t="s">
        <v>111</v>
      </c>
      <c r="C17" s="146" t="s">
        <v>113</v>
      </c>
      <c r="D17" s="85"/>
      <c r="E17" s="142">
        <v>19019</v>
      </c>
      <c r="F17" s="93">
        <v>1</v>
      </c>
      <c r="G17" s="101">
        <f t="shared" ref="G17:G20" si="11">+E17*F17</f>
        <v>19019</v>
      </c>
      <c r="H17" s="147">
        <v>0.25</v>
      </c>
      <c r="I17" s="101">
        <f>+G17*H17+0.001</f>
        <v>4754.7510000000002</v>
      </c>
      <c r="J17" s="86">
        <v>4956</v>
      </c>
      <c r="K17" s="102"/>
      <c r="L17" s="102"/>
      <c r="M17" s="102">
        <f t="shared" si="9"/>
        <v>-201.2489999999998</v>
      </c>
      <c r="N17" s="105">
        <f t="shared" ref="N17:N20" si="12">+I17-J17</f>
        <v>-201.2489999999998</v>
      </c>
      <c r="Q17" s="47"/>
    </row>
    <row r="18" spans="1:17" ht="60.75" customHeight="1" x14ac:dyDescent="0.25">
      <c r="A18" s="21"/>
      <c r="B18" s="146" t="s">
        <v>142</v>
      </c>
      <c r="C18" s="146" t="s">
        <v>106</v>
      </c>
      <c r="D18" s="85"/>
      <c r="E18" s="86">
        <v>6340</v>
      </c>
      <c r="F18" s="93">
        <v>1</v>
      </c>
      <c r="G18" s="101">
        <f t="shared" si="11"/>
        <v>6340</v>
      </c>
      <c r="H18" s="147">
        <v>8</v>
      </c>
      <c r="I18" s="101">
        <f t="shared" ref="I18:I19" si="13">+G18*H18</f>
        <v>50720</v>
      </c>
      <c r="J18" s="86">
        <v>52856</v>
      </c>
      <c r="K18" s="102"/>
      <c r="L18" s="102"/>
      <c r="M18" s="102">
        <f t="shared" si="9"/>
        <v>-2136</v>
      </c>
      <c r="N18" s="105">
        <f t="shared" si="12"/>
        <v>-2136</v>
      </c>
      <c r="Q18" s="47"/>
    </row>
    <row r="19" spans="1:17" ht="45" customHeight="1" x14ac:dyDescent="0.25">
      <c r="A19" s="21"/>
      <c r="B19" s="85" t="s">
        <v>77</v>
      </c>
      <c r="C19" s="146" t="s">
        <v>115</v>
      </c>
      <c r="D19" s="85"/>
      <c r="E19" s="142">
        <v>19019</v>
      </c>
      <c r="F19" s="93">
        <v>1</v>
      </c>
      <c r="G19" s="101">
        <f t="shared" si="11"/>
        <v>19019</v>
      </c>
      <c r="H19" s="147">
        <v>0.5</v>
      </c>
      <c r="I19" s="101">
        <f t="shared" si="13"/>
        <v>9509.5</v>
      </c>
      <c r="J19" s="86">
        <v>9911</v>
      </c>
      <c r="K19" s="102"/>
      <c r="L19" s="102"/>
      <c r="M19" s="102">
        <f t="shared" si="9"/>
        <v>-401.5</v>
      </c>
      <c r="N19" s="105">
        <f t="shared" si="12"/>
        <v>-401.5</v>
      </c>
      <c r="Q19" s="47"/>
    </row>
    <row r="20" spans="1:17" ht="45" x14ac:dyDescent="0.25">
      <c r="A20" s="141" t="s">
        <v>62</v>
      </c>
      <c r="B20" s="146" t="s">
        <v>93</v>
      </c>
      <c r="C20" s="146" t="s">
        <v>114</v>
      </c>
      <c r="D20" s="85"/>
      <c r="E20" s="142">
        <v>19019</v>
      </c>
      <c r="F20" s="93">
        <v>1</v>
      </c>
      <c r="G20" s="101">
        <f t="shared" si="11"/>
        <v>19019</v>
      </c>
      <c r="H20" s="147">
        <v>0.25</v>
      </c>
      <c r="I20" s="101">
        <f>+G20*H20+0.001</f>
        <v>4754.7510000000002</v>
      </c>
      <c r="J20" s="86">
        <v>4956</v>
      </c>
      <c r="K20" s="102"/>
      <c r="L20" s="102"/>
      <c r="M20" s="102">
        <f t="shared" si="9"/>
        <v>-201.2489999999998</v>
      </c>
      <c r="N20" s="105">
        <f t="shared" si="12"/>
        <v>-201.2489999999998</v>
      </c>
      <c r="Q20" s="47"/>
    </row>
    <row r="21" spans="1:17" x14ac:dyDescent="0.25">
      <c r="A21" s="21"/>
      <c r="B21" s="89"/>
      <c r="C21" s="89"/>
      <c r="D21" s="85"/>
      <c r="E21" s="86"/>
      <c r="F21" s="93"/>
      <c r="G21" s="101"/>
      <c r="H21" s="129"/>
      <c r="I21" s="101"/>
      <c r="J21" s="86"/>
      <c r="K21" s="102"/>
      <c r="L21" s="102"/>
      <c r="M21" s="102"/>
      <c r="N21" s="105"/>
      <c r="Q21" s="47"/>
    </row>
    <row r="22" spans="1:17" ht="15.75" x14ac:dyDescent="0.25">
      <c r="A22" s="96" t="s">
        <v>139</v>
      </c>
      <c r="B22" s="97"/>
      <c r="C22" s="95" t="s">
        <v>33</v>
      </c>
      <c r="D22" s="94"/>
      <c r="E22" s="103">
        <f>+MAX(E14:E21)</f>
        <v>19019</v>
      </c>
      <c r="F22" s="137">
        <f>IF(E22=0,"",G22/E22)</f>
        <v>15.397318471002681</v>
      </c>
      <c r="G22" s="103">
        <f>SUM(G14:G21)</f>
        <v>292841.59999999998</v>
      </c>
      <c r="H22" s="122">
        <f>IF(G22=0,"",I22/G22)</f>
        <v>0.92842782412061686</v>
      </c>
      <c r="I22" s="103">
        <f t="shared" ref="I22:N22" si="14">SUM(I14:I21)</f>
        <v>271882.28950000001</v>
      </c>
      <c r="J22" s="103">
        <f t="shared" si="14"/>
        <v>280307</v>
      </c>
      <c r="K22" s="103">
        <f t="shared" si="14"/>
        <v>0</v>
      </c>
      <c r="L22" s="103">
        <f t="shared" si="14"/>
        <v>0</v>
      </c>
      <c r="M22" s="103">
        <f t="shared" si="14"/>
        <v>-8424.7104999999938</v>
      </c>
      <c r="N22" s="118">
        <f t="shared" si="14"/>
        <v>-8424.7104999999938</v>
      </c>
      <c r="O22" s="52"/>
      <c r="P22" s="1"/>
      <c r="Q22" s="47"/>
    </row>
    <row r="23" spans="1:17" ht="18.75" x14ac:dyDescent="0.25">
      <c r="A23" s="281" t="s">
        <v>51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3"/>
      <c r="Q23" s="47"/>
    </row>
    <row r="24" spans="1:17" ht="36" customHeight="1" thickBot="1" x14ac:dyDescent="0.3">
      <c r="A24" s="98"/>
      <c r="B24" s="144" t="s">
        <v>70</v>
      </c>
      <c r="C24" s="10" t="s">
        <v>121</v>
      </c>
      <c r="D24" s="11"/>
      <c r="E24" s="239">
        <v>96860</v>
      </c>
      <c r="F24" s="12">
        <v>2</v>
      </c>
      <c r="G24" s="4">
        <f t="shared" ref="G24" si="15">+E24*F24</f>
        <v>193720</v>
      </c>
      <c r="H24" s="104">
        <v>0.1</v>
      </c>
      <c r="I24" s="4">
        <f t="shared" ref="I24" si="16">+G24*H24</f>
        <v>19372</v>
      </c>
      <c r="J24" s="150">
        <v>20266</v>
      </c>
      <c r="K24" s="102"/>
      <c r="L24" s="102"/>
      <c r="M24" s="102">
        <f>N24</f>
        <v>-894</v>
      </c>
      <c r="N24" s="105">
        <f>+I24-J24</f>
        <v>-894</v>
      </c>
      <c r="Q24" s="48"/>
    </row>
    <row r="25" spans="1:17" ht="25.5" customHeight="1" x14ac:dyDescent="0.25">
      <c r="A25" s="96" t="s">
        <v>139</v>
      </c>
      <c r="B25" s="97"/>
      <c r="C25" s="95" t="s">
        <v>40</v>
      </c>
      <c r="D25" s="94"/>
      <c r="E25" s="67">
        <f>+MAX(E24:E24)</f>
        <v>96860</v>
      </c>
      <c r="F25" s="137">
        <f>IF(E25=0,"",G25/E25)</f>
        <v>2</v>
      </c>
      <c r="G25" s="67">
        <f>SUM(G24:G24)</f>
        <v>193720</v>
      </c>
      <c r="H25" s="122">
        <f>IF(G25=0,"",I25/G25)</f>
        <v>0.1</v>
      </c>
      <c r="I25" s="67">
        <f t="shared" ref="I25:N25" si="17">SUM(I24:I24)</f>
        <v>19372</v>
      </c>
      <c r="J25" s="67">
        <f t="shared" si="17"/>
        <v>20266</v>
      </c>
      <c r="K25" s="67">
        <f t="shared" si="17"/>
        <v>0</v>
      </c>
      <c r="L25" s="67">
        <f t="shared" si="17"/>
        <v>0</v>
      </c>
      <c r="M25" s="67">
        <f t="shared" si="17"/>
        <v>-894</v>
      </c>
      <c r="N25" s="99">
        <f t="shared" si="17"/>
        <v>-894</v>
      </c>
      <c r="Q25" s="14"/>
    </row>
    <row r="26" spans="1:17" ht="16.5" thickBot="1" x14ac:dyDescent="0.3">
      <c r="A26" s="108"/>
      <c r="B26" s="109"/>
      <c r="C26" s="110" t="s">
        <v>41</v>
      </c>
      <c r="D26" s="111"/>
      <c r="E26" s="112">
        <f>+E12+E22+E25</f>
        <v>115935</v>
      </c>
      <c r="F26" s="113">
        <f>IF(E26=0,"",G26/E26)</f>
        <v>4.3090747746582139</v>
      </c>
      <c r="G26" s="138">
        <f>+G12+G22+G25</f>
        <v>499572.58399999997</v>
      </c>
      <c r="H26" s="113">
        <f>I26/G26</f>
        <v>1.2883253607447762</v>
      </c>
      <c r="I26" s="112">
        <f t="shared" ref="I26:N26" si="18">+I12+I22+I25</f>
        <v>643612.02949999995</v>
      </c>
      <c r="J26" s="112">
        <f t="shared" si="18"/>
        <v>353633</v>
      </c>
      <c r="K26" s="112">
        <f t="shared" si="18"/>
        <v>301537.74</v>
      </c>
      <c r="L26" s="112">
        <f t="shared" si="18"/>
        <v>0</v>
      </c>
      <c r="M26" s="112">
        <f t="shared" si="18"/>
        <v>-11558.710499999994</v>
      </c>
      <c r="N26" s="119">
        <f t="shared" si="18"/>
        <v>289979.0295</v>
      </c>
      <c r="Q26" s="14"/>
    </row>
    <row r="27" spans="1:17" ht="50.25" customHeight="1" x14ac:dyDescent="0.25">
      <c r="C27" s="14"/>
      <c r="Q27" s="14"/>
    </row>
    <row r="28" spans="1:17" ht="94.5" hidden="1" x14ac:dyDescent="0.25">
      <c r="C28" s="14"/>
      <c r="D28" s="62" t="str">
        <f>+A4</f>
        <v>Program Rule</v>
      </c>
      <c r="E28" s="63" t="str">
        <f t="shared" ref="E28:N28" si="19">+E4</f>
        <v>Estimated # Respondents</v>
      </c>
      <c r="F28" s="63" t="str">
        <f t="shared" si="19"/>
        <v>Responses per Respondents</v>
      </c>
      <c r="G28" s="63" t="str">
        <f t="shared" si="19"/>
        <v>Total Annual Records</v>
      </c>
      <c r="H28" s="63" t="str">
        <f t="shared" si="19"/>
        <v>Estimated Avg. # of Hours Per Response</v>
      </c>
      <c r="I28" s="63" t="str">
        <f t="shared" si="19"/>
        <v xml:space="preserve">Estimated Total Hours            </v>
      </c>
      <c r="J28" s="63" t="str">
        <f t="shared" si="19"/>
        <v>Current OMB Approved Burden Hrs</v>
      </c>
      <c r="K28" s="63" t="str">
        <f t="shared" si="19"/>
        <v>Existing Requirements in Use without OMB approval</v>
      </c>
      <c r="L28" s="63" t="str">
        <f t="shared" si="19"/>
        <v>Due to Program Change</v>
      </c>
      <c r="M28" s="63" t="str">
        <f t="shared" si="19"/>
        <v>Due to an Adjustment</v>
      </c>
      <c r="N28" s="64" t="str">
        <f t="shared" si="19"/>
        <v>Total Difference</v>
      </c>
      <c r="Q28" s="14"/>
    </row>
    <row r="29" spans="1:17" hidden="1" x14ac:dyDescent="0.25">
      <c r="C29" s="14"/>
      <c r="D29" s="73" t="e">
        <f>+#REF!</f>
        <v>#REF!</v>
      </c>
      <c r="E29" s="114">
        <f>+SUM($E$12+$E$22+$E$25)</f>
        <v>115935</v>
      </c>
      <c r="F29" s="116">
        <f t="shared" ref="F29" si="20">IF(E29=0,"",G29/E29)</f>
        <v>0</v>
      </c>
      <c r="G29" s="114">
        <f t="shared" ref="G29" si="21">+SUMIF($A$6:$A$25,D29,($G$6:$G$25))</f>
        <v>0</v>
      </c>
      <c r="H29" s="116" t="str">
        <f t="shared" ref="H29" si="22">IF(G29=0,"",I29/G29)</f>
        <v/>
      </c>
      <c r="I29" s="114">
        <f t="shared" ref="I29" si="23">+SUMIF($A$6:$A$25,D29,($I$6:$I$25))</f>
        <v>0</v>
      </c>
      <c r="J29" s="117">
        <f t="shared" ref="J29" si="24">+SUMIF($A$6:$A$25,D29,($J$6:$J$25))</f>
        <v>0</v>
      </c>
      <c r="K29" s="65">
        <f>+SUMIF($A$6:$A$25,$D$29,($K$6:$K$25))</f>
        <v>0</v>
      </c>
      <c r="L29" s="65">
        <f>+SUMIF($A$6:$A$25,$D$29,($L$6:$L$25))</f>
        <v>0</v>
      </c>
      <c r="M29" s="114">
        <f>+SUMIF($A$6:$A$25,$D$29,($M$6:$M$25))</f>
        <v>0</v>
      </c>
      <c r="N29" s="115">
        <f t="shared" ref="N29" si="25">+SUMIF($A$6:$A$25,D29,($N$6:$N$25))</f>
        <v>0</v>
      </c>
      <c r="Q29" s="14"/>
    </row>
  </sheetData>
  <sheetProtection selectLockedCells="1"/>
  <autoFilter ref="A4:N26"/>
  <dataConsolidate/>
  <mergeCells count="5">
    <mergeCell ref="A2:N2"/>
    <mergeCell ref="A5:N5"/>
    <mergeCell ref="A13:N13"/>
    <mergeCell ref="A23:N23"/>
    <mergeCell ref="A1:N1"/>
  </mergeCells>
  <dataValidations count="2">
    <dataValidation type="list" allowBlank="1" showInputMessage="1" showErrorMessage="1" sqref="A24:A25 A14:A22 A6:A9 A11:A12">
      <formula1>$Q$5:$Q$22</formula1>
    </dataValidation>
    <dataValidation type="list" allowBlank="1" showInputMessage="1" showErrorMessage="1" sqref="A10">
      <formula1>$Q$5:$Q$14</formula1>
    </dataValidation>
  </dataValidations>
  <printOptions horizontalCentered="1"/>
  <pageMargins left="0.7" right="0.7" top="0.75" bottom="0.75" header="0.3" footer="0.3"/>
  <pageSetup paperSize="5" scale="73" fitToHeight="0" orientation="landscape" r:id="rId1"/>
  <headerFooter>
    <oddHeader>&amp;C&amp;"-,Bold"&amp;12OMB Control #0584-0006 
&amp;16 7 CFR Part 210 - National School Lunch Program</oddHeader>
  </headerFooter>
  <ignoredErrors>
    <ignoredError sqref="G29 G25:H25 G22:H22 H26 I17" formula="1"/>
    <ignoredError sqref="M24 M14:M2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39"/>
  <sheetViews>
    <sheetView zoomScale="75" zoomScaleNormal="75" workbookViewId="0">
      <selection activeCell="C12" sqref="C12"/>
    </sheetView>
  </sheetViews>
  <sheetFormatPr defaultRowHeight="15" outlineLevelCol="1" x14ac:dyDescent="0.25"/>
  <cols>
    <col min="1" max="1" width="11.7109375" customWidth="1"/>
    <col min="2" max="2" width="14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4.2851562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.855468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">
      <c r="A1" s="275" t="s">
        <v>120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7" ht="24" customHeight="1" thickBot="1" x14ac:dyDescent="0.3">
      <c r="A2" s="16"/>
      <c r="B2" s="17"/>
      <c r="C2" s="17"/>
      <c r="D2" s="18"/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/>
      <c r="L2" s="19"/>
      <c r="M2" s="19"/>
      <c r="N2" s="20" t="s">
        <v>19</v>
      </c>
      <c r="O2" s="3"/>
      <c r="P2" s="2"/>
    </row>
    <row r="3" spans="1:17" ht="59.25" customHeight="1" thickBot="1" x14ac:dyDescent="0.3">
      <c r="A3" s="26" t="s">
        <v>52</v>
      </c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27" t="s">
        <v>44</v>
      </c>
      <c r="K3" s="27" t="s">
        <v>165</v>
      </c>
      <c r="L3" s="27" t="s">
        <v>118</v>
      </c>
      <c r="M3" s="27" t="s">
        <v>8</v>
      </c>
      <c r="N3" s="28" t="s">
        <v>9</v>
      </c>
      <c r="O3" s="15" t="s">
        <v>10</v>
      </c>
      <c r="P3" s="1"/>
      <c r="Q3" s="46" t="s">
        <v>26</v>
      </c>
    </row>
    <row r="4" spans="1:17" ht="18.75" x14ac:dyDescent="0.25">
      <c r="A4" s="281" t="s">
        <v>35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3"/>
      <c r="O4" s="52"/>
      <c r="P4" s="1"/>
      <c r="Q4" s="46"/>
    </row>
    <row r="5" spans="1:17" ht="60.75" customHeight="1" x14ac:dyDescent="0.25">
      <c r="A5" s="141" t="s">
        <v>85</v>
      </c>
      <c r="B5" s="223" t="s">
        <v>137</v>
      </c>
      <c r="C5" s="223" t="s">
        <v>89</v>
      </c>
      <c r="D5" s="145"/>
      <c r="E5" s="210">
        <v>56</v>
      </c>
      <c r="F5" s="210">
        <v>113</v>
      </c>
      <c r="G5" s="4">
        <f t="shared" ref="G5" si="0">+E5*F5</f>
        <v>6328</v>
      </c>
      <c r="H5" s="148">
        <v>0.25</v>
      </c>
      <c r="I5" s="4">
        <f t="shared" ref="I5" si="1">+G5*H5</f>
        <v>1582</v>
      </c>
      <c r="J5" s="210">
        <v>1652</v>
      </c>
      <c r="K5" s="125"/>
      <c r="L5" s="125"/>
      <c r="M5" s="125">
        <f t="shared" ref="M5" si="2">N5</f>
        <v>-70</v>
      </c>
      <c r="N5" s="22">
        <f t="shared" ref="N5" si="3">+I5-J5</f>
        <v>-70</v>
      </c>
      <c r="Q5" s="140" t="s">
        <v>62</v>
      </c>
    </row>
    <row r="6" spans="1:17" ht="87" customHeight="1" x14ac:dyDescent="0.25">
      <c r="A6" s="152" t="s">
        <v>72</v>
      </c>
      <c r="B6" s="223" t="s">
        <v>74</v>
      </c>
      <c r="C6" s="223" t="s">
        <v>91</v>
      </c>
      <c r="D6" s="145" t="s">
        <v>72</v>
      </c>
      <c r="E6" s="210">
        <v>56</v>
      </c>
      <c r="F6" s="210">
        <v>340</v>
      </c>
      <c r="G6" s="4">
        <f t="shared" ref="G6:G11" si="4">+E6*F6</f>
        <v>19040</v>
      </c>
      <c r="H6" s="148">
        <v>3</v>
      </c>
      <c r="I6" s="4">
        <f t="shared" ref="I6:I11" si="5">+G6*H6</f>
        <v>57120</v>
      </c>
      <c r="J6" s="210">
        <v>59472</v>
      </c>
      <c r="K6" s="125"/>
      <c r="L6" s="125"/>
      <c r="M6" s="125">
        <f t="shared" ref="M6:M15" si="6">N6</f>
        <v>-2352</v>
      </c>
      <c r="N6" s="22">
        <f t="shared" ref="N6:N11" si="7">+I6-J6</f>
        <v>-2352</v>
      </c>
      <c r="Q6" s="140" t="s">
        <v>61</v>
      </c>
    </row>
    <row r="7" spans="1:17" ht="56.25" customHeight="1" x14ac:dyDescent="0.25">
      <c r="A7" s="152" t="s">
        <v>64</v>
      </c>
      <c r="B7" s="223" t="s">
        <v>100</v>
      </c>
      <c r="C7" s="223" t="s">
        <v>161</v>
      </c>
      <c r="D7" s="145" t="s">
        <v>64</v>
      </c>
      <c r="E7" s="210">
        <v>56</v>
      </c>
      <c r="F7" s="210">
        <v>1</v>
      </c>
      <c r="G7" s="4">
        <f t="shared" si="4"/>
        <v>56</v>
      </c>
      <c r="H7" s="148">
        <v>1</v>
      </c>
      <c r="I7" s="4">
        <f t="shared" si="5"/>
        <v>56</v>
      </c>
      <c r="J7" s="210">
        <v>56</v>
      </c>
      <c r="K7" s="125"/>
      <c r="L7" s="125"/>
      <c r="M7" s="125">
        <f t="shared" si="6"/>
        <v>0</v>
      </c>
      <c r="N7" s="22">
        <f t="shared" si="7"/>
        <v>0</v>
      </c>
      <c r="Q7" s="140" t="s">
        <v>60</v>
      </c>
    </row>
    <row r="8" spans="1:17" ht="69.75" customHeight="1" x14ac:dyDescent="0.25">
      <c r="A8" s="141" t="s">
        <v>130</v>
      </c>
      <c r="B8" s="223" t="s">
        <v>160</v>
      </c>
      <c r="C8" s="223" t="s">
        <v>144</v>
      </c>
      <c r="D8" s="145" t="s">
        <v>75</v>
      </c>
      <c r="E8" s="210">
        <v>56</v>
      </c>
      <c r="F8" s="210">
        <v>113</v>
      </c>
      <c r="G8" s="4">
        <f t="shared" si="4"/>
        <v>6328</v>
      </c>
      <c r="H8" s="148">
        <v>8.0021400000000007</v>
      </c>
      <c r="I8" s="4">
        <f t="shared" si="5"/>
        <v>50637.541920000003</v>
      </c>
      <c r="J8" s="210">
        <v>52878</v>
      </c>
      <c r="K8" s="125"/>
      <c r="L8" s="125"/>
      <c r="M8" s="125">
        <f t="shared" si="6"/>
        <v>-2240.4580799999967</v>
      </c>
      <c r="N8" s="22">
        <f t="shared" si="7"/>
        <v>-2240.4580799999967</v>
      </c>
      <c r="Q8" s="140"/>
    </row>
    <row r="9" spans="1:17" ht="77.25" customHeight="1" x14ac:dyDescent="0.25">
      <c r="A9" s="141" t="s">
        <v>130</v>
      </c>
      <c r="B9" s="223" t="s">
        <v>143</v>
      </c>
      <c r="C9" s="223" t="s">
        <v>117</v>
      </c>
      <c r="D9" s="145"/>
      <c r="E9" s="210">
        <v>56</v>
      </c>
      <c r="F9" s="210">
        <v>113</v>
      </c>
      <c r="G9" s="4">
        <f t="shared" si="4"/>
        <v>6328</v>
      </c>
      <c r="H9" s="148">
        <v>0.5</v>
      </c>
      <c r="I9" s="4">
        <f t="shared" si="5"/>
        <v>3164</v>
      </c>
      <c r="J9" s="210">
        <v>3304</v>
      </c>
      <c r="K9" s="125"/>
      <c r="L9" s="125"/>
      <c r="M9" s="125">
        <f t="shared" si="6"/>
        <v>-140</v>
      </c>
      <c r="N9" s="22">
        <f t="shared" si="7"/>
        <v>-140</v>
      </c>
      <c r="Q9" s="140" t="s">
        <v>85</v>
      </c>
    </row>
    <row r="10" spans="1:17" s="208" customFormat="1" ht="53.25" customHeight="1" x14ac:dyDescent="0.25">
      <c r="A10" s="21" t="s">
        <v>130</v>
      </c>
      <c r="B10" s="267" t="s">
        <v>153</v>
      </c>
      <c r="C10" s="267" t="s">
        <v>154</v>
      </c>
      <c r="D10" s="268"/>
      <c r="E10" s="269">
        <v>56</v>
      </c>
      <c r="F10" s="269">
        <v>113.339</v>
      </c>
      <c r="G10" s="255">
        <f t="shared" si="4"/>
        <v>6346.9840000000004</v>
      </c>
      <c r="H10" s="270">
        <v>0.5</v>
      </c>
      <c r="I10" s="255">
        <f t="shared" si="5"/>
        <v>3173.4920000000002</v>
      </c>
      <c r="J10" s="269">
        <v>0</v>
      </c>
      <c r="K10" s="271">
        <f>N10</f>
        <v>3173.4920000000002</v>
      </c>
      <c r="L10" s="272"/>
      <c r="M10" s="273"/>
      <c r="N10" s="274">
        <f t="shared" si="7"/>
        <v>3173.4920000000002</v>
      </c>
      <c r="Q10" s="140"/>
    </row>
    <row r="11" spans="1:17" ht="75.75" customHeight="1" x14ac:dyDescent="0.25">
      <c r="A11" s="141"/>
      <c r="B11" s="223" t="s">
        <v>123</v>
      </c>
      <c r="C11" s="223" t="s">
        <v>170</v>
      </c>
      <c r="D11" s="145"/>
      <c r="E11" s="210">
        <v>56</v>
      </c>
      <c r="F11" s="210">
        <v>1</v>
      </c>
      <c r="G11" s="4">
        <f t="shared" si="4"/>
        <v>56</v>
      </c>
      <c r="H11" s="148">
        <v>3</v>
      </c>
      <c r="I11" s="4">
        <f t="shared" si="5"/>
        <v>168</v>
      </c>
      <c r="J11" s="210">
        <v>168</v>
      </c>
      <c r="K11" s="125"/>
      <c r="L11" s="125"/>
      <c r="M11" s="125">
        <f t="shared" si="6"/>
        <v>0</v>
      </c>
      <c r="N11" s="22">
        <f t="shared" si="7"/>
        <v>0</v>
      </c>
      <c r="Q11" s="140" t="s">
        <v>59</v>
      </c>
    </row>
    <row r="12" spans="1:17" ht="51" customHeight="1" x14ac:dyDescent="0.25">
      <c r="A12" s="141"/>
      <c r="B12" s="248" t="s">
        <v>124</v>
      </c>
      <c r="C12" s="223" t="s">
        <v>73</v>
      </c>
      <c r="D12" s="145"/>
      <c r="E12" s="210">
        <v>56</v>
      </c>
      <c r="F12" s="210">
        <v>340</v>
      </c>
      <c r="G12" s="4">
        <f t="shared" ref="G12" si="8">+E12*F12</f>
        <v>19040</v>
      </c>
      <c r="H12" s="148">
        <v>0.25</v>
      </c>
      <c r="I12" s="4">
        <f t="shared" ref="I12" si="9">+G12*H12</f>
        <v>4760</v>
      </c>
      <c r="J12" s="210">
        <v>4956</v>
      </c>
      <c r="K12" s="125"/>
      <c r="L12" s="125"/>
      <c r="M12" s="125">
        <f t="shared" si="6"/>
        <v>-196</v>
      </c>
      <c r="N12" s="22">
        <f t="shared" ref="N12:N13" si="10">+I12-J12</f>
        <v>-196</v>
      </c>
      <c r="Q12" s="49" t="s">
        <v>53</v>
      </c>
    </row>
    <row r="13" spans="1:17" ht="53.25" customHeight="1" x14ac:dyDescent="0.25">
      <c r="A13" s="141" t="s">
        <v>62</v>
      </c>
      <c r="B13" s="223" t="s">
        <v>138</v>
      </c>
      <c r="C13" s="223" t="s">
        <v>78</v>
      </c>
      <c r="D13" s="145" t="s">
        <v>69</v>
      </c>
      <c r="E13" s="120">
        <v>56</v>
      </c>
      <c r="F13" s="210">
        <v>340</v>
      </c>
      <c r="G13" s="4">
        <f>+E13*F13</f>
        <v>19040</v>
      </c>
      <c r="H13" s="148">
        <v>0.2</v>
      </c>
      <c r="I13" s="4">
        <f>+G13*H13</f>
        <v>3808</v>
      </c>
      <c r="J13" s="210">
        <v>3965</v>
      </c>
      <c r="K13" s="125"/>
      <c r="L13" s="125"/>
      <c r="M13" s="125">
        <f t="shared" si="6"/>
        <v>-157</v>
      </c>
      <c r="N13" s="22">
        <f t="shared" si="10"/>
        <v>-157</v>
      </c>
      <c r="Q13" s="140" t="s">
        <v>130</v>
      </c>
    </row>
    <row r="14" spans="1:17" ht="57" customHeight="1" x14ac:dyDescent="0.25">
      <c r="A14" s="141" t="s">
        <v>59</v>
      </c>
      <c r="B14" s="223" t="s">
        <v>125</v>
      </c>
      <c r="C14" s="223" t="s">
        <v>90</v>
      </c>
      <c r="D14" s="145"/>
      <c r="E14" s="210">
        <v>56</v>
      </c>
      <c r="F14" s="210">
        <v>1</v>
      </c>
      <c r="G14" s="4">
        <f t="shared" ref="G14:G15" si="11">+E14*F14</f>
        <v>56</v>
      </c>
      <c r="H14" s="148">
        <v>0.25</v>
      </c>
      <c r="I14" s="4">
        <f t="shared" ref="I14:I15" si="12">+G14*H14</f>
        <v>14</v>
      </c>
      <c r="J14" s="210">
        <v>14</v>
      </c>
      <c r="K14" s="125"/>
      <c r="L14" s="125"/>
      <c r="M14" s="125">
        <f t="shared" si="6"/>
        <v>0</v>
      </c>
      <c r="N14" s="22">
        <f t="shared" ref="N14:N15" si="13">+I14-J14</f>
        <v>0</v>
      </c>
      <c r="Q14" s="49"/>
    </row>
    <row r="15" spans="1:17" x14ac:dyDescent="0.25">
      <c r="A15" s="141"/>
      <c r="B15" s="223"/>
      <c r="C15" s="223"/>
      <c r="D15" s="145"/>
      <c r="E15" s="210"/>
      <c r="F15" s="210"/>
      <c r="G15" s="4">
        <f t="shared" si="11"/>
        <v>0</v>
      </c>
      <c r="H15" s="148"/>
      <c r="I15" s="4">
        <f t="shared" si="12"/>
        <v>0</v>
      </c>
      <c r="J15" s="210">
        <v>0</v>
      </c>
      <c r="K15" s="125"/>
      <c r="L15" s="125"/>
      <c r="M15" s="125">
        <f t="shared" si="6"/>
        <v>0</v>
      </c>
      <c r="N15" s="22">
        <f t="shared" si="13"/>
        <v>0</v>
      </c>
      <c r="Q15" s="49"/>
    </row>
    <row r="16" spans="1:17" ht="15.75" x14ac:dyDescent="0.25">
      <c r="A16" s="153" t="s">
        <v>139</v>
      </c>
      <c r="B16" s="53"/>
      <c r="C16" s="57" t="s">
        <v>34</v>
      </c>
      <c r="D16" s="54"/>
      <c r="E16" s="55">
        <f>+MAX(E5:E14)</f>
        <v>56</v>
      </c>
      <c r="F16" s="55">
        <f>IF(E16=0,"",G16/E16)</f>
        <v>1475.3389999999999</v>
      </c>
      <c r="G16" s="55">
        <f>SUM(G5:G15)</f>
        <v>82618.983999999997</v>
      </c>
      <c r="H16" s="135">
        <f>IF(G16=0,"",I16/G16)</f>
        <v>1.5067122335951264</v>
      </c>
      <c r="I16" s="55">
        <f t="shared" ref="I16:N16" si="14">SUM(I5:I15)</f>
        <v>124483.03392</v>
      </c>
      <c r="J16" s="55">
        <f t="shared" si="14"/>
        <v>126465</v>
      </c>
      <c r="K16" s="126">
        <f t="shared" si="14"/>
        <v>3173.4920000000002</v>
      </c>
      <c r="L16" s="126">
        <f t="shared" si="14"/>
        <v>0</v>
      </c>
      <c r="M16" s="126">
        <f t="shared" si="14"/>
        <v>-5155.4580799999967</v>
      </c>
      <c r="N16" s="127">
        <f t="shared" si="14"/>
        <v>-1981.9660799999965</v>
      </c>
      <c r="Q16" s="47" t="s">
        <v>72</v>
      </c>
    </row>
    <row r="17" spans="1:17" ht="18.75" customHeight="1" x14ac:dyDescent="0.25">
      <c r="A17" s="281" t="s">
        <v>55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3"/>
      <c r="O17" s="52"/>
      <c r="P17" s="1"/>
      <c r="Q17" s="47" t="s">
        <v>64</v>
      </c>
    </row>
    <row r="18" spans="1:17" ht="41.25" customHeight="1" x14ac:dyDescent="0.25">
      <c r="A18" s="141"/>
      <c r="B18" s="84" t="s">
        <v>66</v>
      </c>
      <c r="C18" s="84" t="s">
        <v>67</v>
      </c>
      <c r="D18" s="90"/>
      <c r="E18" s="142">
        <v>19019</v>
      </c>
      <c r="F18" s="91">
        <v>4</v>
      </c>
      <c r="G18" s="4">
        <f t="shared" ref="G18" si="15">+E18*F18</f>
        <v>76076</v>
      </c>
      <c r="H18" s="147">
        <v>0.65</v>
      </c>
      <c r="I18" s="4">
        <f t="shared" ref="I18" si="16">+G18*H18</f>
        <v>49449.4</v>
      </c>
      <c r="J18" s="91">
        <v>51537</v>
      </c>
      <c r="K18" s="82"/>
      <c r="L18" s="82"/>
      <c r="M18" s="82">
        <f t="shared" ref="M18:M25" si="17">N18</f>
        <v>-2087.5999999999985</v>
      </c>
      <c r="N18" s="83">
        <f>+I18-J18</f>
        <v>-2087.5999999999985</v>
      </c>
      <c r="Q18" s="47" t="s">
        <v>75</v>
      </c>
    </row>
    <row r="19" spans="1:17" ht="60" customHeight="1" x14ac:dyDescent="0.25">
      <c r="A19" s="141" t="s">
        <v>85</v>
      </c>
      <c r="B19" s="143" t="s">
        <v>87</v>
      </c>
      <c r="C19" s="143" t="s">
        <v>101</v>
      </c>
      <c r="D19" s="151"/>
      <c r="E19" s="142">
        <v>19019</v>
      </c>
      <c r="F19" s="142">
        <v>1</v>
      </c>
      <c r="G19" s="4">
        <f>+E19*F19</f>
        <v>19019</v>
      </c>
      <c r="H19" s="147">
        <v>20</v>
      </c>
      <c r="I19" s="4">
        <f>+G19*H19</f>
        <v>380380</v>
      </c>
      <c r="J19" s="142">
        <v>396440</v>
      </c>
      <c r="K19" s="82"/>
      <c r="L19" s="82"/>
      <c r="M19" s="82">
        <f>N19</f>
        <v>-16060</v>
      </c>
      <c r="N19" s="22">
        <f t="shared" ref="N19" si="18">+I19-J19</f>
        <v>-16060</v>
      </c>
      <c r="Q19" s="47"/>
    </row>
    <row r="20" spans="1:17" ht="69" customHeight="1" x14ac:dyDescent="0.25">
      <c r="A20" s="141"/>
      <c r="B20" s="84" t="s">
        <v>95</v>
      </c>
      <c r="C20" s="143" t="s">
        <v>98</v>
      </c>
      <c r="D20" s="90"/>
      <c r="E20" s="142">
        <v>19019</v>
      </c>
      <c r="F20" s="91">
        <v>10</v>
      </c>
      <c r="G20" s="4">
        <f t="shared" ref="G20:G25" si="19">+E20*F20</f>
        <v>190190</v>
      </c>
      <c r="H20" s="147">
        <v>5</v>
      </c>
      <c r="I20" s="4">
        <f t="shared" ref="I20:I24" si="20">+G20*H20</f>
        <v>950950</v>
      </c>
      <c r="J20" s="91">
        <v>991100</v>
      </c>
      <c r="K20" s="82"/>
      <c r="L20" s="82"/>
      <c r="M20" s="82">
        <f t="shared" si="17"/>
        <v>-40150</v>
      </c>
      <c r="N20" s="83">
        <f t="shared" ref="N20:N25" si="21">+I20-J20</f>
        <v>-40150</v>
      </c>
      <c r="Q20" s="47"/>
    </row>
    <row r="21" spans="1:17" ht="54" customHeight="1" x14ac:dyDescent="0.25">
      <c r="A21" s="141" t="s">
        <v>60</v>
      </c>
      <c r="B21" s="84" t="s">
        <v>94</v>
      </c>
      <c r="C21" s="143" t="s">
        <v>68</v>
      </c>
      <c r="D21" s="90"/>
      <c r="E21" s="142">
        <v>19019</v>
      </c>
      <c r="F21" s="142">
        <v>1</v>
      </c>
      <c r="G21" s="101">
        <f t="shared" si="19"/>
        <v>19019</v>
      </c>
      <c r="H21" s="129">
        <v>0.25</v>
      </c>
      <c r="I21" s="101">
        <f>+G21*H21+0.19</f>
        <v>4754.9399999999996</v>
      </c>
      <c r="J21" s="91">
        <v>4956</v>
      </c>
      <c r="K21" s="82"/>
      <c r="L21" s="82"/>
      <c r="M21" s="82">
        <f t="shared" si="17"/>
        <v>-201.0600000000004</v>
      </c>
      <c r="N21" s="83">
        <f t="shared" si="21"/>
        <v>-201.0600000000004</v>
      </c>
      <c r="Q21" s="47"/>
    </row>
    <row r="22" spans="1:17" ht="42.6" customHeight="1" x14ac:dyDescent="0.25">
      <c r="A22" s="141"/>
      <c r="B22" s="84" t="s">
        <v>145</v>
      </c>
      <c r="C22" s="84" t="s">
        <v>65</v>
      </c>
      <c r="D22" s="90"/>
      <c r="E22" s="142">
        <v>19019</v>
      </c>
      <c r="F22" s="91">
        <v>1</v>
      </c>
      <c r="G22" s="4">
        <f t="shared" si="19"/>
        <v>19019</v>
      </c>
      <c r="H22" s="147">
        <v>2.66</v>
      </c>
      <c r="I22" s="4">
        <f t="shared" si="20"/>
        <v>50590.54</v>
      </c>
      <c r="J22" s="91">
        <v>52727</v>
      </c>
      <c r="K22" s="82"/>
      <c r="L22" s="82"/>
      <c r="M22" s="82">
        <f t="shared" si="17"/>
        <v>-2136.4599999999991</v>
      </c>
      <c r="N22" s="83">
        <f t="shared" si="21"/>
        <v>-2136.4599999999991</v>
      </c>
      <c r="Q22" s="47"/>
    </row>
    <row r="23" spans="1:17" ht="30" x14ac:dyDescent="0.25">
      <c r="A23" s="141" t="s">
        <v>62</v>
      </c>
      <c r="B23" s="84" t="s">
        <v>97</v>
      </c>
      <c r="C23" s="84" t="s">
        <v>79</v>
      </c>
      <c r="D23" s="90"/>
      <c r="E23" s="142">
        <v>19019</v>
      </c>
      <c r="F23" s="91">
        <v>1</v>
      </c>
      <c r="G23" s="4">
        <f t="shared" si="19"/>
        <v>19019</v>
      </c>
      <c r="H23" s="147">
        <v>5</v>
      </c>
      <c r="I23" s="4">
        <f t="shared" si="20"/>
        <v>95095</v>
      </c>
      <c r="J23" s="91">
        <v>99110</v>
      </c>
      <c r="K23" s="82"/>
      <c r="L23" s="82"/>
      <c r="M23" s="82">
        <f t="shared" si="17"/>
        <v>-4015</v>
      </c>
      <c r="N23" s="83">
        <f t="shared" si="21"/>
        <v>-4015</v>
      </c>
      <c r="Q23" s="47"/>
    </row>
    <row r="24" spans="1:17" ht="68.25" customHeight="1" x14ac:dyDescent="0.25">
      <c r="A24" s="141" t="s">
        <v>62</v>
      </c>
      <c r="B24" s="84" t="s">
        <v>96</v>
      </c>
      <c r="C24" s="84" t="s">
        <v>80</v>
      </c>
      <c r="D24" s="90"/>
      <c r="E24" s="142">
        <v>19019</v>
      </c>
      <c r="F24" s="91">
        <v>1</v>
      </c>
      <c r="G24" s="4">
        <f t="shared" si="19"/>
        <v>19019</v>
      </c>
      <c r="H24" s="147">
        <v>10</v>
      </c>
      <c r="I24" s="4">
        <f t="shared" si="20"/>
        <v>190190</v>
      </c>
      <c r="J24" s="91">
        <v>198220</v>
      </c>
      <c r="K24" s="82"/>
      <c r="L24" s="82"/>
      <c r="M24" s="82">
        <f t="shared" si="17"/>
        <v>-8030</v>
      </c>
      <c r="N24" s="83">
        <f t="shared" si="21"/>
        <v>-8030</v>
      </c>
      <c r="Q24" s="47"/>
    </row>
    <row r="25" spans="1:17" ht="46.15" customHeight="1" x14ac:dyDescent="0.25">
      <c r="A25" s="141" t="s">
        <v>59</v>
      </c>
      <c r="B25" s="143" t="s">
        <v>86</v>
      </c>
      <c r="C25" s="143" t="s">
        <v>84</v>
      </c>
      <c r="D25" s="90"/>
      <c r="E25" s="142">
        <v>19019</v>
      </c>
      <c r="F25" s="91">
        <v>1</v>
      </c>
      <c r="G25" s="4">
        <f t="shared" si="19"/>
        <v>19019</v>
      </c>
      <c r="H25" s="129">
        <v>0.25</v>
      </c>
      <c r="I25" s="4">
        <f>+G25*H25</f>
        <v>4754.75</v>
      </c>
      <c r="J25" s="142">
        <v>4955</v>
      </c>
      <c r="K25" s="82"/>
      <c r="L25" s="82"/>
      <c r="M25" s="82">
        <f t="shared" si="17"/>
        <v>-200.25</v>
      </c>
      <c r="N25" s="83">
        <f t="shared" si="21"/>
        <v>-200.25</v>
      </c>
      <c r="Q25" s="47"/>
    </row>
    <row r="26" spans="1:17" ht="54" customHeight="1" x14ac:dyDescent="0.25">
      <c r="A26" s="141" t="s">
        <v>53</v>
      </c>
      <c r="B26" s="223" t="s">
        <v>162</v>
      </c>
      <c r="C26" s="223" t="s">
        <v>54</v>
      </c>
      <c r="D26" s="151"/>
      <c r="E26" s="142">
        <v>19019</v>
      </c>
      <c r="F26" s="142">
        <v>1</v>
      </c>
      <c r="G26" s="4">
        <f>+E26*F26</f>
        <v>19019</v>
      </c>
      <c r="H26" s="147">
        <v>0.25</v>
      </c>
      <c r="I26" s="242">
        <f>+G26*H26</f>
        <v>4754.75</v>
      </c>
      <c r="J26" s="142">
        <v>4955</v>
      </c>
      <c r="K26" s="82"/>
      <c r="M26" s="125">
        <f>I26-J26</f>
        <v>-200.25</v>
      </c>
      <c r="N26" s="243">
        <f>+I26-J26</f>
        <v>-200.25</v>
      </c>
      <c r="Q26" s="47"/>
    </row>
    <row r="27" spans="1:17" x14ac:dyDescent="0.25">
      <c r="A27" s="141"/>
      <c r="B27" s="143"/>
      <c r="C27" s="143"/>
      <c r="D27" s="151"/>
      <c r="E27" s="142"/>
      <c r="F27" s="142"/>
      <c r="G27" s="4">
        <f>+E27*F27</f>
        <v>0</v>
      </c>
      <c r="H27" s="147"/>
      <c r="I27" s="4">
        <f>+G27*H27</f>
        <v>0</v>
      </c>
      <c r="J27" s="142"/>
      <c r="K27" s="82"/>
      <c r="L27" s="82"/>
      <c r="M27" s="82">
        <f>N27</f>
        <v>0</v>
      </c>
      <c r="N27" s="83">
        <f t="shared" ref="N27" si="22">+I27-J27</f>
        <v>0</v>
      </c>
      <c r="Q27" s="47"/>
    </row>
    <row r="28" spans="1:17" ht="15.75" x14ac:dyDescent="0.25">
      <c r="A28" s="153" t="s">
        <v>139</v>
      </c>
      <c r="B28" s="130"/>
      <c r="C28" s="131" t="s">
        <v>33</v>
      </c>
      <c r="D28" s="132"/>
      <c r="E28" s="126">
        <f>+MAX(E18:E27)</f>
        <v>19019</v>
      </c>
      <c r="F28" s="136">
        <f>IF(E28=0,"",G28/E28)</f>
        <v>21</v>
      </c>
      <c r="G28" s="126">
        <f>SUM(G18:G26)</f>
        <v>399399</v>
      </c>
      <c r="H28" s="135">
        <f>IF(G28=0,"",I28/G28)</f>
        <v>4.3338099995242851</v>
      </c>
      <c r="I28" s="126">
        <f>SUM(I18:I26)</f>
        <v>1730919.38</v>
      </c>
      <c r="J28" s="126">
        <f>SUM(J18:J27)</f>
        <v>1804000</v>
      </c>
      <c r="K28" s="134">
        <f>SUM(K18:K27)</f>
        <v>0</v>
      </c>
      <c r="L28" s="134">
        <f>SUM(L18:L27)</f>
        <v>0</v>
      </c>
      <c r="M28" s="134">
        <f>SUM(M18:M27)</f>
        <v>-73080.62</v>
      </c>
      <c r="N28" s="133">
        <f>SUM(N18:N26)</f>
        <v>-73080.62</v>
      </c>
      <c r="Q28" s="47"/>
    </row>
    <row r="29" spans="1:17" ht="18.75" x14ac:dyDescent="0.25">
      <c r="A29" s="281" t="s">
        <v>29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3"/>
      <c r="O29" s="52"/>
      <c r="P29" s="1"/>
      <c r="Q29" s="47"/>
    </row>
    <row r="30" spans="1:17" ht="65.25" customHeight="1" x14ac:dyDescent="0.25">
      <c r="A30" s="141"/>
      <c r="B30" s="144" t="s">
        <v>116</v>
      </c>
      <c r="C30" s="10" t="s">
        <v>156</v>
      </c>
      <c r="D30" s="11"/>
      <c r="E30" s="239">
        <v>29058</v>
      </c>
      <c r="F30" s="12">
        <v>1</v>
      </c>
      <c r="G30" s="4">
        <f t="shared" ref="G30:G31" si="23">+E30*F30</f>
        <v>29058</v>
      </c>
      <c r="H30" s="104">
        <v>0.08</v>
      </c>
      <c r="I30" s="4">
        <f t="shared" ref="I30:I31" si="24">+G30*H30</f>
        <v>2324.64</v>
      </c>
      <c r="J30" s="12">
        <v>2432</v>
      </c>
      <c r="K30" s="12"/>
      <c r="L30" s="12"/>
      <c r="M30" s="12">
        <f t="shared" ref="M30:M34" si="25">N30</f>
        <v>-107.36000000000013</v>
      </c>
      <c r="N30" s="22">
        <f t="shared" ref="N30:N31" si="26">+I30-J30</f>
        <v>-107.36000000000013</v>
      </c>
      <c r="Q30" s="47"/>
    </row>
    <row r="31" spans="1:17" ht="45.75" customHeight="1" x14ac:dyDescent="0.25">
      <c r="A31" s="141" t="s">
        <v>85</v>
      </c>
      <c r="B31" s="149" t="s">
        <v>87</v>
      </c>
      <c r="C31" s="149" t="s">
        <v>119</v>
      </c>
      <c r="D31" s="11"/>
      <c r="E31" s="239">
        <v>96860</v>
      </c>
      <c r="F31" s="12">
        <v>1</v>
      </c>
      <c r="G31" s="4">
        <f t="shared" si="23"/>
        <v>96860</v>
      </c>
      <c r="H31" s="104">
        <v>0.5</v>
      </c>
      <c r="I31" s="4">
        <f t="shared" si="24"/>
        <v>48430</v>
      </c>
      <c r="J31" s="12">
        <v>50666</v>
      </c>
      <c r="K31" s="12"/>
      <c r="L31" s="12"/>
      <c r="M31" s="12">
        <f t="shared" si="25"/>
        <v>-2236</v>
      </c>
      <c r="N31" s="22">
        <f t="shared" si="26"/>
        <v>-2236</v>
      </c>
      <c r="Q31" s="47"/>
    </row>
    <row r="32" spans="1:17" ht="54" customHeight="1" x14ac:dyDescent="0.25">
      <c r="A32" s="141"/>
      <c r="B32" s="144" t="s">
        <v>71</v>
      </c>
      <c r="C32" s="149" t="s">
        <v>103</v>
      </c>
      <c r="D32" s="11"/>
      <c r="E32" s="239">
        <v>96860</v>
      </c>
      <c r="F32" s="12">
        <v>180</v>
      </c>
      <c r="G32" s="4">
        <f t="shared" ref="G32:G34" si="27">+E32*F32</f>
        <v>17434800</v>
      </c>
      <c r="H32" s="104">
        <v>0.15</v>
      </c>
      <c r="I32" s="4">
        <f t="shared" ref="I32:I34" si="28">+G32*H32</f>
        <v>2615220</v>
      </c>
      <c r="J32" s="12">
        <v>2735964</v>
      </c>
      <c r="K32" s="12"/>
      <c r="L32" s="12"/>
      <c r="M32" s="12">
        <f t="shared" si="25"/>
        <v>-120744</v>
      </c>
      <c r="N32" s="22">
        <f t="shared" ref="N32:N34" si="29">+I32-J32</f>
        <v>-120744</v>
      </c>
      <c r="Q32" s="47"/>
    </row>
    <row r="33" spans="1:17" ht="43.5" customHeight="1" x14ac:dyDescent="0.25">
      <c r="A33" s="141"/>
      <c r="B33" s="144" t="s">
        <v>99</v>
      </c>
      <c r="C33" s="10" t="s">
        <v>104</v>
      </c>
      <c r="D33" s="11"/>
      <c r="E33" s="239">
        <v>96860</v>
      </c>
      <c r="F33" s="12">
        <v>180</v>
      </c>
      <c r="G33" s="4">
        <f t="shared" si="27"/>
        <v>17434800</v>
      </c>
      <c r="H33" s="104">
        <v>0.25</v>
      </c>
      <c r="I33" s="4">
        <f t="shared" si="28"/>
        <v>4358700</v>
      </c>
      <c r="J33" s="12">
        <v>4559940</v>
      </c>
      <c r="K33" s="12"/>
      <c r="L33" s="12"/>
      <c r="M33" s="12">
        <f t="shared" si="25"/>
        <v>-201240</v>
      </c>
      <c r="N33" s="22">
        <f t="shared" si="29"/>
        <v>-201240</v>
      </c>
      <c r="Q33" s="47"/>
    </row>
    <row r="34" spans="1:17" ht="46.5" customHeight="1" x14ac:dyDescent="0.25">
      <c r="A34" s="141"/>
      <c r="B34" s="144" t="s">
        <v>105</v>
      </c>
      <c r="C34" s="10" t="s">
        <v>102</v>
      </c>
      <c r="D34" s="11"/>
      <c r="E34" s="239">
        <v>96860</v>
      </c>
      <c r="F34" s="12">
        <v>120</v>
      </c>
      <c r="G34" s="4">
        <f t="shared" si="27"/>
        <v>11623200</v>
      </c>
      <c r="H34" s="104">
        <v>0.02</v>
      </c>
      <c r="I34" s="4">
        <f t="shared" si="28"/>
        <v>232464</v>
      </c>
      <c r="J34" s="12">
        <v>243197</v>
      </c>
      <c r="K34" s="12"/>
      <c r="L34" s="12"/>
      <c r="M34" s="12">
        <f t="shared" si="25"/>
        <v>-10733</v>
      </c>
      <c r="N34" s="22">
        <f t="shared" si="29"/>
        <v>-10733</v>
      </c>
      <c r="Q34" s="47"/>
    </row>
    <row r="35" spans="1:17" x14ac:dyDescent="0.25">
      <c r="A35" s="141"/>
      <c r="B35" s="143"/>
      <c r="C35" s="143"/>
      <c r="D35" s="11"/>
      <c r="E35" s="12"/>
      <c r="F35" s="12"/>
      <c r="G35" s="4">
        <f t="shared" ref="G35" si="30">+E35*F35</f>
        <v>0</v>
      </c>
      <c r="H35" s="104"/>
      <c r="I35" s="4">
        <f t="shared" ref="I35" si="31">+G35*H35</f>
        <v>0</v>
      </c>
      <c r="J35" s="12"/>
      <c r="K35" s="12"/>
      <c r="L35" s="12"/>
      <c r="M35" s="12"/>
      <c r="N35" s="22"/>
      <c r="Q35" s="47"/>
    </row>
    <row r="36" spans="1:17" x14ac:dyDescent="0.25">
      <c r="A36" s="141"/>
      <c r="B36" s="144"/>
      <c r="C36" s="10"/>
      <c r="D36" s="11"/>
      <c r="E36" s="12"/>
      <c r="F36" s="12"/>
      <c r="G36" s="4">
        <f t="shared" ref="G36" si="32">+E36*F36</f>
        <v>0</v>
      </c>
      <c r="H36" s="13"/>
      <c r="I36" s="4">
        <f t="shared" ref="I36" si="33">+G36*H36</f>
        <v>0</v>
      </c>
      <c r="J36" s="12"/>
      <c r="K36" s="12"/>
      <c r="L36" s="12"/>
      <c r="M36" s="12"/>
      <c r="N36" s="22">
        <f t="shared" ref="N36" si="34">+I36-J36</f>
        <v>0</v>
      </c>
      <c r="Q36" s="47"/>
    </row>
    <row r="37" spans="1:17" ht="16.5" thickBot="1" x14ac:dyDescent="0.3">
      <c r="A37" s="153" t="s">
        <v>139</v>
      </c>
      <c r="B37" s="53"/>
      <c r="C37" s="57" t="s">
        <v>42</v>
      </c>
      <c r="D37" s="54"/>
      <c r="E37" s="126">
        <f>+MAX(E30:E36)</f>
        <v>96860</v>
      </c>
      <c r="F37" s="135">
        <f>IF(E37=0,"",G37/E37)</f>
        <v>481.3</v>
      </c>
      <c r="G37" s="55">
        <f>SUM(G30:G36)</f>
        <v>46618718</v>
      </c>
      <c r="H37" s="135">
        <f>IF(G37=0,"",I37/G37)</f>
        <v>0.15567006025348018</v>
      </c>
      <c r="I37" s="55">
        <f t="shared" ref="I37:N37" si="35">SUM(I30:I36)</f>
        <v>7257138.6400000006</v>
      </c>
      <c r="J37" s="55">
        <f t="shared" si="35"/>
        <v>7592199</v>
      </c>
      <c r="K37" s="55">
        <f t="shared" si="35"/>
        <v>0</v>
      </c>
      <c r="L37" s="55">
        <f t="shared" si="35"/>
        <v>0</v>
      </c>
      <c r="M37" s="55">
        <f t="shared" si="35"/>
        <v>-335060.36</v>
      </c>
      <c r="N37" s="56">
        <f t="shared" si="35"/>
        <v>-335060.36</v>
      </c>
      <c r="Q37" s="48"/>
    </row>
    <row r="38" spans="1:17" ht="25.5" customHeight="1" thickBot="1" x14ac:dyDescent="0.3">
      <c r="A38" s="58"/>
      <c r="B38" s="59"/>
      <c r="C38" s="60" t="s">
        <v>43</v>
      </c>
      <c r="D38" s="61"/>
      <c r="E38" s="112">
        <f>+SUM($E$16+$E$28+$E$37)</f>
        <v>115935</v>
      </c>
      <c r="F38" s="112">
        <f>IF(E38=0,"",G38/E38)</f>
        <v>406.26847788847198</v>
      </c>
      <c r="G38" s="112">
        <f>+G16+G28+G37</f>
        <v>47100735.983999997</v>
      </c>
      <c r="H38" s="107">
        <f>IF(G38=0,"",I38/G38)</f>
        <v>0.19346918606570199</v>
      </c>
      <c r="I38" s="112">
        <f t="shared" ref="I38:N38" si="36">+I16+I28+I37</f>
        <v>9112541.0539200008</v>
      </c>
      <c r="J38" s="112">
        <f t="shared" si="36"/>
        <v>9522664</v>
      </c>
      <c r="K38" s="112">
        <f t="shared" si="36"/>
        <v>3173.4920000000002</v>
      </c>
      <c r="L38" s="112">
        <f t="shared" si="36"/>
        <v>0</v>
      </c>
      <c r="M38" s="112">
        <f t="shared" si="36"/>
        <v>-413296.43807999999</v>
      </c>
      <c r="N38" s="119">
        <f t="shared" si="36"/>
        <v>-410122.94607999997</v>
      </c>
      <c r="Q38" s="14"/>
    </row>
    <row r="39" spans="1:17" x14ac:dyDescent="0.25">
      <c r="C39" s="14"/>
      <c r="Q39" s="14"/>
    </row>
  </sheetData>
  <sheetProtection selectLockedCells="1"/>
  <autoFilter ref="A3:N38"/>
  <dataConsolidate/>
  <mergeCells count="4">
    <mergeCell ref="A1:N1"/>
    <mergeCell ref="A4:N4"/>
    <mergeCell ref="A17:N17"/>
    <mergeCell ref="A29:N29"/>
  </mergeCells>
  <dataValidations count="2">
    <dataValidation type="list" allowBlank="1" showInputMessage="1" showErrorMessage="1" sqref="A5 A18:A27 A30:A36 A8:A15">
      <formula1>$Q$5:$Q$14</formula1>
    </dataValidation>
    <dataValidation type="list" allowBlank="1" showInputMessage="1" showErrorMessage="1" sqref="A6:A7">
      <formula1>$Q$14:$Q$30</formula1>
    </dataValidation>
  </dataValidations>
  <printOptions horizontalCentered="1"/>
  <pageMargins left="0.7" right="0.7" top="0.75" bottom="0.75" header="0.3" footer="0.3"/>
  <pageSetup paperSize="5" scale="72" fitToHeight="0" orientation="landscape" r:id="rId1"/>
  <headerFooter>
    <oddHeader>&amp;COMB Control #0584-0006
&amp;"-,Bold"&amp;12 Attachment A 7 CFR Part 210 - National School Lunch Program Burden</oddHeader>
  </headerFooter>
  <ignoredErrors>
    <ignoredError sqref="G38:H38 F38 H16 H28 H37" formula="1"/>
    <ignoredError sqref="M11:M15 M18 M20:M25 M27 M30:M34 M6:M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20"/>
  <sheetViews>
    <sheetView zoomScale="70" zoomScaleNormal="70" workbookViewId="0">
      <pane ySplit="3" topLeftCell="A4" activePane="bottomLeft" state="frozen"/>
      <selection pane="bottomLeft" activeCell="K3" sqref="K3"/>
    </sheetView>
  </sheetViews>
  <sheetFormatPr defaultColWidth="8.85546875" defaultRowHeight="15" outlineLevelCol="1" x14ac:dyDescent="0.25"/>
  <cols>
    <col min="1" max="1" width="11.28515625" style="208" customWidth="1"/>
    <col min="2" max="2" width="16.14062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5.7109375" customWidth="1" outlineLevel="1"/>
    <col min="14" max="14" width="13" customWidth="1"/>
    <col min="15" max="15" width="16.42578125" hidden="1" customWidth="1" outlineLevel="1"/>
    <col min="16" max="16" width="8.85546875" collapsed="1"/>
    <col min="17" max="17" width="20.42578125" hidden="1" customWidth="1" outlineLevel="1"/>
    <col min="18" max="18" width="8.85546875" collapsed="1"/>
    <col min="64" max="64" width="8.7109375" customWidth="1"/>
  </cols>
  <sheetData>
    <row r="1" spans="1:17" ht="30.75" customHeight="1" thickBot="1" x14ac:dyDescent="0.4">
      <c r="A1" s="286" t="s">
        <v>127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7"/>
    </row>
    <row r="2" spans="1:17" ht="24" customHeight="1" thickBot="1" x14ac:dyDescent="0.3">
      <c r="A2" s="16"/>
      <c r="B2" s="158"/>
      <c r="C2" s="158"/>
      <c r="D2" s="159"/>
      <c r="E2" s="160" t="s">
        <v>13</v>
      </c>
      <c r="F2" s="160" t="s">
        <v>14</v>
      </c>
      <c r="G2" s="160" t="s">
        <v>15</v>
      </c>
      <c r="H2" s="160" t="s">
        <v>16</v>
      </c>
      <c r="I2" s="160" t="s">
        <v>17</v>
      </c>
      <c r="J2" s="160" t="s">
        <v>18</v>
      </c>
      <c r="K2" s="160"/>
      <c r="L2" s="160"/>
      <c r="M2" s="160"/>
      <c r="N2" s="161" t="s">
        <v>19</v>
      </c>
      <c r="O2" s="162"/>
      <c r="P2" s="163"/>
    </row>
    <row r="3" spans="1:17" ht="51.75" thickBot="1" x14ac:dyDescent="0.3">
      <c r="A3" s="23" t="s">
        <v>52</v>
      </c>
      <c r="B3" s="164" t="s">
        <v>0</v>
      </c>
      <c r="C3" s="164" t="s">
        <v>1</v>
      </c>
      <c r="D3" s="245" t="s">
        <v>2</v>
      </c>
      <c r="E3" s="164" t="s">
        <v>21</v>
      </c>
      <c r="F3" s="164" t="s">
        <v>27</v>
      </c>
      <c r="G3" s="164" t="s">
        <v>5</v>
      </c>
      <c r="H3" s="164" t="s">
        <v>24</v>
      </c>
      <c r="I3" s="164" t="s">
        <v>7</v>
      </c>
      <c r="J3" s="164" t="s">
        <v>44</v>
      </c>
      <c r="K3" s="164" t="s">
        <v>165</v>
      </c>
      <c r="L3" s="164" t="s">
        <v>128</v>
      </c>
      <c r="M3" s="164" t="s">
        <v>8</v>
      </c>
      <c r="N3" s="165" t="s">
        <v>9</v>
      </c>
      <c r="O3" s="15" t="s">
        <v>10</v>
      </c>
      <c r="P3" s="1"/>
      <c r="Q3" s="46" t="s">
        <v>26</v>
      </c>
    </row>
    <row r="4" spans="1:17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3"/>
      <c r="O4" s="52"/>
      <c r="P4" s="1"/>
      <c r="Q4" s="46"/>
    </row>
    <row r="5" spans="1:17" ht="62.25" customHeight="1" x14ac:dyDescent="0.25">
      <c r="A5" s="152" t="s">
        <v>130</v>
      </c>
      <c r="B5" s="146" t="s">
        <v>131</v>
      </c>
      <c r="C5" s="173" t="s">
        <v>136</v>
      </c>
      <c r="D5" s="174"/>
      <c r="E5" s="166">
        <v>56</v>
      </c>
      <c r="F5" s="167">
        <v>113</v>
      </c>
      <c r="G5" s="168">
        <f t="shared" ref="G5:G7" si="0">+E5*F5</f>
        <v>6328</v>
      </c>
      <c r="H5" s="169">
        <v>0.25</v>
      </c>
      <c r="I5" s="170">
        <f t="shared" ref="I5:I7" si="1">+G5*H5</f>
        <v>1582</v>
      </c>
      <c r="J5" s="171">
        <v>1736</v>
      </c>
      <c r="K5" s="260"/>
      <c r="L5" s="261"/>
      <c r="M5" s="262">
        <f>N5</f>
        <v>-154</v>
      </c>
      <c r="N5" s="172">
        <f>+I5-J5</f>
        <v>-154</v>
      </c>
      <c r="Q5" s="49"/>
    </row>
    <row r="6" spans="1:17" x14ac:dyDescent="0.25">
      <c r="A6" s="98"/>
      <c r="B6" s="146"/>
      <c r="C6" s="173"/>
      <c r="D6" s="174"/>
      <c r="E6" s="166"/>
      <c r="F6" s="167"/>
      <c r="G6" s="168">
        <f t="shared" ref="G6" si="2">+E6*F6</f>
        <v>0</v>
      </c>
      <c r="H6" s="169"/>
      <c r="I6" s="170">
        <f t="shared" ref="I6" si="3">+G6*H6</f>
        <v>0</v>
      </c>
      <c r="J6" s="171"/>
      <c r="K6" s="167"/>
      <c r="L6" s="167"/>
      <c r="M6" s="167"/>
      <c r="N6" s="172">
        <f>+I6-J6</f>
        <v>0</v>
      </c>
      <c r="Q6" s="49"/>
    </row>
    <row r="7" spans="1:17" x14ac:dyDescent="0.25">
      <c r="A7" s="98"/>
      <c r="B7" s="146"/>
      <c r="C7" s="146"/>
      <c r="D7" s="85"/>
      <c r="E7" s="166"/>
      <c r="F7" s="166"/>
      <c r="G7" s="168">
        <f t="shared" si="0"/>
        <v>0</v>
      </c>
      <c r="H7" s="169"/>
      <c r="I7" s="170">
        <f t="shared" si="1"/>
        <v>0</v>
      </c>
      <c r="J7" s="171"/>
      <c r="K7" s="167"/>
      <c r="L7" s="167"/>
      <c r="M7" s="167"/>
      <c r="N7" s="172">
        <f>+I7-J7</f>
        <v>0</v>
      </c>
      <c r="Q7" s="49" t="s">
        <v>130</v>
      </c>
    </row>
    <row r="8" spans="1:17" ht="15.75" x14ac:dyDescent="0.25">
      <c r="A8" s="98"/>
      <c r="B8" s="175"/>
      <c r="C8" s="176" t="s">
        <v>34</v>
      </c>
      <c r="D8" s="177"/>
      <c r="E8" s="178">
        <f>+MAX(E5:E7)</f>
        <v>56</v>
      </c>
      <c r="F8" s="179">
        <f>IF(E8=0,"",G8/E8)</f>
        <v>113</v>
      </c>
      <c r="G8" s="178">
        <f>SUM(G5:G7)</f>
        <v>6328</v>
      </c>
      <c r="H8" s="179">
        <f>IF(G8=0,"",I8/G8)</f>
        <v>0.25</v>
      </c>
      <c r="I8" s="178">
        <f t="shared" ref="I8:N8" si="4">SUM(I5:I7)</f>
        <v>1582</v>
      </c>
      <c r="J8" s="178">
        <f t="shared" si="4"/>
        <v>1736</v>
      </c>
      <c r="K8" s="180">
        <f t="shared" si="4"/>
        <v>0</v>
      </c>
      <c r="L8" s="180">
        <f t="shared" si="4"/>
        <v>0</v>
      </c>
      <c r="M8" s="180">
        <f t="shared" si="4"/>
        <v>-154</v>
      </c>
      <c r="N8" s="181">
        <f t="shared" si="4"/>
        <v>-154</v>
      </c>
      <c r="Q8" s="49"/>
    </row>
    <row r="9" spans="1:17" ht="18.75" customHeight="1" x14ac:dyDescent="0.25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3"/>
      <c r="O9" s="52"/>
      <c r="P9" s="1"/>
      <c r="Q9" s="49"/>
    </row>
    <row r="10" spans="1:17" ht="73.5" customHeight="1" x14ac:dyDescent="0.25">
      <c r="A10" s="141" t="s">
        <v>53</v>
      </c>
      <c r="B10" s="146" t="s">
        <v>158</v>
      </c>
      <c r="C10" s="146" t="s">
        <v>149</v>
      </c>
      <c r="D10" s="240"/>
      <c r="E10" s="246">
        <v>19019</v>
      </c>
      <c r="F10" s="167">
        <v>0</v>
      </c>
      <c r="G10" s="182">
        <v>0</v>
      </c>
      <c r="H10" s="241">
        <v>5</v>
      </c>
      <c r="I10" s="182">
        <f>+G10*H10</f>
        <v>0</v>
      </c>
      <c r="J10" s="247">
        <v>99110</v>
      </c>
      <c r="K10" s="183"/>
      <c r="M10" s="183">
        <f>N10</f>
        <v>-99110</v>
      </c>
      <c r="N10" s="184">
        <f>+I10-J10</f>
        <v>-99110</v>
      </c>
      <c r="O10" s="52"/>
      <c r="P10" s="1"/>
      <c r="Q10" s="49"/>
    </row>
    <row r="11" spans="1:17" s="208" customFormat="1" ht="59.25" customHeight="1" x14ac:dyDescent="0.25">
      <c r="A11" s="141" t="s">
        <v>53</v>
      </c>
      <c r="B11" s="146" t="s">
        <v>159</v>
      </c>
      <c r="C11" s="146" t="s">
        <v>57</v>
      </c>
      <c r="D11" s="240"/>
      <c r="E11" s="142">
        <v>19019</v>
      </c>
      <c r="F11" s="167">
        <v>1</v>
      </c>
      <c r="G11" s="182">
        <f>E11*F11</f>
        <v>19019</v>
      </c>
      <c r="H11" s="241">
        <v>1</v>
      </c>
      <c r="I11" s="182">
        <f>G11*H11</f>
        <v>19019</v>
      </c>
      <c r="J11" s="183">
        <v>19822</v>
      </c>
      <c r="K11" s="183"/>
      <c r="M11" s="183">
        <f t="shared" ref="M11:M12" si="5">N11</f>
        <v>-803</v>
      </c>
      <c r="N11" s="184">
        <f>+I11-J11</f>
        <v>-803</v>
      </c>
      <c r="O11" s="52"/>
      <c r="P11" s="1"/>
      <c r="Q11" s="49"/>
    </row>
    <row r="12" spans="1:17" ht="71.25" customHeight="1" x14ac:dyDescent="0.25">
      <c r="A12" s="152" t="s">
        <v>53</v>
      </c>
      <c r="B12" s="146" t="s">
        <v>157</v>
      </c>
      <c r="C12" s="146" t="s">
        <v>58</v>
      </c>
      <c r="D12" s="85"/>
      <c r="E12" s="86">
        <v>6340</v>
      </c>
      <c r="F12" s="167">
        <v>1</v>
      </c>
      <c r="G12" s="182">
        <f t="shared" ref="G12" si="6">+E12*F12</f>
        <v>6340</v>
      </c>
      <c r="H12" s="241">
        <v>5</v>
      </c>
      <c r="I12" s="182">
        <f t="shared" ref="I12" si="7">+G12*H12</f>
        <v>31700</v>
      </c>
      <c r="J12" s="183">
        <v>33035</v>
      </c>
      <c r="K12" s="183"/>
      <c r="M12" s="183">
        <f t="shared" si="5"/>
        <v>-1335</v>
      </c>
      <c r="N12" s="184">
        <f>+I12-J12</f>
        <v>-1335</v>
      </c>
      <c r="Q12" s="47"/>
    </row>
    <row r="13" spans="1:17" ht="31.5" x14ac:dyDescent="0.25">
      <c r="A13" s="236"/>
      <c r="B13" s="175"/>
      <c r="C13" s="176" t="s">
        <v>129</v>
      </c>
      <c r="D13" s="185"/>
      <c r="E13" s="186">
        <f>+MAX(E10:E12)</f>
        <v>19019</v>
      </c>
      <c r="F13" s="179">
        <f>IF(E13=0,"",G13/E13)</f>
        <v>1.3333508596666492</v>
      </c>
      <c r="G13" s="186">
        <f>SUM(G11:G12)</f>
        <v>25359</v>
      </c>
      <c r="H13" s="179">
        <f>IF(G13=0,"",I13/G13)</f>
        <v>2.0000394337316139</v>
      </c>
      <c r="I13" s="186">
        <f t="shared" ref="I13:N13" si="8">SUM(I10:I12)</f>
        <v>50719</v>
      </c>
      <c r="J13" s="186">
        <f t="shared" si="8"/>
        <v>151967</v>
      </c>
      <c r="K13" s="187">
        <f t="shared" si="8"/>
        <v>0</v>
      </c>
      <c r="L13" s="187"/>
      <c r="M13" s="187">
        <f>SUM(M10:M12)</f>
        <v>-101248</v>
      </c>
      <c r="N13" s="188">
        <f t="shared" si="8"/>
        <v>-101248</v>
      </c>
      <c r="Q13" s="47"/>
    </row>
    <row r="14" spans="1:17" ht="18.75" x14ac:dyDescent="0.25">
      <c r="A14" s="282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3"/>
      <c r="O14" s="52"/>
      <c r="P14" s="1"/>
      <c r="Q14" s="47"/>
    </row>
    <row r="15" spans="1:17" ht="15" customHeight="1" x14ac:dyDescent="0.25">
      <c r="A15" s="21"/>
      <c r="B15" s="87"/>
      <c r="C15" s="89"/>
      <c r="D15" s="87"/>
      <c r="E15" s="88"/>
      <c r="F15" s="189"/>
      <c r="G15" s="190"/>
      <c r="H15" s="191"/>
      <c r="I15" s="182"/>
      <c r="J15" s="106"/>
      <c r="K15" s="183"/>
      <c r="L15" s="183"/>
      <c r="M15" s="183"/>
      <c r="N15" s="184"/>
      <c r="Q15" s="47"/>
    </row>
    <row r="16" spans="1:17" ht="16.5" thickBot="1" x14ac:dyDescent="0.3">
      <c r="A16" s="236"/>
      <c r="B16" s="175"/>
      <c r="C16" s="176" t="s">
        <v>40</v>
      </c>
      <c r="D16" s="185"/>
      <c r="E16" s="192">
        <f>+MAX(E15:E15)</f>
        <v>0</v>
      </c>
      <c r="F16" s="192">
        <f t="shared" ref="F16:N16" si="9">SUM(F15:F15)</f>
        <v>0</v>
      </c>
      <c r="G16" s="192">
        <f t="shared" si="9"/>
        <v>0</v>
      </c>
      <c r="H16" s="193" t="str">
        <f>IF(G16=0,"",I16/G16)</f>
        <v/>
      </c>
      <c r="I16" s="192">
        <f t="shared" si="9"/>
        <v>0</v>
      </c>
      <c r="J16" s="192">
        <f t="shared" si="9"/>
        <v>0</v>
      </c>
      <c r="K16" s="192">
        <f t="shared" si="9"/>
        <v>0</v>
      </c>
      <c r="L16" s="192">
        <f t="shared" si="9"/>
        <v>0</v>
      </c>
      <c r="M16" s="192">
        <f t="shared" si="9"/>
        <v>0</v>
      </c>
      <c r="N16" s="194">
        <f t="shared" si="9"/>
        <v>0</v>
      </c>
      <c r="Q16" s="48"/>
    </row>
    <row r="17" spans="1:17" ht="25.5" customHeight="1" thickBot="1" x14ac:dyDescent="0.3">
      <c r="A17" s="237"/>
      <c r="B17" s="195"/>
      <c r="C17" s="196" t="s">
        <v>150</v>
      </c>
      <c r="D17" s="197"/>
      <c r="E17" s="198">
        <f>+E8+E13+E16</f>
        <v>19075</v>
      </c>
      <c r="F17" s="199">
        <f>IF(E17=0,"",G17/E17)</f>
        <v>1.6611795543905636</v>
      </c>
      <c r="G17" s="200">
        <f>+G8+G13+G16</f>
        <v>31687</v>
      </c>
      <c r="H17" s="199">
        <f>IF(G17=0,"",I17/G17)</f>
        <v>1.6505506990248366</v>
      </c>
      <c r="I17" s="198">
        <f t="shared" ref="I17:N17" si="10">+I8+I13+I16</f>
        <v>52301</v>
      </c>
      <c r="J17" s="198">
        <f t="shared" si="10"/>
        <v>153703</v>
      </c>
      <c r="K17" s="198">
        <f t="shared" si="10"/>
        <v>0</v>
      </c>
      <c r="L17" s="198">
        <f t="shared" si="10"/>
        <v>0</v>
      </c>
      <c r="M17" s="198">
        <f>+M8+M13</f>
        <v>-101402</v>
      </c>
      <c r="N17" s="201">
        <f t="shared" si="10"/>
        <v>-101402</v>
      </c>
      <c r="Q17" s="14"/>
    </row>
    <row r="18" spans="1:17" x14ac:dyDescent="0.25">
      <c r="A18" s="235"/>
      <c r="C18" s="14"/>
      <c r="Q18" s="14"/>
    </row>
    <row r="19" spans="1:17" x14ac:dyDescent="0.25">
      <c r="A19" s="233"/>
    </row>
    <row r="20" spans="1:17" x14ac:dyDescent="0.25">
      <c r="A20" s="234"/>
    </row>
  </sheetData>
  <sheetProtection selectLockedCells="1"/>
  <autoFilter ref="A3:N17"/>
  <dataConsolidate/>
  <mergeCells count="4">
    <mergeCell ref="A1:N1"/>
    <mergeCell ref="A4:N4"/>
    <mergeCell ref="A9:N9"/>
    <mergeCell ref="A14:N14"/>
  </mergeCells>
  <dataValidations count="1">
    <dataValidation type="list" allowBlank="1" showInputMessage="1" showErrorMessage="1" sqref="A5:A19">
      <formula1>$O$5:$O$18</formula1>
    </dataValidation>
  </dataValidations>
  <printOptions horizontalCentered="1"/>
  <pageMargins left="0.7" right="0.7" top="0.75" bottom="0.75" header="0.3" footer="0.3"/>
  <pageSetup paperSize="5" scale="72" fitToHeight="0" orientation="landscape" r:id="rId1"/>
  <headerFooter>
    <oddHeader>&amp;C&amp;"-,Bold"&amp;12OMB Control #0584-0006 
&amp;16 7 CFR Part 210 - National School Lunch Program</oddHeader>
  </headerFooter>
  <ignoredErrors>
    <ignoredError sqref="G8 I11 H16:H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11"/>
  <sheetViews>
    <sheetView zoomScale="110" zoomScaleNormal="110" workbookViewId="0">
      <selection activeCell="C10" sqref="C10"/>
    </sheetView>
  </sheetViews>
  <sheetFormatPr defaultRowHeight="15" x14ac:dyDescent="0.25"/>
  <cols>
    <col min="1" max="1" width="1.28515625" customWidth="1"/>
    <col min="2" max="2" width="95.140625" customWidth="1"/>
    <col min="3" max="3" width="11.5703125" customWidth="1"/>
  </cols>
  <sheetData>
    <row r="1" spans="2:5" ht="15.75" thickBot="1" x14ac:dyDescent="0.3">
      <c r="C1" s="68"/>
    </row>
    <row r="2" spans="2:5" ht="16.5" thickBot="1" x14ac:dyDescent="0.3">
      <c r="B2" s="288" t="s">
        <v>50</v>
      </c>
      <c r="C2" s="289"/>
    </row>
    <row r="3" spans="2:5" ht="16.5" thickBot="1" x14ac:dyDescent="0.3">
      <c r="B3" s="71" t="s">
        <v>36</v>
      </c>
      <c r="C3" s="69">
        <f>+MAX(RecordKeeping!E38,Reporting!E26,PublicNotification!E17)</f>
        <v>115935</v>
      </c>
    </row>
    <row r="4" spans="2:5" ht="16.5" thickBot="1" x14ac:dyDescent="0.3">
      <c r="B4" s="71" t="s">
        <v>37</v>
      </c>
      <c r="C4" s="72">
        <f>+C5/C3</f>
        <v>410.85086960796997</v>
      </c>
    </row>
    <row r="5" spans="2:5" ht="16.5" thickBot="1" x14ac:dyDescent="0.3">
      <c r="B5" s="71" t="s">
        <v>38</v>
      </c>
      <c r="C5" s="69">
        <f>+RecordKeeping!G38+Reporting!G26+PublicNotification!G17</f>
        <v>47631995.567999996</v>
      </c>
    </row>
    <row r="6" spans="2:5" ht="16.5" thickBot="1" x14ac:dyDescent="0.3">
      <c r="B6" s="71" t="s">
        <v>39</v>
      </c>
      <c r="C6" s="70">
        <f>+C7/C5</f>
        <v>0.20592154425731202</v>
      </c>
    </row>
    <row r="7" spans="2:5" ht="16.5" thickBot="1" x14ac:dyDescent="0.3">
      <c r="B7" s="71" t="s">
        <v>81</v>
      </c>
      <c r="C7" s="69">
        <f>+RecordKeeping!I38+Reporting!I26+PublicNotification!I17</f>
        <v>9808454.083420001</v>
      </c>
    </row>
    <row r="8" spans="2:5" ht="16.5" thickBot="1" x14ac:dyDescent="0.3">
      <c r="B8" s="71" t="s">
        <v>56</v>
      </c>
      <c r="C8" s="69">
        <f>+RecordKeeping!J38+Reporting!J26+PublicNotification!J17</f>
        <v>10030000</v>
      </c>
      <c r="E8" s="66" t="s">
        <v>45</v>
      </c>
    </row>
    <row r="9" spans="2:5" ht="16.5" thickBot="1" x14ac:dyDescent="0.3">
      <c r="B9" s="71" t="s">
        <v>88</v>
      </c>
      <c r="C9" s="69">
        <f>+RecordKeeping!N38+Reporting!N26+PublicNotification!N17</f>
        <v>-221545.91657999996</v>
      </c>
    </row>
    <row r="10" spans="2:5" ht="16.5" thickBot="1" x14ac:dyDescent="0.3">
      <c r="B10" s="264" t="s">
        <v>167</v>
      </c>
      <c r="C10" s="265">
        <f>+Reporting!M26+RecordKeeping!M38+PublicNotification!M17</f>
        <v>-526257.14858000004</v>
      </c>
    </row>
    <row r="11" spans="2:5" ht="16.5" thickBot="1" x14ac:dyDescent="0.3">
      <c r="B11" s="264" t="s">
        <v>168</v>
      </c>
      <c r="C11" s="266">
        <f>+Reporting!K26+RecordKeeping!K38</f>
        <v>304711.23200000002</v>
      </c>
    </row>
  </sheetData>
  <mergeCells count="1">
    <mergeCell ref="B2:C2"/>
  </mergeCells>
  <pageMargins left="0.7" right="0.7" top="0.75" bottom="0.75" header="0.3" footer="0.3"/>
  <pageSetup orientation="landscape" r:id="rId1"/>
  <ignoredErrors>
    <ignoredError sqref="C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3"/>
  <sheetViews>
    <sheetView zoomScale="110" zoomScaleNormal="110" workbookViewId="0">
      <selection activeCell="D13" sqref="D13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20.5703125" bestFit="1" customWidth="1"/>
  </cols>
  <sheetData>
    <row r="1" spans="1:7" ht="15.75" x14ac:dyDescent="0.25">
      <c r="A1" s="290" t="s">
        <v>83</v>
      </c>
      <c r="B1" s="291"/>
      <c r="C1" s="291"/>
      <c r="D1" s="291"/>
      <c r="E1" s="291"/>
      <c r="F1" s="292"/>
    </row>
    <row r="2" spans="1:7" ht="13.5" customHeight="1" x14ac:dyDescent="0.25">
      <c r="A2" s="29"/>
      <c r="B2" s="30"/>
      <c r="C2" s="30"/>
      <c r="D2" s="30"/>
      <c r="E2" s="30"/>
      <c r="F2" s="31"/>
    </row>
    <row r="3" spans="1:7" ht="48" customHeight="1" x14ac:dyDescent="0.25">
      <c r="A3" s="42" t="s">
        <v>20</v>
      </c>
      <c r="B3" s="42" t="s">
        <v>21</v>
      </c>
      <c r="C3" s="42" t="s">
        <v>22</v>
      </c>
      <c r="D3" s="42" t="s">
        <v>23</v>
      </c>
      <c r="E3" s="42" t="s">
        <v>24</v>
      </c>
      <c r="F3" s="42" t="s">
        <v>25</v>
      </c>
    </row>
    <row r="4" spans="1:7" ht="15.75" x14ac:dyDescent="0.25">
      <c r="A4" s="41" t="s">
        <v>12</v>
      </c>
      <c r="B4" s="40"/>
      <c r="C4" s="40"/>
      <c r="D4" s="40"/>
      <c r="E4" s="40"/>
      <c r="F4" s="40"/>
    </row>
    <row r="5" spans="1:7" ht="15.75" customHeight="1" x14ac:dyDescent="0.25">
      <c r="A5" s="32" t="s">
        <v>11</v>
      </c>
      <c r="B5" s="33">
        <f>+RecordKeeping!E16</f>
        <v>56</v>
      </c>
      <c r="C5" s="34">
        <f>+RecordKeeping!F16</f>
        <v>1475.3389999999999</v>
      </c>
      <c r="D5" s="33">
        <f>+RecordKeeping!G16</f>
        <v>82618.983999999997</v>
      </c>
      <c r="E5" s="154">
        <f>+RecordKeeping!H16</f>
        <v>1.5067122335951264</v>
      </c>
      <c r="F5" s="33">
        <f>+RecordKeeping!I16</f>
        <v>124483.03392</v>
      </c>
      <c r="G5" s="35"/>
    </row>
    <row r="6" spans="1:7" ht="19.5" customHeight="1" x14ac:dyDescent="0.25">
      <c r="A6" s="36" t="s">
        <v>28</v>
      </c>
      <c r="B6" s="34">
        <f>+RecordKeeping!E28</f>
        <v>19019</v>
      </c>
      <c r="C6" s="39">
        <f>+RecordKeeping!F28</f>
        <v>21</v>
      </c>
      <c r="D6" s="33">
        <f>+RecordKeeping!G28</f>
        <v>399399</v>
      </c>
      <c r="E6" s="154">
        <f>+RecordKeeping!H28</f>
        <v>4.3338099995242851</v>
      </c>
      <c r="F6" s="33">
        <f>+RecordKeeping!I28</f>
        <v>1730919.38</v>
      </c>
      <c r="G6" s="38"/>
    </row>
    <row r="7" spans="1:7" ht="19.5" customHeight="1" x14ac:dyDescent="0.25">
      <c r="A7" s="36" t="s">
        <v>29</v>
      </c>
      <c r="B7" s="6">
        <f>+RecordKeeping!E37</f>
        <v>96860</v>
      </c>
      <c r="C7" s="37">
        <f>+RecordKeeping!F37</f>
        <v>481.3</v>
      </c>
      <c r="D7" s="7">
        <f>+RecordKeeping!G37</f>
        <v>46618718</v>
      </c>
      <c r="E7" s="155">
        <f>+RecordKeeping!H37</f>
        <v>0.15567006025348018</v>
      </c>
      <c r="F7" s="7">
        <f>+RecordKeeping!I37</f>
        <v>7257138.6400000006</v>
      </c>
      <c r="G7" s="38"/>
    </row>
    <row r="8" spans="1:7" ht="19.5" customHeight="1" x14ac:dyDescent="0.25">
      <c r="A8" s="45" t="s">
        <v>30</v>
      </c>
      <c r="B8" s="39">
        <f>+RecordKeeping!E38</f>
        <v>115935</v>
      </c>
      <c r="C8" s="39">
        <f>+RecordKeeping!F38</f>
        <v>406.26847788847198</v>
      </c>
      <c r="D8" s="39">
        <f>+RecordKeeping!G38</f>
        <v>47100735.983999997</v>
      </c>
      <c r="E8" s="156">
        <f>+RecordKeeping!H38</f>
        <v>0.19346918606570199</v>
      </c>
      <c r="F8" s="39">
        <f>+RecordKeeping!I38</f>
        <v>9112541.0539200008</v>
      </c>
      <c r="G8" s="38"/>
    </row>
    <row r="9" spans="1:7" ht="15.75" x14ac:dyDescent="0.25">
      <c r="A9" s="44" t="s">
        <v>31</v>
      </c>
      <c r="B9" s="43"/>
      <c r="C9" s="43"/>
      <c r="D9" s="43"/>
      <c r="E9" s="43"/>
      <c r="F9" s="43"/>
    </row>
    <row r="10" spans="1:7" ht="19.5" customHeight="1" x14ac:dyDescent="0.25">
      <c r="A10" s="50" t="s">
        <v>11</v>
      </c>
      <c r="B10" s="51">
        <f>+Reporting!E12</f>
        <v>56</v>
      </c>
      <c r="C10" s="51">
        <f>+Reporting!F12</f>
        <v>232.339</v>
      </c>
      <c r="D10" s="51">
        <f>+Reporting!G12</f>
        <v>13010.984</v>
      </c>
      <c r="E10" s="157">
        <f>+Reporting!H12</f>
        <v>27.081559703708802</v>
      </c>
      <c r="F10" s="51">
        <f>+Reporting!I12</f>
        <v>352357.74</v>
      </c>
      <c r="G10" s="38"/>
    </row>
    <row r="11" spans="1:7" ht="19.5" customHeight="1" x14ac:dyDescent="0.25">
      <c r="A11" s="215" t="s">
        <v>28</v>
      </c>
      <c r="B11" s="205">
        <f>+Reporting!E22</f>
        <v>19019</v>
      </c>
      <c r="C11" s="205">
        <f>+Reporting!F22</f>
        <v>15.397318471002681</v>
      </c>
      <c r="D11" s="205">
        <f>+Reporting!G22</f>
        <v>292841.59999999998</v>
      </c>
      <c r="E11" s="225">
        <f>+Reporting!H22</f>
        <v>0.92842782412061686</v>
      </c>
      <c r="F11" s="205">
        <f>+Reporting!I22</f>
        <v>271882.28950000001</v>
      </c>
      <c r="G11" s="38"/>
    </row>
    <row r="12" spans="1:7" ht="15.75" customHeight="1" x14ac:dyDescent="0.25">
      <c r="A12" s="216" t="s">
        <v>29</v>
      </c>
      <c r="B12" s="226">
        <f>+Reporting!E25</f>
        <v>96860</v>
      </c>
      <c r="C12" s="226">
        <f>+Reporting!F25</f>
        <v>2</v>
      </c>
      <c r="D12" s="226">
        <f>+Reporting!G25</f>
        <v>193720</v>
      </c>
      <c r="E12" s="227">
        <f>+Reporting!H25</f>
        <v>0.1</v>
      </c>
      <c r="F12" s="226">
        <f>+Reporting!I25</f>
        <v>19372</v>
      </c>
      <c r="G12" s="35"/>
    </row>
    <row r="13" spans="1:7" ht="19.5" customHeight="1" x14ac:dyDescent="0.25">
      <c r="A13" s="221" t="s">
        <v>32</v>
      </c>
      <c r="B13" s="205">
        <f>+Reporting!E26</f>
        <v>115935</v>
      </c>
      <c r="C13" s="205">
        <f>+Reporting!F26</f>
        <v>4.3090747746582139</v>
      </c>
      <c r="D13" s="205">
        <f>+Reporting!G26</f>
        <v>499572.58399999997</v>
      </c>
      <c r="E13" s="224">
        <f>+Reporting!H26</f>
        <v>1.2883253607447762</v>
      </c>
      <c r="F13" s="205">
        <f>+Reporting!I26</f>
        <v>643612.02949999995</v>
      </c>
      <c r="G13" s="38"/>
    </row>
    <row r="14" spans="1:7" ht="19.5" customHeight="1" x14ac:dyDescent="0.25">
      <c r="A14" s="214" t="s">
        <v>127</v>
      </c>
      <c r="B14" s="212"/>
      <c r="C14" s="213"/>
      <c r="D14" s="212"/>
      <c r="E14" s="213"/>
      <c r="F14" s="212"/>
      <c r="G14" s="38"/>
    </row>
    <row r="15" spans="1:7" ht="19.5" customHeight="1" x14ac:dyDescent="0.25">
      <c r="A15" s="219" t="s">
        <v>11</v>
      </c>
      <c r="B15" s="217">
        <f>PublicNotification!E8</f>
        <v>56</v>
      </c>
      <c r="C15" s="217">
        <f>PublicNotification!F8</f>
        <v>113</v>
      </c>
      <c r="D15" s="217">
        <f>PublicNotification!G8</f>
        <v>6328</v>
      </c>
      <c r="E15" s="238">
        <f>PublicNotification!H8</f>
        <v>0.25</v>
      </c>
      <c r="F15" s="217">
        <f>PublicNotification!I8</f>
        <v>1582</v>
      </c>
      <c r="G15" s="38"/>
    </row>
    <row r="16" spans="1:7" ht="19.5" customHeight="1" x14ac:dyDescent="0.25">
      <c r="A16" s="220" t="s">
        <v>132</v>
      </c>
      <c r="B16" s="211">
        <f>PublicNotification!E13</f>
        <v>19019</v>
      </c>
      <c r="C16" s="211">
        <f>PublicNotification!F13</f>
        <v>1.3333508596666492</v>
      </c>
      <c r="D16" s="211">
        <f>PublicNotification!G13</f>
        <v>25359</v>
      </c>
      <c r="E16" s="211">
        <f>PublicNotification!H13</f>
        <v>2.0000394337316139</v>
      </c>
      <c r="F16" s="211">
        <f>PublicNotification!I13</f>
        <v>50719</v>
      </c>
      <c r="G16" s="38"/>
    </row>
    <row r="17" spans="1:7" ht="19.5" customHeight="1" x14ac:dyDescent="0.25">
      <c r="A17" s="219" t="s">
        <v>29</v>
      </c>
      <c r="B17" s="217">
        <f>PublicNotification!E16</f>
        <v>0</v>
      </c>
      <c r="C17" s="217">
        <f>PublicNotification!F16</f>
        <v>0</v>
      </c>
      <c r="D17" s="217">
        <f>PublicNotification!G16</f>
        <v>0</v>
      </c>
      <c r="E17" s="217" t="str">
        <f>PublicNotification!H16</f>
        <v/>
      </c>
      <c r="F17" s="217">
        <f>PublicNotification!I16</f>
        <v>0</v>
      </c>
      <c r="G17" s="38"/>
    </row>
    <row r="18" spans="1:7" s="206" customFormat="1" ht="19.5" customHeight="1" thickBot="1" x14ac:dyDescent="0.3">
      <c r="A18" s="218" t="s">
        <v>133</v>
      </c>
      <c r="B18" s="228">
        <f>PublicNotification!E17</f>
        <v>19075</v>
      </c>
      <c r="C18" s="228">
        <f>PublicNotification!F17</f>
        <v>1.6611795543905636</v>
      </c>
      <c r="D18" s="228">
        <f>PublicNotification!G17</f>
        <v>31687</v>
      </c>
      <c r="E18" s="244">
        <f>PublicNotification!H17</f>
        <v>1.6505506990248366</v>
      </c>
      <c r="F18" s="228">
        <f>PublicNotification!I17</f>
        <v>52301</v>
      </c>
      <c r="G18" s="207"/>
    </row>
    <row r="19" spans="1:7" ht="39.6" customHeight="1" thickTop="1" x14ac:dyDescent="0.25">
      <c r="A19" s="139" t="s">
        <v>82</v>
      </c>
      <c r="B19" s="229">
        <f>+MAX(B8,B13,B18)</f>
        <v>115935</v>
      </c>
      <c r="C19" s="230">
        <f>IF(B19=0,"",D19/B19)</f>
        <v>410.85086960796997</v>
      </c>
      <c r="D19" s="229">
        <f>+D8+D13+D18</f>
        <v>47631995.567999996</v>
      </c>
      <c r="E19" s="230">
        <f>IF(D19=0,"",F19/D19)</f>
        <v>0.20592154425731202</v>
      </c>
      <c r="F19" s="229">
        <f>+F8+F13+F18</f>
        <v>9808454.083420001</v>
      </c>
      <c r="G19" s="35"/>
    </row>
    <row r="20" spans="1:7" x14ac:dyDescent="0.25">
      <c r="A20" s="209"/>
      <c r="B20" s="209"/>
      <c r="C20" s="209"/>
      <c r="D20" s="209"/>
      <c r="E20" s="209"/>
      <c r="F20" s="222"/>
    </row>
    <row r="21" spans="1:7" x14ac:dyDescent="0.25">
      <c r="A21" s="5"/>
      <c r="B21" s="5"/>
      <c r="C21" s="8"/>
      <c r="D21" s="5"/>
      <c r="E21" s="5"/>
      <c r="F21" s="74"/>
      <c r="G21" s="5"/>
    </row>
    <row r="22" spans="1:7" x14ac:dyDescent="0.25">
      <c r="D22" s="9"/>
      <c r="F22" s="231"/>
    </row>
    <row r="23" spans="1:7" x14ac:dyDescent="0.25">
      <c r="F23" s="232"/>
    </row>
  </sheetData>
  <mergeCells count="1">
    <mergeCell ref="A1:F1"/>
  </mergeCells>
  <printOptions horizontalCentered="1"/>
  <pageMargins left="0.7" right="0.7" top="0.75" bottom="0.75" header="0.3" footer="0.3"/>
  <pageSetup scale="80" orientation="portrait" r:id="rId1"/>
  <ignoredErrors>
    <ignoredError sqref="C8" 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9" sqref="H19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79" customFormat="1" x14ac:dyDescent="0.25">
      <c r="A1" s="77" t="s">
        <v>46</v>
      </c>
      <c r="B1" s="78" t="s">
        <v>48</v>
      </c>
      <c r="C1" s="78" t="s">
        <v>47</v>
      </c>
    </row>
    <row r="2" spans="1:3" x14ac:dyDescent="0.25">
      <c r="A2" s="80">
        <v>42206</v>
      </c>
      <c r="B2" s="75" t="s">
        <v>49</v>
      </c>
      <c r="C2" s="75" t="s">
        <v>134</v>
      </c>
    </row>
    <row r="3" spans="1:3" x14ac:dyDescent="0.25">
      <c r="A3" s="80">
        <v>42443</v>
      </c>
      <c r="B3" s="75" t="s">
        <v>49</v>
      </c>
      <c r="C3" s="75" t="s">
        <v>135</v>
      </c>
    </row>
    <row r="4" spans="1:3" x14ac:dyDescent="0.25">
      <c r="A4" s="80">
        <v>42675</v>
      </c>
      <c r="B4" s="75" t="s">
        <v>147</v>
      </c>
      <c r="C4" s="75" t="s">
        <v>148</v>
      </c>
    </row>
    <row r="5" spans="1:3" x14ac:dyDescent="0.25">
      <c r="A5" s="80"/>
      <c r="B5" s="75"/>
      <c r="C5" s="75"/>
    </row>
    <row r="6" spans="1:3" x14ac:dyDescent="0.25">
      <c r="A6" s="80"/>
      <c r="B6" s="75"/>
      <c r="C6" s="75"/>
    </row>
    <row r="7" spans="1:3" x14ac:dyDescent="0.25">
      <c r="A7" s="80"/>
      <c r="B7" s="75"/>
      <c r="C7" s="75"/>
    </row>
    <row r="8" spans="1:3" x14ac:dyDescent="0.25">
      <c r="A8" s="80"/>
      <c r="B8" s="75"/>
      <c r="C8" s="75"/>
    </row>
    <row r="9" spans="1:3" x14ac:dyDescent="0.25">
      <c r="A9" s="80"/>
      <c r="B9" s="75"/>
      <c r="C9" s="75"/>
    </row>
    <row r="10" spans="1:3" x14ac:dyDescent="0.25">
      <c r="A10" s="80"/>
      <c r="B10" s="75"/>
      <c r="C10" s="75"/>
    </row>
    <row r="11" spans="1:3" x14ac:dyDescent="0.25">
      <c r="A11" s="80"/>
      <c r="B11" s="75"/>
      <c r="C11" s="75"/>
    </row>
    <row r="12" spans="1:3" x14ac:dyDescent="0.25">
      <c r="A12" s="80"/>
      <c r="B12" s="75"/>
      <c r="C12" s="75"/>
    </row>
    <row r="13" spans="1:3" x14ac:dyDescent="0.25">
      <c r="A13" s="80"/>
      <c r="B13" s="75"/>
      <c r="C13" s="75"/>
    </row>
    <row r="14" spans="1:3" x14ac:dyDescent="0.25">
      <c r="A14" s="80"/>
      <c r="B14" s="75"/>
      <c r="C14" s="75"/>
    </row>
    <row r="15" spans="1:3" x14ac:dyDescent="0.25">
      <c r="A15" s="80"/>
      <c r="B15" s="75"/>
      <c r="C15" s="75"/>
    </row>
    <row r="16" spans="1:3" x14ac:dyDescent="0.25">
      <c r="A16" s="80"/>
      <c r="B16" s="75"/>
      <c r="C16" s="75"/>
    </row>
    <row r="17" spans="1:3" x14ac:dyDescent="0.25">
      <c r="A17" s="80"/>
      <c r="B17" s="75"/>
      <c r="C17" s="75"/>
    </row>
    <row r="18" spans="1:3" x14ac:dyDescent="0.25">
      <c r="A18" s="80"/>
      <c r="B18" s="75"/>
      <c r="C18" s="75"/>
    </row>
    <row r="19" spans="1:3" x14ac:dyDescent="0.25">
      <c r="A19" s="80"/>
      <c r="B19" s="75"/>
      <c r="C19" s="75"/>
    </row>
    <row r="20" spans="1:3" x14ac:dyDescent="0.25">
      <c r="A20" s="80"/>
      <c r="B20" s="75"/>
      <c r="C20" s="75"/>
    </row>
    <row r="21" spans="1:3" x14ac:dyDescent="0.25">
      <c r="A21" s="80"/>
      <c r="B21" s="75"/>
      <c r="C21" s="75"/>
    </row>
    <row r="22" spans="1:3" x14ac:dyDescent="0.25">
      <c r="A22" s="80"/>
      <c r="B22" s="75"/>
      <c r="C22" s="75"/>
    </row>
    <row r="23" spans="1:3" x14ac:dyDescent="0.25">
      <c r="A23" s="80"/>
      <c r="B23" s="75"/>
      <c r="C23" s="75"/>
    </row>
    <row r="24" spans="1:3" x14ac:dyDescent="0.25">
      <c r="A24" s="80"/>
      <c r="B24" s="75"/>
      <c r="C24" s="75"/>
    </row>
    <row r="25" spans="1:3" x14ac:dyDescent="0.25">
      <c r="A25" s="80"/>
      <c r="B25" s="75"/>
      <c r="C25" s="75"/>
    </row>
    <row r="26" spans="1:3" x14ac:dyDescent="0.25">
      <c r="A26" s="80"/>
      <c r="B26" s="75"/>
      <c r="C26" s="75"/>
    </row>
    <row r="27" spans="1:3" x14ac:dyDescent="0.25">
      <c r="A27" s="80"/>
      <c r="B27" s="75"/>
      <c r="C27" s="75"/>
    </row>
    <row r="28" spans="1:3" x14ac:dyDescent="0.25">
      <c r="A28" s="80"/>
      <c r="B28" s="75"/>
      <c r="C28" s="75"/>
    </row>
    <row r="29" spans="1:3" x14ac:dyDescent="0.25">
      <c r="A29" s="80"/>
      <c r="B29" s="75"/>
      <c r="C29" s="75"/>
    </row>
    <row r="30" spans="1:3" x14ac:dyDescent="0.25">
      <c r="A30" s="80"/>
      <c r="B30" s="75"/>
      <c r="C30" s="75"/>
    </row>
    <row r="31" spans="1:3" x14ac:dyDescent="0.25">
      <c r="A31" s="80"/>
      <c r="B31" s="75"/>
      <c r="C31" s="75"/>
    </row>
    <row r="32" spans="1:3" x14ac:dyDescent="0.25">
      <c r="A32" s="80"/>
      <c r="B32" s="75"/>
      <c r="C32" s="75"/>
    </row>
    <row r="33" spans="1:3" x14ac:dyDescent="0.25">
      <c r="A33" s="80"/>
      <c r="B33" s="75"/>
      <c r="C33" s="75"/>
    </row>
    <row r="34" spans="1:3" x14ac:dyDescent="0.25">
      <c r="A34" s="80"/>
      <c r="B34" s="75"/>
      <c r="C34" s="75"/>
    </row>
    <row r="35" spans="1:3" x14ac:dyDescent="0.25">
      <c r="A35" s="80"/>
      <c r="B35" s="75"/>
      <c r="C35" s="75"/>
    </row>
    <row r="36" spans="1:3" x14ac:dyDescent="0.25">
      <c r="A36" s="80"/>
      <c r="B36" s="75"/>
      <c r="C36" s="75"/>
    </row>
    <row r="37" spans="1:3" x14ac:dyDescent="0.25">
      <c r="A37" s="80"/>
      <c r="B37" s="75"/>
      <c r="C37" s="75"/>
    </row>
    <row r="38" spans="1:3" x14ac:dyDescent="0.25">
      <c r="A38" s="80"/>
      <c r="B38" s="75"/>
      <c r="C38" s="75"/>
    </row>
    <row r="39" spans="1:3" x14ac:dyDescent="0.25">
      <c r="A39" s="80"/>
      <c r="B39" s="75"/>
      <c r="C39" s="75"/>
    </row>
    <row r="40" spans="1:3" x14ac:dyDescent="0.25">
      <c r="A40" s="80"/>
      <c r="B40" s="75"/>
      <c r="C40" s="75"/>
    </row>
    <row r="41" spans="1:3" x14ac:dyDescent="0.25">
      <c r="A41" s="80"/>
      <c r="B41" s="75"/>
      <c r="C41" s="75"/>
    </row>
    <row r="42" spans="1:3" x14ac:dyDescent="0.25">
      <c r="A42" s="80"/>
      <c r="B42" s="75"/>
      <c r="C42" s="75"/>
    </row>
    <row r="43" spans="1:3" x14ac:dyDescent="0.25">
      <c r="A43" s="80"/>
      <c r="B43" s="75"/>
      <c r="C43" s="75"/>
    </row>
    <row r="44" spans="1:3" x14ac:dyDescent="0.25">
      <c r="A44" s="80"/>
      <c r="B44" s="75"/>
      <c r="C44" s="75"/>
    </row>
    <row r="45" spans="1:3" x14ac:dyDescent="0.25">
      <c r="A45" s="80"/>
      <c r="B45" s="75"/>
      <c r="C45" s="75"/>
    </row>
    <row r="46" spans="1:3" x14ac:dyDescent="0.25">
      <c r="A46" s="80"/>
      <c r="B46" s="75"/>
      <c r="C46" s="75"/>
    </row>
    <row r="47" spans="1:3" x14ac:dyDescent="0.25">
      <c r="A47" s="80"/>
      <c r="B47" s="75"/>
      <c r="C47" s="75"/>
    </row>
    <row r="48" spans="1:3" x14ac:dyDescent="0.25">
      <c r="A48" s="80"/>
      <c r="B48" s="75"/>
      <c r="C48" s="75"/>
    </row>
    <row r="49" spans="1:3" x14ac:dyDescent="0.25">
      <c r="A49" s="80"/>
      <c r="B49" s="75"/>
      <c r="C49" s="75"/>
    </row>
    <row r="50" spans="1:3" x14ac:dyDescent="0.25">
      <c r="A50" s="80"/>
      <c r="B50" s="75"/>
      <c r="C50" s="75"/>
    </row>
    <row r="51" spans="1:3" x14ac:dyDescent="0.25">
      <c r="A51" s="80"/>
      <c r="B51" s="75"/>
      <c r="C51" s="75"/>
    </row>
    <row r="52" spans="1:3" x14ac:dyDescent="0.25">
      <c r="A52" s="80"/>
      <c r="B52" s="75"/>
      <c r="C52" s="75"/>
    </row>
    <row r="53" spans="1:3" x14ac:dyDescent="0.25">
      <c r="A53" s="80"/>
      <c r="B53" s="75"/>
      <c r="C53" s="75"/>
    </row>
    <row r="54" spans="1:3" x14ac:dyDescent="0.25">
      <c r="A54" s="80"/>
      <c r="B54" s="75"/>
      <c r="C54" s="75"/>
    </row>
    <row r="55" spans="1:3" x14ac:dyDescent="0.25">
      <c r="A55" s="80"/>
      <c r="B55" s="75"/>
      <c r="C55" s="75"/>
    </row>
    <row r="56" spans="1:3" x14ac:dyDescent="0.25">
      <c r="A56" s="80"/>
      <c r="B56" s="75"/>
      <c r="C56" s="75"/>
    </row>
    <row r="57" spans="1:3" x14ac:dyDescent="0.25">
      <c r="A57" s="80"/>
      <c r="B57" s="75"/>
      <c r="C57" s="75"/>
    </row>
    <row r="58" spans="1:3" x14ac:dyDescent="0.25">
      <c r="A58" s="80"/>
      <c r="B58" s="75"/>
      <c r="C58" s="75"/>
    </row>
    <row r="59" spans="1:3" x14ac:dyDescent="0.25">
      <c r="A59" s="80"/>
      <c r="B59" s="75"/>
      <c r="C59" s="75"/>
    </row>
    <row r="60" spans="1:3" x14ac:dyDescent="0.25">
      <c r="A60" s="80"/>
      <c r="B60" s="75"/>
      <c r="C60" s="75"/>
    </row>
    <row r="61" spans="1:3" x14ac:dyDescent="0.25">
      <c r="A61" s="80"/>
      <c r="B61" s="75"/>
      <c r="C61" s="75"/>
    </row>
    <row r="62" spans="1:3" x14ac:dyDescent="0.25">
      <c r="A62" s="80"/>
      <c r="B62" s="75"/>
      <c r="C62" s="75"/>
    </row>
    <row r="63" spans="1:3" x14ac:dyDescent="0.25">
      <c r="A63" s="80"/>
      <c r="B63" s="75"/>
      <c r="C63" s="75"/>
    </row>
    <row r="64" spans="1:3" x14ac:dyDescent="0.25">
      <c r="A64" s="80"/>
      <c r="B64" s="75"/>
      <c r="C64" s="75"/>
    </row>
    <row r="65" spans="1:3" x14ac:dyDescent="0.25">
      <c r="A65" s="80"/>
      <c r="B65" s="75"/>
      <c r="C65" s="75"/>
    </row>
    <row r="66" spans="1:3" x14ac:dyDescent="0.25">
      <c r="A66" s="80"/>
      <c r="B66" s="75"/>
      <c r="C66" s="75"/>
    </row>
    <row r="67" spans="1:3" x14ac:dyDescent="0.25">
      <c r="A67" s="80"/>
      <c r="B67" s="75"/>
      <c r="C67" s="75"/>
    </row>
    <row r="68" spans="1:3" ht="15.75" thickBot="1" x14ac:dyDescent="0.3">
      <c r="A68" s="81"/>
      <c r="B68" s="76"/>
      <c r="C68" s="7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Reporting</vt:lpstr>
      <vt:lpstr>RecordKeeping</vt:lpstr>
      <vt:lpstr>PublicNotification</vt:lpstr>
      <vt:lpstr>60 day Summ</vt:lpstr>
      <vt:lpstr>Burden Summary</vt:lpstr>
      <vt:lpstr>Notes</vt:lpstr>
      <vt:lpstr>'60 day Summ'!Print_Area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Sandberg, Christina - FNS</cp:lastModifiedBy>
  <cp:lastPrinted>2019-08-28T12:17:33Z</cp:lastPrinted>
  <dcterms:created xsi:type="dcterms:W3CDTF">2011-04-25T16:43:00Z</dcterms:created>
  <dcterms:modified xsi:type="dcterms:W3CDTF">2019-10-31T18:28:03Z</dcterms:modified>
</cp:coreProperties>
</file>