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showInkAnnotation="0" codeName="ThisWorkbook" defaultThemeVersion="124226"/>
  <xr:revisionPtr revIDLastSave="0" documentId="8_{F0A737B8-CDB8-4151-AF94-299DC4CFAC92}" xr6:coauthVersionLast="41" xr6:coauthVersionMax="41" xr10:uidLastSave="{00000000-0000-0000-0000-000000000000}"/>
  <bookViews>
    <workbookView xWindow="-19290" yWindow="2085" windowWidth="21600" windowHeight="11385" activeTab="2" xr2:uid="{00000000-000D-0000-FFFF-FFFF00000000}"/>
  </bookViews>
  <sheets>
    <sheet name="Inputs" sheetId="12" r:id="rId1"/>
    <sheet name="MemoTables" sheetId="38" r:id="rId2"/>
    <sheet name="YR1" sheetId="4" r:id="rId3"/>
    <sheet name="YR2" sheetId="34" r:id="rId4"/>
    <sheet name="YR3" sheetId="35" r:id="rId5"/>
    <sheet name="summary" sheetId="8" r:id="rId6"/>
    <sheet name="EPA_YR1" sheetId="7" r:id="rId7"/>
    <sheet name="EPA_YR2" sheetId="36" r:id="rId8"/>
    <sheet name="EPA_YR3" sheetId="37" r:id="rId9"/>
    <sheet name="EPA summary" sheetId="11" r:id="rId10"/>
  </sheets>
  <definedNames>
    <definedName name="_xlnm.Print_Area" localSheetId="9">'EPA summary'!$B$2:$I$8</definedName>
    <definedName name="_xlnm.Print_Area" localSheetId="6">EPA_YR1!$B$2:$N$29</definedName>
    <definedName name="_xlnm.Print_Area" localSheetId="7">EPA_YR2!$B$2:$N$29</definedName>
    <definedName name="_xlnm.Print_Area" localSheetId="8">EPA_YR3!$B$2:$N$29</definedName>
    <definedName name="_xlnm.Print_Area" localSheetId="5">summary!$B$1:$I$14</definedName>
    <definedName name="_xlnm.Print_Area" localSheetId="2">'YR1'!$B$2:$O$63</definedName>
    <definedName name="_xlnm.Print_Area" localSheetId="3">'YR2'!$B$2:$O$63</definedName>
    <definedName name="_xlnm.Print_Area" localSheetId="4">'YR3'!$B$2:$O$63</definedName>
    <definedName name="_xlnm.Print_Titles" localSheetId="2">'YR1'!$2:$3</definedName>
    <definedName name="_xlnm.Print_Titles" localSheetId="3">'YR2'!$2:$3</definedName>
    <definedName name="_xlnm.Print_Titles" localSheetId="4">'YR3'!$2:$3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35" l="1"/>
  <c r="H10" i="34"/>
  <c r="H10" i="4"/>
  <c r="G27" i="35" l="1"/>
  <c r="F27" i="34" l="1"/>
  <c r="M43" i="35" l="1"/>
  <c r="F43" i="35"/>
  <c r="H43" i="35" s="1"/>
  <c r="M43" i="34"/>
  <c r="F43" i="34"/>
  <c r="H43" i="34" s="1"/>
  <c r="M43" i="4"/>
  <c r="F43" i="4"/>
  <c r="H43" i="4" s="1"/>
  <c r="N29" i="35"/>
  <c r="M29" i="35"/>
  <c r="F29" i="35"/>
  <c r="H29" i="35" s="1"/>
  <c r="N29" i="34"/>
  <c r="M29" i="34"/>
  <c r="F29" i="34"/>
  <c r="H29" i="34" s="1"/>
  <c r="N29" i="4"/>
  <c r="M29" i="4"/>
  <c r="F29" i="4"/>
  <c r="H29" i="4" s="1"/>
  <c r="J43" i="34" l="1"/>
  <c r="I43" i="34"/>
  <c r="I43" i="35"/>
  <c r="J43" i="35"/>
  <c r="I29" i="4"/>
  <c r="I29" i="34"/>
  <c r="I29" i="35"/>
  <c r="I43" i="4"/>
  <c r="J29" i="4"/>
  <c r="J29" i="34"/>
  <c r="J29" i="35"/>
  <c r="J43" i="4"/>
  <c r="F38" i="35"/>
  <c r="C37" i="35"/>
  <c r="F37" i="35" s="1"/>
  <c r="F38" i="34"/>
  <c r="C37" i="34"/>
  <c r="F37" i="34" s="1"/>
  <c r="M38" i="4"/>
  <c r="F38" i="4"/>
  <c r="K29" i="35" l="1"/>
  <c r="K43" i="35"/>
  <c r="K29" i="4"/>
  <c r="K29" i="34"/>
  <c r="K43" i="4"/>
  <c r="K43" i="34"/>
  <c r="H38" i="4"/>
  <c r="C37" i="4"/>
  <c r="F37" i="4" s="1"/>
  <c r="H37" i="4" s="1"/>
  <c r="M37" i="4"/>
  <c r="J38" i="4" l="1"/>
  <c r="I38" i="4"/>
  <c r="K38" i="4" s="1"/>
  <c r="J37" i="4"/>
  <c r="I37" i="4"/>
  <c r="K37" i="4" l="1"/>
  <c r="G28" i="35" l="1"/>
  <c r="G45" i="35"/>
  <c r="G42" i="35"/>
  <c r="G14" i="34"/>
  <c r="G40" i="34" s="1"/>
  <c r="G13" i="34"/>
  <c r="G13" i="35" s="1"/>
  <c r="C5" i="12"/>
  <c r="D3" i="12"/>
  <c r="G27" i="34" s="1"/>
  <c r="G45" i="34"/>
  <c r="G44" i="4"/>
  <c r="M27" i="34" l="1"/>
  <c r="N27" i="34"/>
  <c r="H27" i="34"/>
  <c r="G38" i="35"/>
  <c r="G37" i="35"/>
  <c r="E3" i="12"/>
  <c r="G26" i="34"/>
  <c r="G18" i="36" s="1"/>
  <c r="I18" i="36" s="1"/>
  <c r="G14" i="35"/>
  <c r="G6" i="38" s="1"/>
  <c r="D6" i="38"/>
  <c r="G23" i="34"/>
  <c r="G15" i="36" s="1"/>
  <c r="I15" i="36" s="1"/>
  <c r="J15" i="36" s="1"/>
  <c r="D5" i="12"/>
  <c r="G22" i="37"/>
  <c r="I22" i="37" s="1"/>
  <c r="G22" i="36"/>
  <c r="I22" i="36" s="1"/>
  <c r="J24" i="37"/>
  <c r="M24" i="37" s="1"/>
  <c r="I23" i="37"/>
  <c r="I9" i="37"/>
  <c r="K9" i="37" s="1"/>
  <c r="B9" i="37"/>
  <c r="I8" i="37"/>
  <c r="I6" i="37"/>
  <c r="J6" i="37" s="1"/>
  <c r="J24" i="36"/>
  <c r="M24" i="36" s="1"/>
  <c r="I23" i="36"/>
  <c r="J23" i="36" s="1"/>
  <c r="I9" i="36"/>
  <c r="J9" i="36" s="1"/>
  <c r="B9" i="36"/>
  <c r="I8" i="36"/>
  <c r="J8" i="36" s="1"/>
  <c r="I6" i="36"/>
  <c r="J6" i="36" s="1"/>
  <c r="G22" i="7"/>
  <c r="J27" i="34" l="1"/>
  <c r="I27" i="34"/>
  <c r="K27" i="34" s="1"/>
  <c r="G38" i="34"/>
  <c r="G37" i="34"/>
  <c r="M37" i="35"/>
  <c r="H37" i="35"/>
  <c r="M38" i="35"/>
  <c r="H38" i="35"/>
  <c r="K6" i="36"/>
  <c r="L6" i="36" s="1"/>
  <c r="K9" i="36"/>
  <c r="L9" i="36" s="1"/>
  <c r="J9" i="37"/>
  <c r="L9" i="37" s="1"/>
  <c r="E5" i="12"/>
  <c r="D4" i="12"/>
  <c r="G28" i="34"/>
  <c r="G16" i="34"/>
  <c r="G11" i="34"/>
  <c r="G10" i="34"/>
  <c r="G17" i="34"/>
  <c r="G40" i="35"/>
  <c r="G26" i="35"/>
  <c r="C20" i="38" s="1"/>
  <c r="F20" i="38" s="1"/>
  <c r="G23" i="35"/>
  <c r="C17" i="38" s="1"/>
  <c r="F17" i="38" s="1"/>
  <c r="G19" i="36"/>
  <c r="I19" i="36" s="1"/>
  <c r="K19" i="36" s="1"/>
  <c r="C21" i="38"/>
  <c r="F21" i="38" s="1"/>
  <c r="K22" i="37"/>
  <c r="J22" i="37"/>
  <c r="J22" i="36"/>
  <c r="K22" i="36"/>
  <c r="K8" i="36"/>
  <c r="L8" i="36" s="1"/>
  <c r="K15" i="36"/>
  <c r="L15" i="36" s="1"/>
  <c r="J18" i="36"/>
  <c r="K23" i="36"/>
  <c r="K6" i="37"/>
  <c r="L6" i="37" s="1"/>
  <c r="J8" i="37"/>
  <c r="J23" i="37"/>
  <c r="K18" i="36"/>
  <c r="K8" i="37"/>
  <c r="K23" i="37"/>
  <c r="L8" i="37" l="1"/>
  <c r="J37" i="35"/>
  <c r="I37" i="35"/>
  <c r="I38" i="35"/>
  <c r="J38" i="35"/>
  <c r="M37" i="34"/>
  <c r="H37" i="34"/>
  <c r="M38" i="34"/>
  <c r="H38" i="34"/>
  <c r="L22" i="36"/>
  <c r="G41" i="34"/>
  <c r="G30" i="34"/>
  <c r="G21" i="36" s="1"/>
  <c r="I21" i="36" s="1"/>
  <c r="G42" i="34"/>
  <c r="G20" i="36"/>
  <c r="I20" i="36" s="1"/>
  <c r="C22" i="38"/>
  <c r="F22" i="38" s="1"/>
  <c r="J19" i="36"/>
  <c r="L19" i="36" s="1"/>
  <c r="G22" i="34"/>
  <c r="G39" i="34"/>
  <c r="G25" i="34"/>
  <c r="E4" i="12"/>
  <c r="G16" i="35"/>
  <c r="G17" i="35" s="1"/>
  <c r="G10" i="35"/>
  <c r="G11" i="35" s="1"/>
  <c r="L22" i="37"/>
  <c r="L18" i="36"/>
  <c r="L23" i="37"/>
  <c r="L23" i="36"/>
  <c r="K38" i="35" l="1"/>
  <c r="I37" i="34"/>
  <c r="J37" i="34"/>
  <c r="K37" i="34"/>
  <c r="I38" i="34"/>
  <c r="K38" i="34" s="1"/>
  <c r="J38" i="34"/>
  <c r="K37" i="35"/>
  <c r="G17" i="36"/>
  <c r="I17" i="36" s="1"/>
  <c r="D5" i="38"/>
  <c r="K21" i="36"/>
  <c r="J21" i="36"/>
  <c r="G25" i="35"/>
  <c r="C19" i="38" s="1"/>
  <c r="F19" i="38" s="1"/>
  <c r="G39" i="35"/>
  <c r="G5" i="38"/>
  <c r="G22" i="35"/>
  <c r="C16" i="38" s="1"/>
  <c r="F16" i="38" s="1"/>
  <c r="G7" i="38"/>
  <c r="G41" i="35"/>
  <c r="G30" i="35"/>
  <c r="C23" i="38" s="1"/>
  <c r="F23" i="38" s="1"/>
  <c r="G14" i="36"/>
  <c r="I14" i="36" s="1"/>
  <c r="K20" i="36"/>
  <c r="J20" i="36"/>
  <c r="D7" i="38"/>
  <c r="J24" i="7"/>
  <c r="I22" i="7"/>
  <c r="J22" i="7" s="1"/>
  <c r="G21" i="7"/>
  <c r="I21" i="7" s="1"/>
  <c r="K21" i="7" s="1"/>
  <c r="G20" i="7"/>
  <c r="I20" i="7" s="1"/>
  <c r="J20" i="7" s="1"/>
  <c r="G19" i="7"/>
  <c r="I19" i="7" s="1"/>
  <c r="K19" i="7" s="1"/>
  <c r="G18" i="7"/>
  <c r="I18" i="7" s="1"/>
  <c r="G17" i="7"/>
  <c r="I17" i="7" s="1"/>
  <c r="G15" i="7"/>
  <c r="I15" i="7" s="1"/>
  <c r="J15" i="7" s="1"/>
  <c r="G14" i="7"/>
  <c r="I14" i="7" s="1"/>
  <c r="K14" i="7" s="1"/>
  <c r="N47" i="35"/>
  <c r="M45" i="35"/>
  <c r="F45" i="35"/>
  <c r="H45" i="35" s="1"/>
  <c r="I45" i="35" s="1"/>
  <c r="M44" i="35"/>
  <c r="F44" i="35"/>
  <c r="H44" i="35" s="1"/>
  <c r="I44" i="35" s="1"/>
  <c r="F42" i="35"/>
  <c r="F41" i="35"/>
  <c r="F40" i="35"/>
  <c r="F39" i="35"/>
  <c r="F30" i="35"/>
  <c r="N28" i="35"/>
  <c r="F28" i="35"/>
  <c r="M27" i="35"/>
  <c r="F27" i="35"/>
  <c r="F26" i="35"/>
  <c r="F25" i="35"/>
  <c r="F23" i="35"/>
  <c r="F22" i="35"/>
  <c r="F17" i="35"/>
  <c r="F16" i="35"/>
  <c r="G15" i="37"/>
  <c r="I15" i="37" s="1"/>
  <c r="F14" i="35"/>
  <c r="F13" i="35"/>
  <c r="F11" i="35"/>
  <c r="H11" i="35" s="1"/>
  <c r="J11" i="35" s="1"/>
  <c r="F10" i="35"/>
  <c r="M7" i="35"/>
  <c r="F7" i="35"/>
  <c r="H7" i="35" s="1"/>
  <c r="I7" i="35" s="1"/>
  <c r="N47" i="34"/>
  <c r="M45" i="34"/>
  <c r="F45" i="34"/>
  <c r="H45" i="34" s="1"/>
  <c r="I45" i="34" s="1"/>
  <c r="M44" i="34"/>
  <c r="F44" i="34"/>
  <c r="H44" i="34" s="1"/>
  <c r="I44" i="34" s="1"/>
  <c r="M42" i="34"/>
  <c r="F42" i="34"/>
  <c r="H42" i="34" s="1"/>
  <c r="I42" i="34" s="1"/>
  <c r="M41" i="34"/>
  <c r="F41" i="34"/>
  <c r="H41" i="34" s="1"/>
  <c r="M40" i="34"/>
  <c r="F40" i="34"/>
  <c r="H40" i="34" s="1"/>
  <c r="M39" i="34"/>
  <c r="F39" i="34"/>
  <c r="H39" i="34" s="1"/>
  <c r="I39" i="34" s="1"/>
  <c r="N30" i="34"/>
  <c r="M30" i="34"/>
  <c r="F30" i="34"/>
  <c r="H30" i="34" s="1"/>
  <c r="N28" i="34"/>
  <c r="M28" i="34"/>
  <c r="F28" i="34"/>
  <c r="H28" i="34" s="1"/>
  <c r="N26" i="34"/>
  <c r="M26" i="34"/>
  <c r="F26" i="34"/>
  <c r="H26" i="34" s="1"/>
  <c r="N25" i="34"/>
  <c r="M25" i="34"/>
  <c r="F25" i="34"/>
  <c r="H25" i="34" s="1"/>
  <c r="N23" i="34"/>
  <c r="M23" i="34"/>
  <c r="F23" i="34"/>
  <c r="H23" i="34" s="1"/>
  <c r="J23" i="34" s="1"/>
  <c r="N22" i="34"/>
  <c r="M22" i="34"/>
  <c r="F22" i="34"/>
  <c r="H22" i="34" s="1"/>
  <c r="F17" i="34"/>
  <c r="H17" i="34" s="1"/>
  <c r="I17" i="34" s="1"/>
  <c r="F16" i="34"/>
  <c r="H16" i="34" s="1"/>
  <c r="I16" i="34" s="1"/>
  <c r="F14" i="34"/>
  <c r="H14" i="34" s="1"/>
  <c r="F13" i="34"/>
  <c r="H13" i="34" s="1"/>
  <c r="F11" i="34"/>
  <c r="H11" i="34" s="1"/>
  <c r="F10" i="34"/>
  <c r="M7" i="34"/>
  <c r="F7" i="34"/>
  <c r="H7" i="34" s="1"/>
  <c r="M45" i="4"/>
  <c r="F45" i="4"/>
  <c r="G17" i="37" l="1"/>
  <c r="I17" i="37" s="1"/>
  <c r="I25" i="36"/>
  <c r="C5" i="11" s="1"/>
  <c r="L20" i="36"/>
  <c r="G14" i="37"/>
  <c r="I14" i="37" s="1"/>
  <c r="K14" i="37" s="1"/>
  <c r="F24" i="38"/>
  <c r="G21" i="37"/>
  <c r="I21" i="37" s="1"/>
  <c r="K21" i="37" s="1"/>
  <c r="K14" i="36"/>
  <c r="J14" i="36"/>
  <c r="L21" i="36"/>
  <c r="J17" i="36"/>
  <c r="K17" i="36"/>
  <c r="K25" i="36" s="1"/>
  <c r="E5" i="11" s="1"/>
  <c r="J7" i="35"/>
  <c r="K7" i="35" s="1"/>
  <c r="K15" i="37"/>
  <c r="J15" i="37"/>
  <c r="J17" i="37"/>
  <c r="K17" i="37"/>
  <c r="H28" i="35"/>
  <c r="J28" i="35" s="1"/>
  <c r="I10" i="35"/>
  <c r="H14" i="35"/>
  <c r="J14" i="35" s="1"/>
  <c r="M22" i="35"/>
  <c r="M40" i="35"/>
  <c r="H27" i="35"/>
  <c r="I27" i="35" s="1"/>
  <c r="G19" i="37"/>
  <c r="I19" i="37" s="1"/>
  <c r="M28" i="35"/>
  <c r="G20" i="37"/>
  <c r="I20" i="37" s="1"/>
  <c r="H13" i="35"/>
  <c r="I13" i="35" s="1"/>
  <c r="H16" i="35"/>
  <c r="H17" i="35"/>
  <c r="I17" i="35" s="1"/>
  <c r="J39" i="34"/>
  <c r="K39" i="34" s="1"/>
  <c r="K15" i="7"/>
  <c r="L15" i="7" s="1"/>
  <c r="J21" i="7"/>
  <c r="L21" i="7" s="1"/>
  <c r="J17" i="7"/>
  <c r="K20" i="7"/>
  <c r="L20" i="7" s="1"/>
  <c r="K17" i="7"/>
  <c r="K22" i="7"/>
  <c r="L22" i="7" s="1"/>
  <c r="J18" i="7"/>
  <c r="J14" i="7"/>
  <c r="L14" i="7" s="1"/>
  <c r="K18" i="7"/>
  <c r="J19" i="7"/>
  <c r="L19" i="7" s="1"/>
  <c r="I13" i="34"/>
  <c r="J13" i="34"/>
  <c r="I10" i="34"/>
  <c r="J10" i="34"/>
  <c r="H31" i="34"/>
  <c r="I7" i="34"/>
  <c r="J7" i="34"/>
  <c r="I11" i="34"/>
  <c r="J11" i="34"/>
  <c r="N23" i="35"/>
  <c r="M23" i="35"/>
  <c r="I28" i="35"/>
  <c r="M39" i="35"/>
  <c r="H39" i="35"/>
  <c r="J14" i="34"/>
  <c r="N31" i="34"/>
  <c r="N48" i="34" s="1"/>
  <c r="D11" i="8" s="1"/>
  <c r="I22" i="34"/>
  <c r="I25" i="34"/>
  <c r="J28" i="34"/>
  <c r="I28" i="34"/>
  <c r="N25" i="35"/>
  <c r="M25" i="35"/>
  <c r="H25" i="35"/>
  <c r="M42" i="35"/>
  <c r="H42" i="35"/>
  <c r="H47" i="34"/>
  <c r="N30" i="35"/>
  <c r="M30" i="35"/>
  <c r="H30" i="35"/>
  <c r="I14" i="34"/>
  <c r="J16" i="34"/>
  <c r="K16" i="34" s="1"/>
  <c r="J22" i="34"/>
  <c r="J25" i="34"/>
  <c r="J30" i="34"/>
  <c r="I30" i="34"/>
  <c r="M47" i="34"/>
  <c r="J42" i="34"/>
  <c r="K42" i="34" s="1"/>
  <c r="J44" i="34"/>
  <c r="K44" i="34" s="1"/>
  <c r="J45" i="34"/>
  <c r="I11" i="35"/>
  <c r="J17" i="35"/>
  <c r="H23" i="35"/>
  <c r="M41" i="35"/>
  <c r="H41" i="35"/>
  <c r="J17" i="34"/>
  <c r="K17" i="34" s="1"/>
  <c r="I23" i="34"/>
  <c r="J26" i="34"/>
  <c r="I26" i="34"/>
  <c r="J40" i="34"/>
  <c r="I40" i="34"/>
  <c r="J41" i="34"/>
  <c r="I41" i="34"/>
  <c r="H22" i="35"/>
  <c r="N22" i="35"/>
  <c r="J44" i="35"/>
  <c r="K44" i="35" s="1"/>
  <c r="J45" i="35"/>
  <c r="K45" i="35" s="1"/>
  <c r="G18" i="37"/>
  <c r="I18" i="37" s="1"/>
  <c r="N27" i="35"/>
  <c r="H45" i="4"/>
  <c r="I45" i="4" s="1"/>
  <c r="J21" i="37" l="1"/>
  <c r="J10" i="35"/>
  <c r="J14" i="37"/>
  <c r="J25" i="36"/>
  <c r="D5" i="11" s="1"/>
  <c r="J27" i="35"/>
  <c r="J13" i="35"/>
  <c r="L17" i="36"/>
  <c r="L14" i="36"/>
  <c r="K27" i="35"/>
  <c r="L21" i="37"/>
  <c r="I14" i="35"/>
  <c r="K14" i="35" s="1"/>
  <c r="I25" i="37"/>
  <c r="C6" i="11" s="1"/>
  <c r="L15" i="37"/>
  <c r="I16" i="35"/>
  <c r="J16" i="35"/>
  <c r="L14" i="37"/>
  <c r="K14" i="34"/>
  <c r="H40" i="35"/>
  <c r="H47" i="35" s="1"/>
  <c r="K17" i="35"/>
  <c r="K19" i="37"/>
  <c r="J19" i="37"/>
  <c r="K18" i="37"/>
  <c r="J18" i="37"/>
  <c r="J20" i="37"/>
  <c r="K20" i="37"/>
  <c r="K28" i="35"/>
  <c r="K41" i="34"/>
  <c r="K26" i="34"/>
  <c r="L17" i="37"/>
  <c r="K45" i="34"/>
  <c r="K11" i="34"/>
  <c r="K30" i="34"/>
  <c r="H48" i="34"/>
  <c r="C4" i="8" s="1"/>
  <c r="K28" i="34"/>
  <c r="L18" i="7"/>
  <c r="L17" i="7"/>
  <c r="I47" i="34"/>
  <c r="K13" i="35"/>
  <c r="K23" i="34"/>
  <c r="J47" i="34"/>
  <c r="M47" i="35"/>
  <c r="K25" i="34"/>
  <c r="J39" i="35"/>
  <c r="I39" i="35"/>
  <c r="J31" i="34"/>
  <c r="K10" i="34"/>
  <c r="K13" i="34"/>
  <c r="M26" i="35"/>
  <c r="H26" i="35"/>
  <c r="H31" i="35" s="1"/>
  <c r="N26" i="35"/>
  <c r="K10" i="35"/>
  <c r="J23" i="35"/>
  <c r="I23" i="35"/>
  <c r="K11" i="35"/>
  <c r="J30" i="35"/>
  <c r="I30" i="35"/>
  <c r="J42" i="35"/>
  <c r="I42" i="35"/>
  <c r="I31" i="34"/>
  <c r="J22" i="35"/>
  <c r="I22" i="35"/>
  <c r="K40" i="34"/>
  <c r="J41" i="35"/>
  <c r="I41" i="35"/>
  <c r="J25" i="35"/>
  <c r="I25" i="35"/>
  <c r="K22" i="34"/>
  <c r="K7" i="34"/>
  <c r="J45" i="4"/>
  <c r="K45" i="4" s="1"/>
  <c r="L19" i="37" l="1"/>
  <c r="I40" i="35"/>
  <c r="I47" i="35" s="1"/>
  <c r="L25" i="36"/>
  <c r="K30" i="35"/>
  <c r="K16" i="35"/>
  <c r="K42" i="35"/>
  <c r="N31" i="35"/>
  <c r="N48" i="35" s="1"/>
  <c r="D12" i="8" s="1"/>
  <c r="J25" i="37"/>
  <c r="D6" i="11" s="1"/>
  <c r="K25" i="37"/>
  <c r="E6" i="11" s="1"/>
  <c r="E11" i="8"/>
  <c r="K47" i="34"/>
  <c r="J40" i="35"/>
  <c r="J47" i="35" s="1"/>
  <c r="L20" i="37"/>
  <c r="K41" i="35"/>
  <c r="K22" i="35"/>
  <c r="F11" i="8"/>
  <c r="L18" i="37"/>
  <c r="L25" i="37" s="1"/>
  <c r="K25" i="35"/>
  <c r="I48" i="34"/>
  <c r="D4" i="8" s="1"/>
  <c r="K23" i="35"/>
  <c r="K39" i="35"/>
  <c r="J48" i="34"/>
  <c r="E4" i="8" s="1"/>
  <c r="H48" i="35"/>
  <c r="C5" i="8" s="1"/>
  <c r="K31" i="34"/>
  <c r="I26" i="35"/>
  <c r="I31" i="35" s="1"/>
  <c r="J26" i="35"/>
  <c r="J31" i="35" s="1"/>
  <c r="K40" i="35" l="1"/>
  <c r="K47" i="35" s="1"/>
  <c r="E12" i="8"/>
  <c r="F12" i="8"/>
  <c r="K48" i="34"/>
  <c r="J48" i="35"/>
  <c r="E5" i="8" s="1"/>
  <c r="J51" i="34"/>
  <c r="K26" i="35"/>
  <c r="K31" i="35" s="1"/>
  <c r="I48" i="35"/>
  <c r="J51" i="35" l="1"/>
  <c r="D5" i="8"/>
  <c r="K48" i="35"/>
  <c r="F42" i="4" l="1"/>
  <c r="M42" i="4"/>
  <c r="H42" i="4" l="1"/>
  <c r="J42" i="4" s="1"/>
  <c r="I42" i="4" l="1"/>
  <c r="K42" i="4" s="1"/>
  <c r="F40" i="4"/>
  <c r="M41" i="4"/>
  <c r="F41" i="4"/>
  <c r="F39" i="4"/>
  <c r="C32" i="12"/>
  <c r="D32" i="12"/>
  <c r="D14" i="35" l="1"/>
  <c r="D14" i="34"/>
  <c r="M14" i="34" s="1"/>
  <c r="D13" i="35"/>
  <c r="D13" i="34"/>
  <c r="M13" i="34" s="1"/>
  <c r="M40" i="4"/>
  <c r="H40" i="4"/>
  <c r="H41" i="4"/>
  <c r="M13" i="35" l="1"/>
  <c r="C6" i="38"/>
  <c r="E6" i="38" s="1"/>
  <c r="M14" i="35"/>
  <c r="F6" i="38"/>
  <c r="H6" i="38" s="1"/>
  <c r="I40" i="4"/>
  <c r="J40" i="4"/>
  <c r="I41" i="4"/>
  <c r="J41" i="4"/>
  <c r="K40" i="4" l="1"/>
  <c r="K41" i="4"/>
  <c r="F23" i="4" l="1"/>
  <c r="F22" i="4"/>
  <c r="F44" i="4" l="1"/>
  <c r="G7" i="4" l="1"/>
  <c r="F25" i="4"/>
  <c r="F26" i="4"/>
  <c r="M26" i="4"/>
  <c r="F27" i="4"/>
  <c r="F28" i="4"/>
  <c r="M28" i="4"/>
  <c r="F30" i="4"/>
  <c r="M30" i="4"/>
  <c r="M25" i="4" l="1"/>
  <c r="N25" i="4"/>
  <c r="H27" i="4"/>
  <c r="I27" i="4" s="1"/>
  <c r="H30" i="4"/>
  <c r="J30" i="4" s="1"/>
  <c r="N30" i="4"/>
  <c r="N28" i="4"/>
  <c r="H25" i="4"/>
  <c r="J25" i="4" s="1"/>
  <c r="H28" i="4"/>
  <c r="J28" i="4" s="1"/>
  <c r="H26" i="4"/>
  <c r="I26" i="4" s="1"/>
  <c r="M27" i="4"/>
  <c r="N26" i="4"/>
  <c r="N27" i="4"/>
  <c r="J27" i="4" l="1"/>
  <c r="I28" i="4"/>
  <c r="K28" i="4" s="1"/>
  <c r="M39" i="4"/>
  <c r="H39" i="4"/>
  <c r="M44" i="4"/>
  <c r="I25" i="4"/>
  <c r="K25" i="4" s="1"/>
  <c r="I30" i="4"/>
  <c r="K30" i="4" s="1"/>
  <c r="J26" i="4"/>
  <c r="K26" i="4" s="1"/>
  <c r="K27" i="4"/>
  <c r="D40" i="12"/>
  <c r="C40" i="12"/>
  <c r="D39" i="12"/>
  <c r="C39" i="12"/>
  <c r="D17" i="4" l="1"/>
  <c r="D17" i="35"/>
  <c r="D17" i="34"/>
  <c r="M17" i="34" s="1"/>
  <c r="D16" i="4"/>
  <c r="D16" i="35"/>
  <c r="D16" i="34"/>
  <c r="M16" i="34" s="1"/>
  <c r="H44" i="4"/>
  <c r="I44" i="4" s="1"/>
  <c r="I39" i="4"/>
  <c r="J39" i="4"/>
  <c r="N22" i="4"/>
  <c r="H22" i="4"/>
  <c r="M22" i="4"/>
  <c r="D14" i="4"/>
  <c r="D13" i="4"/>
  <c r="C13" i="12"/>
  <c r="M17" i="35" l="1"/>
  <c r="F7" i="38"/>
  <c r="H7" i="38" s="1"/>
  <c r="J44" i="4"/>
  <c r="K44" i="4" s="1"/>
  <c r="M16" i="35"/>
  <c r="C7" i="38"/>
  <c r="E7" i="38" s="1"/>
  <c r="K39" i="4"/>
  <c r="J22" i="4"/>
  <c r="I22" i="4"/>
  <c r="N23" i="4"/>
  <c r="M23" i="4"/>
  <c r="H23" i="4"/>
  <c r="G21" i="12"/>
  <c r="G22" i="12"/>
  <c r="G23" i="12"/>
  <c r="G20" i="12"/>
  <c r="G19" i="12"/>
  <c r="F20" i="12"/>
  <c r="F21" i="12"/>
  <c r="F22" i="12"/>
  <c r="F23" i="12"/>
  <c r="F19" i="12"/>
  <c r="C12" i="12"/>
  <c r="C14" i="12" s="1"/>
  <c r="K22" i="4" l="1"/>
  <c r="J23" i="4"/>
  <c r="I23" i="4"/>
  <c r="F24" i="12"/>
  <c r="G24" i="12"/>
  <c r="D11" i="4" l="1"/>
  <c r="D11" i="35"/>
  <c r="D11" i="34"/>
  <c r="M11" i="34" s="1"/>
  <c r="D10" i="4"/>
  <c r="M10" i="4" s="1"/>
  <c r="D10" i="34"/>
  <c r="M10" i="34" s="1"/>
  <c r="D10" i="35"/>
  <c r="K23" i="4"/>
  <c r="M31" i="34" l="1"/>
  <c r="C5" i="38"/>
  <c r="E5" i="38" s="1"/>
  <c r="M10" i="35"/>
  <c r="M31" i="35" s="1"/>
  <c r="M11" i="35"/>
  <c r="F5" i="38"/>
  <c r="H5" i="38" s="1"/>
  <c r="F17" i="4"/>
  <c r="F16" i="4"/>
  <c r="H16" i="4" s="1"/>
  <c r="M16" i="4"/>
  <c r="F14" i="4"/>
  <c r="F13" i="4"/>
  <c r="H13" i="4" s="1"/>
  <c r="M13" i="4"/>
  <c r="M48" i="34" l="1"/>
  <c r="E8" i="38"/>
  <c r="M17" i="4"/>
  <c r="H14" i="4"/>
  <c r="H17" i="4"/>
  <c r="J17" i="4" s="1"/>
  <c r="M14" i="4"/>
  <c r="J16" i="4"/>
  <c r="I16" i="4"/>
  <c r="I13" i="4"/>
  <c r="J13" i="4"/>
  <c r="H8" i="38" l="1"/>
  <c r="H4" i="8"/>
  <c r="L51" i="34"/>
  <c r="M54" i="34"/>
  <c r="M48" i="35"/>
  <c r="K16" i="4"/>
  <c r="I14" i="4"/>
  <c r="K13" i="4"/>
  <c r="J14" i="4"/>
  <c r="I17" i="4"/>
  <c r="K17" i="4" s="1"/>
  <c r="H5" i="8" l="1"/>
  <c r="L51" i="35"/>
  <c r="M54" i="35"/>
  <c r="K14" i="4"/>
  <c r="F11" i="4"/>
  <c r="F10" i="4"/>
  <c r="M11" i="4" l="1"/>
  <c r="H11" i="4"/>
  <c r="J11" i="4" s="1"/>
  <c r="J10" i="4"/>
  <c r="I10" i="4"/>
  <c r="I11" i="4" l="1"/>
  <c r="K11" i="4" s="1"/>
  <c r="K10" i="4"/>
  <c r="F49" i="12" l="1"/>
  <c r="F48" i="12"/>
  <c r="F47" i="12"/>
  <c r="L27" i="34" s="1"/>
  <c r="L29" i="35" l="1"/>
  <c r="L29" i="34"/>
  <c r="L43" i="35"/>
  <c r="L43" i="34"/>
  <c r="L43" i="4"/>
  <c r="L29" i="4"/>
  <c r="L38" i="4"/>
  <c r="L37" i="4"/>
  <c r="L37" i="35"/>
  <c r="L38" i="35"/>
  <c r="L37" i="34"/>
  <c r="L38" i="34"/>
  <c r="L44" i="34"/>
  <c r="L27" i="35"/>
  <c r="L45" i="35"/>
  <c r="L39" i="34"/>
  <c r="L7" i="35"/>
  <c r="M53" i="35" s="1"/>
  <c r="L7" i="34"/>
  <c r="M53" i="34" s="1"/>
  <c r="L44" i="35"/>
  <c r="L28" i="35"/>
  <c r="L23" i="34"/>
  <c r="L11" i="35"/>
  <c r="L25" i="34"/>
  <c r="L17" i="34"/>
  <c r="L28" i="34"/>
  <c r="L45" i="4"/>
  <c r="L16" i="35"/>
  <c r="L40" i="34"/>
  <c r="L11" i="34"/>
  <c r="L42" i="35"/>
  <c r="L30" i="34"/>
  <c r="L16" i="34"/>
  <c r="L10" i="35"/>
  <c r="L13" i="35"/>
  <c r="L42" i="34"/>
  <c r="L10" i="34"/>
  <c r="L13" i="34"/>
  <c r="L14" i="35"/>
  <c r="L22" i="34"/>
  <c r="L41" i="34"/>
  <c r="L17" i="35"/>
  <c r="L26" i="34"/>
  <c r="L45" i="34"/>
  <c r="L14" i="34"/>
  <c r="L30" i="35"/>
  <c r="L41" i="35"/>
  <c r="L25" i="35"/>
  <c r="L40" i="35"/>
  <c r="L23" i="35"/>
  <c r="L22" i="35"/>
  <c r="L39" i="35"/>
  <c r="L26" i="35"/>
  <c r="L42" i="4"/>
  <c r="L41" i="4"/>
  <c r="L40" i="4"/>
  <c r="L44" i="4"/>
  <c r="L39" i="4"/>
  <c r="L22" i="4"/>
  <c r="L23" i="4"/>
  <c r="L28" i="4"/>
  <c r="L25" i="4"/>
  <c r="L30" i="4"/>
  <c r="L27" i="4"/>
  <c r="L26" i="4"/>
  <c r="L16" i="4"/>
  <c r="L13" i="4"/>
  <c r="L14" i="4"/>
  <c r="L17" i="4"/>
  <c r="L10" i="4"/>
  <c r="L11" i="4"/>
  <c r="L31" i="35" l="1"/>
  <c r="L47" i="35"/>
  <c r="L31" i="34"/>
  <c r="L47" i="34"/>
  <c r="L48" i="34" l="1"/>
  <c r="L48" i="35"/>
  <c r="K51" i="35" l="1"/>
  <c r="M51" i="35" s="1"/>
  <c r="G5" i="8"/>
  <c r="G4" i="8"/>
  <c r="K51" i="34"/>
  <c r="M51" i="34" s="1"/>
  <c r="D58" i="12" l="1"/>
  <c r="D57" i="12"/>
  <c r="D56" i="12"/>
  <c r="M9" i="37" l="1"/>
  <c r="M21" i="36"/>
  <c r="M8" i="37"/>
  <c r="M6" i="37"/>
  <c r="M9" i="36"/>
  <c r="M6" i="36"/>
  <c r="M22" i="37"/>
  <c r="M14" i="36"/>
  <c r="M8" i="36"/>
  <c r="M23" i="37"/>
  <c r="M15" i="36"/>
  <c r="M20" i="36"/>
  <c r="M18" i="36"/>
  <c r="M22" i="36"/>
  <c r="M19" i="36"/>
  <c r="M23" i="36"/>
  <c r="M17" i="36"/>
  <c r="M20" i="7"/>
  <c r="M14" i="37"/>
  <c r="M15" i="37"/>
  <c r="M17" i="37"/>
  <c r="M15" i="7"/>
  <c r="M21" i="7"/>
  <c r="M22" i="7"/>
  <c r="M17" i="7"/>
  <c r="M21" i="37"/>
  <c r="M18" i="7"/>
  <c r="M19" i="7"/>
  <c r="M19" i="37"/>
  <c r="M20" i="37"/>
  <c r="M14" i="7"/>
  <c r="M18" i="37"/>
  <c r="M25" i="37" l="1"/>
  <c r="G6" i="11" s="1"/>
  <c r="M25" i="36"/>
  <c r="G5" i="11" s="1"/>
  <c r="G11" i="8"/>
  <c r="I11" i="8" l="1"/>
  <c r="H11" i="8"/>
  <c r="F4" i="8" l="1"/>
  <c r="F6" i="11"/>
  <c r="F5" i="11"/>
  <c r="F7" i="4" l="1"/>
  <c r="N31" i="4" l="1"/>
  <c r="N47" i="4" l="1"/>
  <c r="I4" i="8" l="1"/>
  <c r="H8" i="11"/>
  <c r="H7" i="11"/>
  <c r="M7" i="4" l="1"/>
  <c r="M31" i="4" s="1"/>
  <c r="H7" i="4" l="1"/>
  <c r="H31" i="4" s="1"/>
  <c r="I7" i="4" l="1"/>
  <c r="I31" i="4" s="1"/>
  <c r="N48" i="4"/>
  <c r="D10" i="8" s="1"/>
  <c r="D13" i="8" s="1"/>
  <c r="J7" i="4"/>
  <c r="J31" i="4" s="1"/>
  <c r="E10" i="8" l="1"/>
  <c r="K7" i="4"/>
  <c r="K31" i="4" s="1"/>
  <c r="D14" i="8"/>
  <c r="L7" i="4"/>
  <c r="M53" i="4" s="1"/>
  <c r="F5" i="8"/>
  <c r="L31" i="4" l="1"/>
  <c r="I5" i="8"/>
  <c r="I6" i="11"/>
  <c r="I5" i="11"/>
  <c r="I23" i="7"/>
  <c r="B9" i="7"/>
  <c r="I6" i="7"/>
  <c r="K23" i="7" l="1"/>
  <c r="J23" i="7"/>
  <c r="J6" i="7"/>
  <c r="K6" i="7"/>
  <c r="L23" i="7" l="1"/>
  <c r="M23" i="7"/>
  <c r="M6" i="7"/>
  <c r="L6" i="7"/>
  <c r="I9" i="7" l="1"/>
  <c r="H47" i="4" l="1"/>
  <c r="I8" i="7"/>
  <c r="M24" i="7"/>
  <c r="K9" i="7"/>
  <c r="J9" i="7"/>
  <c r="M47" i="4"/>
  <c r="M48" i="4" s="1"/>
  <c r="H3" i="8" s="1"/>
  <c r="I25" i="7" l="1"/>
  <c r="C4" i="11" s="1"/>
  <c r="M9" i="7"/>
  <c r="L9" i="7"/>
  <c r="K47" i="4"/>
  <c r="K48" i="4" s="1"/>
  <c r="H48" i="4"/>
  <c r="C3" i="8" s="1"/>
  <c r="J8" i="7"/>
  <c r="J25" i="7" s="1"/>
  <c r="D4" i="11" s="1"/>
  <c r="J47" i="4"/>
  <c r="K8" i="7"/>
  <c r="K25" i="7" s="1"/>
  <c r="E4" i="11" s="1"/>
  <c r="I47" i="4"/>
  <c r="F10" i="8" l="1"/>
  <c r="L8" i="7"/>
  <c r="L25" i="7" s="1"/>
  <c r="M8" i="7"/>
  <c r="M25" i="7" s="1"/>
  <c r="G4" i="11" s="1"/>
  <c r="E13" i="8"/>
  <c r="G12" i="8"/>
  <c r="C8" i="11"/>
  <c r="F4" i="11"/>
  <c r="C7" i="8"/>
  <c r="C6" i="8"/>
  <c r="L47" i="4"/>
  <c r="D8" i="11"/>
  <c r="E8" i="11"/>
  <c r="J48" i="4"/>
  <c r="E3" i="8" s="1"/>
  <c r="C7" i="11"/>
  <c r="I48" i="4"/>
  <c r="D3" i="8" s="1"/>
  <c r="H12" i="8" l="1"/>
  <c r="I12" i="8"/>
  <c r="F14" i="8"/>
  <c r="J51" i="4"/>
  <c r="D7" i="11"/>
  <c r="E14" i="8"/>
  <c r="L48" i="4"/>
  <c r="G3" i="8" s="1"/>
  <c r="I3" i="8" s="1"/>
  <c r="F13" i="8"/>
  <c r="E7" i="11"/>
  <c r="G10" i="8"/>
  <c r="E6" i="8"/>
  <c r="H7" i="8"/>
  <c r="I4" i="11"/>
  <c r="I10" i="8" l="1"/>
  <c r="M54" i="4"/>
  <c r="L51" i="4"/>
  <c r="G14" i="8"/>
  <c r="G7" i="8"/>
  <c r="G7" i="11"/>
  <c r="K51" i="4"/>
  <c r="G13" i="8"/>
  <c r="F7" i="11"/>
  <c r="F8" i="11"/>
  <c r="G8" i="11"/>
  <c r="E7" i="8"/>
  <c r="F3" i="8"/>
  <c r="I7" i="11"/>
  <c r="I8" i="11"/>
  <c r="H6" i="8"/>
  <c r="D7" i="8"/>
  <c r="D6" i="8"/>
  <c r="H13" i="8" l="1"/>
  <c r="I13" i="8"/>
  <c r="H14" i="8"/>
  <c r="I14" i="8"/>
  <c r="I6" i="8"/>
  <c r="G6" i="8"/>
  <c r="M51" i="4"/>
  <c r="F7" i="8"/>
  <c r="F6" i="8"/>
  <c r="I7" i="8" l="1"/>
</calcChain>
</file>

<file path=xl/sharedStrings.xml><?xml version="1.0" encoding="utf-8"?>
<sst xmlns="http://schemas.openxmlformats.org/spreadsheetml/2006/main" count="605" uniqueCount="230">
  <si>
    <t>Managerial</t>
  </si>
  <si>
    <t>Technical</t>
  </si>
  <si>
    <t>Clerical</t>
  </si>
  <si>
    <t>Burden Item</t>
  </si>
  <si>
    <t>(A)
Respondent Hours per Occurrence (Technical hours)</t>
  </si>
  <si>
    <t>Footnotes</t>
  </si>
  <si>
    <t>(A)</t>
  </si>
  <si>
    <t>(B)</t>
  </si>
  <si>
    <t>(C)</t>
  </si>
  <si>
    <t>(D)</t>
  </si>
  <si>
    <t>(E)</t>
  </si>
  <si>
    <t>(F)</t>
  </si>
  <si>
    <t>Number of Occurrences Per Year</t>
  </si>
  <si>
    <t>1.</t>
  </si>
  <si>
    <t>Applications</t>
  </si>
  <si>
    <t>not applicable</t>
  </si>
  <si>
    <t>2.</t>
  </si>
  <si>
    <t>Read and Understand Rule Requirements</t>
  </si>
  <si>
    <t>3.</t>
  </si>
  <si>
    <t>Required Activities</t>
  </si>
  <si>
    <t>A.</t>
  </si>
  <si>
    <t>Observe stack tests</t>
  </si>
  <si>
    <t>b</t>
  </si>
  <si>
    <t>B.</t>
  </si>
  <si>
    <t>Excess emissions -- Enforcement Activities</t>
  </si>
  <si>
    <t>C.</t>
  </si>
  <si>
    <t>Create Information</t>
  </si>
  <si>
    <t>D.</t>
  </si>
  <si>
    <t>Gather Information</t>
  </si>
  <si>
    <t>E.</t>
  </si>
  <si>
    <t>Report Reviews</t>
  </si>
  <si>
    <t>F.</t>
  </si>
  <si>
    <t>Prepare annual summary report</t>
  </si>
  <si>
    <t>c</t>
  </si>
  <si>
    <t xml:space="preserve">Travel expenses:  (1 person *  30 hours per year / 8 hours per day * $75 per diem) + ($600 per round trip) = </t>
  </si>
  <si>
    <t>per trip</t>
  </si>
  <si>
    <t>TOTAL</t>
  </si>
  <si>
    <t>a</t>
  </si>
  <si>
    <t>Percent of Stack Tests Observed</t>
  </si>
  <si>
    <t>Estimated Percent Retesting</t>
  </si>
  <si>
    <t>Estimated Percent Emission Exceedences</t>
  </si>
  <si>
    <t>Year</t>
  </si>
  <si>
    <t>Technical Hours</t>
  </si>
  <si>
    <t>Management Hours</t>
  </si>
  <si>
    <t>Clerical Hours</t>
  </si>
  <si>
    <t>Total Labor Hours</t>
  </si>
  <si>
    <t>Labor Costs</t>
  </si>
  <si>
    <t>Non-Labor (Annualized Capital/Startup and O&amp;M) Costs</t>
  </si>
  <si>
    <t>Total Costs</t>
  </si>
  <si>
    <t>Total</t>
  </si>
  <si>
    <t>Average</t>
  </si>
  <si>
    <t>Hourly Mean Wage</t>
  </si>
  <si>
    <t>With  Fringe &amp; Overhead</t>
  </si>
  <si>
    <t>(GS- 12, step 1) - Tech.</t>
  </si>
  <si>
    <t>(GS- 13, step 5) - Mgmt.</t>
  </si>
  <si>
    <t>(GS-6, step 3) - Cler.</t>
  </si>
  <si>
    <t>d</t>
  </si>
  <si>
    <t>e</t>
  </si>
  <si>
    <t>4.</t>
  </si>
  <si>
    <t>Total Hours</t>
  </si>
  <si>
    <t>Non-Labor Costs</t>
  </si>
  <si>
    <t>4.  Recordkeeping Requirements</t>
  </si>
  <si>
    <t>A.  Read Instructions</t>
  </si>
  <si>
    <t>C.  Develop Record System</t>
  </si>
  <si>
    <t>Recordkeeping Subtotal</t>
  </si>
  <si>
    <t>1.  Applications</t>
  </si>
  <si>
    <t>NA</t>
  </si>
  <si>
    <t>2.  Surveys and Studies</t>
  </si>
  <si>
    <t>3.  Reporting Requirements</t>
  </si>
  <si>
    <t>A.  Read Rule</t>
  </si>
  <si>
    <t>B.  Required Activities</t>
  </si>
  <si>
    <t>C.  Create Information</t>
  </si>
  <si>
    <t>D.  Gather Information</t>
  </si>
  <si>
    <t>Inc. in 3B</t>
  </si>
  <si>
    <t>Inc. in 3E</t>
  </si>
  <si>
    <t>E.  Report Preparation</t>
  </si>
  <si>
    <t>Reporting Subtotal</t>
  </si>
  <si>
    <t>D.  Record information</t>
  </si>
  <si>
    <t>E.  Personnel Training</t>
  </si>
  <si>
    <t>F.  Time for Audits</t>
  </si>
  <si>
    <t>Labor</t>
  </si>
  <si>
    <t>Non-Labor</t>
  </si>
  <si>
    <t>Summary of Respondent Burden</t>
  </si>
  <si>
    <t>Initial Capital and Startup</t>
  </si>
  <si>
    <t>Annualized Capital/Start-up and O &amp; M</t>
  </si>
  <si>
    <t>(B) 
Non-Labor Costs Per Occurrence</t>
  </si>
  <si>
    <t>Category</t>
  </si>
  <si>
    <t>Occupation Code</t>
  </si>
  <si>
    <t>Title</t>
  </si>
  <si>
    <t>Loaded Wage</t>
  </si>
  <si>
    <t>f</t>
  </si>
  <si>
    <t>Number of Responses</t>
  </si>
  <si>
    <t>Reporting Hours</t>
  </si>
  <si>
    <t>Recordkeeping Hours</t>
  </si>
  <si>
    <t>Hours per Response</t>
  </si>
  <si>
    <t>(C) 
Number of Occurrences Per Respondent Per Year</t>
  </si>
  <si>
    <t>(E)
Number of Respondents Per Year</t>
  </si>
  <si>
    <t>(G) 
Clerical Hours per Year
(F X 0.1)</t>
  </si>
  <si>
    <t>(H)
Management Hours per Year
(F X .05)</t>
  </si>
  <si>
    <t>Footnotes:</t>
  </si>
  <si>
    <t>Tech Hours Per Year
(C=A x B)</t>
  </si>
  <si>
    <t>Management Hours Per Year
(D = C x 0.05)</t>
  </si>
  <si>
    <t>Clerical Hours Per Year
(E = C x 0.1)</t>
  </si>
  <si>
    <t>(F)
Technical Hours per Year
(D X E)</t>
  </si>
  <si>
    <t>B.  Implement Activities</t>
  </si>
  <si>
    <t>43-6014</t>
  </si>
  <si>
    <t>Capital Cost</t>
  </si>
  <si>
    <t>a.  Capital Cost</t>
  </si>
  <si>
    <t>b.  Annualized Cost</t>
  </si>
  <si>
    <t>Inc. in 3.A</t>
  </si>
  <si>
    <t>g</t>
  </si>
  <si>
    <t>https://www.opm.gov/policy-data-oversight/pay-leave/salaries-wages/salary-tables/pdf/2016/GS_h.pdf</t>
  </si>
  <si>
    <t>or https://www.opm.gov/policy-data-oversight/pay-leave/salaries-wages/</t>
  </si>
  <si>
    <t>Review compliance reports</t>
  </si>
  <si>
    <t>Hours Per Respondent</t>
  </si>
  <si>
    <t>(D)
Technical Hours per Respondent Per Year
 (A X C)</t>
  </si>
  <si>
    <t>Number of Respondents</t>
  </si>
  <si>
    <t>Technical Hours Per Occurrence</t>
  </si>
  <si>
    <t>Total Hours Per Year (C+D+E)</t>
  </si>
  <si>
    <t>Total Cost Per Year</t>
  </si>
  <si>
    <t>(G)</t>
  </si>
  <si>
    <t>(I)
Total Hours per Year
(F + G + H)</t>
  </si>
  <si>
    <t>(J)
Total Labor Costs Per Year</t>
  </si>
  <si>
    <t>(K)
Total Non-Labor Costs Per Year 
(B x C x E)</t>
  </si>
  <si>
    <t>(L)
Total Number of Responses per Year
(C X E)</t>
  </si>
  <si>
    <t>Capital/Startup and O&amp;M Costs</t>
  </si>
  <si>
    <t>a.  Flares</t>
  </si>
  <si>
    <t>b.  PRDs</t>
  </si>
  <si>
    <t>d.  Maintenance Vents</t>
  </si>
  <si>
    <t>Annual Cost</t>
  </si>
  <si>
    <t>Parameter</t>
  </si>
  <si>
    <t>Number of Existing Facilities</t>
  </si>
  <si>
    <t>Number of New Facilities</t>
  </si>
  <si>
    <t>Flare Management Plan - One-time cost</t>
  </si>
  <si>
    <t>Cost Per Flare</t>
  </si>
  <si>
    <t>Total Flares (all 31)</t>
  </si>
  <si>
    <t>Total Flares (existing 26)</t>
  </si>
  <si>
    <t>Avg. Cost Per Facility (all 31)</t>
  </si>
  <si>
    <t>Avg. Cost Per Facility (existing 26)</t>
  </si>
  <si>
    <t>Value</t>
  </si>
  <si>
    <t>Capital Equipment Cost ($/flare)</t>
  </si>
  <si>
    <t>Annualized Cost ($/yr/flare)</t>
  </si>
  <si>
    <t>Number of Flares Impacted</t>
  </si>
  <si>
    <t>Calorimeter</t>
  </si>
  <si>
    <t>Flare Gas Flow Monitor</t>
  </si>
  <si>
    <t>Steam Controls/Flow Monitor</t>
  </si>
  <si>
    <t>Air Controls/Flow Monitor</t>
  </si>
  <si>
    <t>EPA Wages</t>
  </si>
  <si>
    <t>Industry Wages</t>
  </si>
  <si>
    <t>H2 Analyzer</t>
  </si>
  <si>
    <t>Nationwide Capital Equipment Cost ($)</t>
  </si>
  <si>
    <t>Nationwide Total Annualized Cost ($/yr)</t>
  </si>
  <si>
    <t>Flare Monitor Costs (costs pulled from Flare Impacts memo)</t>
  </si>
  <si>
    <t>Monitoring Equipment</t>
  </si>
  <si>
    <t>Total (all 31)</t>
  </si>
  <si>
    <t>Total (existing 26)</t>
  </si>
  <si>
    <t>PRD Monitor</t>
  </si>
  <si>
    <t>Costs not applicable to new facilities (don't have atmospheric PRDs)</t>
  </si>
  <si>
    <t>HEX El Paso Method Monitor</t>
  </si>
  <si>
    <t>e.  HEX El Paso Method</t>
  </si>
  <si>
    <t>May 2016 National Industry-Specific Occupational Employment and Wage Estimates</t>
  </si>
  <si>
    <t>11-9041</t>
  </si>
  <si>
    <t>Architectural and Engineering Managers</t>
  </si>
  <si>
    <t>17-2081</t>
  </si>
  <si>
    <t>2016 Wage</t>
  </si>
  <si>
    <t>Sectors 31, 32, and 33 - Manufacturing</t>
  </si>
  <si>
    <t>https://www.bls.gov/oes/2016/may/naics2_31-33.htm#17-0000</t>
  </si>
  <si>
    <t>Environmental Engineer</t>
  </si>
  <si>
    <t>Office and Administrative Support Occupations</t>
  </si>
  <si>
    <t># facilities with atmospheric PRDs</t>
  </si>
  <si>
    <t>(b) This is a one-time cost (e.g., to read rule or develop plan).</t>
  </si>
  <si>
    <t>a, b</t>
  </si>
  <si>
    <t>(a) There are 26 currently operating facilities, and 5 facilities under construction. We assumed each of the 5 new facilities would commence operations within three years after promulgation of the rule. As such, costs are estimated for 31 facilities.</t>
  </si>
  <si>
    <t>Table 4 - Summary of Annual Respondent Burden and Cost of Recordkeeping and Reporting Requirements for the Ethylene Production RTR</t>
  </si>
  <si>
    <t>Table 1 - Annual Respondent Burden and Cost of Recordkeeping and Reporting Requirements for the Ethylene Production RTR  - Year 1</t>
  </si>
  <si>
    <t>Review flare management plan</t>
  </si>
  <si>
    <t>Review notification of compliance status</t>
  </si>
  <si>
    <t>Number of occurrences is the number of states and EPA Regions with affected sources (6 states + 5 EPA regions = 11 respondents).</t>
  </si>
  <si>
    <t>Table 5 - Annual Agency Burden and Cost of Recordkeeping and Reporting Requirements for the Ethylene Production RTR - Year 1</t>
  </si>
  <si>
    <t>Table 8 - Summary of Annual Agency Burden and Cost of Recordkeeping and Reporting Requirements for the Ethylene Production RTR</t>
  </si>
  <si>
    <t>Flare Monitors</t>
  </si>
  <si>
    <t>Heat Exchangers - El Paso Method</t>
  </si>
  <si>
    <t>Capital/Startup Costs for One Respondent</t>
  </si>
  <si>
    <t>Number of Respondents with Capital/Startup Costs</t>
  </si>
  <si>
    <t>Annual Cost (O&amp;M and Capital) for One Respondent</t>
  </si>
  <si>
    <t>Total Capital/ Startup Cost
(B X C)</t>
  </si>
  <si>
    <t>Total Annual Cost,
(E X F)</t>
  </si>
  <si>
    <t>Source &amp; Monitor Type</t>
  </si>
  <si>
    <t>1/3 of facilities</t>
  </si>
  <si>
    <t>2/3 of facilities</t>
  </si>
  <si>
    <t>All facilities</t>
  </si>
  <si>
    <t>Information Collection Activity</t>
  </si>
  <si>
    <t>Number of Existing Respondents That Keep Records But Do Not Submit Reports</t>
  </si>
  <si>
    <t>Total Annual Responses</t>
  </si>
  <si>
    <t>Notification of Compliance Status</t>
  </si>
  <si>
    <t xml:space="preserve">     Flares</t>
  </si>
  <si>
    <t xml:space="preserve">     PRDs</t>
  </si>
  <si>
    <t>Periodic Reports</t>
  </si>
  <si>
    <t xml:space="preserve">     Maintenance Vents</t>
  </si>
  <si>
    <t xml:space="preserve">     HEX El Paso Method</t>
  </si>
  <si>
    <t>Total Annual Responses
E=(BxC)+D</t>
  </si>
  <si>
    <r>
      <t>Number of Respondents</t>
    </r>
    <r>
      <rPr>
        <vertAlign val="superscript"/>
        <sz val="10"/>
        <color rgb="FF000000"/>
        <rFont val="Times New Roman"/>
        <family val="1"/>
      </rPr>
      <t>a</t>
    </r>
  </si>
  <si>
    <t>(a) Within a given year, there are a maximum of 31 respondents per information collection activity, however the values in column F reflect the sum of these respondents for years 2 and 3.</t>
  </si>
  <si>
    <t>Table 2 - Annual Respondent Burden and Cost of Recordkeeping and Reporting Requirements for the Ethylene Production RTR  - Year 2</t>
  </si>
  <si>
    <t>Table 3 - Annual Respondent Burden and Cost of Recordkeeping and Reporting Requirements for the Ethylene Production RTR  - Year 3</t>
  </si>
  <si>
    <t>Table 6 - Annual Agency Burden and Cost of Recordkeeping and Reporting Requirements for the Ethylene Production RTR - Year 2</t>
  </si>
  <si>
    <t>Table 7 - Annual Agency Burden and Cost of Recordkeeping and Reporting Requirements for the Ethylene Production RTR - Year 3</t>
  </si>
  <si>
    <t>5.  HEX El Paso Method</t>
  </si>
  <si>
    <t>e.  Bypass Lines</t>
  </si>
  <si>
    <t>f.  HEX El Paso Method</t>
  </si>
  <si>
    <t xml:space="preserve">(c) Assumed facilities will read the rule and perform certain one-time activities (e.g., develop flare management plan) in year 1. Assumed that one-third of the facilities would begin complying in year 2 and the remaining two-thirds of the facilities in year 3. </t>
  </si>
  <si>
    <t>c.  Decoking Operations</t>
  </si>
  <si>
    <t xml:space="preserve">     Decoking Operations</t>
  </si>
  <si>
    <t>1.  Flare Monitors</t>
  </si>
  <si>
    <t>2.  PRD Monitor</t>
  </si>
  <si>
    <t>3.  HEX El Paso Method</t>
  </si>
  <si>
    <t>1.  Notification of Compliance Status</t>
  </si>
  <si>
    <t>2.  Periodic Report</t>
  </si>
  <si>
    <t>1.  Daily Flame Impingement Inspection</t>
  </si>
  <si>
    <t>2.  Decoking Control Measures</t>
  </si>
  <si>
    <t>3.  Flares</t>
  </si>
  <si>
    <t>4.  PRDs</t>
  </si>
  <si>
    <t>6.  Maintenance Vents</t>
  </si>
  <si>
    <t>7.  Bypass Lines</t>
  </si>
  <si>
    <t>8.  Flare Management Plan</t>
  </si>
  <si>
    <t>(d) Includes costs for the following monitoring equipment: H2 analyzer, calorimeter, flare gas flow monitor, steam controls/flow monitor, and air controls/flow monitor.</t>
  </si>
  <si>
    <t>(e) 21 of the 31 facilities have atmospheric PRDs.</t>
  </si>
  <si>
    <t>(f) Assumed that bypass lines were not used during the 3-year period, so no bypass line periodic reports would be submitted.</t>
  </si>
  <si>
    <t>(g) Assumed recordkeeping hours are comparable to previously required water methods, and assigned 0 additional hours to implement the El Paso Method.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</si>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</sst>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;;;"/>
    <numFmt numFmtId="167" formatCode="General_)"/>
    <numFmt numFmtId="168" formatCode="0_)"/>
    <numFmt numFmtId="169" formatCode="0.0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u/>
      <sz val="11"/>
      <color theme="10"/>
      <name val="Calibri"/>
      <family val="2"/>
    </font>
    <font>
      <sz val="8"/>
      <name val="Courier"/>
      <family val="3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9"/>
      <color indexed="12"/>
      <name val="Arial"/>
      <family val="2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C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44" fontId="1" fillId="0" borderId="0" applyFont="0" applyFill="0" applyBorder="0" applyAlignment="0" applyProtection="0"/>
  </cellStyleXfs>
  <cellXfs count="301">
    <xf numFmtId="0" fontId="0" fillId="0" borderId="0" xfId="0"/>
    <xf numFmtId="0" fontId="0" fillId="3" borderId="0" xfId="0" applyFill="1"/>
    <xf numFmtId="3" fontId="1" fillId="3" borderId="11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3" fontId="1" fillId="3" borderId="15" xfId="0" applyNumberFormat="1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7" fontId="6" fillId="3" borderId="0" xfId="0" applyNumberFormat="1" applyFont="1" applyFill="1"/>
    <xf numFmtId="167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167" fontId="6" fillId="3" borderId="0" xfId="0" applyNumberFormat="1" applyFont="1" applyFill="1" applyBorder="1" applyAlignment="1">
      <alignment horizontal="lef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1" fillId="3" borderId="0" xfId="3" applyFont="1" applyFill="1"/>
    <xf numFmtId="167" fontId="6" fillId="3" borderId="0" xfId="0" applyNumberFormat="1" applyFont="1" applyFill="1" applyBorder="1"/>
    <xf numFmtId="167" fontId="6" fillId="3" borderId="0" xfId="0" applyNumberFormat="1" applyFont="1" applyFill="1" applyBorder="1" applyAlignment="1"/>
    <xf numFmtId="167" fontId="6" fillId="3" borderId="0" xfId="0" applyNumberFormat="1" applyFont="1" applyFill="1" applyBorder="1" applyAlignment="1">
      <alignment horizontal="center"/>
    </xf>
    <xf numFmtId="3" fontId="6" fillId="3" borderId="0" xfId="2" applyNumberFormat="1" applyFont="1" applyFill="1" applyBorder="1" applyAlignment="1">
      <alignment horizontal="right"/>
    </xf>
    <xf numFmtId="167" fontId="7" fillId="3" borderId="0" xfId="0" applyNumberFormat="1" applyFont="1" applyFill="1" applyBorder="1" applyAlignment="1"/>
    <xf numFmtId="0" fontId="6" fillId="3" borderId="0" xfId="0" applyFont="1" applyFill="1"/>
    <xf numFmtId="167" fontId="6" fillId="3" borderId="0" xfId="0" applyNumberFormat="1" applyFont="1" applyFill="1" applyAlignment="1">
      <alignment horizontal="right"/>
    </xf>
    <xf numFmtId="0" fontId="10" fillId="0" borderId="0" xfId="0" applyFont="1"/>
    <xf numFmtId="0" fontId="6" fillId="3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3" borderId="0" xfId="0" applyFont="1" applyFill="1" applyBorder="1"/>
    <xf numFmtId="164" fontId="6" fillId="3" borderId="0" xfId="0" applyNumberFormat="1" applyFont="1" applyFill="1"/>
    <xf numFmtId="0" fontId="5" fillId="3" borderId="0" xfId="0" applyFont="1" applyFill="1"/>
    <xf numFmtId="167" fontId="11" fillId="3" borderId="0" xfId="0" applyNumberFormat="1" applyFont="1" applyFill="1" applyBorder="1" applyAlignment="1" applyProtection="1"/>
    <xf numFmtId="0" fontId="14" fillId="3" borderId="0" xfId="0" applyFont="1" applyFill="1"/>
    <xf numFmtId="0" fontId="14" fillId="4" borderId="0" xfId="0" applyFont="1" applyFill="1" applyBorder="1"/>
    <xf numFmtId="9" fontId="14" fillId="3" borderId="1" xfId="0" applyNumberFormat="1" applyFont="1" applyFill="1" applyBorder="1"/>
    <xf numFmtId="167" fontId="5" fillId="3" borderId="18" xfId="0" applyNumberFormat="1" applyFont="1" applyFill="1" applyBorder="1" applyAlignment="1" applyProtection="1">
      <alignment horizontal="left" vertical="center"/>
    </xf>
    <xf numFmtId="167" fontId="5" fillId="3" borderId="18" xfId="0" applyNumberFormat="1" applyFont="1" applyFill="1" applyBorder="1"/>
    <xf numFmtId="167" fontId="5" fillId="3" borderId="22" xfId="0" applyNumberFormat="1" applyFont="1" applyFill="1" applyBorder="1"/>
    <xf numFmtId="167" fontId="5" fillId="3" borderId="0" xfId="0" applyNumberFormat="1" applyFont="1" applyFill="1" applyBorder="1" applyAlignment="1" applyProtection="1">
      <alignment horizontal="left" vertical="center"/>
    </xf>
    <xf numFmtId="167" fontId="5" fillId="3" borderId="0" xfId="0" applyNumberFormat="1" applyFont="1" applyFill="1" applyBorder="1" applyAlignment="1">
      <alignment vertical="center"/>
    </xf>
    <xf numFmtId="167" fontId="5" fillId="3" borderId="27" xfId="0" applyNumberFormat="1" applyFont="1" applyFill="1" applyBorder="1" applyAlignment="1" applyProtection="1">
      <alignment horizontal="left" vertical="center"/>
    </xf>
    <xf numFmtId="167" fontId="5" fillId="3" borderId="33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 applyProtection="1">
      <alignment horizontal="right" vertical="center"/>
    </xf>
    <xf numFmtId="9" fontId="2" fillId="3" borderId="23" xfId="0" applyNumberFormat="1" applyFont="1" applyFill="1" applyBorder="1" applyAlignment="1" applyProtection="1">
      <alignment horizontal="right" vertical="center"/>
      <protection locked="0"/>
    </xf>
    <xf numFmtId="167" fontId="5" fillId="3" borderId="23" xfId="0" applyNumberFormat="1" applyFont="1" applyFill="1" applyBorder="1" applyAlignment="1" applyProtection="1">
      <alignment horizontal="left" vertical="center"/>
    </xf>
    <xf numFmtId="167" fontId="5" fillId="3" borderId="23" xfId="0" applyNumberFormat="1" applyFont="1" applyFill="1" applyBorder="1" applyAlignment="1">
      <alignment vertical="center"/>
    </xf>
    <xf numFmtId="9" fontId="5" fillId="3" borderId="18" xfId="0" applyNumberFormat="1" applyFont="1" applyFill="1" applyBorder="1" applyAlignment="1" applyProtection="1">
      <alignment horizontal="right" vertical="center"/>
    </xf>
    <xf numFmtId="167" fontId="5" fillId="3" borderId="18" xfId="0" applyNumberFormat="1" applyFont="1" applyFill="1" applyBorder="1" applyAlignment="1">
      <alignment vertical="center"/>
    </xf>
    <xf numFmtId="9" fontId="5" fillId="3" borderId="28" xfId="0" applyNumberFormat="1" applyFont="1" applyFill="1" applyBorder="1" applyAlignment="1" applyProtection="1">
      <alignment horizontal="right" vertical="center"/>
    </xf>
    <xf numFmtId="167" fontId="5" fillId="3" borderId="28" xfId="0" applyNumberFormat="1" applyFont="1" applyFill="1" applyBorder="1" applyAlignment="1" applyProtection="1">
      <alignment horizontal="left" vertical="center"/>
    </xf>
    <xf numFmtId="167" fontId="5" fillId="3" borderId="28" xfId="0" applyNumberFormat="1" applyFont="1" applyFill="1" applyBorder="1" applyAlignment="1">
      <alignment vertical="center"/>
    </xf>
    <xf numFmtId="9" fontId="5" fillId="3" borderId="27" xfId="0" applyNumberFormat="1" applyFont="1" applyFill="1" applyBorder="1" applyAlignment="1" applyProtection="1">
      <alignment horizontal="right" vertical="center"/>
    </xf>
    <xf numFmtId="167" fontId="5" fillId="3" borderId="27" xfId="0" applyNumberFormat="1" applyFont="1" applyFill="1" applyBorder="1" applyAlignment="1">
      <alignment vertical="center"/>
    </xf>
    <xf numFmtId="0" fontId="5" fillId="3" borderId="35" xfId="3" applyFont="1" applyFill="1" applyBorder="1"/>
    <xf numFmtId="5" fontId="5" fillId="3" borderId="15" xfId="0" applyNumberFormat="1" applyFont="1" applyFill="1" applyBorder="1" applyAlignment="1">
      <alignment horizontal="center" vertical="center"/>
    </xf>
    <xf numFmtId="167" fontId="5" fillId="3" borderId="0" xfId="0" applyNumberFormat="1" applyFont="1" applyFill="1" applyBorder="1"/>
    <xf numFmtId="167" fontId="5" fillId="3" borderId="0" xfId="0" applyNumberFormat="1" applyFont="1" applyFill="1" applyBorder="1" applyAlignment="1">
      <alignment horizontal="right"/>
    </xf>
    <xf numFmtId="167" fontId="5" fillId="3" borderId="0" xfId="0" applyNumberFormat="1" applyFont="1" applyFill="1" applyAlignment="1">
      <alignment horizontal="right"/>
    </xf>
    <xf numFmtId="167" fontId="5" fillId="3" borderId="0" xfId="0" applyNumberFormat="1" applyFont="1" applyFill="1"/>
    <xf numFmtId="9" fontId="5" fillId="3" borderId="35" xfId="0" applyNumberFormat="1" applyFont="1" applyFill="1" applyBorder="1" applyAlignment="1" applyProtection="1">
      <alignment horizontal="left" vertical="center"/>
    </xf>
    <xf numFmtId="167" fontId="5" fillId="3" borderId="35" xfId="0" applyNumberFormat="1" applyFont="1" applyFill="1" applyBorder="1" applyAlignment="1">
      <alignment vertical="center"/>
    </xf>
    <xf numFmtId="168" fontId="15" fillId="3" borderId="35" xfId="0" applyNumberFormat="1" applyFont="1" applyFill="1" applyBorder="1" applyAlignment="1" applyProtection="1">
      <alignment horizontal="center" vertical="center"/>
      <protection locked="0"/>
    </xf>
    <xf numFmtId="5" fontId="5" fillId="3" borderId="46" xfId="0" applyNumberFormat="1" applyFont="1" applyFill="1" applyBorder="1" applyAlignment="1" applyProtection="1">
      <alignment horizontal="center" vertical="center"/>
    </xf>
    <xf numFmtId="1" fontId="5" fillId="3" borderId="35" xfId="0" applyNumberFormat="1" applyFont="1" applyFill="1" applyBorder="1" applyAlignment="1" applyProtection="1">
      <alignment horizontal="left" vertical="center"/>
    </xf>
    <xf numFmtId="167" fontId="5" fillId="3" borderId="17" xfId="0" applyNumberFormat="1" applyFont="1" applyFill="1" applyBorder="1" applyAlignment="1" applyProtection="1">
      <alignment horizontal="right" vertical="center"/>
    </xf>
    <xf numFmtId="167" fontId="5" fillId="3" borderId="17" xfId="0" applyNumberFormat="1" applyFont="1" applyFill="1" applyBorder="1" applyAlignment="1" applyProtection="1">
      <alignment horizontal="left" vertical="center"/>
    </xf>
    <xf numFmtId="167" fontId="5" fillId="3" borderId="20" xfId="0" applyNumberFormat="1" applyFont="1" applyFill="1" applyBorder="1" applyAlignment="1">
      <alignment vertical="center"/>
    </xf>
    <xf numFmtId="9" fontId="5" fillId="3" borderId="17" xfId="0" applyNumberFormat="1" applyFont="1" applyFill="1" applyBorder="1" applyAlignment="1" applyProtection="1">
      <alignment horizontal="right" vertical="center"/>
    </xf>
    <xf numFmtId="167" fontId="5" fillId="3" borderId="20" xfId="0" applyNumberFormat="1" applyFont="1" applyFill="1" applyBorder="1" applyAlignment="1" applyProtection="1">
      <alignment horizontal="left" vertical="center"/>
    </xf>
    <xf numFmtId="167" fontId="5" fillId="3" borderId="17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Border="1"/>
    <xf numFmtId="164" fontId="10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9" fillId="0" borderId="13" xfId="6" applyFont="1" applyBorder="1" applyAlignment="1"/>
    <xf numFmtId="0" fontId="18" fillId="2" borderId="9" xfId="6" applyFont="1" applyFill="1" applyBorder="1" applyAlignment="1">
      <alignment horizontal="center"/>
    </xf>
    <xf numFmtId="17" fontId="18" fillId="2" borderId="1" xfId="6" applyNumberFormat="1" applyFont="1" applyFill="1" applyBorder="1" applyAlignment="1">
      <alignment horizontal="center"/>
    </xf>
    <xf numFmtId="0" fontId="18" fillId="2" borderId="1" xfId="6" applyFont="1" applyFill="1" applyBorder="1" applyAlignment="1">
      <alignment horizontal="center"/>
    </xf>
    <xf numFmtId="0" fontId="19" fillId="0" borderId="1" xfId="6" applyFont="1" applyBorder="1"/>
    <xf numFmtId="17" fontId="19" fillId="0" borderId="1" xfId="6" quotePrefix="1" applyNumberFormat="1" applyFont="1" applyBorder="1"/>
    <xf numFmtId="17" fontId="19" fillId="0" borderId="0" xfId="6" quotePrefix="1" applyNumberFormat="1" applyFont="1" applyBorder="1"/>
    <xf numFmtId="0" fontId="19" fillId="0" borderId="0" xfId="6" applyFont="1" applyBorder="1"/>
    <xf numFmtId="0" fontId="19" fillId="0" borderId="1" xfId="5" applyFont="1" applyFill="1" applyBorder="1"/>
    <xf numFmtId="0" fontId="19" fillId="0" borderId="1" xfId="1" applyFont="1" applyFill="1" applyBorder="1"/>
    <xf numFmtId="0" fontId="19" fillId="0" borderId="0" xfId="5" applyFont="1" applyBorder="1"/>
    <xf numFmtId="0" fontId="19" fillId="0" borderId="0" xfId="1" applyFont="1" applyFill="1" applyBorder="1"/>
    <xf numFmtId="0" fontId="10" fillId="0" borderId="9" xfId="0" applyFont="1" applyBorder="1"/>
    <xf numFmtId="0" fontId="10" fillId="0" borderId="10" xfId="0" applyFont="1" applyBorder="1"/>
    <xf numFmtId="0" fontId="10" fillId="0" borderId="12" xfId="0" applyFont="1" applyBorder="1"/>
    <xf numFmtId="0" fontId="10" fillId="0" borderId="34" xfId="0" applyFont="1" applyBorder="1"/>
    <xf numFmtId="0" fontId="10" fillId="0" borderId="40" xfId="0" applyFont="1" applyBorder="1"/>
    <xf numFmtId="0" fontId="19" fillId="0" borderId="1" xfId="0" applyFont="1" applyBorder="1"/>
    <xf numFmtId="2" fontId="19" fillId="2" borderId="2" xfId="0" applyNumberFormat="1" applyFont="1" applyFill="1" applyBorder="1"/>
    <xf numFmtId="0" fontId="10" fillId="0" borderId="13" xfId="0" applyFont="1" applyBorder="1"/>
    <xf numFmtId="0" fontId="19" fillId="0" borderId="0" xfId="0" applyFont="1" applyBorder="1"/>
    <xf numFmtId="0" fontId="19" fillId="0" borderId="31" xfId="0" applyFont="1" applyBorder="1"/>
    <xf numFmtId="0" fontId="10" fillId="0" borderId="31" xfId="0" applyFont="1" applyBorder="1"/>
    <xf numFmtId="0" fontId="10" fillId="0" borderId="39" xfId="0" applyFont="1" applyBorder="1"/>
    <xf numFmtId="0" fontId="20" fillId="0" borderId="0" xfId="4" applyFont="1" applyFill="1" applyBorder="1" applyAlignment="1" applyProtection="1"/>
    <xf numFmtId="0" fontId="19" fillId="0" borderId="0" xfId="0" applyFont="1"/>
    <xf numFmtId="0" fontId="19" fillId="0" borderId="9" xfId="5" applyFont="1" applyFill="1" applyBorder="1"/>
    <xf numFmtId="0" fontId="19" fillId="0" borderId="9" xfId="1" applyFont="1" applyFill="1" applyBorder="1"/>
    <xf numFmtId="0" fontId="19" fillId="0" borderId="40" xfId="1" applyFont="1" applyFill="1" applyBorder="1"/>
    <xf numFmtId="0" fontId="19" fillId="0" borderId="13" xfId="5" applyFont="1" applyBorder="1"/>
    <xf numFmtId="0" fontId="19" fillId="0" borderId="40" xfId="5" applyFont="1" applyBorder="1"/>
    <xf numFmtId="0" fontId="19" fillId="0" borderId="38" xfId="5" applyFont="1" applyFill="1" applyBorder="1"/>
    <xf numFmtId="0" fontId="19" fillId="0" borderId="31" xfId="5" applyFont="1" applyBorder="1"/>
    <xf numFmtId="0" fontId="19" fillId="0" borderId="39" xfId="5" applyFont="1" applyBorder="1"/>
    <xf numFmtId="0" fontId="18" fillId="0" borderId="1" xfId="1" applyFont="1" applyFill="1" applyBorder="1" applyAlignment="1">
      <alignment wrapText="1"/>
    </xf>
    <xf numFmtId="0" fontId="19" fillId="0" borderId="12" xfId="5" applyFont="1" applyFill="1" applyBorder="1"/>
    <xf numFmtId="0" fontId="19" fillId="0" borderId="34" xfId="5" applyFont="1" applyFill="1" applyBorder="1"/>
    <xf numFmtId="0" fontId="19" fillId="0" borderId="9" xfId="1" applyFont="1" applyFill="1" applyBorder="1" applyAlignment="1">
      <alignment wrapText="1"/>
    </xf>
    <xf numFmtId="0" fontId="18" fillId="0" borderId="2" xfId="1" applyFont="1" applyFill="1" applyBorder="1" applyAlignment="1">
      <alignment wrapText="1"/>
    </xf>
    <xf numFmtId="165" fontId="19" fillId="2" borderId="2" xfId="5" applyNumberFormat="1" applyFont="1" applyFill="1" applyBorder="1"/>
    <xf numFmtId="3" fontId="1" fillId="0" borderId="11" xfId="0" applyNumberFormat="1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  <xf numFmtId="0" fontId="14" fillId="0" borderId="0" xfId="0" applyFont="1" applyFill="1"/>
    <xf numFmtId="17" fontId="18" fillId="5" borderId="1" xfId="6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 wrapText="1"/>
    </xf>
    <xf numFmtId="0" fontId="22" fillId="3" borderId="0" xfId="0" applyFont="1" applyFill="1"/>
    <xf numFmtId="0" fontId="18" fillId="5" borderId="2" xfId="6" applyFont="1" applyFill="1" applyBorder="1" applyAlignment="1">
      <alignment horizontal="center"/>
    </xf>
    <xf numFmtId="0" fontId="18" fillId="2" borderId="9" xfId="6" applyFont="1" applyFill="1" applyBorder="1" applyAlignment="1">
      <alignment horizontal="center" vertical="center"/>
    </xf>
    <xf numFmtId="0" fontId="19" fillId="0" borderId="9" xfId="6" applyFont="1" applyFill="1" applyBorder="1" applyAlignment="1">
      <alignment horizontal="left"/>
    </xf>
    <xf numFmtId="0" fontId="21" fillId="0" borderId="5" xfId="0" applyFont="1" applyBorder="1"/>
    <xf numFmtId="0" fontId="17" fillId="6" borderId="9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0" fillId="0" borderId="6" xfId="0" applyFont="1" applyBorder="1"/>
    <xf numFmtId="0" fontId="10" fillId="0" borderId="4" xfId="0" applyFont="1" applyBorder="1"/>
    <xf numFmtId="0" fontId="23" fillId="0" borderId="5" xfId="6" applyFont="1" applyFill="1" applyBorder="1"/>
    <xf numFmtId="0" fontId="23" fillId="0" borderId="5" xfId="6" applyFont="1" applyBorder="1"/>
    <xf numFmtId="0" fontId="23" fillId="0" borderId="5" xfId="1" applyFont="1" applyFill="1" applyBorder="1"/>
    <xf numFmtId="164" fontId="6" fillId="0" borderId="1" xfId="0" applyNumberFormat="1" applyFont="1" applyFill="1" applyBorder="1" applyAlignment="1">
      <alignment horizontal="center"/>
    </xf>
    <xf numFmtId="49" fontId="5" fillId="3" borderId="17" xfId="3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center"/>
    </xf>
    <xf numFmtId="167" fontId="24" fillId="3" borderId="37" xfId="0" applyNumberFormat="1" applyFont="1" applyFill="1" applyBorder="1" applyAlignment="1">
      <alignment horizontal="center" wrapText="1"/>
    </xf>
    <xf numFmtId="167" fontId="24" fillId="3" borderId="44" xfId="0" applyNumberFormat="1" applyFont="1" applyFill="1" applyBorder="1" applyAlignment="1">
      <alignment horizontal="center" wrapText="1"/>
    </xf>
    <xf numFmtId="167" fontId="24" fillId="3" borderId="45" xfId="0" applyNumberFormat="1" applyFont="1" applyFill="1" applyBorder="1" applyAlignment="1">
      <alignment horizontal="center" wrapText="1"/>
    </xf>
    <xf numFmtId="1" fontId="6" fillId="0" borderId="20" xfId="0" applyNumberFormat="1" applyFont="1" applyFill="1" applyBorder="1" applyAlignment="1" applyProtection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8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</xf>
    <xf numFmtId="5" fontId="5" fillId="3" borderId="1" xfId="0" applyNumberFormat="1" applyFont="1" applyFill="1" applyBorder="1" applyAlignment="1">
      <alignment horizontal="center" vertical="center"/>
    </xf>
    <xf numFmtId="168" fontId="5" fillId="3" borderId="14" xfId="0" applyNumberFormat="1" applyFont="1" applyFill="1" applyBorder="1" applyAlignment="1" applyProtection="1">
      <alignment horizontal="center" vertical="center"/>
      <protection locked="0"/>
    </xf>
    <xf numFmtId="167" fontId="5" fillId="3" borderId="21" xfId="0" applyNumberFormat="1" applyFont="1" applyFill="1" applyBorder="1" applyAlignment="1">
      <alignment horizontal="center" vertical="center"/>
    </xf>
    <xf numFmtId="1" fontId="5" fillId="3" borderId="21" xfId="0" applyNumberFormat="1" applyFont="1" applyFill="1" applyBorder="1" applyAlignment="1" applyProtection="1">
      <alignment horizontal="center" vertical="center"/>
    </xf>
    <xf numFmtId="167" fontId="5" fillId="3" borderId="25" xfId="0" applyNumberFormat="1" applyFont="1" applyFill="1" applyBorder="1" applyAlignment="1">
      <alignment horizontal="center" vertical="center"/>
    </xf>
    <xf numFmtId="1" fontId="5" fillId="3" borderId="25" xfId="0" applyNumberFormat="1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 applyProtection="1">
      <alignment horizontal="center" vertical="center"/>
    </xf>
    <xf numFmtId="37" fontId="5" fillId="3" borderId="1" xfId="0" applyNumberFormat="1" applyFont="1" applyFill="1" applyBorder="1" applyAlignment="1" applyProtection="1">
      <alignment horizontal="center" vertical="center"/>
      <protection locked="0"/>
    </xf>
    <xf numFmtId="6" fontId="19" fillId="0" borderId="1" xfId="6" applyNumberFormat="1" applyFont="1" applyFill="1" applyBorder="1" applyAlignment="1">
      <alignment horizontal="center" vertical="center"/>
    </xf>
    <xf numFmtId="0" fontId="19" fillId="0" borderId="34" xfId="6" applyFont="1" applyFill="1" applyBorder="1"/>
    <xf numFmtId="0" fontId="18" fillId="2" borderId="2" xfId="6" applyFont="1" applyFill="1" applyBorder="1" applyAlignment="1">
      <alignment horizontal="center" vertical="center"/>
    </xf>
    <xf numFmtId="6" fontId="19" fillId="0" borderId="2" xfId="6" applyNumberFormat="1" applyFont="1" applyFill="1" applyBorder="1" applyAlignment="1">
      <alignment horizontal="center" vertical="center"/>
    </xf>
    <xf numFmtId="0" fontId="19" fillId="0" borderId="2" xfId="6" quotePrefix="1" applyNumberFormat="1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horizontal="center" vertical="center"/>
    </xf>
    <xf numFmtId="0" fontId="19" fillId="0" borderId="10" xfId="6" applyFont="1" applyFill="1" applyBorder="1" applyAlignment="1">
      <alignment horizontal="left"/>
    </xf>
    <xf numFmtId="6" fontId="19" fillId="0" borderId="4" xfId="6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6" fontId="18" fillId="7" borderId="3" xfId="6" applyNumberFormat="1" applyFont="1" applyFill="1" applyBorder="1" applyAlignment="1">
      <alignment horizontal="center" vertical="center"/>
    </xf>
    <xf numFmtId="6" fontId="18" fillId="7" borderId="4" xfId="6" applyNumberFormat="1" applyFont="1" applyFill="1" applyBorder="1" applyAlignment="1">
      <alignment horizontal="center" vertical="center"/>
    </xf>
    <xf numFmtId="0" fontId="25" fillId="0" borderId="13" xfId="0" applyFont="1" applyBorder="1"/>
    <xf numFmtId="0" fontId="25" fillId="0" borderId="0" xfId="0" applyFont="1"/>
    <xf numFmtId="6" fontId="18" fillId="0" borderId="1" xfId="6" applyNumberFormat="1" applyFont="1" applyFill="1" applyBorder="1" applyAlignment="1">
      <alignment horizontal="center" vertical="center"/>
    </xf>
    <xf numFmtId="6" fontId="18" fillId="0" borderId="2" xfId="6" applyNumberFormat="1" applyFont="1" applyFill="1" applyBorder="1" applyAlignment="1">
      <alignment horizontal="center" vertical="center"/>
    </xf>
    <xf numFmtId="6" fontId="18" fillId="7" borderId="2" xfId="6" applyNumberFormat="1" applyFont="1" applyFill="1" applyBorder="1" applyAlignment="1">
      <alignment horizontal="center" vertical="center"/>
    </xf>
    <xf numFmtId="0" fontId="10" fillId="0" borderId="38" xfId="0" applyFont="1" applyFill="1" applyBorder="1"/>
    <xf numFmtId="0" fontId="19" fillId="0" borderId="1" xfId="6" applyFont="1" applyBorder="1" applyAlignment="1"/>
    <xf numFmtId="0" fontId="19" fillId="0" borderId="41" xfId="6" applyFont="1" applyFill="1" applyBorder="1" applyAlignment="1">
      <alignment horizontal="left"/>
    </xf>
    <xf numFmtId="6" fontId="19" fillId="0" borderId="43" xfId="6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167" fontId="6" fillId="3" borderId="47" xfId="0" applyNumberFormat="1" applyFont="1" applyFill="1" applyBorder="1" applyAlignment="1">
      <alignment horizontal="left" vertical="center"/>
    </xf>
    <xf numFmtId="167" fontId="6" fillId="3" borderId="27" xfId="0" applyNumberFormat="1" applyFont="1" applyFill="1" applyBorder="1" applyAlignment="1">
      <alignment horizontal="center" vertical="center"/>
    </xf>
    <xf numFmtId="3" fontId="6" fillId="3" borderId="27" xfId="0" applyNumberFormat="1" applyFont="1" applyFill="1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/>
    </xf>
    <xf numFmtId="0" fontId="6" fillId="3" borderId="32" xfId="0" applyFont="1" applyFill="1" applyBorder="1"/>
    <xf numFmtId="3" fontId="6" fillId="3" borderId="3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/>
    </xf>
    <xf numFmtId="5" fontId="6" fillId="3" borderId="1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 applyProtection="1">
      <alignment horizontal="center" vertical="center"/>
    </xf>
    <xf numFmtId="3" fontId="1" fillId="0" borderId="11" xfId="0" quotePrefix="1" applyNumberFormat="1" applyFont="1" applyFill="1" applyBorder="1" applyAlignment="1">
      <alignment horizontal="center"/>
    </xf>
    <xf numFmtId="37" fontId="5" fillId="0" borderId="19" xfId="0" applyNumberFormat="1" applyFont="1" applyFill="1" applyBorder="1" applyAlignment="1" applyProtection="1">
      <alignment horizontal="center" vertical="center"/>
      <protection locked="0"/>
    </xf>
    <xf numFmtId="168" fontId="5" fillId="0" borderId="24" xfId="0" applyNumberFormat="1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center" vertical="center" wrapText="1"/>
    </xf>
    <xf numFmtId="6" fontId="28" fillId="0" borderId="1" xfId="0" applyNumberFormat="1" applyFont="1" applyBorder="1" applyAlignment="1">
      <alignment horizontal="center" vertical="center" wrapText="1"/>
    </xf>
    <xf numFmtId="0" fontId="26" fillId="0" borderId="0" xfId="0" applyFont="1"/>
    <xf numFmtId="0" fontId="29" fillId="0" borderId="1" xfId="0" applyFont="1" applyFill="1" applyBorder="1" applyAlignment="1">
      <alignment horizontal="left"/>
    </xf>
    <xf numFmtId="1" fontId="28" fillId="0" borderId="1" xfId="0" applyNumberFormat="1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0" fillId="0" borderId="1" xfId="0" applyFont="1" applyBorder="1"/>
    <xf numFmtId="0" fontId="17" fillId="2" borderId="7" xfId="0" applyFont="1" applyFill="1" applyBorder="1" applyAlignment="1">
      <alignment horizontal="center" vertical="center"/>
    </xf>
    <xf numFmtId="0" fontId="17" fillId="2" borderId="7" xfId="0" quotePrefix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30" fillId="0" borderId="1" xfId="0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textRotation="90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indent="2"/>
    </xf>
    <xf numFmtId="0" fontId="6" fillId="0" borderId="1" xfId="0" applyFont="1" applyFill="1" applyBorder="1" applyAlignment="1">
      <alignment horizontal="left" wrapText="1" indent="4"/>
    </xf>
    <xf numFmtId="0" fontId="6" fillId="0" borderId="1" xfId="0" applyFont="1" applyFill="1" applyBorder="1" applyAlignment="1">
      <alignment horizontal="left" indent="6"/>
    </xf>
    <xf numFmtId="0" fontId="6" fillId="0" borderId="1" xfId="0" applyFont="1" applyFill="1" applyBorder="1" applyAlignment="1">
      <alignment horizontal="left" indent="4"/>
    </xf>
    <xf numFmtId="0" fontId="12" fillId="0" borderId="1" xfId="0" applyFont="1" applyFill="1" applyBorder="1"/>
    <xf numFmtId="0" fontId="6" fillId="3" borderId="48" xfId="0" applyFont="1" applyFill="1" applyBorder="1"/>
    <xf numFmtId="0" fontId="6" fillId="3" borderId="29" xfId="0" applyFont="1" applyFill="1" applyBorder="1"/>
    <xf numFmtId="167" fontId="6" fillId="3" borderId="29" xfId="0" applyNumberFormat="1" applyFont="1" applyFill="1" applyBorder="1" applyAlignment="1">
      <alignment horizontal="left" vertical="center"/>
    </xf>
    <xf numFmtId="167" fontId="6" fillId="3" borderId="29" xfId="0" applyNumberFormat="1" applyFont="1" applyFill="1" applyBorder="1" applyAlignment="1">
      <alignment horizontal="center" vertical="center"/>
    </xf>
    <xf numFmtId="3" fontId="6" fillId="3" borderId="29" xfId="0" applyNumberFormat="1" applyFont="1" applyFill="1" applyBorder="1" applyAlignment="1">
      <alignment horizontal="center" vertical="center"/>
    </xf>
    <xf numFmtId="164" fontId="6" fillId="3" borderId="29" xfId="0" applyNumberFormat="1" applyFont="1" applyFill="1" applyBorder="1" applyAlignment="1">
      <alignment horizontal="center" vertical="center"/>
    </xf>
    <xf numFmtId="0" fontId="6" fillId="3" borderId="49" xfId="0" applyFont="1" applyFill="1" applyBorder="1"/>
    <xf numFmtId="0" fontId="6" fillId="3" borderId="50" xfId="0" applyFont="1" applyFill="1" applyBorder="1"/>
    <xf numFmtId="0" fontId="6" fillId="3" borderId="21" xfId="0" applyFont="1" applyFill="1" applyBorder="1"/>
    <xf numFmtId="0" fontId="6" fillId="3" borderId="51" xfId="0" applyFont="1" applyFill="1" applyBorder="1"/>
    <xf numFmtId="0" fontId="6" fillId="3" borderId="17" xfId="0" applyFont="1" applyFill="1" applyBorder="1"/>
    <xf numFmtId="167" fontId="6" fillId="3" borderId="27" xfId="0" applyNumberFormat="1" applyFont="1" applyFill="1" applyBorder="1" applyAlignment="1">
      <alignment horizontal="left" vertical="center"/>
    </xf>
    <xf numFmtId="164" fontId="6" fillId="3" borderId="32" xfId="0" applyNumberFormat="1" applyFont="1" applyFill="1" applyBorder="1" applyAlignment="1">
      <alignment horizontal="center" vertical="center"/>
    </xf>
    <xf numFmtId="0" fontId="6" fillId="3" borderId="20" xfId="0" applyFont="1" applyFill="1" applyBorder="1"/>
    <xf numFmtId="0" fontId="13" fillId="3" borderId="11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12" fillId="0" borderId="15" xfId="0" applyFont="1" applyFill="1" applyBorder="1"/>
    <xf numFmtId="0" fontId="6" fillId="0" borderId="15" xfId="0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/>
    </xf>
    <xf numFmtId="167" fontId="1" fillId="3" borderId="15" xfId="0" applyNumberFormat="1" applyFont="1" applyFill="1" applyBorder="1" applyAlignment="1">
      <alignment horizontal="center"/>
    </xf>
    <xf numFmtId="167" fontId="1" fillId="3" borderId="15" xfId="0" applyNumberFormat="1" applyFont="1" applyFill="1" applyBorder="1" applyAlignment="1">
      <alignment horizontal="center" wrapText="1"/>
    </xf>
    <xf numFmtId="167" fontId="1" fillId="3" borderId="11" xfId="0" applyNumberFormat="1" applyFont="1" applyFill="1" applyBorder="1" applyAlignment="1">
      <alignment horizontal="center"/>
    </xf>
    <xf numFmtId="167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4" fillId="4" borderId="50" xfId="0" applyFont="1" applyFill="1" applyBorder="1"/>
    <xf numFmtId="0" fontId="14" fillId="4" borderId="21" xfId="0" applyFont="1" applyFill="1" applyBorder="1"/>
    <xf numFmtId="167" fontId="1" fillId="0" borderId="15" xfId="0" applyNumberFormat="1" applyFont="1" applyFill="1" applyBorder="1" applyAlignment="1">
      <alignment horizontal="center" wrapText="1"/>
    </xf>
    <xf numFmtId="167" fontId="5" fillId="3" borderId="48" xfId="0" applyNumberFormat="1" applyFont="1" applyFill="1" applyBorder="1" applyAlignment="1" applyProtection="1">
      <alignment horizontal="centerContinuous"/>
    </xf>
    <xf numFmtId="167" fontId="5" fillId="3" borderId="29" xfId="0" applyNumberFormat="1" applyFont="1" applyFill="1" applyBorder="1" applyAlignment="1">
      <alignment horizontal="centerContinuous"/>
    </xf>
    <xf numFmtId="167" fontId="24" fillId="3" borderId="30" xfId="0" applyNumberFormat="1" applyFont="1" applyFill="1" applyBorder="1" applyAlignment="1">
      <alignment horizontal="center" vertical="center"/>
    </xf>
    <xf numFmtId="167" fontId="24" fillId="3" borderId="52" xfId="0" applyNumberFormat="1" applyFont="1" applyFill="1" applyBorder="1" applyAlignment="1">
      <alignment horizontal="center" vertical="center"/>
    </xf>
    <xf numFmtId="167" fontId="24" fillId="3" borderId="49" xfId="0" applyNumberFormat="1" applyFont="1" applyFill="1" applyBorder="1" applyAlignment="1">
      <alignment horizontal="center" vertical="center"/>
    </xf>
    <xf numFmtId="167" fontId="24" fillId="3" borderId="42" xfId="0" applyNumberFormat="1" applyFont="1" applyFill="1" applyBorder="1" applyAlignment="1">
      <alignment horizontal="center" vertical="center"/>
    </xf>
    <xf numFmtId="167" fontId="5" fillId="3" borderId="54" xfId="0" applyNumberFormat="1" applyFont="1" applyFill="1" applyBorder="1" applyAlignment="1" applyProtection="1">
      <alignment horizontal="center" vertical="center"/>
    </xf>
    <xf numFmtId="167" fontId="5" fillId="3" borderId="50" xfId="0" applyNumberFormat="1" applyFont="1" applyFill="1" applyBorder="1" applyAlignment="1" applyProtection="1">
      <alignment horizontal="center" vertical="center"/>
    </xf>
    <xf numFmtId="167" fontId="5" fillId="3" borderId="47" xfId="0" applyNumberFormat="1" applyFont="1" applyFill="1" applyBorder="1" applyAlignment="1" applyProtection="1">
      <alignment horizontal="center" vertical="center"/>
    </xf>
    <xf numFmtId="166" fontId="15" fillId="3" borderId="50" xfId="0" applyNumberFormat="1" applyFont="1" applyFill="1" applyBorder="1" applyAlignment="1" applyProtection="1">
      <alignment vertical="center"/>
      <protection locked="0"/>
    </xf>
    <xf numFmtId="5" fontId="5" fillId="3" borderId="20" xfId="0" applyNumberFormat="1" applyFont="1" applyFill="1" applyBorder="1" applyAlignment="1">
      <alignment horizontal="center" vertical="center"/>
    </xf>
    <xf numFmtId="166" fontId="15" fillId="3" borderId="55" xfId="0" applyNumberFormat="1" applyFont="1" applyFill="1" applyBorder="1" applyAlignment="1" applyProtection="1">
      <alignment vertical="center"/>
      <protection locked="0"/>
    </xf>
    <xf numFmtId="166" fontId="15" fillId="3" borderId="47" xfId="0" applyNumberFormat="1" applyFont="1" applyFill="1" applyBorder="1" applyAlignment="1" applyProtection="1">
      <alignment vertical="center"/>
      <protection locked="0"/>
    </xf>
    <xf numFmtId="166" fontId="15" fillId="3" borderId="51" xfId="0" applyNumberFormat="1" applyFont="1" applyFill="1" applyBorder="1" applyAlignment="1" applyProtection="1">
      <alignment vertical="center"/>
      <protection locked="0"/>
    </xf>
    <xf numFmtId="167" fontId="5" fillId="3" borderId="51" xfId="0" applyNumberFormat="1" applyFont="1" applyFill="1" applyBorder="1" applyAlignment="1" applyProtection="1">
      <alignment horizontal="center" vertical="center"/>
    </xf>
    <xf numFmtId="167" fontId="2" fillId="3" borderId="46" xfId="0" quotePrefix="1" applyNumberFormat="1" applyFont="1" applyFill="1" applyBorder="1" applyAlignment="1" applyProtection="1">
      <alignment horizontal="center" vertical="center"/>
      <protection locked="0"/>
    </xf>
    <xf numFmtId="5" fontId="5" fillId="3" borderId="56" xfId="0" applyNumberFormat="1" applyFont="1" applyFill="1" applyBorder="1" applyAlignment="1">
      <alignment horizontal="center" vertical="center"/>
    </xf>
    <xf numFmtId="9" fontId="5" fillId="3" borderId="51" xfId="0" applyNumberFormat="1" applyFont="1" applyFill="1" applyBorder="1" applyAlignment="1" applyProtection="1">
      <alignment vertical="center"/>
    </xf>
    <xf numFmtId="9" fontId="5" fillId="3" borderId="17" xfId="0" applyNumberFormat="1" applyFont="1" applyFill="1" applyBorder="1" applyAlignment="1" applyProtection="1">
      <alignment vertical="center"/>
    </xf>
    <xf numFmtId="167" fontId="5" fillId="3" borderId="17" xfId="0" applyNumberFormat="1" applyFont="1" applyFill="1" applyBorder="1" applyAlignment="1">
      <alignment vertical="center"/>
    </xf>
    <xf numFmtId="168" fontId="15" fillId="3" borderId="17" xfId="0" applyNumberFormat="1" applyFont="1" applyFill="1" applyBorder="1" applyAlignment="1" applyProtection="1">
      <alignment horizontal="center" vertical="center"/>
      <protection locked="0"/>
    </xf>
    <xf numFmtId="1" fontId="5" fillId="3" borderId="57" xfId="0" applyNumberFormat="1" applyFont="1" applyFill="1" applyBorder="1" applyAlignment="1" applyProtection="1">
      <alignment horizontal="center" vertical="center"/>
    </xf>
    <xf numFmtId="1" fontId="5" fillId="3" borderId="16" xfId="0" applyNumberFormat="1" applyFont="1" applyFill="1" applyBorder="1" applyAlignment="1" applyProtection="1">
      <alignment horizontal="center" vertical="center"/>
    </xf>
    <xf numFmtId="5" fontId="5" fillId="3" borderId="11" xfId="0" applyNumberFormat="1" applyFont="1" applyFill="1" applyBorder="1" applyAlignment="1">
      <alignment horizontal="center" vertical="center"/>
    </xf>
    <xf numFmtId="169" fontId="6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indent="6"/>
    </xf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3" borderId="20" xfId="0" applyNumberFormat="1" applyFont="1" applyFill="1" applyBorder="1" applyAlignment="1" applyProtection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47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wrapText="1"/>
    </xf>
    <xf numFmtId="167" fontId="4" fillId="3" borderId="0" xfId="0" applyNumberFormat="1" applyFont="1" applyFill="1" applyBorder="1" applyAlignment="1" applyProtection="1">
      <alignment horizontal="center" vertical="top" wrapText="1"/>
    </xf>
    <xf numFmtId="167" fontId="4" fillId="3" borderId="0" xfId="0" applyNumberFormat="1" applyFont="1" applyFill="1" applyBorder="1" applyAlignment="1" applyProtection="1">
      <alignment horizontal="center" wrapText="1"/>
    </xf>
    <xf numFmtId="167" fontId="14" fillId="3" borderId="1" xfId="0" applyNumberFormat="1" applyFont="1" applyFill="1" applyBorder="1" applyAlignment="1">
      <alignment horizontal="center"/>
    </xf>
    <xf numFmtId="0" fontId="5" fillId="3" borderId="26" xfId="0" applyNumberFormat="1" applyFont="1" applyFill="1" applyBorder="1" applyAlignment="1" applyProtection="1">
      <alignment horizontal="center" vertical="center"/>
      <protection locked="0"/>
    </xf>
    <xf numFmtId="0" fontId="5" fillId="3" borderId="27" xfId="0" applyNumberFormat="1" applyFont="1" applyFill="1" applyBorder="1" applyAlignment="1" applyProtection="1">
      <alignment horizontal="center" vertical="center"/>
      <protection locked="0"/>
    </xf>
    <xf numFmtId="0" fontId="5" fillId="3" borderId="32" xfId="0" applyNumberFormat="1" applyFont="1" applyFill="1" applyBorder="1" applyAlignment="1" applyProtection="1">
      <alignment horizontal="center" vertical="center"/>
      <protection locked="0"/>
    </xf>
    <xf numFmtId="0" fontId="5" fillId="3" borderId="30" xfId="0" applyNumberFormat="1" applyFont="1" applyFill="1" applyBorder="1" applyAlignment="1" applyProtection="1">
      <alignment horizontal="center" vertical="center"/>
      <protection locked="0"/>
    </xf>
    <xf numFmtId="0" fontId="5" fillId="3" borderId="29" xfId="0" applyNumberFormat="1" applyFont="1" applyFill="1" applyBorder="1" applyAlignment="1" applyProtection="1">
      <alignment horizontal="center" vertical="center"/>
      <protection locked="0"/>
    </xf>
    <xf numFmtId="0" fontId="5" fillId="3" borderId="49" xfId="0" applyNumberFormat="1" applyFont="1" applyFill="1" applyBorder="1" applyAlignment="1" applyProtection="1">
      <alignment horizontal="center" vertical="center"/>
      <protection locked="0"/>
    </xf>
    <xf numFmtId="167" fontId="5" fillId="3" borderId="18" xfId="0" applyNumberFormat="1" applyFont="1" applyFill="1" applyBorder="1" applyAlignment="1" applyProtection="1">
      <alignment horizontal="left" vertical="center" wrapText="1"/>
    </xf>
    <xf numFmtId="167" fontId="5" fillId="3" borderId="18" xfId="0" applyNumberFormat="1" applyFont="1" applyFill="1" applyBorder="1" applyAlignment="1">
      <alignment vertical="center" wrapText="1"/>
    </xf>
    <xf numFmtId="167" fontId="5" fillId="3" borderId="22" xfId="0" applyNumberFormat="1" applyFont="1" applyFill="1" applyBorder="1" applyAlignment="1">
      <alignment vertical="center" wrapText="1"/>
    </xf>
    <xf numFmtId="0" fontId="5" fillId="3" borderId="49" xfId="0" applyFont="1" applyFill="1" applyBorder="1" applyAlignment="1">
      <alignment horizontal="center" textRotation="90" wrapText="1"/>
    </xf>
    <xf numFmtId="0" fontId="5" fillId="3" borderId="53" xfId="0" applyFont="1" applyFill="1" applyBorder="1" applyAlignment="1">
      <alignment horizontal="center" textRotation="90" wrapText="1"/>
    </xf>
    <xf numFmtId="167" fontId="16" fillId="3" borderId="0" xfId="0" applyNumberFormat="1" applyFont="1" applyFill="1" applyBorder="1" applyAlignment="1" applyProtection="1">
      <alignment horizontal="center" wrapText="1"/>
    </xf>
    <xf numFmtId="167" fontId="5" fillId="3" borderId="46" xfId="0" applyNumberFormat="1" applyFont="1" applyFill="1" applyBorder="1" applyAlignment="1" applyProtection="1">
      <alignment horizontal="center"/>
    </xf>
    <xf numFmtId="167" fontId="5" fillId="3" borderId="35" xfId="0" applyNumberFormat="1" applyFont="1" applyFill="1" applyBorder="1" applyAlignment="1" applyProtection="1">
      <alignment horizontal="center"/>
    </xf>
    <xf numFmtId="167" fontId="5" fillId="3" borderId="36" xfId="0" applyNumberFormat="1" applyFont="1" applyFill="1" applyBorder="1" applyAlignment="1" applyProtection="1">
      <alignment horizontal="center"/>
    </xf>
    <xf numFmtId="167" fontId="5" fillId="3" borderId="16" xfId="0" applyNumberFormat="1" applyFont="1" applyFill="1" applyBorder="1" applyAlignment="1">
      <alignment horizontal="center" vertical="center" wrapText="1"/>
    </xf>
    <xf numFmtId="167" fontId="5" fillId="3" borderId="17" xfId="0" applyNumberFormat="1" applyFont="1" applyFill="1" applyBorder="1" applyAlignment="1">
      <alignment horizontal="center" vertical="center" wrapText="1"/>
    </xf>
    <xf numFmtId="167" fontId="5" fillId="3" borderId="20" xfId="0" applyNumberFormat="1" applyFont="1" applyFill="1" applyBorder="1" applyAlignment="1">
      <alignment horizontal="center" vertical="center" wrapText="1"/>
    </xf>
  </cellXfs>
  <cellStyles count="8">
    <cellStyle name="Comma" xfId="2" builtinId="3"/>
    <cellStyle name="Currency 2" xfId="7" xr:uid="{00000000-0005-0000-0000-000002000000}"/>
    <cellStyle name="Hyperlink" xfId="4" builtinId="8"/>
    <cellStyle name="Normal" xfId="0" builtinId="0"/>
    <cellStyle name="Normal 2" xfId="6" xr:uid="{00000000-0005-0000-0000-000005000000}"/>
    <cellStyle name="Normal_HMIWI EG SS" xfId="5" xr:uid="{00000000-0005-0000-0000-000007000000}"/>
    <cellStyle name="Normal_ICR Cost Inputs" xfId="1" xr:uid="{00000000-0005-0000-0000-000008000000}"/>
    <cellStyle name="Normal_Sheet1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workbookViewId="0">
      <selection activeCell="H15" sqref="H15:I26"/>
    </sheetView>
  </sheetViews>
  <sheetFormatPr defaultRowHeight="12.75" x14ac:dyDescent="0.2"/>
  <cols>
    <col min="1" max="1" width="5" style="21" customWidth="1"/>
    <col min="2" max="2" width="31.85546875" style="21" customWidth="1"/>
    <col min="3" max="3" width="16" style="21" bestFit="1" customWidth="1"/>
    <col min="4" max="4" width="17.42578125" style="21" customWidth="1"/>
    <col min="5" max="5" width="14.7109375" style="21" bestFit="1" customWidth="1"/>
    <col min="6" max="6" width="16.5703125" style="21" customWidth="1"/>
    <col min="7" max="7" width="15.5703125" style="21" customWidth="1"/>
    <col min="8" max="16384" width="9.140625" style="21"/>
  </cols>
  <sheetData>
    <row r="1" spans="1:5" ht="13.5" thickBot="1" x14ac:dyDescent="0.25"/>
    <row r="2" spans="1:5" x14ac:dyDescent="0.2">
      <c r="B2" s="122"/>
      <c r="C2" s="195" t="s">
        <v>190</v>
      </c>
      <c r="D2" s="196" t="s">
        <v>188</v>
      </c>
      <c r="E2" s="197" t="s">
        <v>189</v>
      </c>
    </row>
    <row r="3" spans="1:5" x14ac:dyDescent="0.2">
      <c r="B3" s="82" t="s">
        <v>131</v>
      </c>
      <c r="C3" s="194">
        <v>26</v>
      </c>
      <c r="D3" s="194">
        <f>ROUND(C3/3,0)</f>
        <v>9</v>
      </c>
      <c r="E3" s="198">
        <f>C3-D3</f>
        <v>17</v>
      </c>
    </row>
    <row r="4" spans="1:5" x14ac:dyDescent="0.2">
      <c r="B4" s="82" t="s">
        <v>132</v>
      </c>
      <c r="C4" s="194">
        <v>5</v>
      </c>
      <c r="D4" s="194">
        <f>D5-D3</f>
        <v>1</v>
      </c>
      <c r="E4" s="198">
        <f>E5-E3</f>
        <v>4</v>
      </c>
    </row>
    <row r="5" spans="1:5" ht="13.5" thickBot="1" x14ac:dyDescent="0.25">
      <c r="A5" s="67"/>
      <c r="B5" s="83" t="s">
        <v>49</v>
      </c>
      <c r="C5" s="199">
        <f>SUM(C3:C4)</f>
        <v>31</v>
      </c>
      <c r="D5" s="199">
        <f>ROUND(C5/3,0)</f>
        <v>10</v>
      </c>
      <c r="E5" s="123">
        <f>C5-D5</f>
        <v>21</v>
      </c>
    </row>
    <row r="6" spans="1:5" x14ac:dyDescent="0.2">
      <c r="A6" s="67"/>
      <c r="B6" s="67"/>
      <c r="C6" s="68"/>
      <c r="D6" s="69"/>
    </row>
    <row r="7" spans="1:5" ht="13.5" thickBot="1" x14ac:dyDescent="0.25"/>
    <row r="8" spans="1:5" ht="15" x14ac:dyDescent="0.25">
      <c r="B8" s="124" t="s">
        <v>133</v>
      </c>
      <c r="C8" s="147"/>
    </row>
    <row r="9" spans="1:5" x14ac:dyDescent="0.2">
      <c r="B9" s="117" t="s">
        <v>130</v>
      </c>
      <c r="C9" s="148" t="s">
        <v>139</v>
      </c>
    </row>
    <row r="10" spans="1:5" x14ac:dyDescent="0.2">
      <c r="B10" s="118" t="s">
        <v>134</v>
      </c>
      <c r="C10" s="149">
        <v>7400</v>
      </c>
    </row>
    <row r="11" spans="1:5" x14ac:dyDescent="0.2">
      <c r="B11" s="118" t="s">
        <v>135</v>
      </c>
      <c r="C11" s="150">
        <v>102</v>
      </c>
    </row>
    <row r="12" spans="1:5" x14ac:dyDescent="0.2">
      <c r="B12" s="118" t="s">
        <v>136</v>
      </c>
      <c r="C12" s="151">
        <f>67+5*3</f>
        <v>82</v>
      </c>
    </row>
    <row r="13" spans="1:5" x14ac:dyDescent="0.2">
      <c r="B13" s="118" t="s">
        <v>137</v>
      </c>
      <c r="C13" s="166">
        <f>C10*C11/($C$3+$C$4)</f>
        <v>24348.387096774193</v>
      </c>
    </row>
    <row r="14" spans="1:5" ht="13.5" thickBot="1" x14ac:dyDescent="0.25">
      <c r="B14" s="152" t="s">
        <v>138</v>
      </c>
      <c r="C14" s="153">
        <f>C10*C12/($C$3)</f>
        <v>23338.461538461539</v>
      </c>
    </row>
    <row r="16" spans="1:5" ht="13.5" thickBot="1" x14ac:dyDescent="0.25"/>
    <row r="17" spans="2:8" ht="15" x14ac:dyDescent="0.25">
      <c r="B17" s="119" t="s">
        <v>152</v>
      </c>
      <c r="C17" s="84"/>
      <c r="D17" s="84"/>
      <c r="E17" s="84"/>
      <c r="F17" s="84"/>
      <c r="G17" s="85"/>
    </row>
    <row r="18" spans="2:8" ht="38.25" x14ac:dyDescent="0.2">
      <c r="B18" s="157" t="s">
        <v>153</v>
      </c>
      <c r="C18" s="156" t="s">
        <v>140</v>
      </c>
      <c r="D18" s="156" t="s">
        <v>141</v>
      </c>
      <c r="E18" s="156" t="s">
        <v>142</v>
      </c>
      <c r="F18" s="156" t="s">
        <v>150</v>
      </c>
      <c r="G18" s="158" t="s">
        <v>151</v>
      </c>
    </row>
    <row r="19" spans="2:8" x14ac:dyDescent="0.2">
      <c r="B19" s="159" t="s">
        <v>149</v>
      </c>
      <c r="C19" s="155">
        <v>35400</v>
      </c>
      <c r="D19" s="155">
        <v>22450</v>
      </c>
      <c r="E19" s="154">
        <v>20</v>
      </c>
      <c r="F19" s="146">
        <f>C19*E19</f>
        <v>708000</v>
      </c>
      <c r="G19" s="149">
        <f>D19*E19</f>
        <v>449000</v>
      </c>
    </row>
    <row r="20" spans="2:8" x14ac:dyDescent="0.2">
      <c r="B20" s="159" t="s">
        <v>143</v>
      </c>
      <c r="C20" s="155">
        <v>103300</v>
      </c>
      <c r="D20" s="155">
        <v>27870</v>
      </c>
      <c r="E20" s="154">
        <v>24</v>
      </c>
      <c r="F20" s="146">
        <f>C20*E20</f>
        <v>2479200</v>
      </c>
      <c r="G20" s="149">
        <f>D20*E20</f>
        <v>668880</v>
      </c>
    </row>
    <row r="21" spans="2:8" x14ac:dyDescent="0.2">
      <c r="B21" s="159" t="s">
        <v>144</v>
      </c>
      <c r="C21" s="155">
        <v>432700</v>
      </c>
      <c r="D21" s="155">
        <v>72600</v>
      </c>
      <c r="E21" s="154">
        <v>12</v>
      </c>
      <c r="F21" s="146">
        <f>C21*E21</f>
        <v>5192400</v>
      </c>
      <c r="G21" s="149">
        <f>D21*E21</f>
        <v>871200</v>
      </c>
    </row>
    <row r="22" spans="2:8" x14ac:dyDescent="0.2">
      <c r="B22" s="159" t="s">
        <v>145</v>
      </c>
      <c r="C22" s="155">
        <v>672700</v>
      </c>
      <c r="D22" s="155">
        <v>111500</v>
      </c>
      <c r="E22" s="154">
        <v>53</v>
      </c>
      <c r="F22" s="146">
        <f>C22*E22</f>
        <v>35653100</v>
      </c>
      <c r="G22" s="149">
        <f>D22*E22</f>
        <v>5909500</v>
      </c>
    </row>
    <row r="23" spans="2:8" x14ac:dyDescent="0.2">
      <c r="B23" s="159" t="s">
        <v>146</v>
      </c>
      <c r="C23" s="155">
        <v>161300</v>
      </c>
      <c r="D23" s="155">
        <v>48600</v>
      </c>
      <c r="E23" s="154">
        <v>5</v>
      </c>
      <c r="F23" s="146">
        <f>C23*E23</f>
        <v>806500</v>
      </c>
      <c r="G23" s="149">
        <f>D23*E23</f>
        <v>243000</v>
      </c>
    </row>
    <row r="24" spans="2:8" ht="13.5" thickBot="1" x14ac:dyDescent="0.25">
      <c r="B24" s="152" t="s">
        <v>137</v>
      </c>
      <c r="C24" s="92"/>
      <c r="D24" s="92"/>
      <c r="E24" s="92"/>
      <c r="F24" s="160">
        <f>ROUND(SUM(F19:F23)/($C$3+$C$4),-3)</f>
        <v>1446000</v>
      </c>
      <c r="G24" s="161">
        <f>ROUND(SUM(G19:G23)/($C$3+$C$4),-3)</f>
        <v>263000</v>
      </c>
      <c r="H24" s="163"/>
    </row>
    <row r="26" spans="2:8" ht="13.5" thickBot="1" x14ac:dyDescent="0.25"/>
    <row r="27" spans="2:8" ht="15" x14ac:dyDescent="0.25">
      <c r="B27" s="119" t="s">
        <v>156</v>
      </c>
      <c r="C27" s="84"/>
      <c r="D27" s="85"/>
    </row>
    <row r="28" spans="2:8" x14ac:dyDescent="0.2">
      <c r="B28" s="162" t="s">
        <v>157</v>
      </c>
      <c r="C28" s="67"/>
      <c r="D28" s="86"/>
    </row>
    <row r="29" spans="2:8" x14ac:dyDescent="0.2">
      <c r="B29" s="120" t="s">
        <v>130</v>
      </c>
      <c r="C29" s="114" t="s">
        <v>106</v>
      </c>
      <c r="D29" s="121" t="s">
        <v>129</v>
      </c>
    </row>
    <row r="30" spans="2:8" x14ac:dyDescent="0.2">
      <c r="B30" s="118" t="s">
        <v>49</v>
      </c>
      <c r="C30" s="146">
        <v>965400</v>
      </c>
      <c r="D30" s="149">
        <v>130000</v>
      </c>
    </row>
    <row r="31" spans="2:8" x14ac:dyDescent="0.2">
      <c r="B31" s="169" t="s">
        <v>169</v>
      </c>
      <c r="C31" s="154">
        <v>21</v>
      </c>
      <c r="D31" s="170"/>
    </row>
    <row r="32" spans="2:8" ht="13.5" thickBot="1" x14ac:dyDescent="0.25">
      <c r="B32" s="152" t="s">
        <v>138</v>
      </c>
      <c r="C32" s="160">
        <f>ROUND(C30/($C$31),-2)</f>
        <v>46000</v>
      </c>
      <c r="D32" s="161">
        <f>ROUND(D30/($C31),-2)</f>
        <v>6200</v>
      </c>
    </row>
    <row r="34" spans="2:6" ht="13.5" thickBot="1" x14ac:dyDescent="0.25"/>
    <row r="35" spans="2:6" ht="15" x14ac:dyDescent="0.25">
      <c r="B35" s="119" t="s">
        <v>158</v>
      </c>
      <c r="C35" s="84"/>
      <c r="D35" s="85"/>
    </row>
    <row r="36" spans="2:6" x14ac:dyDescent="0.2">
      <c r="B36" s="120" t="s">
        <v>130</v>
      </c>
      <c r="C36" s="114" t="s">
        <v>106</v>
      </c>
      <c r="D36" s="121" t="s">
        <v>129</v>
      </c>
    </row>
    <row r="37" spans="2:6" x14ac:dyDescent="0.2">
      <c r="B37" s="118" t="s">
        <v>155</v>
      </c>
      <c r="C37" s="146">
        <v>69000</v>
      </c>
      <c r="D37" s="149">
        <v>30000</v>
      </c>
    </row>
    <row r="38" spans="2:6" x14ac:dyDescent="0.2">
      <c r="B38" s="118" t="s">
        <v>154</v>
      </c>
      <c r="C38" s="146">
        <v>137000</v>
      </c>
      <c r="D38" s="149">
        <v>27000</v>
      </c>
    </row>
    <row r="39" spans="2:6" x14ac:dyDescent="0.2">
      <c r="B39" s="118" t="s">
        <v>138</v>
      </c>
      <c r="C39" s="164">
        <f>ROUND(C37/($C$3),-2)</f>
        <v>2700</v>
      </c>
      <c r="D39" s="165">
        <f>ROUND(D37/($C$3),-2)</f>
        <v>1200</v>
      </c>
    </row>
    <row r="40" spans="2:6" ht="13.5" thickBot="1" x14ac:dyDescent="0.25">
      <c r="B40" s="152" t="s">
        <v>137</v>
      </c>
      <c r="C40" s="160">
        <f>ROUND(C38/($C$3+$C$4),-2)</f>
        <v>4400</v>
      </c>
      <c r="D40" s="161">
        <f>ROUND(D38/($C$3+$C$4),-2)</f>
        <v>900</v>
      </c>
    </row>
    <row r="42" spans="2:6" ht="13.5" thickBot="1" x14ac:dyDescent="0.25"/>
    <row r="43" spans="2:6" ht="15" x14ac:dyDescent="0.25">
      <c r="B43" s="125" t="s">
        <v>148</v>
      </c>
      <c r="C43" s="84"/>
      <c r="D43" s="84"/>
      <c r="E43" s="84"/>
      <c r="F43" s="85"/>
    </row>
    <row r="44" spans="2:6" x14ac:dyDescent="0.2">
      <c r="B44" s="89" t="s">
        <v>160</v>
      </c>
      <c r="C44" s="67"/>
      <c r="D44" s="67"/>
      <c r="E44" s="67"/>
      <c r="F44" s="86"/>
    </row>
    <row r="45" spans="2:6" x14ac:dyDescent="0.2">
      <c r="B45" s="70" t="s">
        <v>165</v>
      </c>
      <c r="C45" s="67"/>
      <c r="D45" s="67"/>
      <c r="E45" s="67"/>
      <c r="F45" s="86"/>
    </row>
    <row r="46" spans="2:6" x14ac:dyDescent="0.2">
      <c r="B46" s="71" t="s">
        <v>86</v>
      </c>
      <c r="C46" s="72" t="s">
        <v>87</v>
      </c>
      <c r="D46" s="73" t="s">
        <v>88</v>
      </c>
      <c r="E46" s="113" t="s">
        <v>164</v>
      </c>
      <c r="F46" s="116" t="s">
        <v>89</v>
      </c>
    </row>
    <row r="47" spans="2:6" x14ac:dyDescent="0.2">
      <c r="B47" s="82" t="s">
        <v>1</v>
      </c>
      <c r="C47" s="74" t="s">
        <v>163</v>
      </c>
      <c r="D47" s="74" t="s">
        <v>167</v>
      </c>
      <c r="E47" s="87">
        <v>42.46</v>
      </c>
      <c r="F47" s="88">
        <f>E47+E47*1.1</f>
        <v>89.165999999999997</v>
      </c>
    </row>
    <row r="48" spans="2:6" x14ac:dyDescent="0.2">
      <c r="B48" s="82" t="s">
        <v>2</v>
      </c>
      <c r="C48" s="74" t="s">
        <v>105</v>
      </c>
      <c r="D48" s="74" t="s">
        <v>168</v>
      </c>
      <c r="E48" s="87">
        <v>17.91</v>
      </c>
      <c r="F48" s="88">
        <f>E48+E48*1.1</f>
        <v>37.611000000000004</v>
      </c>
    </row>
    <row r="49" spans="2:6" x14ac:dyDescent="0.2">
      <c r="B49" s="82" t="s">
        <v>0</v>
      </c>
      <c r="C49" s="75" t="s">
        <v>161</v>
      </c>
      <c r="D49" s="168" t="s">
        <v>162</v>
      </c>
      <c r="E49" s="87">
        <v>69.17</v>
      </c>
      <c r="F49" s="88">
        <f>E49+E49*1.1</f>
        <v>145.25700000000001</v>
      </c>
    </row>
    <row r="50" spans="2:6" x14ac:dyDescent="0.2">
      <c r="B50" s="82"/>
      <c r="C50" s="75"/>
      <c r="D50" s="74"/>
      <c r="E50" s="87"/>
      <c r="F50" s="88"/>
    </row>
    <row r="51" spans="2:6" x14ac:dyDescent="0.2">
      <c r="B51" s="89"/>
      <c r="C51" s="76"/>
      <c r="D51" s="77"/>
      <c r="E51" s="90"/>
      <c r="F51" s="86"/>
    </row>
    <row r="52" spans="2:6" ht="13.5" thickBot="1" x14ac:dyDescent="0.25">
      <c r="B52" s="167" t="s">
        <v>166</v>
      </c>
      <c r="C52" s="91"/>
      <c r="D52" s="91"/>
      <c r="E52" s="92"/>
      <c r="F52" s="93"/>
    </row>
    <row r="53" spans="2:6" ht="13.5" thickBot="1" x14ac:dyDescent="0.25">
      <c r="B53" s="94"/>
      <c r="C53" s="95"/>
      <c r="D53" s="95"/>
    </row>
    <row r="54" spans="2:6" ht="15" x14ac:dyDescent="0.25">
      <c r="B54" s="126" t="s">
        <v>147</v>
      </c>
      <c r="C54" s="105"/>
      <c r="D54" s="106"/>
    </row>
    <row r="55" spans="2:6" ht="25.5" x14ac:dyDescent="0.2">
      <c r="B55" s="107"/>
      <c r="C55" s="104" t="s">
        <v>51</v>
      </c>
      <c r="D55" s="108" t="s">
        <v>52</v>
      </c>
    </row>
    <row r="56" spans="2:6" x14ac:dyDescent="0.2">
      <c r="B56" s="97" t="s">
        <v>53</v>
      </c>
      <c r="C56" s="79">
        <v>29.76</v>
      </c>
      <c r="D56" s="109">
        <f>C56*1.6</f>
        <v>47.616000000000007</v>
      </c>
    </row>
    <row r="57" spans="2:6" x14ac:dyDescent="0.2">
      <c r="B57" s="96" t="s">
        <v>54</v>
      </c>
      <c r="C57" s="78">
        <v>40.1</v>
      </c>
      <c r="D57" s="109">
        <f>C57*1.6</f>
        <v>64.160000000000011</v>
      </c>
    </row>
    <row r="58" spans="2:6" x14ac:dyDescent="0.2">
      <c r="B58" s="97" t="s">
        <v>55</v>
      </c>
      <c r="C58" s="79">
        <v>16.100000000000001</v>
      </c>
      <c r="D58" s="109">
        <f>C58*1.6</f>
        <v>25.760000000000005</v>
      </c>
    </row>
    <row r="59" spans="2:6" x14ac:dyDescent="0.2">
      <c r="B59" s="99" t="s">
        <v>111</v>
      </c>
      <c r="C59" s="81"/>
      <c r="D59" s="98"/>
    </row>
    <row r="60" spans="2:6" x14ac:dyDescent="0.2">
      <c r="B60" s="99" t="s">
        <v>112</v>
      </c>
      <c r="C60" s="80"/>
      <c r="D60" s="100"/>
    </row>
    <row r="61" spans="2:6" ht="13.5" thickBot="1" x14ac:dyDescent="0.25">
      <c r="B61" s="101"/>
      <c r="C61" s="102"/>
      <c r="D61" s="10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B2:I8"/>
  <sheetViews>
    <sheetView zoomScaleNormal="100" workbookViewId="0">
      <selection activeCell="I35" sqref="I35"/>
    </sheetView>
  </sheetViews>
  <sheetFormatPr defaultRowHeight="15" x14ac:dyDescent="0.25"/>
  <cols>
    <col min="1" max="1" width="3.5703125" style="1" customWidth="1"/>
    <col min="2" max="2" width="8.5703125" style="8" customWidth="1"/>
    <col min="3" max="3" width="11.5703125" style="8" customWidth="1"/>
    <col min="4" max="4" width="18.28515625" style="8" customWidth="1"/>
    <col min="5" max="5" width="14" style="8" customWidth="1"/>
    <col min="6" max="6" width="12.85546875" style="8" customWidth="1"/>
    <col min="7" max="7" width="13" style="8" customWidth="1"/>
    <col min="8" max="8" width="10.5703125" style="8" customWidth="1"/>
    <col min="9" max="9" width="12.7109375" style="8" customWidth="1"/>
    <col min="10" max="16384" width="9.140625" style="1"/>
  </cols>
  <sheetData>
    <row r="2" spans="2:9" ht="39" customHeight="1" x14ac:dyDescent="0.25">
      <c r="B2" s="281" t="s">
        <v>179</v>
      </c>
      <c r="C2" s="281"/>
      <c r="D2" s="281"/>
      <c r="E2" s="281"/>
      <c r="F2" s="281"/>
      <c r="G2" s="281"/>
      <c r="H2" s="281"/>
      <c r="I2" s="281"/>
    </row>
    <row r="3" spans="2:9" ht="29.25" customHeight="1" thickBot="1" x14ac:dyDescent="0.3">
      <c r="B3" s="235" t="s">
        <v>41</v>
      </c>
      <c r="C3" s="236" t="s">
        <v>42</v>
      </c>
      <c r="D3" s="236" t="s">
        <v>43</v>
      </c>
      <c r="E3" s="236" t="s">
        <v>44</v>
      </c>
      <c r="F3" s="236" t="s">
        <v>59</v>
      </c>
      <c r="G3" s="236" t="s">
        <v>46</v>
      </c>
      <c r="H3" s="236" t="s">
        <v>60</v>
      </c>
      <c r="I3" s="236" t="s">
        <v>48</v>
      </c>
    </row>
    <row r="4" spans="2:9" ht="15.75" thickTop="1" x14ac:dyDescent="0.25">
      <c r="B4" s="237">
        <v>1</v>
      </c>
      <c r="C4" s="2">
        <f>EPA_YR1!I25</f>
        <v>935</v>
      </c>
      <c r="D4" s="2">
        <f>EPA_YR1!J25</f>
        <v>46.75</v>
      </c>
      <c r="E4" s="2">
        <f>EPA_YR1!K25</f>
        <v>93.5</v>
      </c>
      <c r="F4" s="2">
        <f>SUM(C4:E4)</f>
        <v>1075.25</v>
      </c>
      <c r="G4" s="3">
        <f>EPA_YR1!M25</f>
        <v>49929.000000000015</v>
      </c>
      <c r="H4" s="3">
        <v>0</v>
      </c>
      <c r="I4" s="3">
        <f>+G4+H4</f>
        <v>49929.000000000015</v>
      </c>
    </row>
    <row r="5" spans="2:9" x14ac:dyDescent="0.25">
      <c r="B5" s="238">
        <v>2</v>
      </c>
      <c r="C5" s="4">
        <f>EPA_YR2!I25</f>
        <v>279</v>
      </c>
      <c r="D5" s="4">
        <f>EPA_YR2!J25</f>
        <v>13.950000000000001</v>
      </c>
      <c r="E5" s="4">
        <f>EPA_YR2!K25</f>
        <v>27.900000000000002</v>
      </c>
      <c r="F5" s="2">
        <f>SUM(C5:E5)</f>
        <v>320.84999999999997</v>
      </c>
      <c r="G5" s="5">
        <f>EPA_YR2!M25</f>
        <v>14898.600000000002</v>
      </c>
      <c r="H5" s="5">
        <v>0</v>
      </c>
      <c r="I5" s="5">
        <f>+G5+H5</f>
        <v>14898.600000000002</v>
      </c>
    </row>
    <row r="6" spans="2:9" ht="15.75" thickBot="1" x14ac:dyDescent="0.3">
      <c r="B6" s="235">
        <v>3</v>
      </c>
      <c r="C6" s="6">
        <f>EPA_YR3!I25</f>
        <v>830</v>
      </c>
      <c r="D6" s="6">
        <f>EPA_YR3!J25</f>
        <v>41.5</v>
      </c>
      <c r="E6" s="6">
        <f>EPA_YR3!K25</f>
        <v>83</v>
      </c>
      <c r="F6" s="6">
        <f>SUM(C6:E6)</f>
        <v>954.5</v>
      </c>
      <c r="G6" s="7">
        <f>EPA_YR3!M25</f>
        <v>44322</v>
      </c>
      <c r="H6" s="7">
        <v>0</v>
      </c>
      <c r="I6" s="7">
        <f>+G6+H6</f>
        <v>44322</v>
      </c>
    </row>
    <row r="7" spans="2:9" ht="15.75" thickTop="1" x14ac:dyDescent="0.25">
      <c r="B7" s="237" t="s">
        <v>49</v>
      </c>
      <c r="C7" s="2">
        <f t="shared" ref="C7:I7" si="0">SUM(C4:C6)</f>
        <v>2044</v>
      </c>
      <c r="D7" s="2">
        <f t="shared" si="0"/>
        <v>102.2</v>
      </c>
      <c r="E7" s="2">
        <f t="shared" si="0"/>
        <v>204.4</v>
      </c>
      <c r="F7" s="2">
        <f t="shared" si="0"/>
        <v>2350.6</v>
      </c>
      <c r="G7" s="3">
        <f t="shared" si="0"/>
        <v>109149.60000000002</v>
      </c>
      <c r="H7" s="3">
        <f t="shared" si="0"/>
        <v>0</v>
      </c>
      <c r="I7" s="3">
        <f t="shared" si="0"/>
        <v>109149.60000000002</v>
      </c>
    </row>
    <row r="8" spans="2:9" x14ac:dyDescent="0.25">
      <c r="B8" s="238" t="s">
        <v>50</v>
      </c>
      <c r="C8" s="4">
        <f t="shared" ref="C8:I8" si="1">AVERAGE(C4:C6)</f>
        <v>681.33333333333337</v>
      </c>
      <c r="D8" s="4">
        <f t="shared" si="1"/>
        <v>34.06666666666667</v>
      </c>
      <c r="E8" s="4">
        <f t="shared" si="1"/>
        <v>68.13333333333334</v>
      </c>
      <c r="F8" s="4">
        <f t="shared" si="1"/>
        <v>783.5333333333333</v>
      </c>
      <c r="G8" s="5">
        <f t="shared" si="1"/>
        <v>36383.200000000004</v>
      </c>
      <c r="H8" s="5">
        <f t="shared" si="1"/>
        <v>0</v>
      </c>
      <c r="I8" s="5">
        <f t="shared" si="1"/>
        <v>36383.200000000004</v>
      </c>
    </row>
  </sheetData>
  <mergeCells count="1">
    <mergeCell ref="B2:I2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CA704-0BDB-48D9-9FB6-06C875D99756}">
  <sheetPr>
    <tabColor theme="4"/>
  </sheetPr>
  <dimension ref="B2:H24"/>
  <sheetViews>
    <sheetView workbookViewId="0">
      <selection activeCell="I20" sqref="I20"/>
    </sheetView>
  </sheetViews>
  <sheetFormatPr defaultRowHeight="12.75" x14ac:dyDescent="0.2"/>
  <cols>
    <col min="1" max="1" width="9.140625" style="189"/>
    <col min="2" max="2" width="29.7109375" style="189" customWidth="1"/>
    <col min="3" max="4" width="12.42578125" style="189" bestFit="1" customWidth="1"/>
    <col min="5" max="5" width="16.140625" style="189" customWidth="1"/>
    <col min="6" max="6" width="13.140625" style="189" bestFit="1" customWidth="1"/>
    <col min="7" max="7" width="12.85546875" style="189" customWidth="1"/>
    <col min="8" max="8" width="10" style="189" bestFit="1" customWidth="1"/>
    <col min="9" max="16384" width="9.140625" style="189"/>
  </cols>
  <sheetData>
    <row r="2" spans="2:8" ht="15.75" x14ac:dyDescent="0.2">
      <c r="B2" s="277" t="s">
        <v>125</v>
      </c>
      <c r="C2" s="277"/>
      <c r="D2" s="277"/>
      <c r="E2" s="277"/>
      <c r="F2" s="277"/>
      <c r="G2" s="277"/>
      <c r="H2" s="277"/>
    </row>
    <row r="3" spans="2:8" x14ac:dyDescent="0.2">
      <c r="B3" s="192" t="s">
        <v>6</v>
      </c>
      <c r="C3" s="192" t="s">
        <v>7</v>
      </c>
      <c r="D3" s="192" t="s">
        <v>8</v>
      </c>
      <c r="E3" s="192" t="s">
        <v>9</v>
      </c>
      <c r="F3" s="192" t="s">
        <v>10</v>
      </c>
      <c r="G3" s="192" t="s">
        <v>11</v>
      </c>
      <c r="H3" s="192" t="s">
        <v>120</v>
      </c>
    </row>
    <row r="4" spans="2:8" ht="63.75" x14ac:dyDescent="0.2">
      <c r="B4" s="193" t="s">
        <v>187</v>
      </c>
      <c r="C4" s="193" t="s">
        <v>182</v>
      </c>
      <c r="D4" s="193" t="s">
        <v>183</v>
      </c>
      <c r="E4" s="193" t="s">
        <v>185</v>
      </c>
      <c r="F4" s="193" t="s">
        <v>184</v>
      </c>
      <c r="G4" s="193" t="s">
        <v>201</v>
      </c>
      <c r="H4" s="193" t="s">
        <v>186</v>
      </c>
    </row>
    <row r="5" spans="2:8" x14ac:dyDescent="0.2">
      <c r="B5" s="190" t="s">
        <v>180</v>
      </c>
      <c r="C5" s="188">
        <f>'YR3'!D10</f>
        <v>1446000</v>
      </c>
      <c r="D5" s="191">
        <f>'YR2'!G10+'YR3'!G10</f>
        <v>31</v>
      </c>
      <c r="E5" s="188">
        <f>C5*D5</f>
        <v>44826000</v>
      </c>
      <c r="F5" s="188">
        <f>'YR3'!D11</f>
        <v>263000</v>
      </c>
      <c r="G5" s="191">
        <f>'YR2'!G11+'YR3'!G11</f>
        <v>41</v>
      </c>
      <c r="H5" s="188">
        <f>F5*G5</f>
        <v>10783000</v>
      </c>
    </row>
    <row r="6" spans="2:8" x14ac:dyDescent="0.2">
      <c r="B6" s="190" t="s">
        <v>156</v>
      </c>
      <c r="C6" s="188">
        <f>'YR3'!D13</f>
        <v>46000</v>
      </c>
      <c r="D6" s="191">
        <f>'YR2'!G13+'YR3'!G13</f>
        <v>21</v>
      </c>
      <c r="E6" s="188">
        <f>C6*D6</f>
        <v>966000</v>
      </c>
      <c r="F6" s="188">
        <f>'YR3'!D14</f>
        <v>6200</v>
      </c>
      <c r="G6" s="191">
        <f>'YR2'!G14+'YR3'!G14</f>
        <v>28</v>
      </c>
      <c r="H6" s="188">
        <f>F6*G6</f>
        <v>173600</v>
      </c>
    </row>
    <row r="7" spans="2:8" x14ac:dyDescent="0.2">
      <c r="B7" s="190" t="s">
        <v>181</v>
      </c>
      <c r="C7" s="188">
        <f>'YR3'!D16</f>
        <v>4400</v>
      </c>
      <c r="D7" s="191">
        <f>'YR2'!G16+'YR3'!G16</f>
        <v>31</v>
      </c>
      <c r="E7" s="188">
        <f>C7*D7</f>
        <v>136400</v>
      </c>
      <c r="F7" s="188">
        <f>'YR3'!D17</f>
        <v>900</v>
      </c>
      <c r="G7" s="191">
        <f>'YR2'!G17+'YR3'!G17</f>
        <v>41</v>
      </c>
      <c r="H7" s="188">
        <f>F7*G7</f>
        <v>36900</v>
      </c>
    </row>
    <row r="8" spans="2:8" x14ac:dyDescent="0.2">
      <c r="B8" s="190" t="s">
        <v>36</v>
      </c>
      <c r="C8" s="188"/>
      <c r="D8" s="191"/>
      <c r="E8" s="188">
        <f>SUM(E5:E7)</f>
        <v>45928400</v>
      </c>
      <c r="F8" s="188"/>
      <c r="G8" s="187"/>
      <c r="H8" s="188">
        <f>SUM(H5:H7)</f>
        <v>10993500</v>
      </c>
    </row>
    <row r="9" spans="2:8" x14ac:dyDescent="0.2">
      <c r="B9" s="189" t="s">
        <v>202</v>
      </c>
    </row>
    <row r="12" spans="2:8" ht="14.25" x14ac:dyDescent="0.2">
      <c r="B12" s="273" t="s">
        <v>193</v>
      </c>
      <c r="C12" s="273"/>
      <c r="D12" s="273"/>
      <c r="E12" s="273"/>
      <c r="F12" s="273"/>
    </row>
    <row r="13" spans="2:8" x14ac:dyDescent="0.2">
      <c r="B13" s="200" t="s">
        <v>6</v>
      </c>
      <c r="C13" s="200" t="s">
        <v>7</v>
      </c>
      <c r="D13" s="200" t="s">
        <v>8</v>
      </c>
      <c r="E13" s="200" t="s">
        <v>9</v>
      </c>
      <c r="F13" s="200" t="s">
        <v>10</v>
      </c>
    </row>
    <row r="14" spans="2:8" ht="60" x14ac:dyDescent="0.2">
      <c r="B14" s="200" t="s">
        <v>191</v>
      </c>
      <c r="C14" s="200" t="s">
        <v>116</v>
      </c>
      <c r="D14" s="200" t="s">
        <v>91</v>
      </c>
      <c r="E14" s="200" t="s">
        <v>192</v>
      </c>
      <c r="F14" s="200" t="s">
        <v>200</v>
      </c>
    </row>
    <row r="15" spans="2:8" x14ac:dyDescent="0.2">
      <c r="B15" s="202" t="s">
        <v>194</v>
      </c>
      <c r="C15" s="200"/>
      <c r="D15" s="200"/>
      <c r="E15" s="200"/>
      <c r="F15" s="200"/>
    </row>
    <row r="16" spans="2:8" x14ac:dyDescent="0.2">
      <c r="B16" s="202" t="s">
        <v>195</v>
      </c>
      <c r="C16" s="201">
        <f>'YR2'!G22+'YR3'!G22</f>
        <v>41</v>
      </c>
      <c r="D16" s="200">
        <v>1</v>
      </c>
      <c r="E16" s="200">
        <v>0</v>
      </c>
      <c r="F16" s="200">
        <f>C16*D16</f>
        <v>41</v>
      </c>
    </row>
    <row r="17" spans="2:6" x14ac:dyDescent="0.2">
      <c r="B17" s="202" t="s">
        <v>196</v>
      </c>
      <c r="C17" s="201">
        <f>'YR2'!G23+'YR3'!G23</f>
        <v>28</v>
      </c>
      <c r="D17" s="200">
        <v>1</v>
      </c>
      <c r="E17" s="200">
        <v>0</v>
      </c>
      <c r="F17" s="200">
        <f>C17*D17</f>
        <v>28</v>
      </c>
    </row>
    <row r="18" spans="2:6" x14ac:dyDescent="0.2">
      <c r="B18" s="202" t="s">
        <v>197</v>
      </c>
      <c r="C18" s="200"/>
      <c r="D18" s="200"/>
      <c r="E18" s="200"/>
      <c r="F18" s="200"/>
    </row>
    <row r="19" spans="2:6" x14ac:dyDescent="0.2">
      <c r="B19" s="202" t="s">
        <v>195</v>
      </c>
      <c r="C19" s="201">
        <f>'YR2'!G25+'YR3'!G25</f>
        <v>41</v>
      </c>
      <c r="D19" s="200">
        <v>2</v>
      </c>
      <c r="E19" s="200">
        <v>0</v>
      </c>
      <c r="F19" s="200">
        <f t="shared" ref="F19:F23" si="0">C19*D19</f>
        <v>82</v>
      </c>
    </row>
    <row r="20" spans="2:6" x14ac:dyDescent="0.2">
      <c r="B20" s="202" t="s">
        <v>196</v>
      </c>
      <c r="C20" s="201">
        <f>'YR2'!G26+'YR3'!G26</f>
        <v>28</v>
      </c>
      <c r="D20" s="200">
        <v>2</v>
      </c>
      <c r="E20" s="200">
        <v>0</v>
      </c>
      <c r="F20" s="200">
        <f t="shared" si="0"/>
        <v>56</v>
      </c>
    </row>
    <row r="21" spans="2:6" x14ac:dyDescent="0.2">
      <c r="B21" s="202" t="s">
        <v>212</v>
      </c>
      <c r="C21" s="201">
        <f>'YR2'!G27+'YR3'!G27</f>
        <v>35</v>
      </c>
      <c r="D21" s="200">
        <v>2</v>
      </c>
      <c r="E21" s="200">
        <v>0</v>
      </c>
      <c r="F21" s="200">
        <f t="shared" si="0"/>
        <v>70</v>
      </c>
    </row>
    <row r="22" spans="2:6" x14ac:dyDescent="0.2">
      <c r="B22" s="202" t="s">
        <v>198</v>
      </c>
      <c r="C22" s="201">
        <f>'YR2'!G28+'YR3'!G28</f>
        <v>41</v>
      </c>
      <c r="D22" s="200">
        <v>2</v>
      </c>
      <c r="E22" s="200">
        <v>0</v>
      </c>
      <c r="F22" s="200">
        <f t="shared" si="0"/>
        <v>82</v>
      </c>
    </row>
    <row r="23" spans="2:6" x14ac:dyDescent="0.2">
      <c r="B23" s="202" t="s">
        <v>199</v>
      </c>
      <c r="C23" s="201">
        <f>'YR2'!G30+'YR3'!G30</f>
        <v>41</v>
      </c>
      <c r="D23" s="200">
        <v>2</v>
      </c>
      <c r="E23" s="200">
        <v>0</v>
      </c>
      <c r="F23" s="200">
        <f t="shared" si="0"/>
        <v>82</v>
      </c>
    </row>
    <row r="24" spans="2:6" x14ac:dyDescent="0.2">
      <c r="B24" s="274" t="s">
        <v>36</v>
      </c>
      <c r="C24" s="275"/>
      <c r="D24" s="275"/>
      <c r="E24" s="276"/>
      <c r="F24" s="200">
        <f>SUM(F15:F23)</f>
        <v>441</v>
      </c>
    </row>
  </sheetData>
  <mergeCells count="3">
    <mergeCell ref="B12:F12"/>
    <mergeCell ref="B24:E24"/>
    <mergeCell ref="B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7030A0"/>
    <pageSetUpPr fitToPage="1"/>
  </sheetPr>
  <dimension ref="B2:Q69"/>
  <sheetViews>
    <sheetView tabSelected="1" zoomScaleNormal="100" zoomScaleSheetLayoutView="80" workbookViewId="0">
      <pane ySplit="3" topLeftCell="A4" activePane="bottomLeft" state="frozen"/>
      <selection activeCell="H23" sqref="H23"/>
      <selection pane="bottomLeft" activeCell="B44" sqref="B44"/>
    </sheetView>
  </sheetViews>
  <sheetFormatPr defaultRowHeight="11.25" x14ac:dyDescent="0.2"/>
  <cols>
    <col min="1" max="1" width="2.140625" style="19" customWidth="1"/>
    <col min="2" max="2" width="32.5703125" style="19" customWidth="1"/>
    <col min="3" max="4" width="9.28515625" style="19" bestFit="1" customWidth="1"/>
    <col min="5" max="5" width="10.140625" style="19" bestFit="1" customWidth="1"/>
    <col min="6" max="6" width="9.7109375" style="19" customWidth="1"/>
    <col min="7" max="7" width="10.140625" style="19" bestFit="1" customWidth="1"/>
    <col min="8" max="8" width="7.85546875" style="19" bestFit="1" customWidth="1"/>
    <col min="9" max="9" width="8.85546875" style="19" bestFit="1" customWidth="1"/>
    <col min="10" max="10" width="9.7109375" style="19" bestFit="1" customWidth="1"/>
    <col min="11" max="11" width="8.85546875" style="19" bestFit="1" customWidth="1"/>
    <col min="12" max="12" width="9.5703125" style="19" bestFit="1" customWidth="1"/>
    <col min="13" max="13" width="9.42578125" style="19" bestFit="1" customWidth="1"/>
    <col min="14" max="14" width="8.85546875" style="19" bestFit="1" customWidth="1"/>
    <col min="15" max="15" width="4" style="19" customWidth="1"/>
    <col min="16" max="16" width="2.5703125" style="19" customWidth="1"/>
    <col min="17" max="17" width="29.140625" style="115" customWidth="1"/>
    <col min="18" max="16384" width="9.140625" style="19"/>
  </cols>
  <sheetData>
    <row r="2" spans="2:15" ht="33" customHeight="1" x14ac:dyDescent="0.2">
      <c r="B2" s="280" t="s">
        <v>174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</row>
    <row r="3" spans="2:15" s="22" customFormat="1" ht="69.75" customHeight="1" x14ac:dyDescent="0.2">
      <c r="B3" s="180" t="s">
        <v>3</v>
      </c>
      <c r="C3" s="180" t="s">
        <v>4</v>
      </c>
      <c r="D3" s="180" t="s">
        <v>85</v>
      </c>
      <c r="E3" s="180" t="s">
        <v>95</v>
      </c>
      <c r="F3" s="180" t="s">
        <v>115</v>
      </c>
      <c r="G3" s="203" t="s">
        <v>96</v>
      </c>
      <c r="H3" s="204" t="s">
        <v>103</v>
      </c>
      <c r="I3" s="204" t="s">
        <v>97</v>
      </c>
      <c r="J3" s="204" t="s">
        <v>98</v>
      </c>
      <c r="K3" s="204" t="s">
        <v>121</v>
      </c>
      <c r="L3" s="180" t="s">
        <v>122</v>
      </c>
      <c r="M3" s="204" t="s">
        <v>123</v>
      </c>
      <c r="N3" s="204" t="s">
        <v>124</v>
      </c>
      <c r="O3" s="205" t="s">
        <v>5</v>
      </c>
    </row>
    <row r="4" spans="2:15" ht="10.5" customHeight="1" x14ac:dyDescent="0.2">
      <c r="B4" s="206" t="s">
        <v>65</v>
      </c>
      <c r="C4" s="180" t="s">
        <v>66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ht="10.5" customHeight="1" x14ac:dyDescent="0.2">
      <c r="B5" s="206" t="s">
        <v>67</v>
      </c>
      <c r="C5" s="180" t="s">
        <v>66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2:15" ht="10.5" customHeight="1" x14ac:dyDescent="0.2">
      <c r="B6" s="206" t="s">
        <v>68</v>
      </c>
      <c r="C6" s="180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5" x14ac:dyDescent="0.2">
      <c r="B7" s="207" t="s">
        <v>69</v>
      </c>
      <c r="C7" s="23">
        <v>70</v>
      </c>
      <c r="D7" s="127">
        <v>0</v>
      </c>
      <c r="E7" s="23">
        <v>1</v>
      </c>
      <c r="F7" s="23">
        <f>C7*E7</f>
        <v>70</v>
      </c>
      <c r="G7" s="24">
        <f>Inputs!$C$3+Inputs!$C$4</f>
        <v>31</v>
      </c>
      <c r="H7" s="181">
        <f>G7*F7</f>
        <v>2170</v>
      </c>
      <c r="I7" s="181">
        <f>H7*0.1</f>
        <v>217</v>
      </c>
      <c r="J7" s="181">
        <f>H7*0.05</f>
        <v>108.5</v>
      </c>
      <c r="K7" s="183">
        <f>SUM(H7:J7)</f>
        <v>2495.5</v>
      </c>
      <c r="L7" s="127">
        <f>ROUND(H7*Inputs!$F$47+I7*Inputs!$F$48+J7*Inputs!$F$49,0)</f>
        <v>217412</v>
      </c>
      <c r="M7" s="127">
        <f>D7*E7*G7</f>
        <v>0</v>
      </c>
      <c r="N7" s="23">
        <v>0</v>
      </c>
      <c r="O7" s="23" t="s">
        <v>171</v>
      </c>
    </row>
    <row r="8" spans="2:15" x14ac:dyDescent="0.2">
      <c r="B8" s="207" t="s">
        <v>70</v>
      </c>
      <c r="C8" s="23"/>
      <c r="D8" s="127"/>
      <c r="E8" s="23"/>
      <c r="F8" s="23"/>
      <c r="G8" s="23"/>
      <c r="H8" s="23"/>
      <c r="I8" s="24"/>
      <c r="J8" s="24"/>
      <c r="K8" s="24"/>
      <c r="L8" s="127"/>
      <c r="M8" s="127"/>
      <c r="N8" s="23"/>
      <c r="O8" s="23" t="s">
        <v>33</v>
      </c>
    </row>
    <row r="9" spans="2:15" x14ac:dyDescent="0.2">
      <c r="B9" s="210" t="s">
        <v>213</v>
      </c>
      <c r="C9" s="23"/>
      <c r="D9" s="127"/>
      <c r="E9" s="23"/>
      <c r="F9" s="23"/>
      <c r="G9" s="24"/>
      <c r="H9" s="23"/>
      <c r="I9" s="24"/>
      <c r="J9" s="24"/>
      <c r="K9" s="133"/>
      <c r="L9" s="127"/>
      <c r="M9" s="127"/>
      <c r="N9" s="23"/>
      <c r="O9" s="23" t="s">
        <v>56</v>
      </c>
    </row>
    <row r="10" spans="2:15" x14ac:dyDescent="0.2">
      <c r="B10" s="209" t="s">
        <v>107</v>
      </c>
      <c r="C10" s="23">
        <v>0</v>
      </c>
      <c r="D10" s="127">
        <f>Inputs!F24</f>
        <v>1446000</v>
      </c>
      <c r="E10" s="23">
        <v>1</v>
      </c>
      <c r="F10" s="23">
        <f>C10*E10</f>
        <v>0</v>
      </c>
      <c r="G10" s="24">
        <v>0</v>
      </c>
      <c r="H10" s="23">
        <f>G10*F10</f>
        <v>0</v>
      </c>
      <c r="I10" s="24">
        <f>H10*0.1</f>
        <v>0</v>
      </c>
      <c r="J10" s="24">
        <f>H10*0.05</f>
        <v>0</v>
      </c>
      <c r="K10" s="133">
        <f>SUM(H10:J10)</f>
        <v>0</v>
      </c>
      <c r="L10" s="127">
        <f>ROUND(H10*Inputs!$F$47+I10*Inputs!$F$48+J10*Inputs!$F$49,0)</f>
        <v>0</v>
      </c>
      <c r="M10" s="127">
        <f>D10*E10*G10</f>
        <v>0</v>
      </c>
      <c r="N10" s="23">
        <v>0</v>
      </c>
      <c r="O10" s="23"/>
    </row>
    <row r="11" spans="2:15" x14ac:dyDescent="0.2">
      <c r="B11" s="209" t="s">
        <v>108</v>
      </c>
      <c r="C11" s="23">
        <v>0</v>
      </c>
      <c r="D11" s="127">
        <f>Inputs!G24</f>
        <v>263000</v>
      </c>
      <c r="E11" s="23">
        <v>1</v>
      </c>
      <c r="F11" s="23">
        <f>C11*E11</f>
        <v>0</v>
      </c>
      <c r="G11" s="24">
        <v>0</v>
      </c>
      <c r="H11" s="23">
        <f>G11*F11</f>
        <v>0</v>
      </c>
      <c r="I11" s="24">
        <f>H11*0.1</f>
        <v>0</v>
      </c>
      <c r="J11" s="24">
        <f>H11*0.05</f>
        <v>0</v>
      </c>
      <c r="K11" s="133">
        <f>SUM(H11:J11)</f>
        <v>0</v>
      </c>
      <c r="L11" s="127">
        <f>ROUND(H11*Inputs!$F$47+I11*Inputs!$F$48+J11*Inputs!$F$49,0)</f>
        <v>0</v>
      </c>
      <c r="M11" s="127">
        <f>D11*E11*G11</f>
        <v>0</v>
      </c>
      <c r="N11" s="23">
        <v>0</v>
      </c>
      <c r="O11" s="23"/>
    </row>
    <row r="12" spans="2:15" x14ac:dyDescent="0.2">
      <c r="B12" s="210" t="s">
        <v>214</v>
      </c>
      <c r="C12" s="23"/>
      <c r="D12" s="127"/>
      <c r="E12" s="23"/>
      <c r="F12" s="23"/>
      <c r="G12" s="23"/>
      <c r="H12" s="23"/>
      <c r="I12" s="24"/>
      <c r="J12" s="24"/>
      <c r="K12" s="24"/>
      <c r="L12" s="127"/>
      <c r="M12" s="127"/>
      <c r="N12" s="23"/>
      <c r="O12" s="23" t="s">
        <v>57</v>
      </c>
    </row>
    <row r="13" spans="2:15" x14ac:dyDescent="0.2">
      <c r="B13" s="209" t="s">
        <v>107</v>
      </c>
      <c r="C13" s="23">
        <v>0</v>
      </c>
      <c r="D13" s="127">
        <f>Inputs!C32</f>
        <v>46000</v>
      </c>
      <c r="E13" s="23">
        <v>1</v>
      </c>
      <c r="F13" s="23">
        <f>C13*E13</f>
        <v>0</v>
      </c>
      <c r="G13" s="24">
        <v>0</v>
      </c>
      <c r="H13" s="23">
        <f>G13*F13</f>
        <v>0</v>
      </c>
      <c r="I13" s="24">
        <f>H13*0.1</f>
        <v>0</v>
      </c>
      <c r="J13" s="24">
        <f>H13*0.05</f>
        <v>0</v>
      </c>
      <c r="K13" s="133">
        <f>SUM(H13:J13)</f>
        <v>0</v>
      </c>
      <c r="L13" s="127">
        <f>ROUND(H13*Inputs!$F$47+I13*Inputs!$F$48+J13*Inputs!$F$49,0)</f>
        <v>0</v>
      </c>
      <c r="M13" s="127">
        <f>D13*E13*G13</f>
        <v>0</v>
      </c>
      <c r="N13" s="23">
        <v>0</v>
      </c>
      <c r="O13" s="23"/>
    </row>
    <row r="14" spans="2:15" x14ac:dyDescent="0.2">
      <c r="B14" s="209" t="s">
        <v>108</v>
      </c>
      <c r="C14" s="23">
        <v>0</v>
      </c>
      <c r="D14" s="127">
        <f>Inputs!D32</f>
        <v>6200</v>
      </c>
      <c r="E14" s="23">
        <v>1</v>
      </c>
      <c r="F14" s="23">
        <f>C14*E14</f>
        <v>0</v>
      </c>
      <c r="G14" s="24">
        <v>0</v>
      </c>
      <c r="H14" s="23">
        <f>G14*F14</f>
        <v>0</v>
      </c>
      <c r="I14" s="24">
        <f>H14*0.1</f>
        <v>0</v>
      </c>
      <c r="J14" s="24">
        <f>H14*0.05</f>
        <v>0</v>
      </c>
      <c r="K14" s="133">
        <f>SUM(H14:J14)</f>
        <v>0</v>
      </c>
      <c r="L14" s="127">
        <f>ROUND(H14*Inputs!$F$47+I14*Inputs!$F$48+J14*Inputs!$F$49,0)</f>
        <v>0</v>
      </c>
      <c r="M14" s="127">
        <f>D14*E14*G14</f>
        <v>0</v>
      </c>
      <c r="N14" s="23">
        <v>0</v>
      </c>
      <c r="O14" s="23"/>
    </row>
    <row r="15" spans="2:15" x14ac:dyDescent="0.2">
      <c r="B15" s="210" t="s">
        <v>215</v>
      </c>
      <c r="C15" s="23"/>
      <c r="D15" s="127"/>
      <c r="E15" s="23"/>
      <c r="F15" s="23"/>
      <c r="G15" s="23"/>
      <c r="H15" s="23"/>
      <c r="I15" s="24"/>
      <c r="J15" s="24"/>
      <c r="K15" s="24"/>
      <c r="L15" s="127"/>
      <c r="M15" s="127"/>
      <c r="N15" s="23"/>
      <c r="O15" s="23"/>
    </row>
    <row r="16" spans="2:15" x14ac:dyDescent="0.2">
      <c r="B16" s="209" t="s">
        <v>107</v>
      </c>
      <c r="C16" s="23">
        <v>0</v>
      </c>
      <c r="D16" s="127">
        <f>Inputs!C40</f>
        <v>4400</v>
      </c>
      <c r="E16" s="23">
        <v>1</v>
      </c>
      <c r="F16" s="23">
        <f>C16*E16</f>
        <v>0</v>
      </c>
      <c r="G16" s="24">
        <v>0</v>
      </c>
      <c r="H16" s="23">
        <f>G16*F16</f>
        <v>0</v>
      </c>
      <c r="I16" s="24">
        <f>H16*0.1</f>
        <v>0</v>
      </c>
      <c r="J16" s="24">
        <f>H16*0.05</f>
        <v>0</v>
      </c>
      <c r="K16" s="133">
        <f>SUM(H16:J16)</f>
        <v>0</v>
      </c>
      <c r="L16" s="127">
        <f>ROUND(H16*Inputs!$F$47+I16*Inputs!$F$48+J16*Inputs!$F$49,0)</f>
        <v>0</v>
      </c>
      <c r="M16" s="127">
        <f>D16*E16*G16</f>
        <v>0</v>
      </c>
      <c r="N16" s="23">
        <v>0</v>
      </c>
      <c r="O16" s="23"/>
    </row>
    <row r="17" spans="2:15" x14ac:dyDescent="0.2">
      <c r="B17" s="209" t="s">
        <v>108</v>
      </c>
      <c r="C17" s="23">
        <v>0</v>
      </c>
      <c r="D17" s="127">
        <f>Inputs!D40</f>
        <v>900</v>
      </c>
      <c r="E17" s="23">
        <v>1</v>
      </c>
      <c r="F17" s="23">
        <f>C17*E17</f>
        <v>0</v>
      </c>
      <c r="G17" s="24">
        <v>0</v>
      </c>
      <c r="H17" s="23">
        <f>G17*F17</f>
        <v>0</v>
      </c>
      <c r="I17" s="24">
        <f>H17*0.1</f>
        <v>0</v>
      </c>
      <c r="J17" s="24">
        <f>H17*0.05</f>
        <v>0</v>
      </c>
      <c r="K17" s="133">
        <f>SUM(H17:J17)</f>
        <v>0</v>
      </c>
      <c r="L17" s="127">
        <f>ROUND(H17*Inputs!$F$47+I17*Inputs!$F$48+J17*Inputs!$F$49,0)</f>
        <v>0</v>
      </c>
      <c r="M17" s="127">
        <f>D17*E17*G17</f>
        <v>0</v>
      </c>
      <c r="N17" s="23">
        <v>0</v>
      </c>
      <c r="O17" s="23"/>
    </row>
    <row r="18" spans="2:15" x14ac:dyDescent="0.2">
      <c r="B18" s="207" t="s">
        <v>71</v>
      </c>
      <c r="C18" s="23" t="s">
        <v>73</v>
      </c>
      <c r="D18" s="127"/>
      <c r="E18" s="23"/>
      <c r="F18" s="23"/>
      <c r="G18" s="23"/>
      <c r="H18" s="23"/>
      <c r="I18" s="24"/>
      <c r="J18" s="24"/>
      <c r="K18" s="24"/>
      <c r="L18" s="127"/>
      <c r="M18" s="127"/>
      <c r="N18" s="23"/>
      <c r="O18" s="23"/>
    </row>
    <row r="19" spans="2:15" x14ac:dyDescent="0.2">
      <c r="B19" s="207" t="s">
        <v>72</v>
      </c>
      <c r="C19" s="23" t="s">
        <v>74</v>
      </c>
      <c r="D19" s="127"/>
      <c r="E19" s="23"/>
      <c r="F19" s="23"/>
      <c r="G19" s="23"/>
      <c r="H19" s="23"/>
      <c r="I19" s="24"/>
      <c r="J19" s="24"/>
      <c r="K19" s="24"/>
      <c r="L19" s="127"/>
      <c r="M19" s="127"/>
      <c r="N19" s="23"/>
      <c r="O19" s="23"/>
    </row>
    <row r="20" spans="2:15" x14ac:dyDescent="0.2">
      <c r="B20" s="207" t="s">
        <v>75</v>
      </c>
      <c r="C20" s="23"/>
      <c r="D20" s="127"/>
      <c r="E20" s="23"/>
      <c r="F20" s="23"/>
      <c r="G20" s="23"/>
      <c r="H20" s="23"/>
      <c r="I20" s="24"/>
      <c r="J20" s="24"/>
      <c r="K20" s="24"/>
      <c r="L20" s="127"/>
      <c r="M20" s="127"/>
      <c r="N20" s="23"/>
      <c r="O20" s="23" t="s">
        <v>33</v>
      </c>
    </row>
    <row r="21" spans="2:15" x14ac:dyDescent="0.2">
      <c r="B21" s="208" t="s">
        <v>216</v>
      </c>
      <c r="C21" s="23"/>
      <c r="D21" s="127"/>
      <c r="E21" s="23"/>
      <c r="F21" s="23"/>
      <c r="G21" s="23"/>
      <c r="H21" s="23"/>
      <c r="I21" s="24"/>
      <c r="J21" s="24"/>
      <c r="K21" s="133"/>
      <c r="L21" s="127"/>
      <c r="M21" s="127"/>
      <c r="N21" s="23"/>
      <c r="O21" s="23"/>
    </row>
    <row r="22" spans="2:15" x14ac:dyDescent="0.2">
      <c r="B22" s="209" t="s">
        <v>126</v>
      </c>
      <c r="C22" s="23">
        <v>5</v>
      </c>
      <c r="D22" s="127">
        <v>0</v>
      </c>
      <c r="E22" s="23">
        <v>1</v>
      </c>
      <c r="F22" s="23">
        <f t="shared" ref="F22:F23" si="0">C22*E22</f>
        <v>5</v>
      </c>
      <c r="G22" s="24">
        <v>0</v>
      </c>
      <c r="H22" s="23">
        <f t="shared" ref="H22:H23" si="1">G22*F22</f>
        <v>0</v>
      </c>
      <c r="I22" s="24">
        <f t="shared" ref="I22:I23" si="2">H22*0.1</f>
        <v>0</v>
      </c>
      <c r="J22" s="24">
        <f t="shared" ref="J22:J23" si="3">H22*0.05</f>
        <v>0</v>
      </c>
      <c r="K22" s="133">
        <f t="shared" ref="K22:K23" si="4">SUM(H22:J22)</f>
        <v>0</v>
      </c>
      <c r="L22" s="127">
        <f>ROUND(H22*Inputs!$F$47+I22*Inputs!$F$48+J22*Inputs!$F$49,0)</f>
        <v>0</v>
      </c>
      <c r="M22" s="127">
        <f t="shared" ref="M22:M23" si="5">D22*E22*G22</f>
        <v>0</v>
      </c>
      <c r="N22" s="23">
        <f t="shared" ref="N22:N23" si="6">G22*E22</f>
        <v>0</v>
      </c>
      <c r="O22" s="23"/>
    </row>
    <row r="23" spans="2:15" x14ac:dyDescent="0.2">
      <c r="B23" s="209" t="s">
        <v>127</v>
      </c>
      <c r="C23" s="23">
        <v>15</v>
      </c>
      <c r="D23" s="127">
        <v>0</v>
      </c>
      <c r="E23" s="23">
        <v>1</v>
      </c>
      <c r="F23" s="23">
        <f t="shared" si="0"/>
        <v>15</v>
      </c>
      <c r="G23" s="24">
        <v>0</v>
      </c>
      <c r="H23" s="23">
        <f t="shared" si="1"/>
        <v>0</v>
      </c>
      <c r="I23" s="24">
        <f t="shared" si="2"/>
        <v>0</v>
      </c>
      <c r="J23" s="24">
        <f t="shared" si="3"/>
        <v>0</v>
      </c>
      <c r="K23" s="133">
        <f t="shared" si="4"/>
        <v>0</v>
      </c>
      <c r="L23" s="127">
        <f>ROUND(H23*Inputs!$F$47+I23*Inputs!$F$48+J23*Inputs!$F$49,0)</f>
        <v>0</v>
      </c>
      <c r="M23" s="127">
        <f t="shared" si="5"/>
        <v>0</v>
      </c>
      <c r="N23" s="23">
        <f t="shared" si="6"/>
        <v>0</v>
      </c>
      <c r="O23" s="23"/>
    </row>
    <row r="24" spans="2:15" x14ac:dyDescent="0.2">
      <c r="B24" s="210" t="s">
        <v>217</v>
      </c>
      <c r="C24" s="23"/>
      <c r="D24" s="127"/>
      <c r="E24" s="23"/>
      <c r="F24" s="23"/>
      <c r="G24" s="24"/>
      <c r="H24" s="23"/>
      <c r="I24" s="24"/>
      <c r="J24" s="24"/>
      <c r="K24" s="133"/>
      <c r="L24" s="127"/>
      <c r="M24" s="127"/>
      <c r="N24" s="23"/>
      <c r="O24" s="23"/>
    </row>
    <row r="25" spans="2:15" x14ac:dyDescent="0.2">
      <c r="B25" s="209" t="s">
        <v>126</v>
      </c>
      <c r="C25" s="23">
        <v>5</v>
      </c>
      <c r="D25" s="127">
        <v>0</v>
      </c>
      <c r="E25" s="23">
        <v>2</v>
      </c>
      <c r="F25" s="23">
        <f t="shared" ref="F25:F30" si="7">C25*E25</f>
        <v>10</v>
      </c>
      <c r="G25" s="24">
        <v>0</v>
      </c>
      <c r="H25" s="23">
        <f t="shared" ref="H25:H30" si="8">G25*F25</f>
        <v>0</v>
      </c>
      <c r="I25" s="24">
        <f t="shared" ref="I25:I30" si="9">H25*0.1</f>
        <v>0</v>
      </c>
      <c r="J25" s="24">
        <f t="shared" ref="J25:J30" si="10">H25*0.05</f>
        <v>0</v>
      </c>
      <c r="K25" s="133">
        <f t="shared" ref="K25:K30" si="11">SUM(H25:J25)</f>
        <v>0</v>
      </c>
      <c r="L25" s="127">
        <f>ROUND(H25*Inputs!$F$47+I25*Inputs!$F$48+J25*Inputs!$F$49,0)</f>
        <v>0</v>
      </c>
      <c r="M25" s="127">
        <f t="shared" ref="M25:M30" si="12">D25*E25*G25</f>
        <v>0</v>
      </c>
      <c r="N25" s="23">
        <f>G25*E25</f>
        <v>0</v>
      </c>
      <c r="O25" s="23"/>
    </row>
    <row r="26" spans="2:15" x14ac:dyDescent="0.2">
      <c r="B26" s="209" t="s">
        <v>127</v>
      </c>
      <c r="C26" s="23">
        <v>10</v>
      </c>
      <c r="D26" s="127">
        <v>0</v>
      </c>
      <c r="E26" s="23">
        <v>2</v>
      </c>
      <c r="F26" s="23">
        <f t="shared" si="7"/>
        <v>20</v>
      </c>
      <c r="G26" s="24">
        <v>0</v>
      </c>
      <c r="H26" s="23">
        <f t="shared" si="8"/>
        <v>0</v>
      </c>
      <c r="I26" s="24">
        <f t="shared" si="9"/>
        <v>0</v>
      </c>
      <c r="J26" s="24">
        <f t="shared" si="10"/>
        <v>0</v>
      </c>
      <c r="K26" s="133">
        <f t="shared" si="11"/>
        <v>0</v>
      </c>
      <c r="L26" s="127">
        <f>ROUND(H26*Inputs!$F$47+I26*Inputs!$F$48+J26*Inputs!$F$49,0)</f>
        <v>0</v>
      </c>
      <c r="M26" s="127">
        <f t="shared" si="12"/>
        <v>0</v>
      </c>
      <c r="N26" s="23">
        <f t="shared" ref="N26:N30" si="13">G26*E26</f>
        <v>0</v>
      </c>
      <c r="O26" s="23"/>
    </row>
    <row r="27" spans="2:15" x14ac:dyDescent="0.2">
      <c r="B27" s="268" t="s">
        <v>211</v>
      </c>
      <c r="C27" s="269">
        <v>3</v>
      </c>
      <c r="D27" s="270">
        <v>0</v>
      </c>
      <c r="E27" s="269">
        <v>2</v>
      </c>
      <c r="F27" s="269">
        <f t="shared" si="7"/>
        <v>6</v>
      </c>
      <c r="G27" s="271">
        <v>0</v>
      </c>
      <c r="H27" s="269">
        <f t="shared" si="8"/>
        <v>0</v>
      </c>
      <c r="I27" s="271">
        <f t="shared" si="9"/>
        <v>0</v>
      </c>
      <c r="J27" s="271">
        <f t="shared" si="10"/>
        <v>0</v>
      </c>
      <c r="K27" s="272">
        <f t="shared" si="11"/>
        <v>0</v>
      </c>
      <c r="L27" s="270">
        <f>ROUND(H27*Inputs!$F$47+I27*Inputs!$F$48+J27*Inputs!$F$49,0)</f>
        <v>0</v>
      </c>
      <c r="M27" s="270">
        <f t="shared" si="12"/>
        <v>0</v>
      </c>
      <c r="N27" s="269">
        <f t="shared" si="13"/>
        <v>0</v>
      </c>
      <c r="O27" s="269"/>
    </row>
    <row r="28" spans="2:15" x14ac:dyDescent="0.2">
      <c r="B28" s="209" t="s">
        <v>128</v>
      </c>
      <c r="C28" s="23">
        <v>4</v>
      </c>
      <c r="D28" s="127">
        <v>0</v>
      </c>
      <c r="E28" s="23">
        <v>2</v>
      </c>
      <c r="F28" s="23">
        <f t="shared" si="7"/>
        <v>8</v>
      </c>
      <c r="G28" s="24">
        <v>0</v>
      </c>
      <c r="H28" s="23">
        <f t="shared" si="8"/>
        <v>0</v>
      </c>
      <c r="I28" s="24">
        <f t="shared" si="9"/>
        <v>0</v>
      </c>
      <c r="J28" s="24">
        <f t="shared" si="10"/>
        <v>0</v>
      </c>
      <c r="K28" s="133">
        <f t="shared" si="11"/>
        <v>0</v>
      </c>
      <c r="L28" s="127">
        <f>ROUND(H28*Inputs!$F$47+I28*Inputs!$F$48+J28*Inputs!$F$49,0)</f>
        <v>0</v>
      </c>
      <c r="M28" s="127">
        <f t="shared" si="12"/>
        <v>0</v>
      </c>
      <c r="N28" s="23">
        <f t="shared" si="13"/>
        <v>0</v>
      </c>
      <c r="O28" s="23"/>
    </row>
    <row r="29" spans="2:15" x14ac:dyDescent="0.2">
      <c r="B29" s="209" t="s">
        <v>208</v>
      </c>
      <c r="C29" s="23">
        <v>4</v>
      </c>
      <c r="D29" s="127">
        <v>0</v>
      </c>
      <c r="E29" s="23">
        <v>2</v>
      </c>
      <c r="F29" s="23">
        <f t="shared" ref="F29" si="14">C29*E29</f>
        <v>8</v>
      </c>
      <c r="G29" s="24">
        <v>0</v>
      </c>
      <c r="H29" s="23">
        <f t="shared" ref="H29" si="15">G29*F29</f>
        <v>0</v>
      </c>
      <c r="I29" s="24">
        <f t="shared" ref="I29" si="16">H29*0.1</f>
        <v>0</v>
      </c>
      <c r="J29" s="24">
        <f t="shared" ref="J29" si="17">H29*0.05</f>
        <v>0</v>
      </c>
      <c r="K29" s="133">
        <f t="shared" ref="K29" si="18">SUM(H29:J29)</f>
        <v>0</v>
      </c>
      <c r="L29" s="127">
        <f>ROUND(H29*Inputs!$F$47+I29*Inputs!$F$48+J29*Inputs!$F$49,0)</f>
        <v>0</v>
      </c>
      <c r="M29" s="127">
        <f t="shared" ref="M29" si="19">D29*E29*G29</f>
        <v>0</v>
      </c>
      <c r="N29" s="23">
        <f t="shared" ref="N29" si="20">G29*E29</f>
        <v>0</v>
      </c>
      <c r="O29" s="23" t="s">
        <v>90</v>
      </c>
    </row>
    <row r="30" spans="2:15" x14ac:dyDescent="0.2">
      <c r="B30" s="209" t="s">
        <v>209</v>
      </c>
      <c r="C30" s="23">
        <v>3</v>
      </c>
      <c r="D30" s="127">
        <v>0</v>
      </c>
      <c r="E30" s="23">
        <v>2</v>
      </c>
      <c r="F30" s="23">
        <f t="shared" si="7"/>
        <v>6</v>
      </c>
      <c r="G30" s="24">
        <v>0</v>
      </c>
      <c r="H30" s="23">
        <f t="shared" si="8"/>
        <v>0</v>
      </c>
      <c r="I30" s="24">
        <f t="shared" si="9"/>
        <v>0</v>
      </c>
      <c r="J30" s="24">
        <f t="shared" si="10"/>
        <v>0</v>
      </c>
      <c r="K30" s="133">
        <f t="shared" si="11"/>
        <v>0</v>
      </c>
      <c r="L30" s="127">
        <f>ROUND(H30*Inputs!$F$47+I30*Inputs!$F$48+J30*Inputs!$F$49,0)</f>
        <v>0</v>
      </c>
      <c r="M30" s="127">
        <f t="shared" si="12"/>
        <v>0</v>
      </c>
      <c r="N30" s="23">
        <f t="shared" si="13"/>
        <v>0</v>
      </c>
      <c r="O30" s="23"/>
    </row>
    <row r="31" spans="2:15" x14ac:dyDescent="0.2">
      <c r="B31" s="211" t="s">
        <v>76</v>
      </c>
      <c r="C31" s="23"/>
      <c r="D31" s="127"/>
      <c r="E31" s="23"/>
      <c r="F31" s="23"/>
      <c r="G31" s="23"/>
      <c r="H31" s="181">
        <f>SUM(H7:H30)</f>
        <v>2170</v>
      </c>
      <c r="I31" s="181">
        <f>SUM(I7:I30)</f>
        <v>217</v>
      </c>
      <c r="J31" s="181">
        <f>SUM(J7:J30)</f>
        <v>108.5</v>
      </c>
      <c r="K31" s="181">
        <f>SUM(K7:K30)</f>
        <v>2495.5</v>
      </c>
      <c r="L31" s="127">
        <f>SUM(L7:L30)</f>
        <v>217412</v>
      </c>
      <c r="M31" s="127">
        <f>SUM(M7:M30)-M10-M13-M16</f>
        <v>0</v>
      </c>
      <c r="N31" s="181">
        <f>SUM(N7:N30)</f>
        <v>0</v>
      </c>
      <c r="O31" s="23"/>
    </row>
    <row r="32" spans="2:15" x14ac:dyDescent="0.2">
      <c r="B32" s="206" t="s">
        <v>61</v>
      </c>
      <c r="C32" s="23"/>
      <c r="D32" s="127"/>
      <c r="E32" s="23"/>
      <c r="F32" s="23"/>
      <c r="G32" s="23"/>
      <c r="H32" s="23"/>
      <c r="I32" s="24"/>
      <c r="J32" s="24"/>
      <c r="K32" s="24"/>
      <c r="L32" s="127"/>
      <c r="M32" s="127"/>
      <c r="N32" s="23"/>
      <c r="O32" s="23" t="s">
        <v>33</v>
      </c>
    </row>
    <row r="33" spans="2:17" x14ac:dyDescent="0.2">
      <c r="B33" s="207" t="s">
        <v>62</v>
      </c>
      <c r="C33" s="23" t="s">
        <v>109</v>
      </c>
      <c r="D33" s="127"/>
      <c r="E33" s="23"/>
      <c r="F33" s="23"/>
      <c r="G33" s="23"/>
      <c r="H33" s="23"/>
      <c r="I33" s="24"/>
      <c r="J33" s="24"/>
      <c r="K33" s="24"/>
      <c r="L33" s="127"/>
      <c r="M33" s="127"/>
      <c r="N33" s="23"/>
      <c r="O33" s="23"/>
    </row>
    <row r="34" spans="2:17" x14ac:dyDescent="0.2">
      <c r="B34" s="207" t="s">
        <v>104</v>
      </c>
      <c r="C34" s="180" t="s">
        <v>66</v>
      </c>
      <c r="D34" s="127"/>
      <c r="E34" s="23"/>
      <c r="F34" s="23"/>
      <c r="G34" s="23"/>
      <c r="H34" s="23"/>
      <c r="I34" s="24"/>
      <c r="J34" s="24"/>
      <c r="K34" s="24"/>
      <c r="L34" s="127"/>
      <c r="M34" s="127"/>
      <c r="N34" s="23"/>
      <c r="O34" s="23"/>
    </row>
    <row r="35" spans="2:17" x14ac:dyDescent="0.2">
      <c r="B35" s="207" t="s">
        <v>63</v>
      </c>
      <c r="C35" s="180" t="s">
        <v>66</v>
      </c>
      <c r="D35" s="127"/>
      <c r="E35" s="23"/>
      <c r="F35" s="23"/>
      <c r="G35" s="23"/>
      <c r="H35" s="23"/>
      <c r="I35" s="24"/>
      <c r="J35" s="24"/>
      <c r="K35" s="24"/>
      <c r="L35" s="127"/>
      <c r="M35" s="127"/>
      <c r="N35" s="23"/>
      <c r="O35" s="23"/>
    </row>
    <row r="36" spans="2:17" x14ac:dyDescent="0.2">
      <c r="B36" s="207" t="s">
        <v>77</v>
      </c>
      <c r="C36" s="23"/>
      <c r="D36" s="127"/>
      <c r="E36" s="23"/>
      <c r="F36" s="23"/>
      <c r="G36" s="23"/>
      <c r="H36" s="23"/>
      <c r="I36" s="24"/>
      <c r="J36" s="24"/>
      <c r="K36" s="24"/>
      <c r="L36" s="127"/>
      <c r="M36" s="127"/>
      <c r="N36" s="23"/>
      <c r="O36" s="23"/>
    </row>
    <row r="37" spans="2:17" x14ac:dyDescent="0.2">
      <c r="B37" s="210" t="s">
        <v>218</v>
      </c>
      <c r="C37" s="267">
        <f>5/60</f>
        <v>8.3333333333333329E-2</v>
      </c>
      <c r="D37" s="127">
        <v>0</v>
      </c>
      <c r="E37" s="23">
        <v>365</v>
      </c>
      <c r="F37" s="24">
        <f t="shared" ref="F37:F38" si="21">C37*E37</f>
        <v>30.416666666666664</v>
      </c>
      <c r="G37" s="24">
        <v>0</v>
      </c>
      <c r="H37" s="181">
        <f t="shared" ref="H37:H38" si="22">G37*F37</f>
        <v>0</v>
      </c>
      <c r="I37" s="181">
        <f t="shared" ref="I37:I38" si="23">H37*0.1</f>
        <v>0</v>
      </c>
      <c r="J37" s="181">
        <f t="shared" ref="J37:J38" si="24">H37*0.05</f>
        <v>0</v>
      </c>
      <c r="K37" s="183">
        <f t="shared" ref="K37:K38" si="25">SUM(H37:J37)</f>
        <v>0</v>
      </c>
      <c r="L37" s="127">
        <f>ROUND(H37*Inputs!$F$47+I37*Inputs!$F$48+J37*Inputs!$F$49,0)</f>
        <v>0</v>
      </c>
      <c r="M37" s="127">
        <f t="shared" ref="M37:M38" si="26">D37*E37*G37</f>
        <v>0</v>
      </c>
      <c r="N37" s="23">
        <v>0</v>
      </c>
      <c r="O37" s="23"/>
    </row>
    <row r="38" spans="2:17" x14ac:dyDescent="0.2">
      <c r="B38" s="210" t="s">
        <v>219</v>
      </c>
      <c r="C38" s="23">
        <v>2</v>
      </c>
      <c r="D38" s="127">
        <v>0</v>
      </c>
      <c r="E38" s="23">
        <v>10</v>
      </c>
      <c r="F38" s="23">
        <f t="shared" si="21"/>
        <v>20</v>
      </c>
      <c r="G38" s="24">
        <v>0</v>
      </c>
      <c r="H38" s="181">
        <f t="shared" si="22"/>
        <v>0</v>
      </c>
      <c r="I38" s="181">
        <f t="shared" si="23"/>
        <v>0</v>
      </c>
      <c r="J38" s="181">
        <f t="shared" si="24"/>
        <v>0</v>
      </c>
      <c r="K38" s="183">
        <f t="shared" si="25"/>
        <v>0</v>
      </c>
      <c r="L38" s="127">
        <f>ROUND(H38*Inputs!$F$47+I38*Inputs!$F$48+J38*Inputs!$F$49,0)</f>
        <v>0</v>
      </c>
      <c r="M38" s="127">
        <f t="shared" si="26"/>
        <v>0</v>
      </c>
      <c r="N38" s="23">
        <v>0</v>
      </c>
      <c r="O38" s="23"/>
    </row>
    <row r="39" spans="2:17" x14ac:dyDescent="0.2">
      <c r="B39" s="210" t="s">
        <v>220</v>
      </c>
      <c r="C39" s="23">
        <v>0.4</v>
      </c>
      <c r="D39" s="127">
        <v>0</v>
      </c>
      <c r="E39" s="23">
        <v>365</v>
      </c>
      <c r="F39" s="23">
        <f t="shared" ref="F39:F41" si="27">C39*E39</f>
        <v>146</v>
      </c>
      <c r="G39" s="24">
        <v>0</v>
      </c>
      <c r="H39" s="181">
        <f t="shared" ref="H39:H41" si="28">G39*F39</f>
        <v>0</v>
      </c>
      <c r="I39" s="181">
        <f t="shared" ref="I39:I41" si="29">H39*0.1</f>
        <v>0</v>
      </c>
      <c r="J39" s="181">
        <f t="shared" ref="J39:J41" si="30">H39*0.05</f>
        <v>0</v>
      </c>
      <c r="K39" s="183">
        <f t="shared" ref="K39:K45" si="31">SUM(H39:J39)</f>
        <v>0</v>
      </c>
      <c r="L39" s="127">
        <f>ROUND(H39*Inputs!$F$47+I39*Inputs!$F$48+J39*Inputs!$F$49,0)</f>
        <v>0</v>
      </c>
      <c r="M39" s="127">
        <f t="shared" ref="M39:M41" si="32">D39*E39*G39</f>
        <v>0</v>
      </c>
      <c r="N39" s="23">
        <v>0</v>
      </c>
      <c r="O39" s="23"/>
    </row>
    <row r="40" spans="2:17" x14ac:dyDescent="0.2">
      <c r="B40" s="210" t="s">
        <v>221</v>
      </c>
      <c r="C40" s="23">
        <v>10</v>
      </c>
      <c r="D40" s="127">
        <v>0</v>
      </c>
      <c r="E40" s="23">
        <v>1</v>
      </c>
      <c r="F40" s="23">
        <f t="shared" ref="F40" si="33">C40*E40</f>
        <v>10</v>
      </c>
      <c r="G40" s="24">
        <v>0</v>
      </c>
      <c r="H40" s="181">
        <f t="shared" ref="H40" si="34">G40*F40</f>
        <v>0</v>
      </c>
      <c r="I40" s="181">
        <f t="shared" ref="I40" si="35">H40*0.1</f>
        <v>0</v>
      </c>
      <c r="J40" s="181">
        <f t="shared" ref="J40" si="36">H40*0.05</f>
        <v>0</v>
      </c>
      <c r="K40" s="183">
        <f t="shared" si="31"/>
        <v>0</v>
      </c>
      <c r="L40" s="127">
        <f>ROUND(H40*Inputs!$F$47+I40*Inputs!$F$48+J40*Inputs!$F$49,0)</f>
        <v>0</v>
      </c>
      <c r="M40" s="127">
        <f t="shared" ref="M40" si="37">D40*E40*G40</f>
        <v>0</v>
      </c>
      <c r="N40" s="23">
        <v>0</v>
      </c>
      <c r="O40" s="23"/>
    </row>
    <row r="41" spans="2:17" x14ac:dyDescent="0.2">
      <c r="B41" s="210" t="s">
        <v>207</v>
      </c>
      <c r="C41" s="23">
        <v>0</v>
      </c>
      <c r="D41" s="127">
        <v>0</v>
      </c>
      <c r="E41" s="23">
        <v>1</v>
      </c>
      <c r="F41" s="23">
        <f t="shared" si="27"/>
        <v>0</v>
      </c>
      <c r="G41" s="24">
        <v>0</v>
      </c>
      <c r="H41" s="181">
        <f t="shared" si="28"/>
        <v>0</v>
      </c>
      <c r="I41" s="181">
        <f t="shared" si="29"/>
        <v>0</v>
      </c>
      <c r="J41" s="181">
        <f t="shared" si="30"/>
        <v>0</v>
      </c>
      <c r="K41" s="183">
        <f t="shared" si="31"/>
        <v>0</v>
      </c>
      <c r="L41" s="127">
        <f>ROUND(H41*Inputs!$F$47+I41*Inputs!$F$48+J41*Inputs!$F$49,0)</f>
        <v>0</v>
      </c>
      <c r="M41" s="127">
        <f t="shared" si="32"/>
        <v>0</v>
      </c>
      <c r="N41" s="23">
        <v>0</v>
      </c>
      <c r="O41" s="23" t="s">
        <v>110</v>
      </c>
    </row>
    <row r="42" spans="2:17" x14ac:dyDescent="0.2">
      <c r="B42" s="210" t="s">
        <v>222</v>
      </c>
      <c r="C42" s="23">
        <v>25</v>
      </c>
      <c r="D42" s="127">
        <v>0</v>
      </c>
      <c r="E42" s="23">
        <v>1</v>
      </c>
      <c r="F42" s="23">
        <f>C42*E42</f>
        <v>25</v>
      </c>
      <c r="G42" s="24">
        <v>0</v>
      </c>
      <c r="H42" s="181">
        <f t="shared" ref="H42:H43" si="38">G42*F42</f>
        <v>0</v>
      </c>
      <c r="I42" s="181">
        <f t="shared" ref="I42:I43" si="39">H42*0.1</f>
        <v>0</v>
      </c>
      <c r="J42" s="181">
        <f t="shared" ref="J42:J43" si="40">H42*0.05</f>
        <v>0</v>
      </c>
      <c r="K42" s="183">
        <f t="shared" si="31"/>
        <v>0</v>
      </c>
      <c r="L42" s="127">
        <f>ROUND(H42*Inputs!$F$47+I42*Inputs!$F$48+J42*Inputs!$F$49,0)</f>
        <v>0</v>
      </c>
      <c r="M42" s="127">
        <f t="shared" ref="M42:M43" si="41">D42*E42*G42</f>
        <v>0</v>
      </c>
      <c r="N42" s="23">
        <v>0</v>
      </c>
      <c r="O42" s="23"/>
    </row>
    <row r="43" spans="2:17" x14ac:dyDescent="0.2">
      <c r="B43" s="210" t="s">
        <v>223</v>
      </c>
      <c r="C43" s="23">
        <v>0</v>
      </c>
      <c r="D43" s="127">
        <v>0</v>
      </c>
      <c r="E43" s="23">
        <v>1</v>
      </c>
      <c r="F43" s="23">
        <f t="shared" ref="F43" si="42">C43*E43</f>
        <v>0</v>
      </c>
      <c r="G43" s="24">
        <v>0</v>
      </c>
      <c r="H43" s="181">
        <f t="shared" si="38"/>
        <v>0</v>
      </c>
      <c r="I43" s="181">
        <f t="shared" si="39"/>
        <v>0</v>
      </c>
      <c r="J43" s="181">
        <f t="shared" si="40"/>
        <v>0</v>
      </c>
      <c r="K43" s="183">
        <f t="shared" ref="K43" si="43">SUM(H43:J43)</f>
        <v>0</v>
      </c>
      <c r="L43" s="127">
        <f>ROUND(H43*Inputs!$F$47+I43*Inputs!$F$48+J43*Inputs!$F$49,0)</f>
        <v>0</v>
      </c>
      <c r="M43" s="127">
        <f t="shared" si="41"/>
        <v>0</v>
      </c>
      <c r="N43" s="23">
        <v>0</v>
      </c>
      <c r="O43" s="23"/>
    </row>
    <row r="44" spans="2:17" x14ac:dyDescent="0.2">
      <c r="B44" s="210" t="s">
        <v>224</v>
      </c>
      <c r="C44" s="23">
        <v>75</v>
      </c>
      <c r="D44" s="127">
        <v>0</v>
      </c>
      <c r="E44" s="23">
        <v>3</v>
      </c>
      <c r="F44" s="23">
        <f t="shared" ref="F44:F45" si="44">C44*E44</f>
        <v>225</v>
      </c>
      <c r="G44" s="24">
        <f>Inputs!$C$3+Inputs!$C$4</f>
        <v>31</v>
      </c>
      <c r="H44" s="181">
        <f t="shared" ref="H44:H45" si="45">G44*F44</f>
        <v>6975</v>
      </c>
      <c r="I44" s="181">
        <f t="shared" ref="I44:I45" si="46">H44*0.1</f>
        <v>697.5</v>
      </c>
      <c r="J44" s="181">
        <f t="shared" ref="J44:J45" si="47">H44*0.05</f>
        <v>348.75</v>
      </c>
      <c r="K44" s="183">
        <f t="shared" si="31"/>
        <v>8021.25</v>
      </c>
      <c r="L44" s="127">
        <f>ROUND(H44*Inputs!$F$47+I44*Inputs!$F$48+J44*Inputs!$F$49,0)</f>
        <v>698825</v>
      </c>
      <c r="M44" s="127">
        <f t="shared" ref="M44:M45" si="48">D44*E44*G44</f>
        <v>0</v>
      </c>
      <c r="N44" s="23">
        <v>0</v>
      </c>
      <c r="O44" s="23" t="s">
        <v>22</v>
      </c>
    </row>
    <row r="45" spans="2:17" x14ac:dyDescent="0.2">
      <c r="B45" s="207" t="s">
        <v>78</v>
      </c>
      <c r="C45" s="23">
        <v>20</v>
      </c>
      <c r="D45" s="127">
        <v>0</v>
      </c>
      <c r="E45" s="23">
        <v>1</v>
      </c>
      <c r="F45" s="23">
        <f t="shared" si="44"/>
        <v>20</v>
      </c>
      <c r="G45" s="24">
        <v>0</v>
      </c>
      <c r="H45" s="181">
        <f t="shared" si="45"/>
        <v>0</v>
      </c>
      <c r="I45" s="181">
        <f t="shared" si="46"/>
        <v>0</v>
      </c>
      <c r="J45" s="181">
        <f t="shared" si="47"/>
        <v>0</v>
      </c>
      <c r="K45" s="183">
        <f t="shared" si="31"/>
        <v>0</v>
      </c>
      <c r="L45" s="127">
        <f>ROUND(H45*Inputs!$F$47+I45*Inputs!$F$48+J45*Inputs!$F$49,0)</f>
        <v>0</v>
      </c>
      <c r="M45" s="127">
        <f t="shared" si="48"/>
        <v>0</v>
      </c>
      <c r="N45" s="23">
        <v>0</v>
      </c>
      <c r="O45" s="23"/>
    </row>
    <row r="46" spans="2:17" x14ac:dyDescent="0.2">
      <c r="B46" s="207" t="s">
        <v>79</v>
      </c>
      <c r="C46" s="23" t="s">
        <v>66</v>
      </c>
      <c r="D46" s="127"/>
      <c r="E46" s="23"/>
      <c r="F46" s="23"/>
      <c r="G46" s="23"/>
      <c r="H46" s="181"/>
      <c r="I46" s="181"/>
      <c r="J46" s="181"/>
      <c r="K46" s="181"/>
      <c r="L46" s="127"/>
      <c r="M46" s="127"/>
      <c r="N46" s="23"/>
      <c r="O46" s="23"/>
    </row>
    <row r="47" spans="2:17" ht="12" thickBot="1" x14ac:dyDescent="0.25">
      <c r="B47" s="230" t="s">
        <v>64</v>
      </c>
      <c r="C47" s="231"/>
      <c r="D47" s="231"/>
      <c r="E47" s="231"/>
      <c r="F47" s="231"/>
      <c r="G47" s="231"/>
      <c r="H47" s="232">
        <f>SUM(H37:H45)</f>
        <v>6975</v>
      </c>
      <c r="I47" s="232">
        <f>SUM(I37:I45)</f>
        <v>697.5</v>
      </c>
      <c r="J47" s="232">
        <f>SUM(J37:J45)</f>
        <v>348.75</v>
      </c>
      <c r="K47" s="232">
        <f>SUM(K37:K45)</f>
        <v>8021.25</v>
      </c>
      <c r="L47" s="233">
        <f>SUM(L37:L45)</f>
        <v>698825</v>
      </c>
      <c r="M47" s="233">
        <f>SUM(M37:M44)</f>
        <v>0</v>
      </c>
      <c r="N47" s="234">
        <f>SUM(N37:N45)</f>
        <v>0</v>
      </c>
      <c r="O47" s="231"/>
    </row>
    <row r="48" spans="2:17" s="178" customFormat="1" ht="13.5" customHeight="1" thickTop="1" x14ac:dyDescent="0.25">
      <c r="B48" s="226" t="s">
        <v>36</v>
      </c>
      <c r="C48" s="227"/>
      <c r="D48" s="227"/>
      <c r="E48" s="227"/>
      <c r="F48" s="227"/>
      <c r="G48" s="227"/>
      <c r="H48" s="228">
        <f t="shared" ref="H48:N48" si="49">H47+H31</f>
        <v>9145</v>
      </c>
      <c r="I48" s="228">
        <f t="shared" si="49"/>
        <v>914.5</v>
      </c>
      <c r="J48" s="228">
        <f t="shared" si="49"/>
        <v>457.25</v>
      </c>
      <c r="K48" s="228">
        <f t="shared" si="49"/>
        <v>10516.75</v>
      </c>
      <c r="L48" s="229">
        <f t="shared" si="49"/>
        <v>916237</v>
      </c>
      <c r="M48" s="229">
        <f t="shared" si="49"/>
        <v>0</v>
      </c>
      <c r="N48" s="227">
        <f t="shared" si="49"/>
        <v>0</v>
      </c>
      <c r="O48" s="227"/>
      <c r="Q48" s="179"/>
    </row>
    <row r="49" spans="2:15" ht="7.5" customHeight="1" x14ac:dyDescent="0.2">
      <c r="B49" s="212"/>
      <c r="C49" s="213"/>
      <c r="D49" s="213"/>
      <c r="E49" s="213"/>
      <c r="F49" s="213"/>
      <c r="G49" s="214"/>
      <c r="H49" s="215"/>
      <c r="I49" s="216"/>
      <c r="J49" s="216"/>
      <c r="K49" s="217"/>
      <c r="L49" s="217"/>
      <c r="M49" s="217"/>
      <c r="N49" s="213"/>
      <c r="O49" s="218"/>
    </row>
    <row r="50" spans="2:15" x14ac:dyDescent="0.2">
      <c r="B50" s="219"/>
      <c r="C50" s="25"/>
      <c r="D50" s="25"/>
      <c r="E50" s="25"/>
      <c r="F50" s="25"/>
      <c r="G50" s="9"/>
      <c r="H50" s="9"/>
      <c r="I50" s="10"/>
      <c r="J50" s="171" t="s">
        <v>59</v>
      </c>
      <c r="K50" s="171" t="s">
        <v>80</v>
      </c>
      <c r="L50" s="182" t="s">
        <v>81</v>
      </c>
      <c r="M50" s="182" t="s">
        <v>49</v>
      </c>
      <c r="N50" s="25"/>
      <c r="O50" s="220"/>
    </row>
    <row r="51" spans="2:15" x14ac:dyDescent="0.2">
      <c r="B51" s="219"/>
      <c r="C51" s="25"/>
      <c r="D51" s="25"/>
      <c r="E51" s="25"/>
      <c r="F51" s="25"/>
      <c r="G51" s="172" t="s">
        <v>82</v>
      </c>
      <c r="H51" s="173"/>
      <c r="I51" s="177"/>
      <c r="J51" s="171">
        <f>H48+I48+J48</f>
        <v>10516.75</v>
      </c>
      <c r="K51" s="134">
        <f>L48</f>
        <v>916237</v>
      </c>
      <c r="L51" s="134">
        <f>M48</f>
        <v>0</v>
      </c>
      <c r="M51" s="134">
        <f>L51+K51</f>
        <v>916237</v>
      </c>
      <c r="N51" s="25"/>
      <c r="O51" s="220"/>
    </row>
    <row r="52" spans="2:15" ht="7.5" customHeight="1" x14ac:dyDescent="0.2">
      <c r="B52" s="219"/>
      <c r="C52" s="25"/>
      <c r="D52" s="25"/>
      <c r="E52" s="25"/>
      <c r="F52" s="25"/>
      <c r="G52" s="11"/>
      <c r="H52" s="9"/>
      <c r="I52" s="10"/>
      <c r="J52" s="10"/>
      <c r="K52" s="12"/>
      <c r="L52" s="12"/>
      <c r="M52" s="12"/>
      <c r="N52" s="25"/>
      <c r="O52" s="220"/>
    </row>
    <row r="53" spans="2:15" x14ac:dyDescent="0.2">
      <c r="B53" s="219"/>
      <c r="C53" s="25"/>
      <c r="D53" s="25"/>
      <c r="E53" s="25"/>
      <c r="F53" s="25"/>
      <c r="G53" s="172" t="s">
        <v>83</v>
      </c>
      <c r="H53" s="173"/>
      <c r="I53" s="174"/>
      <c r="J53" s="174"/>
      <c r="K53" s="175"/>
      <c r="L53" s="176"/>
      <c r="M53" s="134">
        <f>L7+M10+M13+M16</f>
        <v>217412</v>
      </c>
      <c r="N53" s="25"/>
      <c r="O53" s="220"/>
    </row>
    <row r="54" spans="2:15" x14ac:dyDescent="0.2">
      <c r="B54" s="221"/>
      <c r="C54" s="222"/>
      <c r="D54" s="222"/>
      <c r="E54" s="222"/>
      <c r="F54" s="222"/>
      <c r="G54" s="172" t="s">
        <v>84</v>
      </c>
      <c r="H54" s="223"/>
      <c r="I54" s="223"/>
      <c r="J54" s="223"/>
      <c r="K54" s="175"/>
      <c r="L54" s="224"/>
      <c r="M54" s="134">
        <f>M48</f>
        <v>0</v>
      </c>
      <c r="N54" s="222"/>
      <c r="O54" s="225"/>
    </row>
    <row r="55" spans="2:15" ht="8.25" customHeight="1" x14ac:dyDescent="0.2"/>
    <row r="56" spans="2:15" x14ac:dyDescent="0.2">
      <c r="B56" s="19" t="s">
        <v>99</v>
      </c>
      <c r="L56" s="26"/>
    </row>
    <row r="57" spans="2:15" ht="22.5" customHeight="1" x14ac:dyDescent="0.2">
      <c r="B57" s="279" t="s">
        <v>172</v>
      </c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</row>
    <row r="58" spans="2:15" x14ac:dyDescent="0.2">
      <c r="B58" s="19" t="s">
        <v>170</v>
      </c>
    </row>
    <row r="59" spans="2:15" ht="22.5" customHeight="1" x14ac:dyDescent="0.2">
      <c r="B59" s="279" t="s">
        <v>210</v>
      </c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</row>
    <row r="60" spans="2:15" x14ac:dyDescent="0.2">
      <c r="B60" s="279" t="s">
        <v>225</v>
      </c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</row>
    <row r="61" spans="2:15" x14ac:dyDescent="0.2">
      <c r="B61" s="279" t="s">
        <v>226</v>
      </c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</row>
    <row r="62" spans="2:15" x14ac:dyDescent="0.2">
      <c r="B62" s="279" t="s">
        <v>227</v>
      </c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</row>
    <row r="63" spans="2:15" x14ac:dyDescent="0.2">
      <c r="B63" s="279" t="s">
        <v>228</v>
      </c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</row>
    <row r="64" spans="2:15" x14ac:dyDescent="0.2">
      <c r="B64" s="279"/>
      <c r="C64" s="279"/>
      <c r="D64" s="279"/>
      <c r="E64" s="279"/>
      <c r="F64" s="279"/>
      <c r="G64" s="279"/>
      <c r="H64" s="279"/>
      <c r="I64" s="279"/>
      <c r="J64" s="279"/>
      <c r="K64" s="279"/>
      <c r="L64" s="279"/>
      <c r="M64" s="279"/>
      <c r="N64" s="279"/>
    </row>
    <row r="69" spans="2:14" x14ac:dyDescent="0.2"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</row>
  </sheetData>
  <mergeCells count="9">
    <mergeCell ref="B69:N69"/>
    <mergeCell ref="B61:N61"/>
    <mergeCell ref="B2:O2"/>
    <mergeCell ref="B64:N64"/>
    <mergeCell ref="B62:N62"/>
    <mergeCell ref="B57:N57"/>
    <mergeCell ref="B59:N59"/>
    <mergeCell ref="B60:N60"/>
    <mergeCell ref="B63:N63"/>
  </mergeCells>
  <printOptions horizontalCentered="1"/>
  <pageMargins left="0.5" right="0.5" top="0.5" bottom="0.5" header="0.3" footer="0.3"/>
  <pageSetup scale="86" fitToHeight="0" orientation="landscape" r:id="rId1"/>
  <rowBreaks count="1" manualBreakCount="1">
    <brk id="31" min="1" max="14" man="1"/>
  </rowBreaks>
  <ignoredErrors>
    <ignoredError sqref="M4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35484-6ED1-43AC-B9C5-C1C2989C2314}">
  <sheetPr>
    <tabColor rgb="FF7030A0"/>
    <pageSetUpPr fitToPage="1"/>
  </sheetPr>
  <dimension ref="B2:Q63"/>
  <sheetViews>
    <sheetView zoomScaleNormal="100" zoomScaleSheetLayoutView="80" workbookViewId="0">
      <pane ySplit="3" topLeftCell="A4" activePane="bottomLeft" state="frozen"/>
      <selection activeCell="H23" sqref="H23"/>
      <selection pane="bottomLeft" activeCell="H23" sqref="H23"/>
    </sheetView>
  </sheetViews>
  <sheetFormatPr defaultRowHeight="11.25" x14ac:dyDescent="0.2"/>
  <cols>
    <col min="1" max="1" width="2.140625" style="19" customWidth="1"/>
    <col min="2" max="2" width="32.5703125" style="19" customWidth="1"/>
    <col min="3" max="4" width="9.28515625" style="19" bestFit="1" customWidth="1"/>
    <col min="5" max="5" width="10.140625" style="19" bestFit="1" customWidth="1"/>
    <col min="6" max="6" width="9.7109375" style="19" customWidth="1"/>
    <col min="7" max="7" width="10.140625" style="19" bestFit="1" customWidth="1"/>
    <col min="8" max="8" width="7.85546875" style="19" bestFit="1" customWidth="1"/>
    <col min="9" max="9" width="8.85546875" style="19" bestFit="1" customWidth="1"/>
    <col min="10" max="10" width="9.7109375" style="19" bestFit="1" customWidth="1"/>
    <col min="11" max="11" width="8.85546875" style="19" bestFit="1" customWidth="1"/>
    <col min="12" max="12" width="9.5703125" style="19" bestFit="1" customWidth="1"/>
    <col min="13" max="13" width="9.42578125" style="19" bestFit="1" customWidth="1"/>
    <col min="14" max="14" width="8.85546875" style="19" bestFit="1" customWidth="1"/>
    <col min="15" max="15" width="4" style="19" customWidth="1"/>
    <col min="16" max="16" width="2.5703125" style="19" customWidth="1"/>
    <col min="17" max="17" width="29.140625" style="115" customWidth="1"/>
    <col min="18" max="16384" width="9.140625" style="19"/>
  </cols>
  <sheetData>
    <row r="2" spans="2:15" ht="33" customHeight="1" x14ac:dyDescent="0.2">
      <c r="B2" s="280" t="s">
        <v>203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</row>
    <row r="3" spans="2:15" s="22" customFormat="1" ht="69.75" customHeight="1" x14ac:dyDescent="0.2">
      <c r="B3" s="180" t="s">
        <v>3</v>
      </c>
      <c r="C3" s="180" t="s">
        <v>4</v>
      </c>
      <c r="D3" s="180" t="s">
        <v>85</v>
      </c>
      <c r="E3" s="180" t="s">
        <v>95</v>
      </c>
      <c r="F3" s="180" t="s">
        <v>115</v>
      </c>
      <c r="G3" s="203" t="s">
        <v>96</v>
      </c>
      <c r="H3" s="204" t="s">
        <v>103</v>
      </c>
      <c r="I3" s="204" t="s">
        <v>97</v>
      </c>
      <c r="J3" s="204" t="s">
        <v>98</v>
      </c>
      <c r="K3" s="204" t="s">
        <v>121</v>
      </c>
      <c r="L3" s="180" t="s">
        <v>122</v>
      </c>
      <c r="M3" s="204" t="s">
        <v>123</v>
      </c>
      <c r="N3" s="204" t="s">
        <v>124</v>
      </c>
      <c r="O3" s="205" t="s">
        <v>5</v>
      </c>
    </row>
    <row r="4" spans="2:15" ht="10.5" customHeight="1" x14ac:dyDescent="0.2">
      <c r="B4" s="206" t="s">
        <v>65</v>
      </c>
      <c r="C4" s="180" t="s">
        <v>66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ht="10.5" customHeight="1" x14ac:dyDescent="0.2">
      <c r="B5" s="206" t="s">
        <v>67</v>
      </c>
      <c r="C5" s="180" t="s">
        <v>66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2:15" ht="10.5" customHeight="1" x14ac:dyDescent="0.2">
      <c r="B6" s="206" t="s">
        <v>68</v>
      </c>
      <c r="C6" s="180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5" x14ac:dyDescent="0.2">
      <c r="B7" s="207" t="s">
        <v>69</v>
      </c>
      <c r="C7" s="23">
        <v>70</v>
      </c>
      <c r="D7" s="127">
        <v>0</v>
      </c>
      <c r="E7" s="23">
        <v>1</v>
      </c>
      <c r="F7" s="23">
        <f>C7*E7</f>
        <v>70</v>
      </c>
      <c r="G7" s="24">
        <v>0</v>
      </c>
      <c r="H7" s="23">
        <f>G7*F7</f>
        <v>0</v>
      </c>
      <c r="I7" s="24">
        <f>H7*0.1</f>
        <v>0</v>
      </c>
      <c r="J7" s="24">
        <f>H7*0.05</f>
        <v>0</v>
      </c>
      <c r="K7" s="133">
        <f>SUM(H7:J7)</f>
        <v>0</v>
      </c>
      <c r="L7" s="127">
        <f>ROUND(H7*Inputs!$F$47+I7*Inputs!$F$48+J7*Inputs!$F$49,0)</f>
        <v>0</v>
      </c>
      <c r="M7" s="127">
        <f>D7*E7*G7</f>
        <v>0</v>
      </c>
      <c r="N7" s="23">
        <v>0</v>
      </c>
      <c r="O7" s="23" t="s">
        <v>171</v>
      </c>
    </row>
    <row r="8" spans="2:15" x14ac:dyDescent="0.2">
      <c r="B8" s="207" t="s">
        <v>70</v>
      </c>
      <c r="C8" s="23"/>
      <c r="D8" s="127"/>
      <c r="E8" s="23"/>
      <c r="F8" s="23"/>
      <c r="G8" s="23"/>
      <c r="H8" s="23"/>
      <c r="I8" s="24"/>
      <c r="J8" s="24"/>
      <c r="K8" s="24"/>
      <c r="L8" s="127"/>
      <c r="M8" s="127"/>
      <c r="N8" s="23"/>
      <c r="O8" s="23" t="s">
        <v>33</v>
      </c>
    </row>
    <row r="9" spans="2:15" x14ac:dyDescent="0.2">
      <c r="B9" s="210" t="s">
        <v>213</v>
      </c>
      <c r="C9" s="23"/>
      <c r="D9" s="127"/>
      <c r="E9" s="23"/>
      <c r="F9" s="23"/>
      <c r="G9" s="24"/>
      <c r="H9" s="23"/>
      <c r="I9" s="24"/>
      <c r="J9" s="24"/>
      <c r="K9" s="133"/>
      <c r="L9" s="127"/>
      <c r="M9" s="127"/>
      <c r="N9" s="23"/>
      <c r="O9" s="23" t="s">
        <v>56</v>
      </c>
    </row>
    <row r="10" spans="2:15" x14ac:dyDescent="0.2">
      <c r="B10" s="209" t="s">
        <v>107</v>
      </c>
      <c r="C10" s="23">
        <v>0</v>
      </c>
      <c r="D10" s="127">
        <f>Inputs!F24</f>
        <v>1446000</v>
      </c>
      <c r="E10" s="23">
        <v>1</v>
      </c>
      <c r="F10" s="23">
        <f>C10*E10</f>
        <v>0</v>
      </c>
      <c r="G10" s="24">
        <f>Inputs!$D$5</f>
        <v>10</v>
      </c>
      <c r="H10" s="23">
        <f>G10*F10</f>
        <v>0</v>
      </c>
      <c r="I10" s="24">
        <f>H10*0.1</f>
        <v>0</v>
      </c>
      <c r="J10" s="24">
        <f>H10*0.05</f>
        <v>0</v>
      </c>
      <c r="K10" s="133">
        <f>SUM(H10:J10)</f>
        <v>0</v>
      </c>
      <c r="L10" s="127">
        <f>ROUND(H10*Inputs!$F$47+I10*Inputs!$F$48+J10*Inputs!$F$49,0)</f>
        <v>0</v>
      </c>
      <c r="M10" s="127">
        <f>D10*E10*G10</f>
        <v>14460000</v>
      </c>
      <c r="N10" s="23">
        <v>0</v>
      </c>
      <c r="O10" s="23"/>
    </row>
    <row r="11" spans="2:15" x14ac:dyDescent="0.2">
      <c r="B11" s="209" t="s">
        <v>108</v>
      </c>
      <c r="C11" s="23">
        <v>0</v>
      </c>
      <c r="D11" s="127">
        <f>Inputs!G24</f>
        <v>263000</v>
      </c>
      <c r="E11" s="23">
        <v>1</v>
      </c>
      <c r="F11" s="23">
        <f>C11*E11</f>
        <v>0</v>
      </c>
      <c r="G11" s="24">
        <f>Inputs!$D$5</f>
        <v>10</v>
      </c>
      <c r="H11" s="23">
        <f>G11*F11</f>
        <v>0</v>
      </c>
      <c r="I11" s="24">
        <f>H11*0.1</f>
        <v>0</v>
      </c>
      <c r="J11" s="24">
        <f>H11*0.05</f>
        <v>0</v>
      </c>
      <c r="K11" s="133">
        <f>SUM(H11:J11)</f>
        <v>0</v>
      </c>
      <c r="L11" s="127">
        <f>ROUND(H11*Inputs!$F$47+I11*Inputs!$F$48+J11*Inputs!$F$49,0)</f>
        <v>0</v>
      </c>
      <c r="M11" s="127">
        <f>D11*E11*G11</f>
        <v>2630000</v>
      </c>
      <c r="N11" s="23">
        <v>0</v>
      </c>
      <c r="O11" s="23"/>
    </row>
    <row r="12" spans="2:15" x14ac:dyDescent="0.2">
      <c r="B12" s="210" t="s">
        <v>214</v>
      </c>
      <c r="C12" s="23"/>
      <c r="D12" s="127"/>
      <c r="E12" s="23"/>
      <c r="F12" s="23"/>
      <c r="G12" s="23"/>
      <c r="H12" s="23"/>
      <c r="I12" s="24"/>
      <c r="J12" s="24"/>
      <c r="K12" s="24"/>
      <c r="L12" s="127"/>
      <c r="M12" s="127"/>
      <c r="N12" s="23"/>
      <c r="O12" s="23" t="s">
        <v>57</v>
      </c>
    </row>
    <row r="13" spans="2:15" x14ac:dyDescent="0.2">
      <c r="B13" s="209" t="s">
        <v>107</v>
      </c>
      <c r="C13" s="23">
        <v>0</v>
      </c>
      <c r="D13" s="127">
        <f>Inputs!C32</f>
        <v>46000</v>
      </c>
      <c r="E13" s="23">
        <v>1</v>
      </c>
      <c r="F13" s="23">
        <f>C13*E13</f>
        <v>0</v>
      </c>
      <c r="G13" s="24">
        <f>ROUND(Inputs!$C$31/3,0)</f>
        <v>7</v>
      </c>
      <c r="H13" s="23">
        <f>G13*F13</f>
        <v>0</v>
      </c>
      <c r="I13" s="24">
        <f>H13*0.1</f>
        <v>0</v>
      </c>
      <c r="J13" s="24">
        <f>H13*0.05</f>
        <v>0</v>
      </c>
      <c r="K13" s="133">
        <f>SUM(H13:J13)</f>
        <v>0</v>
      </c>
      <c r="L13" s="127">
        <f>ROUND(H13*Inputs!$F$47+I13*Inputs!$F$48+J13*Inputs!$F$49,0)</f>
        <v>0</v>
      </c>
      <c r="M13" s="127">
        <f>D13*E13*G13</f>
        <v>322000</v>
      </c>
      <c r="N13" s="23">
        <v>0</v>
      </c>
      <c r="O13" s="23"/>
    </row>
    <row r="14" spans="2:15" x14ac:dyDescent="0.2">
      <c r="B14" s="209" t="s">
        <v>108</v>
      </c>
      <c r="C14" s="23">
        <v>0</v>
      </c>
      <c r="D14" s="127">
        <f>Inputs!D32</f>
        <v>6200</v>
      </c>
      <c r="E14" s="23">
        <v>1</v>
      </c>
      <c r="F14" s="23">
        <f>C14*E14</f>
        <v>0</v>
      </c>
      <c r="G14" s="24">
        <f>ROUND(Inputs!$C$31/3,0)</f>
        <v>7</v>
      </c>
      <c r="H14" s="23">
        <f>G14*F14</f>
        <v>0</v>
      </c>
      <c r="I14" s="24">
        <f>H14*0.1</f>
        <v>0</v>
      </c>
      <c r="J14" s="24">
        <f>H14*0.05</f>
        <v>0</v>
      </c>
      <c r="K14" s="133">
        <f>SUM(H14:J14)</f>
        <v>0</v>
      </c>
      <c r="L14" s="127">
        <f>ROUND(H14*Inputs!$F$47+I14*Inputs!$F$48+J14*Inputs!$F$49,0)</f>
        <v>0</v>
      </c>
      <c r="M14" s="127">
        <f>D14*E14*G14</f>
        <v>43400</v>
      </c>
      <c r="N14" s="23">
        <v>0</v>
      </c>
      <c r="O14" s="23"/>
    </row>
    <row r="15" spans="2:15" x14ac:dyDescent="0.2">
      <c r="B15" s="210" t="s">
        <v>215</v>
      </c>
      <c r="C15" s="23"/>
      <c r="D15" s="127"/>
      <c r="E15" s="23"/>
      <c r="F15" s="23"/>
      <c r="G15" s="23"/>
      <c r="H15" s="23"/>
      <c r="I15" s="24"/>
      <c r="J15" s="24"/>
      <c r="K15" s="24"/>
      <c r="L15" s="127"/>
      <c r="M15" s="127"/>
      <c r="N15" s="23"/>
      <c r="O15" s="23"/>
    </row>
    <row r="16" spans="2:15" x14ac:dyDescent="0.2">
      <c r="B16" s="209" t="s">
        <v>107</v>
      </c>
      <c r="C16" s="23">
        <v>0</v>
      </c>
      <c r="D16" s="127">
        <f>Inputs!C40</f>
        <v>4400</v>
      </c>
      <c r="E16" s="23">
        <v>1</v>
      </c>
      <c r="F16" s="23">
        <f>C16*E16</f>
        <v>0</v>
      </c>
      <c r="G16" s="24">
        <f>Inputs!$D$5</f>
        <v>10</v>
      </c>
      <c r="H16" s="23">
        <f>G16*F16</f>
        <v>0</v>
      </c>
      <c r="I16" s="24">
        <f>H16*0.1</f>
        <v>0</v>
      </c>
      <c r="J16" s="24">
        <f>H16*0.05</f>
        <v>0</v>
      </c>
      <c r="K16" s="133">
        <f>SUM(H16:J16)</f>
        <v>0</v>
      </c>
      <c r="L16" s="127">
        <f>ROUND(H16*Inputs!$F$47+I16*Inputs!$F$48+J16*Inputs!$F$49,0)</f>
        <v>0</v>
      </c>
      <c r="M16" s="127">
        <f>D16*E16*G16</f>
        <v>44000</v>
      </c>
      <c r="N16" s="23">
        <v>0</v>
      </c>
      <c r="O16" s="23"/>
    </row>
    <row r="17" spans="2:15" x14ac:dyDescent="0.2">
      <c r="B17" s="209" t="s">
        <v>108</v>
      </c>
      <c r="C17" s="23">
        <v>0</v>
      </c>
      <c r="D17" s="127">
        <f>Inputs!D40</f>
        <v>900</v>
      </c>
      <c r="E17" s="23">
        <v>1</v>
      </c>
      <c r="F17" s="23">
        <f>C17*E17</f>
        <v>0</v>
      </c>
      <c r="G17" s="24">
        <f>Inputs!$D$5</f>
        <v>10</v>
      </c>
      <c r="H17" s="23">
        <f>G17*F17</f>
        <v>0</v>
      </c>
      <c r="I17" s="24">
        <f>H17*0.1</f>
        <v>0</v>
      </c>
      <c r="J17" s="24">
        <f>H17*0.05</f>
        <v>0</v>
      </c>
      <c r="K17" s="133">
        <f>SUM(H17:J17)</f>
        <v>0</v>
      </c>
      <c r="L17" s="127">
        <f>ROUND(H17*Inputs!$F$47+I17*Inputs!$F$48+J17*Inputs!$F$49,0)</f>
        <v>0</v>
      </c>
      <c r="M17" s="127">
        <f>D17*E17*G17</f>
        <v>9000</v>
      </c>
      <c r="N17" s="23">
        <v>0</v>
      </c>
      <c r="O17" s="23"/>
    </row>
    <row r="18" spans="2:15" x14ac:dyDescent="0.2">
      <c r="B18" s="207" t="s">
        <v>71</v>
      </c>
      <c r="C18" s="23" t="s">
        <v>73</v>
      </c>
      <c r="D18" s="127"/>
      <c r="E18" s="23"/>
      <c r="F18" s="23"/>
      <c r="G18" s="23"/>
      <c r="H18" s="23"/>
      <c r="I18" s="24"/>
      <c r="J18" s="24"/>
      <c r="K18" s="24"/>
      <c r="L18" s="127"/>
      <c r="M18" s="127"/>
      <c r="N18" s="23"/>
      <c r="O18" s="23"/>
    </row>
    <row r="19" spans="2:15" x14ac:dyDescent="0.2">
      <c r="B19" s="207" t="s">
        <v>72</v>
      </c>
      <c r="C19" s="23" t="s">
        <v>74</v>
      </c>
      <c r="D19" s="127"/>
      <c r="E19" s="23"/>
      <c r="F19" s="23"/>
      <c r="G19" s="23"/>
      <c r="H19" s="23"/>
      <c r="I19" s="24"/>
      <c r="J19" s="24"/>
      <c r="K19" s="24"/>
      <c r="L19" s="127"/>
      <c r="M19" s="127"/>
      <c r="N19" s="23"/>
      <c r="O19" s="23"/>
    </row>
    <row r="20" spans="2:15" x14ac:dyDescent="0.2">
      <c r="B20" s="207" t="s">
        <v>75</v>
      </c>
      <c r="C20" s="23"/>
      <c r="D20" s="127"/>
      <c r="E20" s="23"/>
      <c r="F20" s="23"/>
      <c r="G20" s="23"/>
      <c r="H20" s="23"/>
      <c r="I20" s="24"/>
      <c r="J20" s="24"/>
      <c r="K20" s="24"/>
      <c r="L20" s="127"/>
      <c r="M20" s="127"/>
      <c r="N20" s="23"/>
      <c r="O20" s="23" t="s">
        <v>33</v>
      </c>
    </row>
    <row r="21" spans="2:15" x14ac:dyDescent="0.2">
      <c r="B21" s="208" t="s">
        <v>216</v>
      </c>
      <c r="C21" s="23"/>
      <c r="D21" s="127"/>
      <c r="E21" s="23"/>
      <c r="F21" s="23"/>
      <c r="G21" s="23"/>
      <c r="H21" s="23"/>
      <c r="I21" s="24"/>
      <c r="J21" s="24"/>
      <c r="K21" s="133"/>
      <c r="L21" s="127"/>
      <c r="M21" s="127"/>
      <c r="N21" s="23"/>
      <c r="O21" s="23"/>
    </row>
    <row r="22" spans="2:15" x14ac:dyDescent="0.2">
      <c r="B22" s="209" t="s">
        <v>126</v>
      </c>
      <c r="C22" s="23">
        <v>5</v>
      </c>
      <c r="D22" s="127">
        <v>0</v>
      </c>
      <c r="E22" s="23">
        <v>1</v>
      </c>
      <c r="F22" s="23">
        <f t="shared" ref="F22:F23" si="0">C22*E22</f>
        <v>5</v>
      </c>
      <c r="G22" s="24">
        <f>G11</f>
        <v>10</v>
      </c>
      <c r="H22" s="23">
        <f t="shared" ref="H22:H23" si="1">G22*F22</f>
        <v>50</v>
      </c>
      <c r="I22" s="24">
        <f t="shared" ref="I22:I23" si="2">H22*0.1</f>
        <v>5</v>
      </c>
      <c r="J22" s="24">
        <f t="shared" ref="J22:J23" si="3">H22*0.05</f>
        <v>2.5</v>
      </c>
      <c r="K22" s="133">
        <f t="shared" ref="K22:K23" si="4">SUM(H22:J22)</f>
        <v>57.5</v>
      </c>
      <c r="L22" s="127">
        <f>ROUND(H22*Inputs!$F$47+I22*Inputs!$F$48+J22*Inputs!$F$49,0)</f>
        <v>5009</v>
      </c>
      <c r="M22" s="127">
        <f t="shared" ref="M22:M23" si="5">D22*E22*G22</f>
        <v>0</v>
      </c>
      <c r="N22" s="23">
        <f t="shared" ref="N22:N23" si="6">G22*E22</f>
        <v>10</v>
      </c>
      <c r="O22" s="23"/>
    </row>
    <row r="23" spans="2:15" x14ac:dyDescent="0.2">
      <c r="B23" s="209" t="s">
        <v>127</v>
      </c>
      <c r="C23" s="23">
        <v>15</v>
      </c>
      <c r="D23" s="127">
        <v>0</v>
      </c>
      <c r="E23" s="23">
        <v>1</v>
      </c>
      <c r="F23" s="23">
        <f t="shared" si="0"/>
        <v>15</v>
      </c>
      <c r="G23" s="24">
        <f>G14</f>
        <v>7</v>
      </c>
      <c r="H23" s="23">
        <f t="shared" si="1"/>
        <v>105</v>
      </c>
      <c r="I23" s="24">
        <f t="shared" si="2"/>
        <v>10.5</v>
      </c>
      <c r="J23" s="24">
        <f t="shared" si="3"/>
        <v>5.25</v>
      </c>
      <c r="K23" s="133">
        <f t="shared" si="4"/>
        <v>120.75</v>
      </c>
      <c r="L23" s="127">
        <f>ROUND(H23*Inputs!$F$47+I23*Inputs!$F$48+J23*Inputs!$F$49,0)</f>
        <v>10520</v>
      </c>
      <c r="M23" s="127">
        <f t="shared" si="5"/>
        <v>0</v>
      </c>
      <c r="N23" s="23">
        <f t="shared" si="6"/>
        <v>7</v>
      </c>
      <c r="O23" s="23"/>
    </row>
    <row r="24" spans="2:15" x14ac:dyDescent="0.2">
      <c r="B24" s="210" t="s">
        <v>217</v>
      </c>
      <c r="C24" s="23"/>
      <c r="D24" s="127"/>
      <c r="E24" s="23"/>
      <c r="F24" s="23"/>
      <c r="G24" s="24"/>
      <c r="H24" s="23"/>
      <c r="I24" s="24"/>
      <c r="J24" s="24"/>
      <c r="K24" s="133"/>
      <c r="L24" s="127"/>
      <c r="M24" s="127"/>
      <c r="N24" s="23"/>
      <c r="O24" s="23"/>
    </row>
    <row r="25" spans="2:15" x14ac:dyDescent="0.2">
      <c r="B25" s="209" t="s">
        <v>126</v>
      </c>
      <c r="C25" s="23">
        <v>5</v>
      </c>
      <c r="D25" s="127">
        <v>0</v>
      </c>
      <c r="E25" s="23">
        <v>2</v>
      </c>
      <c r="F25" s="23">
        <f t="shared" ref="F25:F30" si="7">C25*E25</f>
        <v>10</v>
      </c>
      <c r="G25" s="24">
        <f>G11</f>
        <v>10</v>
      </c>
      <c r="H25" s="23">
        <f t="shared" ref="H25:H30" si="8">G25*F25</f>
        <v>100</v>
      </c>
      <c r="I25" s="24">
        <f t="shared" ref="I25:I30" si="9">H25*0.1</f>
        <v>10</v>
      </c>
      <c r="J25" s="24">
        <f t="shared" ref="J25:J30" si="10">H25*0.05</f>
        <v>5</v>
      </c>
      <c r="K25" s="133">
        <f t="shared" ref="K25:K30" si="11">SUM(H25:J25)</f>
        <v>115</v>
      </c>
      <c r="L25" s="127">
        <f>ROUND(H25*Inputs!$F$47+I25*Inputs!$F$48+J25*Inputs!$F$49,0)</f>
        <v>10019</v>
      </c>
      <c r="M25" s="127">
        <f t="shared" ref="M25:M30" si="12">D25*E25*G25</f>
        <v>0</v>
      </c>
      <c r="N25" s="23">
        <f>G25*E25</f>
        <v>20</v>
      </c>
      <c r="O25" s="23"/>
    </row>
    <row r="26" spans="2:15" x14ac:dyDescent="0.2">
      <c r="B26" s="209" t="s">
        <v>127</v>
      </c>
      <c r="C26" s="23">
        <v>10</v>
      </c>
      <c r="D26" s="127">
        <v>0</v>
      </c>
      <c r="E26" s="23">
        <v>2</v>
      </c>
      <c r="F26" s="23">
        <f t="shared" si="7"/>
        <v>20</v>
      </c>
      <c r="G26" s="24">
        <f>G14</f>
        <v>7</v>
      </c>
      <c r="H26" s="23">
        <f t="shared" si="8"/>
        <v>140</v>
      </c>
      <c r="I26" s="24">
        <f t="shared" si="9"/>
        <v>14</v>
      </c>
      <c r="J26" s="24">
        <f t="shared" si="10"/>
        <v>7</v>
      </c>
      <c r="K26" s="133">
        <f t="shared" si="11"/>
        <v>161</v>
      </c>
      <c r="L26" s="127">
        <f>ROUND(H26*Inputs!$F$47+I26*Inputs!$F$48+J26*Inputs!$F$49,0)</f>
        <v>14027</v>
      </c>
      <c r="M26" s="127">
        <f t="shared" si="12"/>
        <v>0</v>
      </c>
      <c r="N26" s="23">
        <f t="shared" ref="N26:N30" si="13">G26*E26</f>
        <v>14</v>
      </c>
      <c r="O26" s="23"/>
    </row>
    <row r="27" spans="2:15" x14ac:dyDescent="0.2">
      <c r="B27" s="268" t="s">
        <v>211</v>
      </c>
      <c r="C27" s="269">
        <v>3</v>
      </c>
      <c r="D27" s="270">
        <v>0</v>
      </c>
      <c r="E27" s="269">
        <v>2</v>
      </c>
      <c r="F27" s="269">
        <f t="shared" si="7"/>
        <v>6</v>
      </c>
      <c r="G27" s="271">
        <f>Inputs!$D$3</f>
        <v>9</v>
      </c>
      <c r="H27" s="269">
        <f t="shared" si="8"/>
        <v>54</v>
      </c>
      <c r="I27" s="271">
        <f t="shared" si="9"/>
        <v>5.4</v>
      </c>
      <c r="J27" s="271">
        <f t="shared" si="10"/>
        <v>2.7</v>
      </c>
      <c r="K27" s="272">
        <f t="shared" si="11"/>
        <v>62.1</v>
      </c>
      <c r="L27" s="270">
        <f>ROUND(H27*Inputs!$F$47+I27*Inputs!$F$48+J27*Inputs!$F$49,0)</f>
        <v>5410</v>
      </c>
      <c r="M27" s="270">
        <f t="shared" si="12"/>
        <v>0</v>
      </c>
      <c r="N27" s="269">
        <f t="shared" si="13"/>
        <v>18</v>
      </c>
      <c r="O27" s="269"/>
    </row>
    <row r="28" spans="2:15" x14ac:dyDescent="0.2">
      <c r="B28" s="209" t="s">
        <v>128</v>
      </c>
      <c r="C28" s="23">
        <v>4</v>
      </c>
      <c r="D28" s="127">
        <v>0</v>
      </c>
      <c r="E28" s="23">
        <v>2</v>
      </c>
      <c r="F28" s="23">
        <f t="shared" si="7"/>
        <v>8</v>
      </c>
      <c r="G28" s="24">
        <f>Inputs!$D$5</f>
        <v>10</v>
      </c>
      <c r="H28" s="23">
        <f t="shared" si="8"/>
        <v>80</v>
      </c>
      <c r="I28" s="24">
        <f t="shared" si="9"/>
        <v>8</v>
      </c>
      <c r="J28" s="24">
        <f t="shared" si="10"/>
        <v>4</v>
      </c>
      <c r="K28" s="133">
        <f t="shared" si="11"/>
        <v>92</v>
      </c>
      <c r="L28" s="127">
        <f>ROUND(H28*Inputs!$F$47+I28*Inputs!$F$48+J28*Inputs!$F$49,0)</f>
        <v>8015</v>
      </c>
      <c r="M28" s="127">
        <f t="shared" si="12"/>
        <v>0</v>
      </c>
      <c r="N28" s="23">
        <f t="shared" si="13"/>
        <v>20</v>
      </c>
      <c r="O28" s="23"/>
    </row>
    <row r="29" spans="2:15" x14ac:dyDescent="0.2">
      <c r="B29" s="209" t="s">
        <v>208</v>
      </c>
      <c r="C29" s="23">
        <v>4</v>
      </c>
      <c r="D29" s="127">
        <v>0</v>
      </c>
      <c r="E29" s="23">
        <v>2</v>
      </c>
      <c r="F29" s="23">
        <f t="shared" si="7"/>
        <v>8</v>
      </c>
      <c r="G29" s="24">
        <v>0</v>
      </c>
      <c r="H29" s="23">
        <f t="shared" si="8"/>
        <v>0</v>
      </c>
      <c r="I29" s="24">
        <f t="shared" si="9"/>
        <v>0</v>
      </c>
      <c r="J29" s="24">
        <f t="shared" si="10"/>
        <v>0</v>
      </c>
      <c r="K29" s="133">
        <f t="shared" si="11"/>
        <v>0</v>
      </c>
      <c r="L29" s="127">
        <f>ROUND(H29*Inputs!$F$47+I29*Inputs!$F$48+J29*Inputs!$F$49,0)</f>
        <v>0</v>
      </c>
      <c r="M29" s="127">
        <f t="shared" si="12"/>
        <v>0</v>
      </c>
      <c r="N29" s="23">
        <f t="shared" si="13"/>
        <v>0</v>
      </c>
      <c r="O29" s="23" t="s">
        <v>90</v>
      </c>
    </row>
    <row r="30" spans="2:15" x14ac:dyDescent="0.2">
      <c r="B30" s="209" t="s">
        <v>209</v>
      </c>
      <c r="C30" s="23">
        <v>3</v>
      </c>
      <c r="D30" s="127">
        <v>0</v>
      </c>
      <c r="E30" s="23">
        <v>2</v>
      </c>
      <c r="F30" s="23">
        <f t="shared" si="7"/>
        <v>6</v>
      </c>
      <c r="G30" s="24">
        <f>G17</f>
        <v>10</v>
      </c>
      <c r="H30" s="23">
        <f t="shared" si="8"/>
        <v>60</v>
      </c>
      <c r="I30" s="24">
        <f t="shared" si="9"/>
        <v>6</v>
      </c>
      <c r="J30" s="24">
        <f t="shared" si="10"/>
        <v>3</v>
      </c>
      <c r="K30" s="133">
        <f t="shared" si="11"/>
        <v>69</v>
      </c>
      <c r="L30" s="127">
        <f>ROUND(H30*Inputs!$F$47+I30*Inputs!$F$48+J30*Inputs!$F$49,0)</f>
        <v>6011</v>
      </c>
      <c r="M30" s="127">
        <f t="shared" si="12"/>
        <v>0</v>
      </c>
      <c r="N30" s="23">
        <f t="shared" si="13"/>
        <v>20</v>
      </c>
      <c r="O30" s="23"/>
    </row>
    <row r="31" spans="2:15" x14ac:dyDescent="0.2">
      <c r="B31" s="211" t="s">
        <v>76</v>
      </c>
      <c r="C31" s="23"/>
      <c r="D31" s="127"/>
      <c r="E31" s="23"/>
      <c r="F31" s="23"/>
      <c r="G31" s="23"/>
      <c r="H31" s="181">
        <f>SUM(H7:H30)</f>
        <v>589</v>
      </c>
      <c r="I31" s="181">
        <f>SUM(I7:I30)</f>
        <v>58.9</v>
      </c>
      <c r="J31" s="181">
        <f>SUM(J7:J30)</f>
        <v>29.45</v>
      </c>
      <c r="K31" s="181">
        <f>SUM(K7:K30)</f>
        <v>677.35</v>
      </c>
      <c r="L31" s="127">
        <f>SUM(L7:L30)</f>
        <v>59011</v>
      </c>
      <c r="M31" s="127">
        <f>SUM(M7:M30)-M10-M13-M16</f>
        <v>2682400</v>
      </c>
      <c r="N31" s="181">
        <f>SUM(N7:N30)</f>
        <v>109</v>
      </c>
      <c r="O31" s="23"/>
    </row>
    <row r="32" spans="2:15" x14ac:dyDescent="0.2">
      <c r="B32" s="206" t="s">
        <v>61</v>
      </c>
      <c r="C32" s="23"/>
      <c r="D32" s="127"/>
      <c r="E32" s="23"/>
      <c r="F32" s="23"/>
      <c r="G32" s="23"/>
      <c r="H32" s="23"/>
      <c r="I32" s="24"/>
      <c r="J32" s="24"/>
      <c r="K32" s="24"/>
      <c r="L32" s="127"/>
      <c r="M32" s="127"/>
      <c r="N32" s="23"/>
      <c r="O32" s="23" t="s">
        <v>33</v>
      </c>
    </row>
    <row r="33" spans="2:17" x14ac:dyDescent="0.2">
      <c r="B33" s="207" t="s">
        <v>62</v>
      </c>
      <c r="C33" s="23" t="s">
        <v>109</v>
      </c>
      <c r="D33" s="127"/>
      <c r="E33" s="23"/>
      <c r="F33" s="23"/>
      <c r="G33" s="23"/>
      <c r="H33" s="23"/>
      <c r="I33" s="24"/>
      <c r="J33" s="24"/>
      <c r="K33" s="24"/>
      <c r="L33" s="127"/>
      <c r="M33" s="127"/>
      <c r="N33" s="23"/>
      <c r="O33" s="23"/>
    </row>
    <row r="34" spans="2:17" x14ac:dyDescent="0.2">
      <c r="B34" s="207" t="s">
        <v>104</v>
      </c>
      <c r="C34" s="180" t="s">
        <v>66</v>
      </c>
      <c r="D34" s="127"/>
      <c r="E34" s="23"/>
      <c r="F34" s="23"/>
      <c r="G34" s="23"/>
      <c r="H34" s="23"/>
      <c r="I34" s="24"/>
      <c r="J34" s="24"/>
      <c r="K34" s="24"/>
      <c r="L34" s="127"/>
      <c r="M34" s="127"/>
      <c r="N34" s="23"/>
      <c r="O34" s="23"/>
    </row>
    <row r="35" spans="2:17" x14ac:dyDescent="0.2">
      <c r="B35" s="207" t="s">
        <v>63</v>
      </c>
      <c r="C35" s="180" t="s">
        <v>66</v>
      </c>
      <c r="D35" s="127"/>
      <c r="E35" s="23"/>
      <c r="F35" s="23"/>
      <c r="G35" s="23"/>
      <c r="H35" s="23"/>
      <c r="I35" s="24"/>
      <c r="J35" s="24"/>
      <c r="K35" s="24"/>
      <c r="L35" s="127"/>
      <c r="M35" s="127"/>
      <c r="N35" s="23"/>
      <c r="O35" s="23"/>
    </row>
    <row r="36" spans="2:17" x14ac:dyDescent="0.2">
      <c r="B36" s="207" t="s">
        <v>77</v>
      </c>
      <c r="C36" s="23"/>
      <c r="D36" s="127"/>
      <c r="E36" s="23"/>
      <c r="F36" s="23"/>
      <c r="G36" s="23"/>
      <c r="H36" s="23"/>
      <c r="I36" s="24"/>
      <c r="J36" s="24"/>
      <c r="K36" s="24"/>
      <c r="L36" s="127"/>
      <c r="M36" s="127"/>
      <c r="N36" s="23"/>
      <c r="O36" s="23"/>
    </row>
    <row r="37" spans="2:17" x14ac:dyDescent="0.2">
      <c r="B37" s="210" t="s">
        <v>218</v>
      </c>
      <c r="C37" s="267">
        <f>5/60</f>
        <v>8.3333333333333329E-2</v>
      </c>
      <c r="D37" s="127">
        <v>0</v>
      </c>
      <c r="E37" s="23">
        <v>365</v>
      </c>
      <c r="F37" s="24">
        <f t="shared" ref="F37:F41" si="14">C37*E37</f>
        <v>30.416666666666664</v>
      </c>
      <c r="G37" s="24">
        <f>Inputs!$D$5</f>
        <v>10</v>
      </c>
      <c r="H37" s="181">
        <f t="shared" ref="H37:H45" si="15">G37*F37</f>
        <v>304.16666666666663</v>
      </c>
      <c r="I37" s="181">
        <f t="shared" ref="I37:I45" si="16">H37*0.1</f>
        <v>30.416666666666664</v>
      </c>
      <c r="J37" s="181">
        <f t="shared" ref="J37:J45" si="17">H37*0.05</f>
        <v>15.208333333333332</v>
      </c>
      <c r="K37" s="183">
        <f t="shared" ref="K37:K45" si="18">SUM(H37:J37)</f>
        <v>349.79166666666663</v>
      </c>
      <c r="L37" s="127">
        <f>ROUND(H37*Inputs!$F$47+I37*Inputs!$F$48+J37*Inputs!$F$49,0)</f>
        <v>30474</v>
      </c>
      <c r="M37" s="127">
        <f t="shared" ref="M37:M45" si="19">D37*E37*G37</f>
        <v>0</v>
      </c>
      <c r="N37" s="23">
        <v>0</v>
      </c>
      <c r="O37" s="23"/>
    </row>
    <row r="38" spans="2:17" x14ac:dyDescent="0.2">
      <c r="B38" s="210" t="s">
        <v>219</v>
      </c>
      <c r="C38" s="23">
        <v>2</v>
      </c>
      <c r="D38" s="127">
        <v>0</v>
      </c>
      <c r="E38" s="23">
        <v>10</v>
      </c>
      <c r="F38" s="23">
        <f t="shared" si="14"/>
        <v>20</v>
      </c>
      <c r="G38" s="24">
        <f>Inputs!$D$5</f>
        <v>10</v>
      </c>
      <c r="H38" s="181">
        <f t="shared" si="15"/>
        <v>200</v>
      </c>
      <c r="I38" s="181">
        <f t="shared" si="16"/>
        <v>20</v>
      </c>
      <c r="J38" s="181">
        <f t="shared" si="17"/>
        <v>10</v>
      </c>
      <c r="K38" s="183">
        <f t="shared" si="18"/>
        <v>230</v>
      </c>
      <c r="L38" s="127">
        <f>ROUND(H38*Inputs!$F$47+I38*Inputs!$F$48+J38*Inputs!$F$49,0)</f>
        <v>20038</v>
      </c>
      <c r="M38" s="127">
        <f t="shared" si="19"/>
        <v>0</v>
      </c>
      <c r="N38" s="23">
        <v>0</v>
      </c>
      <c r="O38" s="23"/>
    </row>
    <row r="39" spans="2:17" x14ac:dyDescent="0.2">
      <c r="B39" s="210" t="s">
        <v>220</v>
      </c>
      <c r="C39" s="23">
        <v>0.4</v>
      </c>
      <c r="D39" s="127">
        <v>0</v>
      </c>
      <c r="E39" s="23">
        <v>365</v>
      </c>
      <c r="F39" s="23">
        <f t="shared" si="14"/>
        <v>146</v>
      </c>
      <c r="G39" s="24">
        <f>G11</f>
        <v>10</v>
      </c>
      <c r="H39" s="181">
        <f t="shared" si="15"/>
        <v>1460</v>
      </c>
      <c r="I39" s="181">
        <f t="shared" si="16"/>
        <v>146</v>
      </c>
      <c r="J39" s="181">
        <f t="shared" si="17"/>
        <v>73</v>
      </c>
      <c r="K39" s="183">
        <f t="shared" si="18"/>
        <v>1679</v>
      </c>
      <c r="L39" s="127">
        <f>ROUND(H39*Inputs!$F$47+I39*Inputs!$F$48+J39*Inputs!$F$49,0)</f>
        <v>146277</v>
      </c>
      <c r="M39" s="127">
        <f t="shared" si="19"/>
        <v>0</v>
      </c>
      <c r="N39" s="23">
        <v>0</v>
      </c>
      <c r="O39" s="23"/>
    </row>
    <row r="40" spans="2:17" x14ac:dyDescent="0.2">
      <c r="B40" s="210" t="s">
        <v>221</v>
      </c>
      <c r="C40" s="23">
        <v>10</v>
      </c>
      <c r="D40" s="127">
        <v>0</v>
      </c>
      <c r="E40" s="23">
        <v>1</v>
      </c>
      <c r="F40" s="23">
        <f t="shared" si="14"/>
        <v>10</v>
      </c>
      <c r="G40" s="24">
        <f>G14</f>
        <v>7</v>
      </c>
      <c r="H40" s="181">
        <f t="shared" si="15"/>
        <v>70</v>
      </c>
      <c r="I40" s="181">
        <f t="shared" si="16"/>
        <v>7</v>
      </c>
      <c r="J40" s="181">
        <f t="shared" si="17"/>
        <v>3.5</v>
      </c>
      <c r="K40" s="183">
        <f t="shared" si="18"/>
        <v>80.5</v>
      </c>
      <c r="L40" s="127">
        <f>ROUND(H40*Inputs!$F$47+I40*Inputs!$F$48+J40*Inputs!$F$49,0)</f>
        <v>7013</v>
      </c>
      <c r="M40" s="127">
        <f t="shared" si="19"/>
        <v>0</v>
      </c>
      <c r="N40" s="23">
        <v>0</v>
      </c>
      <c r="O40" s="23"/>
    </row>
    <row r="41" spans="2:17" x14ac:dyDescent="0.2">
      <c r="B41" s="210" t="s">
        <v>207</v>
      </c>
      <c r="C41" s="23">
        <v>0</v>
      </c>
      <c r="D41" s="127">
        <v>0</v>
      </c>
      <c r="E41" s="23">
        <v>1</v>
      </c>
      <c r="F41" s="23">
        <f t="shared" si="14"/>
        <v>0</v>
      </c>
      <c r="G41" s="24">
        <f>G17</f>
        <v>10</v>
      </c>
      <c r="H41" s="181">
        <f t="shared" si="15"/>
        <v>0</v>
      </c>
      <c r="I41" s="181">
        <f t="shared" si="16"/>
        <v>0</v>
      </c>
      <c r="J41" s="181">
        <f t="shared" si="17"/>
        <v>0</v>
      </c>
      <c r="K41" s="183">
        <f t="shared" si="18"/>
        <v>0</v>
      </c>
      <c r="L41" s="127">
        <f>ROUND(H41*Inputs!$F$47+I41*Inputs!$F$48+J41*Inputs!$F$49,0)</f>
        <v>0</v>
      </c>
      <c r="M41" s="127">
        <f t="shared" si="19"/>
        <v>0</v>
      </c>
      <c r="N41" s="23">
        <v>0</v>
      </c>
      <c r="O41" s="23" t="s">
        <v>110</v>
      </c>
    </row>
    <row r="42" spans="2:17" x14ac:dyDescent="0.2">
      <c r="B42" s="210" t="s">
        <v>222</v>
      </c>
      <c r="C42" s="23">
        <v>25</v>
      </c>
      <c r="D42" s="127">
        <v>0</v>
      </c>
      <c r="E42" s="23">
        <v>1</v>
      </c>
      <c r="F42" s="23">
        <f>C42*E42</f>
        <v>25</v>
      </c>
      <c r="G42" s="24">
        <f>G28</f>
        <v>10</v>
      </c>
      <c r="H42" s="181">
        <f t="shared" si="15"/>
        <v>250</v>
      </c>
      <c r="I42" s="181">
        <f t="shared" si="16"/>
        <v>25</v>
      </c>
      <c r="J42" s="181">
        <f t="shared" si="17"/>
        <v>12.5</v>
      </c>
      <c r="K42" s="183">
        <f t="shared" si="18"/>
        <v>287.5</v>
      </c>
      <c r="L42" s="127">
        <f>ROUND(H42*Inputs!$F$47+I42*Inputs!$F$48+J42*Inputs!$F$49,0)</f>
        <v>25047</v>
      </c>
      <c r="M42" s="127">
        <f t="shared" si="19"/>
        <v>0</v>
      </c>
      <c r="N42" s="23">
        <v>0</v>
      </c>
      <c r="O42" s="23"/>
    </row>
    <row r="43" spans="2:17" x14ac:dyDescent="0.2">
      <c r="B43" s="210" t="s">
        <v>223</v>
      </c>
      <c r="C43" s="23">
        <v>0</v>
      </c>
      <c r="D43" s="127">
        <v>0</v>
      </c>
      <c r="E43" s="23">
        <v>1</v>
      </c>
      <c r="F43" s="23">
        <f t="shared" ref="F43" si="20">C43*E43</f>
        <v>0</v>
      </c>
      <c r="G43" s="24">
        <v>0</v>
      </c>
      <c r="H43" s="181">
        <f t="shared" si="15"/>
        <v>0</v>
      </c>
      <c r="I43" s="181">
        <f t="shared" si="16"/>
        <v>0</v>
      </c>
      <c r="J43" s="181">
        <f t="shared" si="17"/>
        <v>0</v>
      </c>
      <c r="K43" s="183">
        <f t="shared" si="18"/>
        <v>0</v>
      </c>
      <c r="L43" s="127">
        <f>ROUND(H43*Inputs!$F$47+I43*Inputs!$F$48+J43*Inputs!$F$49,0)</f>
        <v>0</v>
      </c>
      <c r="M43" s="127">
        <f t="shared" si="19"/>
        <v>0</v>
      </c>
      <c r="N43" s="23">
        <v>0</v>
      </c>
      <c r="O43" s="23"/>
    </row>
    <row r="44" spans="2:17" x14ac:dyDescent="0.2">
      <c r="B44" s="210" t="s">
        <v>224</v>
      </c>
      <c r="C44" s="23">
        <v>75</v>
      </c>
      <c r="D44" s="127">
        <v>0</v>
      </c>
      <c r="E44" s="23">
        <v>3</v>
      </c>
      <c r="F44" s="23">
        <f t="shared" ref="F44:F45" si="21">C44*E44</f>
        <v>225</v>
      </c>
      <c r="G44" s="24">
        <v>0</v>
      </c>
      <c r="H44" s="181">
        <f t="shared" si="15"/>
        <v>0</v>
      </c>
      <c r="I44" s="181">
        <f t="shared" si="16"/>
        <v>0</v>
      </c>
      <c r="J44" s="181">
        <f t="shared" si="17"/>
        <v>0</v>
      </c>
      <c r="K44" s="183">
        <f t="shared" si="18"/>
        <v>0</v>
      </c>
      <c r="L44" s="127">
        <f>ROUND(H44*Inputs!$F$47+I44*Inputs!$F$48+J44*Inputs!$F$49,0)</f>
        <v>0</v>
      </c>
      <c r="M44" s="127">
        <f t="shared" si="19"/>
        <v>0</v>
      </c>
      <c r="N44" s="23">
        <v>0</v>
      </c>
      <c r="O44" s="23" t="s">
        <v>22</v>
      </c>
    </row>
    <row r="45" spans="2:17" x14ac:dyDescent="0.2">
      <c r="B45" s="207" t="s">
        <v>78</v>
      </c>
      <c r="C45" s="23">
        <v>20</v>
      </c>
      <c r="D45" s="127">
        <v>0</v>
      </c>
      <c r="E45" s="23">
        <v>1</v>
      </c>
      <c r="F45" s="23">
        <f t="shared" si="21"/>
        <v>20</v>
      </c>
      <c r="G45" s="24">
        <f>Inputs!$C$3+Inputs!$C$4</f>
        <v>31</v>
      </c>
      <c r="H45" s="181">
        <f t="shared" si="15"/>
        <v>620</v>
      </c>
      <c r="I45" s="181">
        <f t="shared" si="16"/>
        <v>62</v>
      </c>
      <c r="J45" s="181">
        <f t="shared" si="17"/>
        <v>31</v>
      </c>
      <c r="K45" s="183">
        <f t="shared" si="18"/>
        <v>713</v>
      </c>
      <c r="L45" s="127">
        <f>ROUND(H45*Inputs!$F$47+I45*Inputs!$F$48+J45*Inputs!$F$49,0)</f>
        <v>62118</v>
      </c>
      <c r="M45" s="127">
        <f t="shared" si="19"/>
        <v>0</v>
      </c>
      <c r="N45" s="23">
        <v>0</v>
      </c>
      <c r="O45" s="23"/>
    </row>
    <row r="46" spans="2:17" x14ac:dyDescent="0.2">
      <c r="B46" s="207" t="s">
        <v>79</v>
      </c>
      <c r="C46" s="23" t="s">
        <v>66</v>
      </c>
      <c r="D46" s="127"/>
      <c r="E46" s="23"/>
      <c r="F46" s="23"/>
      <c r="G46" s="23"/>
      <c r="H46" s="181"/>
      <c r="I46" s="181"/>
      <c r="J46" s="181"/>
      <c r="K46" s="181"/>
      <c r="L46" s="127"/>
      <c r="M46" s="127"/>
      <c r="N46" s="23"/>
      <c r="O46" s="23"/>
    </row>
    <row r="47" spans="2:17" ht="12" thickBot="1" x14ac:dyDescent="0.25">
      <c r="B47" s="230" t="s">
        <v>64</v>
      </c>
      <c r="C47" s="231"/>
      <c r="D47" s="231"/>
      <c r="E47" s="231"/>
      <c r="F47" s="231"/>
      <c r="G47" s="231"/>
      <c r="H47" s="232">
        <f>SUM(H37:H45)</f>
        <v>2904.1666666666665</v>
      </c>
      <c r="I47" s="232">
        <f>SUM(I37:I45)</f>
        <v>290.41666666666663</v>
      </c>
      <c r="J47" s="232">
        <f>SUM(J37:J45)</f>
        <v>145.20833333333331</v>
      </c>
      <c r="K47" s="232">
        <f>SUM(K37:K45)</f>
        <v>3339.7916666666665</v>
      </c>
      <c r="L47" s="233">
        <f>SUM(L37:L45)</f>
        <v>290967</v>
      </c>
      <c r="M47" s="233">
        <f>SUM(M37:M44)</f>
        <v>0</v>
      </c>
      <c r="N47" s="234">
        <f>SUM(N37:N45)</f>
        <v>0</v>
      </c>
      <c r="O47" s="231"/>
    </row>
    <row r="48" spans="2:17" s="178" customFormat="1" ht="13.5" customHeight="1" thickTop="1" x14ac:dyDescent="0.25">
      <c r="B48" s="226" t="s">
        <v>36</v>
      </c>
      <c r="C48" s="227"/>
      <c r="D48" s="227"/>
      <c r="E48" s="227"/>
      <c r="F48" s="227"/>
      <c r="G48" s="227"/>
      <c r="H48" s="228">
        <f t="shared" ref="H48:N48" si="22">H47+H31</f>
        <v>3493.1666666666665</v>
      </c>
      <c r="I48" s="228">
        <f t="shared" si="22"/>
        <v>349.31666666666661</v>
      </c>
      <c r="J48" s="228">
        <f t="shared" si="22"/>
        <v>174.6583333333333</v>
      </c>
      <c r="K48" s="228">
        <f t="shared" si="22"/>
        <v>4017.1416666666664</v>
      </c>
      <c r="L48" s="229">
        <f t="shared" si="22"/>
        <v>349978</v>
      </c>
      <c r="M48" s="229">
        <f t="shared" si="22"/>
        <v>2682400</v>
      </c>
      <c r="N48" s="227">
        <f t="shared" si="22"/>
        <v>109</v>
      </c>
      <c r="O48" s="227"/>
      <c r="Q48" s="179"/>
    </row>
    <row r="49" spans="2:15" ht="7.5" customHeight="1" x14ac:dyDescent="0.2">
      <c r="B49" s="219"/>
      <c r="C49" s="25"/>
      <c r="D49" s="25"/>
      <c r="E49" s="25"/>
      <c r="F49" s="25"/>
      <c r="G49" s="11"/>
      <c r="H49" s="9"/>
      <c r="I49" s="10"/>
      <c r="J49" s="10"/>
      <c r="K49" s="12"/>
      <c r="L49" s="12"/>
      <c r="M49" s="12"/>
      <c r="N49" s="25"/>
      <c r="O49" s="220"/>
    </row>
    <row r="50" spans="2:15" x14ac:dyDescent="0.2">
      <c r="B50" s="219"/>
      <c r="C50" s="25"/>
      <c r="D50" s="25"/>
      <c r="E50" s="25"/>
      <c r="F50" s="25"/>
      <c r="G50" s="9"/>
      <c r="H50" s="9"/>
      <c r="I50" s="10"/>
      <c r="J50" s="171" t="s">
        <v>59</v>
      </c>
      <c r="K50" s="171" t="s">
        <v>80</v>
      </c>
      <c r="L50" s="182" t="s">
        <v>81</v>
      </c>
      <c r="M50" s="182" t="s">
        <v>49</v>
      </c>
      <c r="N50" s="25"/>
      <c r="O50" s="220"/>
    </row>
    <row r="51" spans="2:15" x14ac:dyDescent="0.2">
      <c r="B51" s="219"/>
      <c r="C51" s="25"/>
      <c r="D51" s="25"/>
      <c r="E51" s="25"/>
      <c r="F51" s="25"/>
      <c r="G51" s="172" t="s">
        <v>82</v>
      </c>
      <c r="H51" s="173"/>
      <c r="I51" s="177"/>
      <c r="J51" s="171">
        <f>H48+I48+J48</f>
        <v>4017.1416666666664</v>
      </c>
      <c r="K51" s="134">
        <f>L48</f>
        <v>349978</v>
      </c>
      <c r="L51" s="134">
        <f>M48</f>
        <v>2682400</v>
      </c>
      <c r="M51" s="134">
        <f>L51+K51</f>
        <v>3032378</v>
      </c>
      <c r="N51" s="25"/>
      <c r="O51" s="220"/>
    </row>
    <row r="52" spans="2:15" ht="7.5" customHeight="1" x14ac:dyDescent="0.2">
      <c r="B52" s="219"/>
      <c r="C52" s="25"/>
      <c r="D52" s="25"/>
      <c r="E52" s="25"/>
      <c r="F52" s="25"/>
      <c r="G52" s="11"/>
      <c r="H52" s="9"/>
      <c r="I52" s="10"/>
      <c r="J52" s="10"/>
      <c r="K52" s="12"/>
      <c r="L52" s="12"/>
      <c r="M52" s="12"/>
      <c r="N52" s="25"/>
      <c r="O52" s="220"/>
    </row>
    <row r="53" spans="2:15" x14ac:dyDescent="0.2">
      <c r="B53" s="219"/>
      <c r="C53" s="25"/>
      <c r="D53" s="25"/>
      <c r="E53" s="25"/>
      <c r="F53" s="25"/>
      <c r="G53" s="172" t="s">
        <v>83</v>
      </c>
      <c r="H53" s="173"/>
      <c r="I53" s="174"/>
      <c r="J53" s="174"/>
      <c r="K53" s="175"/>
      <c r="L53" s="176"/>
      <c r="M53" s="134">
        <f>L7+M10+M13+M16</f>
        <v>14826000</v>
      </c>
      <c r="N53" s="25"/>
      <c r="O53" s="220"/>
    </row>
    <row r="54" spans="2:15" x14ac:dyDescent="0.2">
      <c r="B54" s="221"/>
      <c r="C54" s="222"/>
      <c r="D54" s="222"/>
      <c r="E54" s="222"/>
      <c r="F54" s="222"/>
      <c r="G54" s="172" t="s">
        <v>84</v>
      </c>
      <c r="H54" s="223"/>
      <c r="I54" s="223"/>
      <c r="J54" s="223"/>
      <c r="K54" s="175"/>
      <c r="L54" s="224"/>
      <c r="M54" s="134">
        <f>M48</f>
        <v>2682400</v>
      </c>
      <c r="N54" s="222"/>
      <c r="O54" s="225"/>
    </row>
    <row r="55" spans="2:15" ht="8.25" customHeight="1" x14ac:dyDescent="0.2"/>
    <row r="56" spans="2:15" x14ac:dyDescent="0.2">
      <c r="B56" s="19" t="s">
        <v>99</v>
      </c>
      <c r="L56" s="26"/>
    </row>
    <row r="57" spans="2:15" ht="22.5" customHeight="1" x14ac:dyDescent="0.2">
      <c r="B57" s="279" t="s">
        <v>172</v>
      </c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</row>
    <row r="58" spans="2:15" x14ac:dyDescent="0.2">
      <c r="B58" s="19" t="s">
        <v>170</v>
      </c>
    </row>
    <row r="59" spans="2:15" ht="22.5" customHeight="1" x14ac:dyDescent="0.2">
      <c r="B59" s="279" t="s">
        <v>210</v>
      </c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</row>
    <row r="60" spans="2:15" ht="11.25" customHeight="1" x14ac:dyDescent="0.2">
      <c r="B60" s="279" t="s">
        <v>225</v>
      </c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</row>
    <row r="61" spans="2:15" x14ac:dyDescent="0.2">
      <c r="B61" s="279" t="s">
        <v>226</v>
      </c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</row>
    <row r="62" spans="2:15" ht="11.25" customHeight="1" x14ac:dyDescent="0.2">
      <c r="B62" s="279" t="s">
        <v>227</v>
      </c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</row>
    <row r="63" spans="2:15" ht="11.25" customHeight="1" x14ac:dyDescent="0.2">
      <c r="B63" s="279" t="s">
        <v>228</v>
      </c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</row>
  </sheetData>
  <mergeCells count="7">
    <mergeCell ref="B63:N63"/>
    <mergeCell ref="B2:O2"/>
    <mergeCell ref="B57:N57"/>
    <mergeCell ref="B60:N60"/>
    <mergeCell ref="B59:N59"/>
    <mergeCell ref="B62:N62"/>
    <mergeCell ref="B61:N61"/>
  </mergeCells>
  <printOptions horizontalCentered="1"/>
  <pageMargins left="0.5" right="0.5" top="0.5" bottom="0.5" header="0.3" footer="0.3"/>
  <pageSetup scale="86" fitToHeight="0" orientation="landscape" r:id="rId1"/>
  <rowBreaks count="1" manualBreakCount="1">
    <brk id="31" min="1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38F0-2ADD-4254-A599-0B85F22DE49B}">
  <sheetPr>
    <tabColor rgb="FF7030A0"/>
    <pageSetUpPr fitToPage="1"/>
  </sheetPr>
  <dimension ref="B2:Q63"/>
  <sheetViews>
    <sheetView zoomScaleNormal="100" zoomScaleSheetLayoutView="80" workbookViewId="0">
      <pane ySplit="3" topLeftCell="A4" activePane="bottomLeft" state="frozen"/>
      <selection activeCell="H23" sqref="H23"/>
      <selection pane="bottomLeft" activeCell="H23" sqref="H23"/>
    </sheetView>
  </sheetViews>
  <sheetFormatPr defaultRowHeight="11.25" x14ac:dyDescent="0.2"/>
  <cols>
    <col min="1" max="1" width="2.140625" style="19" customWidth="1"/>
    <col min="2" max="2" width="32.5703125" style="19" customWidth="1"/>
    <col min="3" max="4" width="9.28515625" style="19" bestFit="1" customWidth="1"/>
    <col min="5" max="5" width="10.140625" style="19" bestFit="1" customWidth="1"/>
    <col min="6" max="6" width="9.7109375" style="19" customWidth="1"/>
    <col min="7" max="7" width="10.140625" style="19" bestFit="1" customWidth="1"/>
    <col min="8" max="8" width="7.85546875" style="19" bestFit="1" customWidth="1"/>
    <col min="9" max="9" width="8.85546875" style="19" bestFit="1" customWidth="1"/>
    <col min="10" max="10" width="9.7109375" style="19" bestFit="1" customWidth="1"/>
    <col min="11" max="11" width="8.85546875" style="19" bestFit="1" customWidth="1"/>
    <col min="12" max="12" width="9.5703125" style="19" bestFit="1" customWidth="1"/>
    <col min="13" max="13" width="9.42578125" style="19" bestFit="1" customWidth="1"/>
    <col min="14" max="14" width="8.85546875" style="19" bestFit="1" customWidth="1"/>
    <col min="15" max="15" width="4" style="19" customWidth="1"/>
    <col min="16" max="16" width="2.5703125" style="19" customWidth="1"/>
    <col min="17" max="17" width="29.140625" style="115" customWidth="1"/>
    <col min="18" max="16384" width="9.140625" style="19"/>
  </cols>
  <sheetData>
    <row r="2" spans="2:15" ht="33" customHeight="1" x14ac:dyDescent="0.2">
      <c r="B2" s="280" t="s">
        <v>204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</row>
    <row r="3" spans="2:15" s="22" customFormat="1" ht="69.75" customHeight="1" x14ac:dyDescent="0.2">
      <c r="B3" s="180" t="s">
        <v>3</v>
      </c>
      <c r="C3" s="180" t="s">
        <v>4</v>
      </c>
      <c r="D3" s="180" t="s">
        <v>85</v>
      </c>
      <c r="E3" s="180" t="s">
        <v>95</v>
      </c>
      <c r="F3" s="180" t="s">
        <v>115</v>
      </c>
      <c r="G3" s="203" t="s">
        <v>96</v>
      </c>
      <c r="H3" s="204" t="s">
        <v>103</v>
      </c>
      <c r="I3" s="204" t="s">
        <v>97</v>
      </c>
      <c r="J3" s="204" t="s">
        <v>98</v>
      </c>
      <c r="K3" s="204" t="s">
        <v>121</v>
      </c>
      <c r="L3" s="180" t="s">
        <v>122</v>
      </c>
      <c r="M3" s="204" t="s">
        <v>123</v>
      </c>
      <c r="N3" s="204" t="s">
        <v>124</v>
      </c>
      <c r="O3" s="205" t="s">
        <v>5</v>
      </c>
    </row>
    <row r="4" spans="2:15" ht="10.5" customHeight="1" x14ac:dyDescent="0.2">
      <c r="B4" s="206" t="s">
        <v>65</v>
      </c>
      <c r="C4" s="180" t="s">
        <v>66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ht="10.5" customHeight="1" x14ac:dyDescent="0.2">
      <c r="B5" s="206" t="s">
        <v>67</v>
      </c>
      <c r="C5" s="180" t="s">
        <v>66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2:15" ht="10.5" customHeight="1" x14ac:dyDescent="0.2">
      <c r="B6" s="206" t="s">
        <v>68</v>
      </c>
      <c r="C6" s="180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5" x14ac:dyDescent="0.2">
      <c r="B7" s="207" t="s">
        <v>69</v>
      </c>
      <c r="C7" s="23">
        <v>70</v>
      </c>
      <c r="D7" s="127">
        <v>0</v>
      </c>
      <c r="E7" s="23">
        <v>1</v>
      </c>
      <c r="F7" s="23">
        <f>C7*E7</f>
        <v>70</v>
      </c>
      <c r="G7" s="24">
        <v>0</v>
      </c>
      <c r="H7" s="23">
        <f>G7*F7</f>
        <v>0</v>
      </c>
      <c r="I7" s="24">
        <f>H7*0.1</f>
        <v>0</v>
      </c>
      <c r="J7" s="24">
        <f>H7*0.05</f>
        <v>0</v>
      </c>
      <c r="K7" s="133">
        <f>SUM(H7:J7)</f>
        <v>0</v>
      </c>
      <c r="L7" s="127">
        <f>ROUND(H7*Inputs!$F$47+I7*Inputs!$F$48+J7*Inputs!$F$49,0)</f>
        <v>0</v>
      </c>
      <c r="M7" s="127">
        <f>D7*E7*G7</f>
        <v>0</v>
      </c>
      <c r="N7" s="23">
        <v>0</v>
      </c>
      <c r="O7" s="23" t="s">
        <v>171</v>
      </c>
    </row>
    <row r="8" spans="2:15" x14ac:dyDescent="0.2">
      <c r="B8" s="207" t="s">
        <v>70</v>
      </c>
      <c r="C8" s="23"/>
      <c r="D8" s="127"/>
      <c r="E8" s="23"/>
      <c r="F8" s="23"/>
      <c r="G8" s="23"/>
      <c r="H8" s="23"/>
      <c r="I8" s="24"/>
      <c r="J8" s="24"/>
      <c r="K8" s="24"/>
      <c r="L8" s="127"/>
      <c r="M8" s="127"/>
      <c r="N8" s="23"/>
      <c r="O8" s="23" t="s">
        <v>33</v>
      </c>
    </row>
    <row r="9" spans="2:15" x14ac:dyDescent="0.2">
      <c r="B9" s="210" t="s">
        <v>213</v>
      </c>
      <c r="C9" s="23"/>
      <c r="D9" s="127"/>
      <c r="E9" s="23"/>
      <c r="F9" s="23"/>
      <c r="G9" s="24"/>
      <c r="H9" s="23"/>
      <c r="I9" s="24"/>
      <c r="J9" s="24"/>
      <c r="K9" s="133"/>
      <c r="L9" s="127"/>
      <c r="M9" s="127"/>
      <c r="N9" s="23"/>
      <c r="O9" s="23" t="s">
        <v>56</v>
      </c>
    </row>
    <row r="10" spans="2:15" x14ac:dyDescent="0.2">
      <c r="B10" s="209" t="s">
        <v>107</v>
      </c>
      <c r="C10" s="23">
        <v>0</v>
      </c>
      <c r="D10" s="127">
        <f>Inputs!F24</f>
        <v>1446000</v>
      </c>
      <c r="E10" s="23">
        <v>1</v>
      </c>
      <c r="F10" s="23">
        <f>C10*E10</f>
        <v>0</v>
      </c>
      <c r="G10" s="24">
        <f>Inputs!$E$5</f>
        <v>21</v>
      </c>
      <c r="H10" s="23">
        <f>G10*F10</f>
        <v>0</v>
      </c>
      <c r="I10" s="24">
        <f>H10*0.1</f>
        <v>0</v>
      </c>
      <c r="J10" s="24">
        <f>H10*0.05</f>
        <v>0</v>
      </c>
      <c r="K10" s="133">
        <f>SUM(H10:J10)</f>
        <v>0</v>
      </c>
      <c r="L10" s="127">
        <f>ROUND(H10*Inputs!$F$47+I10*Inputs!$F$48+J10*Inputs!$F$49,0)</f>
        <v>0</v>
      </c>
      <c r="M10" s="127">
        <f>D10*E10*G10</f>
        <v>30366000</v>
      </c>
      <c r="N10" s="23">
        <v>0</v>
      </c>
      <c r="O10" s="23"/>
    </row>
    <row r="11" spans="2:15" x14ac:dyDescent="0.2">
      <c r="B11" s="209" t="s">
        <v>108</v>
      </c>
      <c r="C11" s="23">
        <v>0</v>
      </c>
      <c r="D11" s="127">
        <f>Inputs!G24</f>
        <v>263000</v>
      </c>
      <c r="E11" s="23">
        <v>1</v>
      </c>
      <c r="F11" s="23">
        <f>C11*E11</f>
        <v>0</v>
      </c>
      <c r="G11" s="24">
        <f>G10+'YR2'!G11</f>
        <v>31</v>
      </c>
      <c r="H11" s="23">
        <f>G11*F11</f>
        <v>0</v>
      </c>
      <c r="I11" s="24">
        <f>H11*0.1</f>
        <v>0</v>
      </c>
      <c r="J11" s="24">
        <f>H11*0.05</f>
        <v>0</v>
      </c>
      <c r="K11" s="133">
        <f>SUM(H11:J11)</f>
        <v>0</v>
      </c>
      <c r="L11" s="127">
        <f>ROUND(H11*Inputs!$F$47+I11*Inputs!$F$48+J11*Inputs!$F$49,0)</f>
        <v>0</v>
      </c>
      <c r="M11" s="127">
        <f>D11*E11*G11</f>
        <v>8153000</v>
      </c>
      <c r="N11" s="23">
        <v>0</v>
      </c>
      <c r="O11" s="23"/>
    </row>
    <row r="12" spans="2:15" x14ac:dyDescent="0.2">
      <c r="B12" s="210" t="s">
        <v>214</v>
      </c>
      <c r="C12" s="23"/>
      <c r="D12" s="127"/>
      <c r="E12" s="23"/>
      <c r="F12" s="23"/>
      <c r="G12" s="23"/>
      <c r="H12" s="23"/>
      <c r="I12" s="24"/>
      <c r="J12" s="24"/>
      <c r="K12" s="24"/>
      <c r="L12" s="127"/>
      <c r="M12" s="127"/>
      <c r="N12" s="23"/>
      <c r="O12" s="23" t="s">
        <v>57</v>
      </c>
    </row>
    <row r="13" spans="2:15" x14ac:dyDescent="0.2">
      <c r="B13" s="209" t="s">
        <v>107</v>
      </c>
      <c r="C13" s="23">
        <v>0</v>
      </c>
      <c r="D13" s="127">
        <f>Inputs!C32</f>
        <v>46000</v>
      </c>
      <c r="E13" s="23">
        <v>1</v>
      </c>
      <c r="F13" s="23">
        <f>C13*E13</f>
        <v>0</v>
      </c>
      <c r="G13" s="24">
        <f>Inputs!$C$31-'YR2'!G13</f>
        <v>14</v>
      </c>
      <c r="H13" s="23">
        <f>G13*F13</f>
        <v>0</v>
      </c>
      <c r="I13" s="24">
        <f>H13*0.1</f>
        <v>0</v>
      </c>
      <c r="J13" s="24">
        <f>H13*0.05</f>
        <v>0</v>
      </c>
      <c r="K13" s="133">
        <f>SUM(H13:J13)</f>
        <v>0</v>
      </c>
      <c r="L13" s="127">
        <f>ROUND(H13*Inputs!$F$47+I13*Inputs!$F$48+J13*Inputs!$F$49,0)</f>
        <v>0</v>
      </c>
      <c r="M13" s="127">
        <f>D13*E13*G13</f>
        <v>644000</v>
      </c>
      <c r="N13" s="23">
        <v>0</v>
      </c>
      <c r="O13" s="23"/>
    </row>
    <row r="14" spans="2:15" x14ac:dyDescent="0.2">
      <c r="B14" s="209" t="s">
        <v>108</v>
      </c>
      <c r="C14" s="23">
        <v>0</v>
      </c>
      <c r="D14" s="127">
        <f>Inputs!D32</f>
        <v>6200</v>
      </c>
      <c r="E14" s="23">
        <v>1</v>
      </c>
      <c r="F14" s="23">
        <f>C14*E14</f>
        <v>0</v>
      </c>
      <c r="G14" s="24">
        <f>G13+'YR2'!G14</f>
        <v>21</v>
      </c>
      <c r="H14" s="23">
        <f>G14*F14</f>
        <v>0</v>
      </c>
      <c r="I14" s="24">
        <f>H14*0.1</f>
        <v>0</v>
      </c>
      <c r="J14" s="24">
        <f>H14*0.05</f>
        <v>0</v>
      </c>
      <c r="K14" s="133">
        <f>SUM(H14:J14)</f>
        <v>0</v>
      </c>
      <c r="L14" s="127">
        <f>ROUND(H14*Inputs!$F$47+I14*Inputs!$F$48+J14*Inputs!$F$49,0)</f>
        <v>0</v>
      </c>
      <c r="M14" s="127">
        <f>D14*E14*G14</f>
        <v>130200</v>
      </c>
      <c r="N14" s="23">
        <v>0</v>
      </c>
      <c r="O14" s="23"/>
    </row>
    <row r="15" spans="2:15" x14ac:dyDescent="0.2">
      <c r="B15" s="210" t="s">
        <v>215</v>
      </c>
      <c r="C15" s="23"/>
      <c r="D15" s="127"/>
      <c r="E15" s="23"/>
      <c r="F15" s="23"/>
      <c r="G15" s="23"/>
      <c r="H15" s="23"/>
      <c r="I15" s="24"/>
      <c r="J15" s="24"/>
      <c r="K15" s="24"/>
      <c r="L15" s="127"/>
      <c r="M15" s="127"/>
      <c r="N15" s="23"/>
      <c r="O15" s="23"/>
    </row>
    <row r="16" spans="2:15" x14ac:dyDescent="0.2">
      <c r="B16" s="209" t="s">
        <v>107</v>
      </c>
      <c r="C16" s="23">
        <v>0</v>
      </c>
      <c r="D16" s="127">
        <f>Inputs!C40</f>
        <v>4400</v>
      </c>
      <c r="E16" s="23">
        <v>1</v>
      </c>
      <c r="F16" s="23">
        <f>C16*E16</f>
        <v>0</v>
      </c>
      <c r="G16" s="24">
        <f>Inputs!$E$5</f>
        <v>21</v>
      </c>
      <c r="H16" s="23">
        <f>G16*F16</f>
        <v>0</v>
      </c>
      <c r="I16" s="24">
        <f>H16*0.1</f>
        <v>0</v>
      </c>
      <c r="J16" s="24">
        <f>H16*0.05</f>
        <v>0</v>
      </c>
      <c r="K16" s="133">
        <f>SUM(H16:J16)</f>
        <v>0</v>
      </c>
      <c r="L16" s="127">
        <f>ROUND(H16*Inputs!$F$47+I16*Inputs!$F$48+J16*Inputs!$F$49,0)</f>
        <v>0</v>
      </c>
      <c r="M16" s="127">
        <f>D16*E16*G16</f>
        <v>92400</v>
      </c>
      <c r="N16" s="23">
        <v>0</v>
      </c>
      <c r="O16" s="23"/>
    </row>
    <row r="17" spans="2:15" x14ac:dyDescent="0.2">
      <c r="B17" s="209" t="s">
        <v>108</v>
      </c>
      <c r="C17" s="23">
        <v>0</v>
      </c>
      <c r="D17" s="127">
        <f>Inputs!D40</f>
        <v>900</v>
      </c>
      <c r="E17" s="23">
        <v>1</v>
      </c>
      <c r="F17" s="23">
        <f>C17*E17</f>
        <v>0</v>
      </c>
      <c r="G17" s="24">
        <f>G16+'YR2'!G17</f>
        <v>31</v>
      </c>
      <c r="H17" s="23">
        <f>G17*F17</f>
        <v>0</v>
      </c>
      <c r="I17" s="24">
        <f>H17*0.1</f>
        <v>0</v>
      </c>
      <c r="J17" s="24">
        <f>H17*0.05</f>
        <v>0</v>
      </c>
      <c r="K17" s="133">
        <f>SUM(H17:J17)</f>
        <v>0</v>
      </c>
      <c r="L17" s="127">
        <f>ROUND(H17*Inputs!$F$47+I17*Inputs!$F$48+J17*Inputs!$F$49,0)</f>
        <v>0</v>
      </c>
      <c r="M17" s="127">
        <f>D17*E17*G17</f>
        <v>27900</v>
      </c>
      <c r="N17" s="23">
        <v>0</v>
      </c>
      <c r="O17" s="23"/>
    </row>
    <row r="18" spans="2:15" x14ac:dyDescent="0.2">
      <c r="B18" s="207" t="s">
        <v>71</v>
      </c>
      <c r="C18" s="23" t="s">
        <v>73</v>
      </c>
      <c r="D18" s="127"/>
      <c r="E18" s="23"/>
      <c r="F18" s="23"/>
      <c r="G18" s="23"/>
      <c r="H18" s="23"/>
      <c r="I18" s="24"/>
      <c r="J18" s="24"/>
      <c r="K18" s="24"/>
      <c r="L18" s="127"/>
      <c r="M18" s="127"/>
      <c r="N18" s="23"/>
      <c r="O18" s="23"/>
    </row>
    <row r="19" spans="2:15" x14ac:dyDescent="0.2">
      <c r="B19" s="207" t="s">
        <v>72</v>
      </c>
      <c r="C19" s="23" t="s">
        <v>74</v>
      </c>
      <c r="D19" s="127"/>
      <c r="E19" s="23"/>
      <c r="F19" s="23"/>
      <c r="G19" s="23"/>
      <c r="H19" s="23"/>
      <c r="I19" s="24"/>
      <c r="J19" s="24"/>
      <c r="K19" s="24"/>
      <c r="L19" s="127"/>
      <c r="M19" s="127"/>
      <c r="N19" s="23"/>
      <c r="O19" s="23"/>
    </row>
    <row r="20" spans="2:15" x14ac:dyDescent="0.2">
      <c r="B20" s="207" t="s">
        <v>75</v>
      </c>
      <c r="C20" s="23"/>
      <c r="D20" s="127"/>
      <c r="E20" s="23"/>
      <c r="F20" s="23"/>
      <c r="G20" s="23"/>
      <c r="H20" s="23"/>
      <c r="I20" s="24"/>
      <c r="J20" s="24"/>
      <c r="K20" s="24"/>
      <c r="L20" s="127"/>
      <c r="M20" s="127"/>
      <c r="N20" s="23"/>
      <c r="O20" s="23" t="s">
        <v>33</v>
      </c>
    </row>
    <row r="21" spans="2:15" x14ac:dyDescent="0.2">
      <c r="B21" s="208" t="s">
        <v>216</v>
      </c>
      <c r="C21" s="23"/>
      <c r="D21" s="127"/>
      <c r="E21" s="23"/>
      <c r="F21" s="23"/>
      <c r="G21" s="23"/>
      <c r="H21" s="23"/>
      <c r="I21" s="24"/>
      <c r="J21" s="24"/>
      <c r="K21" s="133"/>
      <c r="L21" s="127"/>
      <c r="M21" s="127"/>
      <c r="N21" s="23"/>
      <c r="O21" s="23"/>
    </row>
    <row r="22" spans="2:15" x14ac:dyDescent="0.2">
      <c r="B22" s="209" t="s">
        <v>126</v>
      </c>
      <c r="C22" s="23">
        <v>5</v>
      </c>
      <c r="D22" s="127">
        <v>0</v>
      </c>
      <c r="E22" s="23">
        <v>1</v>
      </c>
      <c r="F22" s="23">
        <f t="shared" ref="F22:F23" si="0">C22*E22</f>
        <v>5</v>
      </c>
      <c r="G22" s="24">
        <f>G11</f>
        <v>31</v>
      </c>
      <c r="H22" s="23">
        <f t="shared" ref="H22:H23" si="1">G22*F22</f>
        <v>155</v>
      </c>
      <c r="I22" s="24">
        <f t="shared" ref="I22:I23" si="2">H22*0.1</f>
        <v>15.5</v>
      </c>
      <c r="J22" s="24">
        <f t="shared" ref="J22:J23" si="3">H22*0.05</f>
        <v>7.75</v>
      </c>
      <c r="K22" s="133">
        <f t="shared" ref="K22:K23" si="4">SUM(H22:J22)</f>
        <v>178.25</v>
      </c>
      <c r="L22" s="127">
        <f>ROUND(H22*Inputs!$F$47+I22*Inputs!$F$48+J22*Inputs!$F$49,0)</f>
        <v>15529</v>
      </c>
      <c r="M22" s="127">
        <f t="shared" ref="M22:M23" si="5">D22*E22*G22</f>
        <v>0</v>
      </c>
      <c r="N22" s="23">
        <f t="shared" ref="N22:N23" si="6">G22*E22</f>
        <v>31</v>
      </c>
      <c r="O22" s="23"/>
    </row>
    <row r="23" spans="2:15" x14ac:dyDescent="0.2">
      <c r="B23" s="209" t="s">
        <v>127</v>
      </c>
      <c r="C23" s="23">
        <v>15</v>
      </c>
      <c r="D23" s="127">
        <v>0</v>
      </c>
      <c r="E23" s="23">
        <v>1</v>
      </c>
      <c r="F23" s="23">
        <f t="shared" si="0"/>
        <v>15</v>
      </c>
      <c r="G23" s="24">
        <f>G14</f>
        <v>21</v>
      </c>
      <c r="H23" s="23">
        <f t="shared" si="1"/>
        <v>315</v>
      </c>
      <c r="I23" s="24">
        <f t="shared" si="2"/>
        <v>31.5</v>
      </c>
      <c r="J23" s="24">
        <f t="shared" si="3"/>
        <v>15.75</v>
      </c>
      <c r="K23" s="133">
        <f t="shared" si="4"/>
        <v>362.25</v>
      </c>
      <c r="L23" s="127">
        <f>ROUND(H23*Inputs!$F$47+I23*Inputs!$F$48+J23*Inputs!$F$49,0)</f>
        <v>31560</v>
      </c>
      <c r="M23" s="127">
        <f t="shared" si="5"/>
        <v>0</v>
      </c>
      <c r="N23" s="23">
        <f t="shared" si="6"/>
        <v>21</v>
      </c>
      <c r="O23" s="23"/>
    </row>
    <row r="24" spans="2:15" x14ac:dyDescent="0.2">
      <c r="B24" s="210" t="s">
        <v>217</v>
      </c>
      <c r="C24" s="23"/>
      <c r="D24" s="127"/>
      <c r="E24" s="23"/>
      <c r="F24" s="23"/>
      <c r="G24" s="24"/>
      <c r="H24" s="23"/>
      <c r="I24" s="24"/>
      <c r="J24" s="24"/>
      <c r="K24" s="133"/>
      <c r="L24" s="127"/>
      <c r="M24" s="127"/>
      <c r="N24" s="23"/>
      <c r="O24" s="23"/>
    </row>
    <row r="25" spans="2:15" x14ac:dyDescent="0.2">
      <c r="B25" s="209" t="s">
        <v>126</v>
      </c>
      <c r="C25" s="23">
        <v>5</v>
      </c>
      <c r="D25" s="127">
        <v>0</v>
      </c>
      <c r="E25" s="23">
        <v>2</v>
      </c>
      <c r="F25" s="23">
        <f t="shared" ref="F25:F30" si="7">C25*E25</f>
        <v>10</v>
      </c>
      <c r="G25" s="24">
        <f>G11</f>
        <v>31</v>
      </c>
      <c r="H25" s="23">
        <f t="shared" ref="H25:H30" si="8">G25*F25</f>
        <v>310</v>
      </c>
      <c r="I25" s="24">
        <f t="shared" ref="I25:I30" si="9">H25*0.1</f>
        <v>31</v>
      </c>
      <c r="J25" s="24">
        <f t="shared" ref="J25:J30" si="10">H25*0.05</f>
        <v>15.5</v>
      </c>
      <c r="K25" s="133">
        <f t="shared" ref="K25:K30" si="11">SUM(H25:J25)</f>
        <v>356.5</v>
      </c>
      <c r="L25" s="127">
        <f>ROUND(H25*Inputs!$F$47+I25*Inputs!$F$48+J25*Inputs!$F$49,0)</f>
        <v>31059</v>
      </c>
      <c r="M25" s="127">
        <f t="shared" ref="M25:M30" si="12">D25*E25*G25</f>
        <v>0</v>
      </c>
      <c r="N25" s="23">
        <f>G25*E25</f>
        <v>62</v>
      </c>
      <c r="O25" s="23"/>
    </row>
    <row r="26" spans="2:15" x14ac:dyDescent="0.2">
      <c r="B26" s="209" t="s">
        <v>127</v>
      </c>
      <c r="C26" s="23">
        <v>10</v>
      </c>
      <c r="D26" s="127">
        <v>0</v>
      </c>
      <c r="E26" s="23">
        <v>2</v>
      </c>
      <c r="F26" s="23">
        <f t="shared" si="7"/>
        <v>20</v>
      </c>
      <c r="G26" s="24">
        <f>G14</f>
        <v>21</v>
      </c>
      <c r="H26" s="23">
        <f t="shared" si="8"/>
        <v>420</v>
      </c>
      <c r="I26" s="24">
        <f t="shared" si="9"/>
        <v>42</v>
      </c>
      <c r="J26" s="24">
        <f t="shared" si="10"/>
        <v>21</v>
      </c>
      <c r="K26" s="133">
        <f t="shared" si="11"/>
        <v>483</v>
      </c>
      <c r="L26" s="127">
        <f>ROUND(H26*Inputs!$F$47+I26*Inputs!$F$48+J26*Inputs!$F$49,0)</f>
        <v>42080</v>
      </c>
      <c r="M26" s="127">
        <f t="shared" si="12"/>
        <v>0</v>
      </c>
      <c r="N26" s="23">
        <f t="shared" ref="N26:N30" si="13">G26*E26</f>
        <v>42</v>
      </c>
      <c r="O26" s="23"/>
    </row>
    <row r="27" spans="2:15" x14ac:dyDescent="0.2">
      <c r="B27" s="268" t="s">
        <v>211</v>
      </c>
      <c r="C27" s="269">
        <v>4</v>
      </c>
      <c r="D27" s="270">
        <v>0</v>
      </c>
      <c r="E27" s="269">
        <v>2</v>
      </c>
      <c r="F27" s="269">
        <f t="shared" si="7"/>
        <v>8</v>
      </c>
      <c r="G27" s="271">
        <f>Inputs!C3</f>
        <v>26</v>
      </c>
      <c r="H27" s="269">
        <f t="shared" si="8"/>
        <v>208</v>
      </c>
      <c r="I27" s="271">
        <f t="shared" si="9"/>
        <v>20.8</v>
      </c>
      <c r="J27" s="271">
        <f t="shared" si="10"/>
        <v>10.4</v>
      </c>
      <c r="K27" s="272">
        <f t="shared" si="11"/>
        <v>239.20000000000002</v>
      </c>
      <c r="L27" s="270">
        <f>ROUND(H27*Inputs!$F$47+I27*Inputs!$F$48+J27*Inputs!$F$49,0)</f>
        <v>20840</v>
      </c>
      <c r="M27" s="270">
        <f t="shared" si="12"/>
        <v>0</v>
      </c>
      <c r="N27" s="269">
        <f t="shared" si="13"/>
        <v>52</v>
      </c>
      <c r="O27" s="269"/>
    </row>
    <row r="28" spans="2:15" x14ac:dyDescent="0.2">
      <c r="B28" s="209" t="s">
        <v>128</v>
      </c>
      <c r="C28" s="23">
        <v>4</v>
      </c>
      <c r="D28" s="127">
        <v>0</v>
      </c>
      <c r="E28" s="23">
        <v>2</v>
      </c>
      <c r="F28" s="23">
        <f t="shared" si="7"/>
        <v>8</v>
      </c>
      <c r="G28" s="24">
        <f>Inputs!$C$3+Inputs!$C$4</f>
        <v>31</v>
      </c>
      <c r="H28" s="23">
        <f t="shared" si="8"/>
        <v>248</v>
      </c>
      <c r="I28" s="24">
        <f t="shared" si="9"/>
        <v>24.8</v>
      </c>
      <c r="J28" s="24">
        <f t="shared" si="10"/>
        <v>12.4</v>
      </c>
      <c r="K28" s="133">
        <f t="shared" si="11"/>
        <v>285.2</v>
      </c>
      <c r="L28" s="127">
        <f>ROUND(H28*Inputs!$F$47+I28*Inputs!$F$48+J28*Inputs!$F$49,0)</f>
        <v>24847</v>
      </c>
      <c r="M28" s="127">
        <f t="shared" si="12"/>
        <v>0</v>
      </c>
      <c r="N28" s="23">
        <f t="shared" si="13"/>
        <v>62</v>
      </c>
      <c r="O28" s="23"/>
    </row>
    <row r="29" spans="2:15" x14ac:dyDescent="0.2">
      <c r="B29" s="209" t="s">
        <v>208</v>
      </c>
      <c r="C29" s="23">
        <v>4</v>
      </c>
      <c r="D29" s="127">
        <v>0</v>
      </c>
      <c r="E29" s="23">
        <v>2</v>
      </c>
      <c r="F29" s="23">
        <f t="shared" si="7"/>
        <v>8</v>
      </c>
      <c r="G29" s="24">
        <v>0</v>
      </c>
      <c r="H29" s="23">
        <f t="shared" si="8"/>
        <v>0</v>
      </c>
      <c r="I29" s="24">
        <f t="shared" si="9"/>
        <v>0</v>
      </c>
      <c r="J29" s="24">
        <f t="shared" si="10"/>
        <v>0</v>
      </c>
      <c r="K29" s="133">
        <f t="shared" si="11"/>
        <v>0</v>
      </c>
      <c r="L29" s="127">
        <f>ROUND(H29*Inputs!$F$47+I29*Inputs!$F$48+J29*Inputs!$F$49,0)</f>
        <v>0</v>
      </c>
      <c r="M29" s="127">
        <f t="shared" si="12"/>
        <v>0</v>
      </c>
      <c r="N29" s="23">
        <f t="shared" si="13"/>
        <v>0</v>
      </c>
      <c r="O29" s="23" t="s">
        <v>90</v>
      </c>
    </row>
    <row r="30" spans="2:15" x14ac:dyDescent="0.2">
      <c r="B30" s="209" t="s">
        <v>209</v>
      </c>
      <c r="C30" s="23">
        <v>3</v>
      </c>
      <c r="D30" s="127">
        <v>0</v>
      </c>
      <c r="E30" s="23">
        <v>2</v>
      </c>
      <c r="F30" s="23">
        <f t="shared" si="7"/>
        <v>6</v>
      </c>
      <c r="G30" s="24">
        <f>G17</f>
        <v>31</v>
      </c>
      <c r="H30" s="23">
        <f t="shared" si="8"/>
        <v>186</v>
      </c>
      <c r="I30" s="24">
        <f t="shared" si="9"/>
        <v>18.600000000000001</v>
      </c>
      <c r="J30" s="24">
        <f t="shared" si="10"/>
        <v>9.3000000000000007</v>
      </c>
      <c r="K30" s="133">
        <f t="shared" si="11"/>
        <v>213.9</v>
      </c>
      <c r="L30" s="127">
        <f>ROUND(H30*Inputs!$F$47+I30*Inputs!$F$48+J30*Inputs!$F$49,0)</f>
        <v>18635</v>
      </c>
      <c r="M30" s="127">
        <f t="shared" si="12"/>
        <v>0</v>
      </c>
      <c r="N30" s="23">
        <f t="shared" si="13"/>
        <v>62</v>
      </c>
      <c r="O30" s="23"/>
    </row>
    <row r="31" spans="2:15" x14ac:dyDescent="0.2">
      <c r="B31" s="211" t="s">
        <v>76</v>
      </c>
      <c r="C31" s="23"/>
      <c r="D31" s="127"/>
      <c r="E31" s="23"/>
      <c r="F31" s="23"/>
      <c r="G31" s="23"/>
      <c r="H31" s="181">
        <f>SUM(H7:H30)</f>
        <v>1842</v>
      </c>
      <c r="I31" s="181">
        <f>SUM(I7:I30)</f>
        <v>184.20000000000002</v>
      </c>
      <c r="J31" s="181">
        <f>SUM(J7:J30)</f>
        <v>92.100000000000009</v>
      </c>
      <c r="K31" s="181">
        <f>SUM(K7:K30)</f>
        <v>2118.3000000000002</v>
      </c>
      <c r="L31" s="127">
        <f>SUM(L7:L30)</f>
        <v>184550</v>
      </c>
      <c r="M31" s="127">
        <f>SUM(M7:M30)-M10-M13-M16</f>
        <v>8311100</v>
      </c>
      <c r="N31" s="181">
        <f>SUM(N7:N30)</f>
        <v>332</v>
      </c>
      <c r="O31" s="23"/>
    </row>
    <row r="32" spans="2:15" x14ac:dyDescent="0.2">
      <c r="B32" s="206" t="s">
        <v>61</v>
      </c>
      <c r="C32" s="23"/>
      <c r="D32" s="127"/>
      <c r="E32" s="23"/>
      <c r="F32" s="23"/>
      <c r="G32" s="23"/>
      <c r="H32" s="23"/>
      <c r="I32" s="24"/>
      <c r="J32" s="24"/>
      <c r="K32" s="24"/>
      <c r="L32" s="127"/>
      <c r="M32" s="127"/>
      <c r="N32" s="23"/>
      <c r="O32" s="23" t="s">
        <v>33</v>
      </c>
    </row>
    <row r="33" spans="2:17" x14ac:dyDescent="0.2">
      <c r="B33" s="207" t="s">
        <v>62</v>
      </c>
      <c r="C33" s="23" t="s">
        <v>109</v>
      </c>
      <c r="D33" s="127"/>
      <c r="E33" s="23"/>
      <c r="F33" s="23"/>
      <c r="G33" s="23"/>
      <c r="H33" s="23"/>
      <c r="I33" s="24"/>
      <c r="J33" s="24"/>
      <c r="K33" s="24"/>
      <c r="L33" s="127"/>
      <c r="M33" s="127"/>
      <c r="N33" s="23"/>
      <c r="O33" s="23"/>
    </row>
    <row r="34" spans="2:17" x14ac:dyDescent="0.2">
      <c r="B34" s="207" t="s">
        <v>104</v>
      </c>
      <c r="C34" s="180" t="s">
        <v>66</v>
      </c>
      <c r="D34" s="127"/>
      <c r="E34" s="23"/>
      <c r="F34" s="23"/>
      <c r="G34" s="23"/>
      <c r="H34" s="23"/>
      <c r="I34" s="24"/>
      <c r="J34" s="24"/>
      <c r="K34" s="24"/>
      <c r="L34" s="127"/>
      <c r="M34" s="127"/>
      <c r="N34" s="23"/>
      <c r="O34" s="23"/>
    </row>
    <row r="35" spans="2:17" x14ac:dyDescent="0.2">
      <c r="B35" s="207" t="s">
        <v>63</v>
      </c>
      <c r="C35" s="180" t="s">
        <v>66</v>
      </c>
      <c r="D35" s="127"/>
      <c r="E35" s="23"/>
      <c r="F35" s="23"/>
      <c r="G35" s="23"/>
      <c r="H35" s="23"/>
      <c r="I35" s="24"/>
      <c r="J35" s="24"/>
      <c r="K35" s="24"/>
      <c r="L35" s="127"/>
      <c r="M35" s="127"/>
      <c r="N35" s="23"/>
      <c r="O35" s="23"/>
    </row>
    <row r="36" spans="2:17" x14ac:dyDescent="0.2">
      <c r="B36" s="207" t="s">
        <v>77</v>
      </c>
      <c r="C36" s="23"/>
      <c r="D36" s="127"/>
      <c r="E36" s="23"/>
      <c r="F36" s="23"/>
      <c r="G36" s="23"/>
      <c r="H36" s="23"/>
      <c r="I36" s="24"/>
      <c r="J36" s="24"/>
      <c r="K36" s="24"/>
      <c r="L36" s="127"/>
      <c r="M36" s="127"/>
      <c r="N36" s="23"/>
      <c r="O36" s="23"/>
    </row>
    <row r="37" spans="2:17" x14ac:dyDescent="0.2">
      <c r="B37" s="210" t="s">
        <v>218</v>
      </c>
      <c r="C37" s="267">
        <f>5/60</f>
        <v>8.3333333333333329E-2</v>
      </c>
      <c r="D37" s="127">
        <v>0</v>
      </c>
      <c r="E37" s="23">
        <v>365</v>
      </c>
      <c r="F37" s="24">
        <f t="shared" ref="F37:F41" si="14">C37*E37</f>
        <v>30.416666666666664</v>
      </c>
      <c r="G37" s="24">
        <f>Inputs!$C$5</f>
        <v>31</v>
      </c>
      <c r="H37" s="181">
        <f t="shared" ref="H37:H45" si="15">G37*F37</f>
        <v>942.91666666666663</v>
      </c>
      <c r="I37" s="181">
        <f t="shared" ref="I37:I45" si="16">H37*0.1</f>
        <v>94.291666666666671</v>
      </c>
      <c r="J37" s="181">
        <f t="shared" ref="J37:J45" si="17">H37*0.05</f>
        <v>47.145833333333336</v>
      </c>
      <c r="K37" s="183">
        <f t="shared" ref="K37:K45" si="18">SUM(H37:J37)</f>
        <v>1084.3541666666665</v>
      </c>
      <c r="L37" s="127">
        <f>ROUND(H37*Inputs!$F$47+I37*Inputs!$F$48+J37*Inputs!$F$49,0)</f>
        <v>94471</v>
      </c>
      <c r="M37" s="127">
        <f t="shared" ref="M37:M45" si="19">D37*E37*G37</f>
        <v>0</v>
      </c>
      <c r="N37" s="23">
        <v>0</v>
      </c>
      <c r="O37" s="23"/>
    </row>
    <row r="38" spans="2:17" x14ac:dyDescent="0.2">
      <c r="B38" s="210" t="s">
        <v>219</v>
      </c>
      <c r="C38" s="23">
        <v>2</v>
      </c>
      <c r="D38" s="127">
        <v>0</v>
      </c>
      <c r="E38" s="23">
        <v>10</v>
      </c>
      <c r="F38" s="23">
        <f t="shared" si="14"/>
        <v>20</v>
      </c>
      <c r="G38" s="24">
        <f>Inputs!$C$5</f>
        <v>31</v>
      </c>
      <c r="H38" s="181">
        <f t="shared" si="15"/>
        <v>620</v>
      </c>
      <c r="I38" s="181">
        <f t="shared" si="16"/>
        <v>62</v>
      </c>
      <c r="J38" s="181">
        <f t="shared" si="17"/>
        <v>31</v>
      </c>
      <c r="K38" s="183">
        <f t="shared" si="18"/>
        <v>713</v>
      </c>
      <c r="L38" s="127">
        <f>ROUND(H38*Inputs!$F$47+I38*Inputs!$F$48+J38*Inputs!$F$49,0)</f>
        <v>62118</v>
      </c>
      <c r="M38" s="127">
        <f t="shared" si="19"/>
        <v>0</v>
      </c>
      <c r="N38" s="23">
        <v>0</v>
      </c>
      <c r="O38" s="23"/>
    </row>
    <row r="39" spans="2:17" x14ac:dyDescent="0.2">
      <c r="B39" s="210" t="s">
        <v>220</v>
      </c>
      <c r="C39" s="23">
        <v>0.4</v>
      </c>
      <c r="D39" s="127">
        <v>0</v>
      </c>
      <c r="E39" s="23">
        <v>365</v>
      </c>
      <c r="F39" s="23">
        <f t="shared" si="14"/>
        <v>146</v>
      </c>
      <c r="G39" s="24">
        <f>G11</f>
        <v>31</v>
      </c>
      <c r="H39" s="181">
        <f t="shared" si="15"/>
        <v>4526</v>
      </c>
      <c r="I39" s="181">
        <f t="shared" si="16"/>
        <v>452.6</v>
      </c>
      <c r="J39" s="181">
        <f t="shared" si="17"/>
        <v>226.3</v>
      </c>
      <c r="K39" s="183">
        <f t="shared" si="18"/>
        <v>5204.9000000000005</v>
      </c>
      <c r="L39" s="127">
        <f>ROUND(H39*Inputs!$F$47+I39*Inputs!$F$48+J39*Inputs!$F$49,0)</f>
        <v>453460</v>
      </c>
      <c r="M39" s="127">
        <f t="shared" si="19"/>
        <v>0</v>
      </c>
      <c r="N39" s="23">
        <v>0</v>
      </c>
      <c r="O39" s="23"/>
    </row>
    <row r="40" spans="2:17" x14ac:dyDescent="0.2">
      <c r="B40" s="210" t="s">
        <v>221</v>
      </c>
      <c r="C40" s="23">
        <v>10</v>
      </c>
      <c r="D40" s="127">
        <v>0</v>
      </c>
      <c r="E40" s="23">
        <v>1</v>
      </c>
      <c r="F40" s="23">
        <f t="shared" si="14"/>
        <v>10</v>
      </c>
      <c r="G40" s="24">
        <f>G14</f>
        <v>21</v>
      </c>
      <c r="H40" s="181">
        <f t="shared" si="15"/>
        <v>210</v>
      </c>
      <c r="I40" s="181">
        <f t="shared" si="16"/>
        <v>21</v>
      </c>
      <c r="J40" s="181">
        <f t="shared" si="17"/>
        <v>10.5</v>
      </c>
      <c r="K40" s="183">
        <f t="shared" si="18"/>
        <v>241.5</v>
      </c>
      <c r="L40" s="127">
        <f>ROUND(H40*Inputs!$F$47+I40*Inputs!$F$48+J40*Inputs!$F$49,0)</f>
        <v>21040</v>
      </c>
      <c r="M40" s="127">
        <f t="shared" si="19"/>
        <v>0</v>
      </c>
      <c r="N40" s="23">
        <v>0</v>
      </c>
      <c r="O40" s="23"/>
    </row>
    <row r="41" spans="2:17" x14ac:dyDescent="0.2">
      <c r="B41" s="210" t="s">
        <v>207</v>
      </c>
      <c r="C41" s="23">
        <v>0</v>
      </c>
      <c r="D41" s="127">
        <v>0</v>
      </c>
      <c r="E41" s="23">
        <v>1</v>
      </c>
      <c r="F41" s="23">
        <f t="shared" si="14"/>
        <v>0</v>
      </c>
      <c r="G41" s="24">
        <f>G17</f>
        <v>31</v>
      </c>
      <c r="H41" s="181">
        <f t="shared" si="15"/>
        <v>0</v>
      </c>
      <c r="I41" s="181">
        <f t="shared" si="16"/>
        <v>0</v>
      </c>
      <c r="J41" s="181">
        <f t="shared" si="17"/>
        <v>0</v>
      </c>
      <c r="K41" s="183">
        <f t="shared" si="18"/>
        <v>0</v>
      </c>
      <c r="L41" s="127">
        <f>ROUND(H41*Inputs!$F$47+I41*Inputs!$F$48+J41*Inputs!$F$49,0)</f>
        <v>0</v>
      </c>
      <c r="M41" s="127">
        <f t="shared" si="19"/>
        <v>0</v>
      </c>
      <c r="N41" s="23">
        <v>0</v>
      </c>
      <c r="O41" s="23" t="s">
        <v>110</v>
      </c>
    </row>
    <row r="42" spans="2:17" x14ac:dyDescent="0.2">
      <c r="B42" s="210" t="s">
        <v>222</v>
      </c>
      <c r="C42" s="23">
        <v>25</v>
      </c>
      <c r="D42" s="127">
        <v>0</v>
      </c>
      <c r="E42" s="23">
        <v>1</v>
      </c>
      <c r="F42" s="23">
        <f>C42*E42</f>
        <v>25</v>
      </c>
      <c r="G42" s="24">
        <f>G28</f>
        <v>31</v>
      </c>
      <c r="H42" s="181">
        <f t="shared" si="15"/>
        <v>775</v>
      </c>
      <c r="I42" s="181">
        <f t="shared" si="16"/>
        <v>77.5</v>
      </c>
      <c r="J42" s="181">
        <f t="shared" si="17"/>
        <v>38.75</v>
      </c>
      <c r="K42" s="183">
        <f t="shared" si="18"/>
        <v>891.25</v>
      </c>
      <c r="L42" s="127">
        <f>ROUND(H42*Inputs!$F$47+I42*Inputs!$F$48+J42*Inputs!$F$49,0)</f>
        <v>77647</v>
      </c>
      <c r="M42" s="127">
        <f t="shared" si="19"/>
        <v>0</v>
      </c>
      <c r="N42" s="23">
        <v>0</v>
      </c>
      <c r="O42" s="23"/>
    </row>
    <row r="43" spans="2:17" x14ac:dyDescent="0.2">
      <c r="B43" s="210" t="s">
        <v>223</v>
      </c>
      <c r="C43" s="23">
        <v>0</v>
      </c>
      <c r="D43" s="127">
        <v>0</v>
      </c>
      <c r="E43" s="23">
        <v>1</v>
      </c>
      <c r="F43" s="23">
        <f t="shared" ref="F43" si="20">C43*E43</f>
        <v>0</v>
      </c>
      <c r="G43" s="24">
        <v>0</v>
      </c>
      <c r="H43" s="181">
        <f t="shared" si="15"/>
        <v>0</v>
      </c>
      <c r="I43" s="181">
        <f t="shared" si="16"/>
        <v>0</v>
      </c>
      <c r="J43" s="181">
        <f t="shared" si="17"/>
        <v>0</v>
      </c>
      <c r="K43" s="183">
        <f t="shared" si="18"/>
        <v>0</v>
      </c>
      <c r="L43" s="127">
        <f>ROUND(H43*Inputs!$F$47+I43*Inputs!$F$48+J43*Inputs!$F$49,0)</f>
        <v>0</v>
      </c>
      <c r="M43" s="127">
        <f t="shared" si="19"/>
        <v>0</v>
      </c>
      <c r="N43" s="23">
        <v>0</v>
      </c>
      <c r="O43" s="23"/>
    </row>
    <row r="44" spans="2:17" x14ac:dyDescent="0.2">
      <c r="B44" s="210" t="s">
        <v>224</v>
      </c>
      <c r="C44" s="23">
        <v>75</v>
      </c>
      <c r="D44" s="127">
        <v>0</v>
      </c>
      <c r="E44" s="23">
        <v>3</v>
      </c>
      <c r="F44" s="23">
        <f t="shared" ref="F44:F45" si="21">C44*E44</f>
        <v>225</v>
      </c>
      <c r="G44" s="24">
        <v>0</v>
      </c>
      <c r="H44" s="181">
        <f t="shared" si="15"/>
        <v>0</v>
      </c>
      <c r="I44" s="181">
        <f t="shared" si="16"/>
        <v>0</v>
      </c>
      <c r="J44" s="181">
        <f t="shared" si="17"/>
        <v>0</v>
      </c>
      <c r="K44" s="183">
        <f t="shared" si="18"/>
        <v>0</v>
      </c>
      <c r="L44" s="127">
        <f>ROUND(H44*Inputs!$F$47+I44*Inputs!$F$48+J44*Inputs!$F$49,0)</f>
        <v>0</v>
      </c>
      <c r="M44" s="127">
        <f t="shared" si="19"/>
        <v>0</v>
      </c>
      <c r="N44" s="23">
        <v>0</v>
      </c>
      <c r="O44" s="23" t="s">
        <v>22</v>
      </c>
    </row>
    <row r="45" spans="2:17" x14ac:dyDescent="0.2">
      <c r="B45" s="207" t="s">
        <v>78</v>
      </c>
      <c r="C45" s="23">
        <v>20</v>
      </c>
      <c r="D45" s="127">
        <v>0</v>
      </c>
      <c r="E45" s="23">
        <v>1</v>
      </c>
      <c r="F45" s="23">
        <f t="shared" si="21"/>
        <v>20</v>
      </c>
      <c r="G45" s="24">
        <f>Inputs!$C$3+Inputs!$C$4</f>
        <v>31</v>
      </c>
      <c r="H45" s="181">
        <f t="shared" si="15"/>
        <v>620</v>
      </c>
      <c r="I45" s="181">
        <f t="shared" si="16"/>
        <v>62</v>
      </c>
      <c r="J45" s="181">
        <f t="shared" si="17"/>
        <v>31</v>
      </c>
      <c r="K45" s="183">
        <f t="shared" si="18"/>
        <v>713</v>
      </c>
      <c r="L45" s="127">
        <f>ROUND(H45*Inputs!$F$47+I45*Inputs!$F$48+J45*Inputs!$F$49,0)</f>
        <v>62118</v>
      </c>
      <c r="M45" s="127">
        <f t="shared" si="19"/>
        <v>0</v>
      </c>
      <c r="N45" s="23">
        <v>0</v>
      </c>
      <c r="O45" s="23"/>
    </row>
    <row r="46" spans="2:17" x14ac:dyDescent="0.2">
      <c r="B46" s="207" t="s">
        <v>79</v>
      </c>
      <c r="C46" s="23" t="s">
        <v>66</v>
      </c>
      <c r="D46" s="127"/>
      <c r="E46" s="23"/>
      <c r="F46" s="23"/>
      <c r="G46" s="23"/>
      <c r="H46" s="181"/>
      <c r="I46" s="181"/>
      <c r="J46" s="181"/>
      <c r="K46" s="181"/>
      <c r="L46" s="127"/>
      <c r="M46" s="127"/>
      <c r="N46" s="23"/>
      <c r="O46" s="23"/>
    </row>
    <row r="47" spans="2:17" ht="12" thickBot="1" x14ac:dyDescent="0.25">
      <c r="B47" s="230" t="s">
        <v>64</v>
      </c>
      <c r="C47" s="231"/>
      <c r="D47" s="231"/>
      <c r="E47" s="231"/>
      <c r="F47" s="231"/>
      <c r="G47" s="231"/>
      <c r="H47" s="232">
        <f>SUM(H37:H45)</f>
        <v>7693.9166666666661</v>
      </c>
      <c r="I47" s="232">
        <f>SUM(I37:I45)</f>
        <v>769.39166666666665</v>
      </c>
      <c r="J47" s="232">
        <f>SUM(J37:J45)</f>
        <v>384.69583333333333</v>
      </c>
      <c r="K47" s="232">
        <f>SUM(K37:K45)</f>
        <v>8848.0041666666675</v>
      </c>
      <c r="L47" s="233">
        <f>SUM(L37:L45)</f>
        <v>770854</v>
      </c>
      <c r="M47" s="233">
        <f>SUM(M37:M44)</f>
        <v>0</v>
      </c>
      <c r="N47" s="234">
        <f>SUM(N37:N45)</f>
        <v>0</v>
      </c>
      <c r="O47" s="231"/>
    </row>
    <row r="48" spans="2:17" s="178" customFormat="1" ht="13.5" customHeight="1" thickTop="1" x14ac:dyDescent="0.25">
      <c r="B48" s="226" t="s">
        <v>36</v>
      </c>
      <c r="C48" s="227"/>
      <c r="D48" s="227"/>
      <c r="E48" s="227"/>
      <c r="F48" s="227"/>
      <c r="G48" s="227"/>
      <c r="H48" s="228">
        <f t="shared" ref="H48:N48" si="22">H47+H31</f>
        <v>9535.9166666666661</v>
      </c>
      <c r="I48" s="228">
        <f t="shared" si="22"/>
        <v>953.5916666666667</v>
      </c>
      <c r="J48" s="228">
        <f t="shared" si="22"/>
        <v>476.79583333333335</v>
      </c>
      <c r="K48" s="228">
        <f t="shared" si="22"/>
        <v>10966.304166666669</v>
      </c>
      <c r="L48" s="229">
        <f t="shared" si="22"/>
        <v>955404</v>
      </c>
      <c r="M48" s="229">
        <f t="shared" si="22"/>
        <v>8311100</v>
      </c>
      <c r="N48" s="227">
        <f t="shared" si="22"/>
        <v>332</v>
      </c>
      <c r="O48" s="227"/>
      <c r="Q48" s="179"/>
    </row>
    <row r="49" spans="2:15" ht="7.5" customHeight="1" x14ac:dyDescent="0.2">
      <c r="B49" s="219"/>
      <c r="C49" s="25"/>
      <c r="D49" s="25"/>
      <c r="E49" s="25"/>
      <c r="F49" s="25"/>
      <c r="G49" s="11"/>
      <c r="H49" s="9"/>
      <c r="I49" s="10"/>
      <c r="J49" s="10"/>
      <c r="K49" s="12"/>
      <c r="L49" s="12"/>
      <c r="M49" s="12"/>
      <c r="N49" s="25"/>
      <c r="O49" s="220"/>
    </row>
    <row r="50" spans="2:15" x14ac:dyDescent="0.2">
      <c r="B50" s="219"/>
      <c r="C50" s="25"/>
      <c r="D50" s="25"/>
      <c r="E50" s="25"/>
      <c r="F50" s="25"/>
      <c r="G50" s="9"/>
      <c r="H50" s="9"/>
      <c r="I50" s="10"/>
      <c r="J50" s="171" t="s">
        <v>59</v>
      </c>
      <c r="K50" s="171" t="s">
        <v>80</v>
      </c>
      <c r="L50" s="182" t="s">
        <v>81</v>
      </c>
      <c r="M50" s="182" t="s">
        <v>49</v>
      </c>
      <c r="N50" s="25"/>
      <c r="O50" s="220"/>
    </row>
    <row r="51" spans="2:15" x14ac:dyDescent="0.2">
      <c r="B51" s="219"/>
      <c r="C51" s="25"/>
      <c r="D51" s="25"/>
      <c r="E51" s="25"/>
      <c r="F51" s="25"/>
      <c r="G51" s="172" t="s">
        <v>82</v>
      </c>
      <c r="H51" s="173"/>
      <c r="I51" s="177"/>
      <c r="J51" s="171">
        <f>H48+I48+J48</f>
        <v>10966.304166666667</v>
      </c>
      <c r="K51" s="134">
        <f>L48</f>
        <v>955404</v>
      </c>
      <c r="L51" s="134">
        <f>M48</f>
        <v>8311100</v>
      </c>
      <c r="M51" s="134">
        <f>L51+K51</f>
        <v>9266504</v>
      </c>
      <c r="N51" s="25"/>
      <c r="O51" s="220"/>
    </row>
    <row r="52" spans="2:15" ht="7.5" customHeight="1" x14ac:dyDescent="0.2">
      <c r="B52" s="219"/>
      <c r="C52" s="25"/>
      <c r="D52" s="25"/>
      <c r="E52" s="25"/>
      <c r="F52" s="25"/>
      <c r="G52" s="11"/>
      <c r="H52" s="9"/>
      <c r="I52" s="10"/>
      <c r="J52" s="10"/>
      <c r="K52" s="12"/>
      <c r="L52" s="12"/>
      <c r="M52" s="12"/>
      <c r="N52" s="25"/>
      <c r="O52" s="220"/>
    </row>
    <row r="53" spans="2:15" x14ac:dyDescent="0.2">
      <c r="B53" s="219"/>
      <c r="C53" s="25"/>
      <c r="D53" s="25"/>
      <c r="E53" s="25"/>
      <c r="F53" s="25"/>
      <c r="G53" s="172" t="s">
        <v>83</v>
      </c>
      <c r="H53" s="173"/>
      <c r="I53" s="174"/>
      <c r="J53" s="174"/>
      <c r="K53" s="175"/>
      <c r="L53" s="176"/>
      <c r="M53" s="134">
        <f>L7+M10+M13+M16</f>
        <v>31102400</v>
      </c>
      <c r="N53" s="25"/>
      <c r="O53" s="220"/>
    </row>
    <row r="54" spans="2:15" x14ac:dyDescent="0.2">
      <c r="B54" s="221"/>
      <c r="C54" s="222"/>
      <c r="D54" s="222"/>
      <c r="E54" s="222"/>
      <c r="F54" s="222"/>
      <c r="G54" s="172" t="s">
        <v>84</v>
      </c>
      <c r="H54" s="223"/>
      <c r="I54" s="223"/>
      <c r="J54" s="223"/>
      <c r="K54" s="175"/>
      <c r="L54" s="224"/>
      <c r="M54" s="134">
        <f>M48</f>
        <v>8311100</v>
      </c>
      <c r="N54" s="222"/>
      <c r="O54" s="225"/>
    </row>
    <row r="55" spans="2:15" ht="8.25" customHeight="1" x14ac:dyDescent="0.2"/>
    <row r="56" spans="2:15" x14ac:dyDescent="0.2">
      <c r="B56" s="19" t="s">
        <v>99</v>
      </c>
      <c r="L56" s="26"/>
    </row>
    <row r="57" spans="2:15" ht="22.5" customHeight="1" x14ac:dyDescent="0.2">
      <c r="B57" s="279" t="s">
        <v>172</v>
      </c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</row>
    <row r="58" spans="2:15" x14ac:dyDescent="0.2">
      <c r="B58" s="19" t="s">
        <v>170</v>
      </c>
    </row>
    <row r="59" spans="2:15" ht="22.5" customHeight="1" x14ac:dyDescent="0.2">
      <c r="B59" s="279" t="s">
        <v>210</v>
      </c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</row>
    <row r="60" spans="2:15" ht="11.25" customHeight="1" x14ac:dyDescent="0.2">
      <c r="B60" s="279" t="s">
        <v>225</v>
      </c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</row>
    <row r="61" spans="2:15" x14ac:dyDescent="0.2">
      <c r="B61" s="279" t="s">
        <v>226</v>
      </c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</row>
    <row r="62" spans="2:15" ht="11.25" customHeight="1" x14ac:dyDescent="0.2">
      <c r="B62" s="279" t="s">
        <v>227</v>
      </c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</row>
    <row r="63" spans="2:15" ht="11.25" customHeight="1" x14ac:dyDescent="0.2">
      <c r="B63" s="279" t="s">
        <v>228</v>
      </c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</row>
  </sheetData>
  <mergeCells count="7">
    <mergeCell ref="B63:N63"/>
    <mergeCell ref="B2:O2"/>
    <mergeCell ref="B57:N57"/>
    <mergeCell ref="B60:N60"/>
    <mergeCell ref="B59:N59"/>
    <mergeCell ref="B62:N62"/>
    <mergeCell ref="B61:N61"/>
  </mergeCells>
  <printOptions horizontalCentered="1"/>
  <pageMargins left="0.5" right="0.5" top="0.5" bottom="0.5" header="0.3" footer="0.3"/>
  <pageSetup scale="86" fitToHeight="0" orientation="landscape" r:id="rId1"/>
  <rowBreaks count="1" manualBreakCount="1">
    <brk id="31" min="1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O15"/>
  <sheetViews>
    <sheetView zoomScaleNormal="100" workbookViewId="0">
      <selection activeCell="H23" sqref="H23"/>
    </sheetView>
  </sheetViews>
  <sheetFormatPr defaultRowHeight="14.25" x14ac:dyDescent="0.2"/>
  <cols>
    <col min="1" max="1" width="3.28515625" style="29" customWidth="1"/>
    <col min="2" max="2" width="13.28515625" style="29" customWidth="1"/>
    <col min="3" max="3" width="13.42578125" style="29" customWidth="1"/>
    <col min="4" max="4" width="12.42578125" style="29" customWidth="1"/>
    <col min="5" max="5" width="12.7109375" style="29" customWidth="1"/>
    <col min="6" max="6" width="13.5703125" style="29" customWidth="1"/>
    <col min="7" max="7" width="13.28515625" style="29" customWidth="1"/>
    <col min="8" max="8" width="22.28515625" style="29" customWidth="1"/>
    <col min="9" max="9" width="13" style="29" customWidth="1"/>
    <col min="10" max="10" width="9.140625" style="29"/>
    <col min="11" max="11" width="12.85546875" style="29" customWidth="1"/>
    <col min="12" max="16384" width="9.140625" style="29"/>
  </cols>
  <sheetData>
    <row r="1" spans="2:15" ht="39.75" customHeight="1" x14ac:dyDescent="0.25">
      <c r="B1" s="281" t="s">
        <v>173</v>
      </c>
      <c r="C1" s="281"/>
      <c r="D1" s="281"/>
      <c r="E1" s="281"/>
      <c r="F1" s="281"/>
      <c r="G1" s="281"/>
      <c r="H1" s="281"/>
      <c r="I1" s="281"/>
      <c r="J1" s="28"/>
      <c r="K1" s="28"/>
      <c r="L1" s="28"/>
      <c r="M1" s="28"/>
      <c r="N1" s="28"/>
      <c r="O1" s="28"/>
    </row>
    <row r="2" spans="2:15" ht="40.5" customHeight="1" thickBot="1" x14ac:dyDescent="0.25">
      <c r="B2" s="235" t="s">
        <v>41</v>
      </c>
      <c r="C2" s="236" t="s">
        <v>42</v>
      </c>
      <c r="D2" s="236" t="s">
        <v>44</v>
      </c>
      <c r="E2" s="236" t="s">
        <v>43</v>
      </c>
      <c r="F2" s="236" t="s">
        <v>45</v>
      </c>
      <c r="G2" s="236" t="s">
        <v>46</v>
      </c>
      <c r="H2" s="236" t="s">
        <v>47</v>
      </c>
      <c r="I2" s="236" t="s">
        <v>48</v>
      </c>
    </row>
    <row r="3" spans="2:15" ht="15" thickTop="1" x14ac:dyDescent="0.2">
      <c r="B3" s="237">
        <v>1</v>
      </c>
      <c r="C3" s="2">
        <f>'YR1'!H48</f>
        <v>9145</v>
      </c>
      <c r="D3" s="2">
        <f>'YR1'!I48</f>
        <v>914.5</v>
      </c>
      <c r="E3" s="2">
        <f>'YR1'!J48</f>
        <v>457.25</v>
      </c>
      <c r="F3" s="2">
        <f>SUM(C3:E3)</f>
        <v>10516.75</v>
      </c>
      <c r="G3" s="3">
        <f>'YR1'!L48</f>
        <v>916237</v>
      </c>
      <c r="H3" s="3">
        <f>'YR1'!M48</f>
        <v>0</v>
      </c>
      <c r="I3" s="3">
        <f>+G3+H3</f>
        <v>916237</v>
      </c>
    </row>
    <row r="4" spans="2:15" x14ac:dyDescent="0.2">
      <c r="B4" s="238">
        <v>2</v>
      </c>
      <c r="C4" s="4">
        <f>'YR2'!H48</f>
        <v>3493.1666666666665</v>
      </c>
      <c r="D4" s="4">
        <f>'YR2'!I48</f>
        <v>349.31666666666661</v>
      </c>
      <c r="E4" s="4">
        <f>'YR2'!J48</f>
        <v>174.6583333333333</v>
      </c>
      <c r="F4" s="4">
        <f>SUM(C4:E4)</f>
        <v>4017.1416666666664</v>
      </c>
      <c r="G4" s="5">
        <f>'YR2'!L48</f>
        <v>349978</v>
      </c>
      <c r="H4" s="5">
        <f>'YR2'!M48</f>
        <v>2682400</v>
      </c>
      <c r="I4" s="5">
        <f>+G4+H4</f>
        <v>3032378</v>
      </c>
    </row>
    <row r="5" spans="2:15" ht="15" thickBot="1" x14ac:dyDescent="0.25">
      <c r="B5" s="235">
        <v>3</v>
      </c>
      <c r="C5" s="6">
        <f>'YR3'!H48</f>
        <v>9535.9166666666661</v>
      </c>
      <c r="D5" s="6">
        <f>'YR3'!I48</f>
        <v>953.5916666666667</v>
      </c>
      <c r="E5" s="6">
        <f>'YR3'!J48</f>
        <v>476.79583333333335</v>
      </c>
      <c r="F5" s="6">
        <f>SUM(C5:E5)</f>
        <v>10966.304166666667</v>
      </c>
      <c r="G5" s="7">
        <f>'YR3'!L48</f>
        <v>955404</v>
      </c>
      <c r="H5" s="7">
        <f>'YR3'!M48</f>
        <v>8311100</v>
      </c>
      <c r="I5" s="7">
        <f>+G5+H5</f>
        <v>9266504</v>
      </c>
    </row>
    <row r="6" spans="2:15" ht="15" thickTop="1" x14ac:dyDescent="0.2">
      <c r="B6" s="237" t="s">
        <v>49</v>
      </c>
      <c r="C6" s="2">
        <f t="shared" ref="C6:I6" si="0">SUM(C3:C5)</f>
        <v>22174.083333333332</v>
      </c>
      <c r="D6" s="2">
        <f t="shared" si="0"/>
        <v>2217.4083333333333</v>
      </c>
      <c r="E6" s="2">
        <f t="shared" si="0"/>
        <v>1108.7041666666667</v>
      </c>
      <c r="F6" s="2">
        <f>SUM(F3:F5)</f>
        <v>25500.195833333331</v>
      </c>
      <c r="G6" s="3">
        <f t="shared" si="0"/>
        <v>2221619</v>
      </c>
      <c r="H6" s="3">
        <f t="shared" si="0"/>
        <v>10993500</v>
      </c>
      <c r="I6" s="3">
        <f t="shared" si="0"/>
        <v>13215119</v>
      </c>
    </row>
    <row r="7" spans="2:15" x14ac:dyDescent="0.2">
      <c r="B7" s="238" t="s">
        <v>50</v>
      </c>
      <c r="C7" s="4">
        <f t="shared" ref="C7:I7" si="1">AVERAGE(C3:C5)</f>
        <v>7391.3611111111104</v>
      </c>
      <c r="D7" s="4">
        <f t="shared" si="1"/>
        <v>739.13611111111106</v>
      </c>
      <c r="E7" s="4">
        <f t="shared" si="1"/>
        <v>369.56805555555553</v>
      </c>
      <c r="F7" s="4">
        <f>AVERAGE(F3:F5)</f>
        <v>8500.0652777777777</v>
      </c>
      <c r="G7" s="239">
        <f t="shared" si="1"/>
        <v>740539.66666666663</v>
      </c>
      <c r="H7" s="5">
        <f t="shared" si="1"/>
        <v>3664500</v>
      </c>
      <c r="I7" s="5">
        <f t="shared" si="1"/>
        <v>4405039.666666667</v>
      </c>
    </row>
    <row r="8" spans="2:15" x14ac:dyDescent="0.2">
      <c r="B8" s="240"/>
      <c r="C8" s="30"/>
      <c r="D8" s="30"/>
      <c r="E8" s="30"/>
      <c r="F8" s="30"/>
      <c r="G8" s="30"/>
      <c r="H8" s="30"/>
      <c r="I8" s="241"/>
    </row>
    <row r="9" spans="2:15" ht="30" customHeight="1" thickBot="1" x14ac:dyDescent="0.25">
      <c r="B9" s="235" t="s">
        <v>41</v>
      </c>
      <c r="C9" s="236" t="s">
        <v>116</v>
      </c>
      <c r="D9" s="236" t="s">
        <v>91</v>
      </c>
      <c r="E9" s="236" t="s">
        <v>92</v>
      </c>
      <c r="F9" s="236" t="s">
        <v>93</v>
      </c>
      <c r="G9" s="236" t="s">
        <v>59</v>
      </c>
      <c r="H9" s="242" t="s">
        <v>94</v>
      </c>
      <c r="I9" s="242" t="s">
        <v>114</v>
      </c>
    </row>
    <row r="10" spans="2:15" ht="15" thickTop="1" x14ac:dyDescent="0.2">
      <c r="B10" s="237">
        <v>1</v>
      </c>
      <c r="C10" s="2">
        <v>31</v>
      </c>
      <c r="D10" s="2">
        <f>'YR1'!N48</f>
        <v>0</v>
      </c>
      <c r="E10" s="2">
        <f>'YR1'!H31+'YR1'!I31+'YR1'!J31</f>
        <v>2495.5</v>
      </c>
      <c r="F10" s="2">
        <f>'YR1'!H47+'YR1'!I47+'YR1'!J47</f>
        <v>8021.25</v>
      </c>
      <c r="G10" s="2">
        <f>F10+E10</f>
        <v>10516.75</v>
      </c>
      <c r="H10" s="184" t="s">
        <v>229</v>
      </c>
      <c r="I10" s="110">
        <f>G10/4</f>
        <v>2629.1875</v>
      </c>
    </row>
    <row r="11" spans="2:15" x14ac:dyDescent="0.2">
      <c r="B11" s="238">
        <v>2</v>
      </c>
      <c r="C11" s="129">
        <v>31</v>
      </c>
      <c r="D11" s="129">
        <f>'YR2'!N48</f>
        <v>109</v>
      </c>
      <c r="E11" s="129">
        <f>'YR2'!H31+'YR2'!I31+'YR2'!J31</f>
        <v>677.35</v>
      </c>
      <c r="F11" s="129">
        <f>'YR2'!H47+'YR2'!I47+'YR2'!J47</f>
        <v>3339.7916666666665</v>
      </c>
      <c r="G11" s="2">
        <f>F11+E11</f>
        <v>4017.1416666666664</v>
      </c>
      <c r="H11" s="110">
        <f>G11/D11</f>
        <v>36.854510703363914</v>
      </c>
      <c r="I11" s="110">
        <f>G11/4</f>
        <v>1004.2854166666666</v>
      </c>
    </row>
    <row r="12" spans="2:15" ht="15" thickBot="1" x14ac:dyDescent="0.25">
      <c r="B12" s="235">
        <v>3</v>
      </c>
      <c r="C12" s="111">
        <v>31</v>
      </c>
      <c r="D12" s="111">
        <f>'YR3'!N48</f>
        <v>332</v>
      </c>
      <c r="E12" s="111">
        <f>'YR3'!H31+'YR3'!I31+'YR3'!J31</f>
        <v>2118.3000000000002</v>
      </c>
      <c r="F12" s="111">
        <f>'YR3'!H47+'YR3'!I47+'YR3'!J47</f>
        <v>8848.0041666666657</v>
      </c>
      <c r="G12" s="6">
        <f>F12+E12</f>
        <v>10966.304166666665</v>
      </c>
      <c r="H12" s="111">
        <f>G12/D12</f>
        <v>33.031036646586337</v>
      </c>
      <c r="I12" s="111">
        <f>G12/4</f>
        <v>2741.5760416666662</v>
      </c>
    </row>
    <row r="13" spans="2:15" ht="15" thickTop="1" x14ac:dyDescent="0.2">
      <c r="B13" s="237" t="s">
        <v>49</v>
      </c>
      <c r="C13" s="2">
        <v>31</v>
      </c>
      <c r="D13" s="2">
        <f>SUM(D10:D12)</f>
        <v>441</v>
      </c>
      <c r="E13" s="2">
        <f t="shared" ref="E13:G13" si="2">SUM(E10:E12)</f>
        <v>5291.15</v>
      </c>
      <c r="F13" s="2">
        <f t="shared" si="2"/>
        <v>20209.04583333333</v>
      </c>
      <c r="G13" s="2">
        <f t="shared" si="2"/>
        <v>25500.195833333331</v>
      </c>
      <c r="H13" s="110">
        <f>G13/D13</f>
        <v>57.82357331821617</v>
      </c>
      <c r="I13" s="110">
        <f>G13/4</f>
        <v>6375.0489583333328</v>
      </c>
    </row>
    <row r="14" spans="2:15" x14ac:dyDescent="0.2">
      <c r="B14" s="238" t="s">
        <v>50</v>
      </c>
      <c r="C14" s="4">
        <v>31</v>
      </c>
      <c r="D14" s="4">
        <f t="shared" ref="D14:G14" si="3">AVERAGE(D10:D12)</f>
        <v>147</v>
      </c>
      <c r="E14" s="4">
        <f t="shared" si="3"/>
        <v>1763.7166666666665</v>
      </c>
      <c r="F14" s="4">
        <f t="shared" si="3"/>
        <v>6736.3486111111097</v>
      </c>
      <c r="G14" s="4">
        <f t="shared" si="3"/>
        <v>8500.0652777777777</v>
      </c>
      <c r="H14" s="129">
        <f>G14/D14</f>
        <v>57.823573318216177</v>
      </c>
      <c r="I14" s="129">
        <f>G14/4</f>
        <v>2125.0163194444444</v>
      </c>
    </row>
    <row r="15" spans="2:15" x14ac:dyDescent="0.2">
      <c r="G15" s="112"/>
    </row>
  </sheetData>
  <mergeCells count="1">
    <mergeCell ref="B1:I1"/>
  </mergeCells>
  <printOptions horizontalCentered="1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</sheetPr>
  <dimension ref="B2:Z48"/>
  <sheetViews>
    <sheetView zoomScaleNormal="100" workbookViewId="0">
      <selection activeCell="I35" sqref="I35"/>
    </sheetView>
  </sheetViews>
  <sheetFormatPr defaultRowHeight="14.25" x14ac:dyDescent="0.2"/>
  <cols>
    <col min="1" max="1" width="4.140625" style="29" customWidth="1"/>
    <col min="2" max="4" width="3.140625" style="13" customWidth="1"/>
    <col min="5" max="5" width="40.28515625" style="13" customWidth="1"/>
    <col min="6" max="6" width="3.28515625" style="13" customWidth="1"/>
    <col min="7" max="9" width="11.28515625" style="13" customWidth="1"/>
    <col min="10" max="10" width="11.5703125" style="13" bestFit="1" customWidth="1"/>
    <col min="11" max="11" width="10.42578125" style="13" bestFit="1" customWidth="1"/>
    <col min="12" max="12" width="10.140625" style="13" bestFit="1" customWidth="1"/>
    <col min="13" max="13" width="8.42578125" style="13" bestFit="1" customWidth="1"/>
    <col min="14" max="14" width="3.5703125" style="13" customWidth="1"/>
    <col min="15" max="15" width="3.85546875" style="29" customWidth="1"/>
    <col min="16" max="16384" width="9.140625" style="29"/>
  </cols>
  <sheetData>
    <row r="2" spans="2:14" ht="29.25" customHeight="1" x14ac:dyDescent="0.25">
      <c r="B2" s="294" t="s">
        <v>178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2:14" x14ac:dyDescent="0.2">
      <c r="B3" s="243"/>
      <c r="C3" s="244"/>
      <c r="D3" s="244"/>
      <c r="E3" s="244"/>
      <c r="F3" s="244"/>
      <c r="G3" s="245" t="s">
        <v>6</v>
      </c>
      <c r="H3" s="246" t="s">
        <v>7</v>
      </c>
      <c r="I3" s="247" t="s">
        <v>8</v>
      </c>
      <c r="J3" s="247" t="s">
        <v>9</v>
      </c>
      <c r="K3" s="247" t="s">
        <v>10</v>
      </c>
      <c r="L3" s="248" t="s">
        <v>11</v>
      </c>
      <c r="M3" s="248" t="s">
        <v>120</v>
      </c>
      <c r="N3" s="292" t="s">
        <v>5</v>
      </c>
    </row>
    <row r="4" spans="2:14" ht="48.75" thickBot="1" x14ac:dyDescent="0.25">
      <c r="B4" s="295" t="s">
        <v>3</v>
      </c>
      <c r="C4" s="296"/>
      <c r="D4" s="296"/>
      <c r="E4" s="296"/>
      <c r="F4" s="297"/>
      <c r="G4" s="130" t="s">
        <v>12</v>
      </c>
      <c r="H4" s="131" t="s">
        <v>117</v>
      </c>
      <c r="I4" s="132" t="s">
        <v>100</v>
      </c>
      <c r="J4" s="132" t="s">
        <v>101</v>
      </c>
      <c r="K4" s="132" t="s">
        <v>102</v>
      </c>
      <c r="L4" s="132" t="s">
        <v>118</v>
      </c>
      <c r="M4" s="132" t="s">
        <v>119</v>
      </c>
      <c r="N4" s="293"/>
    </row>
    <row r="5" spans="2:14" ht="12" customHeight="1" thickTop="1" x14ac:dyDescent="0.2">
      <c r="B5" s="249" t="s">
        <v>13</v>
      </c>
      <c r="C5" s="32" t="s">
        <v>14</v>
      </c>
      <c r="D5" s="33"/>
      <c r="E5" s="33"/>
      <c r="F5" s="34"/>
      <c r="G5" s="298" t="s">
        <v>15</v>
      </c>
      <c r="H5" s="299"/>
      <c r="I5" s="299"/>
      <c r="J5" s="299"/>
      <c r="K5" s="299"/>
      <c r="L5" s="299"/>
      <c r="M5" s="299"/>
      <c r="N5" s="300"/>
    </row>
    <row r="6" spans="2:14" ht="12" customHeight="1" x14ac:dyDescent="0.2">
      <c r="B6" s="250" t="s">
        <v>16</v>
      </c>
      <c r="C6" s="35" t="s">
        <v>17</v>
      </c>
      <c r="D6" s="35"/>
      <c r="E6" s="35"/>
      <c r="F6" s="36"/>
      <c r="G6" s="185">
        <v>11</v>
      </c>
      <c r="H6" s="136">
        <v>70</v>
      </c>
      <c r="I6" s="136">
        <f>(G6*H6)</f>
        <v>770</v>
      </c>
      <c r="J6" s="136">
        <f>I6*0.05</f>
        <v>38.5</v>
      </c>
      <c r="K6" s="136">
        <f>I6*0.1</f>
        <v>77</v>
      </c>
      <c r="L6" s="136">
        <f>SUM(I6:K6)</f>
        <v>885.5</v>
      </c>
      <c r="M6" s="137">
        <f>I6*Inputs!$D$56+J6*Inputs!$D$57+K6*Inputs!$D$58</f>
        <v>41118.000000000015</v>
      </c>
      <c r="N6" s="137" t="s">
        <v>37</v>
      </c>
    </row>
    <row r="7" spans="2:14" ht="12" customHeight="1" x14ac:dyDescent="0.2">
      <c r="B7" s="251" t="s">
        <v>18</v>
      </c>
      <c r="C7" s="37" t="s">
        <v>19</v>
      </c>
      <c r="D7" s="37"/>
      <c r="E7" s="37"/>
      <c r="F7" s="38"/>
      <c r="G7" s="283"/>
      <c r="H7" s="284"/>
      <c r="I7" s="284"/>
      <c r="J7" s="284"/>
      <c r="K7" s="284"/>
      <c r="L7" s="284"/>
      <c r="M7" s="284"/>
      <c r="N7" s="285"/>
    </row>
    <row r="8" spans="2:14" ht="12" customHeight="1" x14ac:dyDescent="0.2">
      <c r="B8" s="252">
        <v>0.08</v>
      </c>
      <c r="C8" s="39" t="s">
        <v>20</v>
      </c>
      <c r="D8" s="289" t="s">
        <v>21</v>
      </c>
      <c r="E8" s="290"/>
      <c r="F8" s="291"/>
      <c r="G8" s="138">
        <v>0</v>
      </c>
      <c r="H8" s="139">
        <v>16</v>
      </c>
      <c r="I8" s="140">
        <f>(G8*H8)</f>
        <v>0</v>
      </c>
      <c r="J8" s="140">
        <f>I8*0.05</f>
        <v>0</v>
      </c>
      <c r="K8" s="140">
        <f>I8*0.1</f>
        <v>0</v>
      </c>
      <c r="L8" s="136">
        <f>SUM(I8:K8)</f>
        <v>0</v>
      </c>
      <c r="M8" s="137">
        <f>I8*Inputs!$D$56+J8*Inputs!$D$57+K8*Inputs!$D$58</f>
        <v>0</v>
      </c>
      <c r="N8" s="253"/>
    </row>
    <row r="9" spans="2:14" ht="12" customHeight="1" x14ac:dyDescent="0.2">
      <c r="B9" s="254">
        <f>0.1*0.1</f>
        <v>1.0000000000000002E-2</v>
      </c>
      <c r="C9" s="40" t="s">
        <v>23</v>
      </c>
      <c r="D9" s="41" t="s">
        <v>24</v>
      </c>
      <c r="E9" s="41"/>
      <c r="F9" s="42"/>
      <c r="G9" s="186">
        <v>0</v>
      </c>
      <c r="H9" s="141">
        <v>24</v>
      </c>
      <c r="I9" s="142">
        <f>(G9*H9)</f>
        <v>0</v>
      </c>
      <c r="J9" s="142">
        <f>I9*0.05</f>
        <v>0</v>
      </c>
      <c r="K9" s="142">
        <f>I9*0.1</f>
        <v>0</v>
      </c>
      <c r="L9" s="136">
        <f>SUM(I9:K9)</f>
        <v>0</v>
      </c>
      <c r="M9" s="137">
        <f>I9*Inputs!$D$56+J9*Inputs!$D$57+K9*Inputs!$D$58</f>
        <v>0</v>
      </c>
      <c r="N9" s="253"/>
    </row>
    <row r="10" spans="2:14" ht="12" customHeight="1" x14ac:dyDescent="0.2">
      <c r="B10" s="254"/>
      <c r="C10" s="43" t="s">
        <v>25</v>
      </c>
      <c r="D10" s="32" t="s">
        <v>26</v>
      </c>
      <c r="E10" s="32"/>
      <c r="F10" s="44"/>
      <c r="G10" s="283" t="s">
        <v>15</v>
      </c>
      <c r="H10" s="284"/>
      <c r="I10" s="284"/>
      <c r="J10" s="284"/>
      <c r="K10" s="284"/>
      <c r="L10" s="284"/>
      <c r="M10" s="284"/>
      <c r="N10" s="285"/>
    </row>
    <row r="11" spans="2:14" ht="12" customHeight="1" x14ac:dyDescent="0.2">
      <c r="B11" s="252"/>
      <c r="C11" s="45" t="s">
        <v>27</v>
      </c>
      <c r="D11" s="46" t="s">
        <v>28</v>
      </c>
      <c r="E11" s="46"/>
      <c r="F11" s="47"/>
      <c r="G11" s="286" t="s">
        <v>15</v>
      </c>
      <c r="H11" s="287"/>
      <c r="I11" s="287"/>
      <c r="J11" s="287"/>
      <c r="K11" s="287"/>
      <c r="L11" s="287"/>
      <c r="M11" s="287"/>
      <c r="N11" s="288"/>
    </row>
    <row r="12" spans="2:14" ht="12" customHeight="1" x14ac:dyDescent="0.2">
      <c r="B12" s="255"/>
      <c r="C12" s="48" t="s">
        <v>29</v>
      </c>
      <c r="D12" s="37" t="s">
        <v>30</v>
      </c>
      <c r="E12" s="37"/>
      <c r="F12" s="49"/>
      <c r="G12" s="283"/>
      <c r="H12" s="284"/>
      <c r="I12" s="284"/>
      <c r="J12" s="284"/>
      <c r="K12" s="284"/>
      <c r="L12" s="284"/>
      <c r="M12" s="284"/>
      <c r="N12" s="285"/>
    </row>
    <row r="13" spans="2:14" ht="12" customHeight="1" x14ac:dyDescent="0.2">
      <c r="B13" s="256"/>
      <c r="C13" s="64"/>
      <c r="D13" s="128" t="s">
        <v>13</v>
      </c>
      <c r="E13" s="62" t="s">
        <v>176</v>
      </c>
      <c r="F13" s="65"/>
      <c r="G13" s="135"/>
      <c r="H13" s="143"/>
      <c r="I13" s="144"/>
      <c r="J13" s="144"/>
      <c r="K13" s="144"/>
      <c r="L13" s="136"/>
      <c r="M13" s="137"/>
      <c r="N13" s="253"/>
    </row>
    <row r="14" spans="2:14" ht="12" customHeight="1" x14ac:dyDescent="0.2">
      <c r="B14" s="256"/>
      <c r="C14" s="64"/>
      <c r="D14" s="128"/>
      <c r="E14" s="62" t="s">
        <v>126</v>
      </c>
      <c r="F14" s="65"/>
      <c r="G14" s="135">
        <f>'YR1'!G22</f>
        <v>0</v>
      </c>
      <c r="H14" s="143">
        <v>5</v>
      </c>
      <c r="I14" s="144">
        <f t="shared" ref="I14:I23" si="0">(G14*H14)</f>
        <v>0</v>
      </c>
      <c r="J14" s="144">
        <f t="shared" ref="J14:J22" si="1">I14*0.05</f>
        <v>0</v>
      </c>
      <c r="K14" s="144">
        <f t="shared" ref="K14:K22" si="2">I14*0.1</f>
        <v>0</v>
      </c>
      <c r="L14" s="136">
        <f t="shared" ref="L14:L23" si="3">SUM(I14:K14)</f>
        <v>0</v>
      </c>
      <c r="M14" s="137">
        <f>I14*Inputs!$D$56+J14*Inputs!$D$57+K14*Inputs!$D$58</f>
        <v>0</v>
      </c>
      <c r="N14" s="253"/>
    </row>
    <row r="15" spans="2:14" ht="12" customHeight="1" x14ac:dyDescent="0.2">
      <c r="B15" s="256"/>
      <c r="C15" s="64"/>
      <c r="D15" s="128"/>
      <c r="E15" s="62" t="s">
        <v>127</v>
      </c>
      <c r="F15" s="65"/>
      <c r="G15" s="135">
        <f>'YR1'!G23</f>
        <v>0</v>
      </c>
      <c r="H15" s="143">
        <v>5</v>
      </c>
      <c r="I15" s="144">
        <f t="shared" si="0"/>
        <v>0</v>
      </c>
      <c r="J15" s="144">
        <f t="shared" si="1"/>
        <v>0</v>
      </c>
      <c r="K15" s="144">
        <f t="shared" si="2"/>
        <v>0</v>
      </c>
      <c r="L15" s="136">
        <f t="shared" si="3"/>
        <v>0</v>
      </c>
      <c r="M15" s="137">
        <f>I15*Inputs!$D$56+J15*Inputs!$D$57+K15*Inputs!$D$58</f>
        <v>0</v>
      </c>
      <c r="N15" s="253"/>
    </row>
    <row r="16" spans="2:14" ht="12" customHeight="1" x14ac:dyDescent="0.2">
      <c r="B16" s="256"/>
      <c r="C16" s="64"/>
      <c r="D16" s="128" t="s">
        <v>16</v>
      </c>
      <c r="E16" s="66" t="s">
        <v>113</v>
      </c>
      <c r="F16" s="65"/>
      <c r="G16" s="135"/>
      <c r="H16" s="143"/>
      <c r="I16" s="144"/>
      <c r="J16" s="144"/>
      <c r="K16" s="144"/>
      <c r="L16" s="136"/>
      <c r="M16" s="137"/>
      <c r="N16" s="253"/>
    </row>
    <row r="17" spans="2:14" ht="12" customHeight="1" x14ac:dyDescent="0.2">
      <c r="B17" s="256"/>
      <c r="C17" s="64"/>
      <c r="D17" s="128"/>
      <c r="E17" s="66" t="s">
        <v>126</v>
      </c>
      <c r="F17" s="65"/>
      <c r="G17" s="135">
        <f>'YR1'!G25*'YR1'!E25</f>
        <v>0</v>
      </c>
      <c r="H17" s="143">
        <v>2</v>
      </c>
      <c r="I17" s="144">
        <f t="shared" si="0"/>
        <v>0</v>
      </c>
      <c r="J17" s="144">
        <f t="shared" si="1"/>
        <v>0</v>
      </c>
      <c r="K17" s="144">
        <f t="shared" si="2"/>
        <v>0</v>
      </c>
      <c r="L17" s="136">
        <f t="shared" si="3"/>
        <v>0</v>
      </c>
      <c r="M17" s="137">
        <f>I17*Inputs!$D$56+J17*Inputs!$D$57+K17*Inputs!$D$58</f>
        <v>0</v>
      </c>
      <c r="N17" s="253"/>
    </row>
    <row r="18" spans="2:14" ht="12" customHeight="1" x14ac:dyDescent="0.2">
      <c r="B18" s="256"/>
      <c r="C18" s="64"/>
      <c r="D18" s="128"/>
      <c r="E18" s="66" t="s">
        <v>127</v>
      </c>
      <c r="F18" s="65"/>
      <c r="G18" s="135">
        <f>'YR1'!G26*'YR1'!E26</f>
        <v>0</v>
      </c>
      <c r="H18" s="143">
        <v>2</v>
      </c>
      <c r="I18" s="144">
        <f t="shared" si="0"/>
        <v>0</v>
      </c>
      <c r="J18" s="144">
        <f t="shared" si="1"/>
        <v>0</v>
      </c>
      <c r="K18" s="144">
        <f t="shared" si="2"/>
        <v>0</v>
      </c>
      <c r="L18" s="136">
        <f t="shared" si="3"/>
        <v>0</v>
      </c>
      <c r="M18" s="137">
        <f>I18*Inputs!$D$56+J18*Inputs!$D$57+K18*Inputs!$D$58</f>
        <v>0</v>
      </c>
      <c r="N18" s="253"/>
    </row>
    <row r="19" spans="2:14" ht="12" customHeight="1" x14ac:dyDescent="0.2">
      <c r="B19" s="256"/>
      <c r="C19" s="64"/>
      <c r="D19" s="128"/>
      <c r="E19" s="66" t="s">
        <v>211</v>
      </c>
      <c r="F19" s="65"/>
      <c r="G19" s="135">
        <f>'YR1'!G27*'YR1'!E27</f>
        <v>0</v>
      </c>
      <c r="H19" s="143">
        <v>2</v>
      </c>
      <c r="I19" s="144">
        <f t="shared" si="0"/>
        <v>0</v>
      </c>
      <c r="J19" s="144">
        <f t="shared" si="1"/>
        <v>0</v>
      </c>
      <c r="K19" s="144">
        <f t="shared" si="2"/>
        <v>0</v>
      </c>
      <c r="L19" s="136">
        <f t="shared" si="3"/>
        <v>0</v>
      </c>
      <c r="M19" s="137">
        <f>I19*Inputs!$D$56+J19*Inputs!$D$57+K19*Inputs!$D$58</f>
        <v>0</v>
      </c>
      <c r="N19" s="253"/>
    </row>
    <row r="20" spans="2:14" ht="12" customHeight="1" x14ac:dyDescent="0.2">
      <c r="B20" s="256"/>
      <c r="C20" s="64"/>
      <c r="D20" s="128"/>
      <c r="E20" s="66" t="s">
        <v>128</v>
      </c>
      <c r="F20" s="65"/>
      <c r="G20" s="135">
        <f>'YR1'!G28*'YR1'!E28</f>
        <v>0</v>
      </c>
      <c r="H20" s="143">
        <v>2</v>
      </c>
      <c r="I20" s="144">
        <f t="shared" si="0"/>
        <v>0</v>
      </c>
      <c r="J20" s="144">
        <f t="shared" si="1"/>
        <v>0</v>
      </c>
      <c r="K20" s="144">
        <f t="shared" si="2"/>
        <v>0</v>
      </c>
      <c r="L20" s="136">
        <f t="shared" si="3"/>
        <v>0</v>
      </c>
      <c r="M20" s="137">
        <f>I20*Inputs!$D$56+J20*Inputs!$D$57+K20*Inputs!$D$58</f>
        <v>0</v>
      </c>
      <c r="N20" s="253"/>
    </row>
    <row r="21" spans="2:14" ht="12" customHeight="1" x14ac:dyDescent="0.2">
      <c r="B21" s="256"/>
      <c r="C21" s="64"/>
      <c r="D21" s="128"/>
      <c r="E21" s="66" t="s">
        <v>159</v>
      </c>
      <c r="F21" s="65"/>
      <c r="G21" s="135">
        <f>'YR1'!G30*'YR1'!E30</f>
        <v>0</v>
      </c>
      <c r="H21" s="143">
        <v>2</v>
      </c>
      <c r="I21" s="144">
        <f t="shared" si="0"/>
        <v>0</v>
      </c>
      <c r="J21" s="144">
        <f t="shared" si="1"/>
        <v>0</v>
      </c>
      <c r="K21" s="144">
        <f t="shared" si="2"/>
        <v>0</v>
      </c>
      <c r="L21" s="136">
        <f t="shared" si="3"/>
        <v>0</v>
      </c>
      <c r="M21" s="137">
        <f>I21*Inputs!$D$56+J21*Inputs!$D$57+K21*Inputs!$D$58</f>
        <v>0</v>
      </c>
      <c r="N21" s="253"/>
    </row>
    <row r="22" spans="2:14" ht="12" customHeight="1" x14ac:dyDescent="0.2">
      <c r="B22" s="256"/>
      <c r="C22" s="64"/>
      <c r="D22" s="128" t="s">
        <v>18</v>
      </c>
      <c r="E22" s="66" t="s">
        <v>175</v>
      </c>
      <c r="F22" s="65"/>
      <c r="G22" s="135">
        <f>'YR1'!G44</f>
        <v>31</v>
      </c>
      <c r="H22" s="143">
        <v>5</v>
      </c>
      <c r="I22" s="144">
        <f t="shared" si="0"/>
        <v>155</v>
      </c>
      <c r="J22" s="144">
        <f t="shared" si="1"/>
        <v>7.75</v>
      </c>
      <c r="K22" s="144">
        <f t="shared" si="2"/>
        <v>15.5</v>
      </c>
      <c r="L22" s="136">
        <f t="shared" si="3"/>
        <v>178.25</v>
      </c>
      <c r="M22" s="137">
        <f>I22*Inputs!$D$56+J22*Inputs!$D$57+K22*Inputs!$D$58</f>
        <v>8277.0000000000018</v>
      </c>
      <c r="N22" s="253"/>
    </row>
    <row r="23" spans="2:14" ht="12" customHeight="1" x14ac:dyDescent="0.2">
      <c r="B23" s="257"/>
      <c r="C23" s="61" t="s">
        <v>31</v>
      </c>
      <c r="D23" s="62" t="s">
        <v>32</v>
      </c>
      <c r="E23" s="62"/>
      <c r="F23" s="63"/>
      <c r="G23" s="145">
        <v>1</v>
      </c>
      <c r="H23" s="144">
        <v>10</v>
      </c>
      <c r="I23" s="144">
        <f t="shared" si="0"/>
        <v>10</v>
      </c>
      <c r="J23" s="144">
        <f t="shared" ref="J23" si="4">I23*0.05</f>
        <v>0.5</v>
      </c>
      <c r="K23" s="144">
        <f t="shared" ref="K23" si="5">I23*0.1</f>
        <v>1</v>
      </c>
      <c r="L23" s="136">
        <f t="shared" si="3"/>
        <v>11.5</v>
      </c>
      <c r="M23" s="137">
        <f>I23*Inputs!$D$56+J23*Inputs!$D$57+K23*Inputs!$D$58</f>
        <v>534.00000000000011</v>
      </c>
      <c r="N23" s="253"/>
    </row>
    <row r="24" spans="2:14" ht="12" customHeight="1" thickBot="1" x14ac:dyDescent="0.25">
      <c r="B24" s="258" t="s">
        <v>58</v>
      </c>
      <c r="C24" s="56" t="s">
        <v>34</v>
      </c>
      <c r="D24" s="57"/>
      <c r="E24" s="57"/>
      <c r="F24" s="57"/>
      <c r="G24" s="58"/>
      <c r="H24" s="50"/>
      <c r="I24" s="50"/>
      <c r="J24" s="59" t="str">
        <f>IF(G8=0,"$0",1*3.75*75+600)</f>
        <v>$0</v>
      </c>
      <c r="K24" s="60" t="s">
        <v>35</v>
      </c>
      <c r="L24" s="60"/>
      <c r="M24" s="51">
        <f>IF(ISTEXT(J24),0,G8*J24)</f>
        <v>0</v>
      </c>
      <c r="N24" s="259"/>
    </row>
    <row r="25" spans="2:14" ht="12" customHeight="1" thickTop="1" x14ac:dyDescent="0.2">
      <c r="B25" s="260"/>
      <c r="C25" s="261" t="s">
        <v>36</v>
      </c>
      <c r="D25" s="262"/>
      <c r="E25" s="262"/>
      <c r="F25" s="62"/>
      <c r="G25" s="263"/>
      <c r="H25" s="264"/>
      <c r="I25" s="265">
        <f>SUM(I6:I23)</f>
        <v>935</v>
      </c>
      <c r="J25" s="265">
        <f>SUM(J6:J23)</f>
        <v>46.75</v>
      </c>
      <c r="K25" s="265">
        <f>SUM(K6:K23)</f>
        <v>93.5</v>
      </c>
      <c r="L25" s="265">
        <f>SUM(L6:L23)</f>
        <v>1075.25</v>
      </c>
      <c r="M25" s="266">
        <f>SUM(M6:M24)</f>
        <v>49929.000000000015</v>
      </c>
      <c r="N25" s="253"/>
    </row>
    <row r="26" spans="2:14" ht="12" customHeight="1" x14ac:dyDescent="0.2">
      <c r="B26" s="14"/>
      <c r="C26" s="14"/>
      <c r="D26" s="14"/>
      <c r="E26" s="14"/>
      <c r="F26" s="15"/>
      <c r="G26" s="15"/>
      <c r="H26" s="16"/>
      <c r="I26" s="17"/>
      <c r="J26" s="17"/>
      <c r="K26" s="17"/>
      <c r="L26" s="17"/>
      <c r="M26" s="17"/>
      <c r="N26" s="17"/>
    </row>
    <row r="27" spans="2:14" ht="12" customHeight="1" x14ac:dyDescent="0.2">
      <c r="B27" s="52" t="s">
        <v>99</v>
      </c>
      <c r="C27" s="52"/>
      <c r="D27" s="14"/>
      <c r="E27" s="14"/>
      <c r="F27" s="18"/>
      <c r="G27" s="15"/>
      <c r="H27" s="16"/>
      <c r="I27" s="17"/>
      <c r="J27" s="17"/>
      <c r="K27" s="17"/>
      <c r="L27" s="17"/>
      <c r="M27" s="17"/>
      <c r="N27" s="17"/>
    </row>
    <row r="28" spans="2:14" ht="12" customHeight="1" x14ac:dyDescent="0.2">
      <c r="B28" s="53" t="s">
        <v>37</v>
      </c>
      <c r="C28" s="27" t="s">
        <v>177</v>
      </c>
      <c r="D28" s="14"/>
      <c r="E28" s="14"/>
      <c r="F28" s="15"/>
      <c r="G28" s="15"/>
      <c r="H28" s="16"/>
      <c r="I28" s="17"/>
      <c r="J28" s="17"/>
      <c r="K28" s="17"/>
      <c r="L28" s="17"/>
      <c r="M28" s="17"/>
      <c r="N28" s="17"/>
    </row>
    <row r="29" spans="2:14" ht="12" customHeight="1" x14ac:dyDescent="0.2">
      <c r="B29" s="54"/>
      <c r="C29" s="55"/>
    </row>
    <row r="30" spans="2:14" x14ac:dyDescent="0.2">
      <c r="B30" s="20"/>
    </row>
    <row r="31" spans="2:14" x14ac:dyDescent="0.2">
      <c r="B31" s="20"/>
    </row>
    <row r="32" spans="2:14" x14ac:dyDescent="0.2">
      <c r="B32" s="20"/>
    </row>
    <row r="33" spans="2:26" x14ac:dyDescent="0.2">
      <c r="B33" s="20"/>
    </row>
    <row r="46" spans="2:26" x14ac:dyDescent="0.2">
      <c r="W46" s="282" t="s">
        <v>38</v>
      </c>
      <c r="X46" s="282"/>
      <c r="Y46" s="282"/>
      <c r="Z46" s="31">
        <v>0.2</v>
      </c>
    </row>
    <row r="47" spans="2:26" x14ac:dyDescent="0.2">
      <c r="W47" s="282" t="s">
        <v>39</v>
      </c>
      <c r="X47" s="282"/>
      <c r="Y47" s="282"/>
      <c r="Z47" s="31">
        <v>0.1</v>
      </c>
    </row>
    <row r="48" spans="2:26" x14ac:dyDescent="0.2">
      <c r="W48" s="282" t="s">
        <v>40</v>
      </c>
      <c r="X48" s="282"/>
      <c r="Y48" s="282"/>
      <c r="Z48" s="31">
        <v>0.1</v>
      </c>
    </row>
  </sheetData>
  <mergeCells count="12">
    <mergeCell ref="D8:F8"/>
    <mergeCell ref="N3:N4"/>
    <mergeCell ref="G12:N12"/>
    <mergeCell ref="G7:N7"/>
    <mergeCell ref="B2:N2"/>
    <mergeCell ref="B4:F4"/>
    <mergeCell ref="G5:N5"/>
    <mergeCell ref="W46:Y46"/>
    <mergeCell ref="W47:Y47"/>
    <mergeCell ref="W48:Y48"/>
    <mergeCell ref="G10:N10"/>
    <mergeCell ref="G11:N11"/>
  </mergeCells>
  <printOptions horizontalCentered="1"/>
  <pageMargins left="0.7" right="0.7" top="0.75" bottom="0.75" header="0.3" footer="0.3"/>
  <pageSetup scale="93" orientation="landscape" r:id="rId1"/>
  <ignoredErrors>
    <ignoredError sqref="B5:B8 B24" numberStoredAsText="1"/>
    <ignoredError sqref="B9" numberStoredAsText="1" unlockedFormula="1"/>
    <ignoredError sqref="M10:N12 H9:K9 G10:K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372CA-3685-4E46-9B0B-B3403CC1A71E}">
  <sheetPr>
    <tabColor rgb="FF00B050"/>
  </sheetPr>
  <dimension ref="B2:Z48"/>
  <sheetViews>
    <sheetView zoomScaleNormal="100" workbookViewId="0">
      <selection activeCell="I35" sqref="I35"/>
    </sheetView>
  </sheetViews>
  <sheetFormatPr defaultRowHeight="14.25" x14ac:dyDescent="0.2"/>
  <cols>
    <col min="1" max="1" width="4.140625" style="29" customWidth="1"/>
    <col min="2" max="4" width="3.140625" style="13" customWidth="1"/>
    <col min="5" max="5" width="40.28515625" style="13" customWidth="1"/>
    <col min="6" max="6" width="3.28515625" style="13" customWidth="1"/>
    <col min="7" max="9" width="11.28515625" style="13" customWidth="1"/>
    <col min="10" max="10" width="11.5703125" style="13" bestFit="1" customWidth="1"/>
    <col min="11" max="11" width="10.42578125" style="13" bestFit="1" customWidth="1"/>
    <col min="12" max="12" width="10.140625" style="13" bestFit="1" customWidth="1"/>
    <col min="13" max="13" width="8.42578125" style="13" bestFit="1" customWidth="1"/>
    <col min="14" max="14" width="3.5703125" style="13" customWidth="1"/>
    <col min="15" max="15" width="3.85546875" style="29" customWidth="1"/>
    <col min="16" max="16384" width="9.140625" style="29"/>
  </cols>
  <sheetData>
    <row r="2" spans="2:14" ht="29.25" customHeight="1" x14ac:dyDescent="0.25">
      <c r="B2" s="294" t="s">
        <v>205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2:14" x14ac:dyDescent="0.2">
      <c r="B3" s="243"/>
      <c r="C3" s="244"/>
      <c r="D3" s="244"/>
      <c r="E3" s="244"/>
      <c r="F3" s="244"/>
      <c r="G3" s="245" t="s">
        <v>6</v>
      </c>
      <c r="H3" s="246" t="s">
        <v>7</v>
      </c>
      <c r="I3" s="247" t="s">
        <v>8</v>
      </c>
      <c r="J3" s="247" t="s">
        <v>9</v>
      </c>
      <c r="K3" s="247" t="s">
        <v>10</v>
      </c>
      <c r="L3" s="248" t="s">
        <v>11</v>
      </c>
      <c r="M3" s="248" t="s">
        <v>120</v>
      </c>
      <c r="N3" s="292" t="s">
        <v>5</v>
      </c>
    </row>
    <row r="4" spans="2:14" ht="48.75" thickBot="1" x14ac:dyDescent="0.25">
      <c r="B4" s="295" t="s">
        <v>3</v>
      </c>
      <c r="C4" s="296"/>
      <c r="D4" s="296"/>
      <c r="E4" s="296"/>
      <c r="F4" s="297"/>
      <c r="G4" s="130" t="s">
        <v>12</v>
      </c>
      <c r="H4" s="131" t="s">
        <v>117</v>
      </c>
      <c r="I4" s="132" t="s">
        <v>100</v>
      </c>
      <c r="J4" s="132" t="s">
        <v>101</v>
      </c>
      <c r="K4" s="132" t="s">
        <v>102</v>
      </c>
      <c r="L4" s="132" t="s">
        <v>118</v>
      </c>
      <c r="M4" s="132" t="s">
        <v>119</v>
      </c>
      <c r="N4" s="293"/>
    </row>
    <row r="5" spans="2:14" ht="12" customHeight="1" thickTop="1" x14ac:dyDescent="0.2">
      <c r="B5" s="249" t="s">
        <v>13</v>
      </c>
      <c r="C5" s="32" t="s">
        <v>14</v>
      </c>
      <c r="D5" s="33"/>
      <c r="E5" s="33"/>
      <c r="F5" s="34"/>
      <c r="G5" s="298" t="s">
        <v>15</v>
      </c>
      <c r="H5" s="299"/>
      <c r="I5" s="299"/>
      <c r="J5" s="299"/>
      <c r="K5" s="299"/>
      <c r="L5" s="299"/>
      <c r="M5" s="299"/>
      <c r="N5" s="300"/>
    </row>
    <row r="6" spans="2:14" ht="12" customHeight="1" x14ac:dyDescent="0.2">
      <c r="B6" s="250" t="s">
        <v>16</v>
      </c>
      <c r="C6" s="35" t="s">
        <v>17</v>
      </c>
      <c r="D6" s="35"/>
      <c r="E6" s="35"/>
      <c r="F6" s="36"/>
      <c r="G6" s="185">
        <v>0</v>
      </c>
      <c r="H6" s="136">
        <v>70</v>
      </c>
      <c r="I6" s="136">
        <f>(G6*H6)</f>
        <v>0</v>
      </c>
      <c r="J6" s="136">
        <f>I6*0.05</f>
        <v>0</v>
      </c>
      <c r="K6" s="136">
        <f>I6*0.1</f>
        <v>0</v>
      </c>
      <c r="L6" s="136">
        <f>SUM(I6:K6)</f>
        <v>0</v>
      </c>
      <c r="M6" s="137">
        <f>I6*Inputs!$D$56+J6*Inputs!$D$57+K6*Inputs!$D$58</f>
        <v>0</v>
      </c>
      <c r="N6" s="137" t="s">
        <v>37</v>
      </c>
    </row>
    <row r="7" spans="2:14" ht="12" customHeight="1" x14ac:dyDescent="0.2">
      <c r="B7" s="251" t="s">
        <v>18</v>
      </c>
      <c r="C7" s="37" t="s">
        <v>19</v>
      </c>
      <c r="D7" s="37"/>
      <c r="E7" s="37"/>
      <c r="F7" s="38"/>
      <c r="G7" s="283"/>
      <c r="H7" s="284"/>
      <c r="I7" s="284"/>
      <c r="J7" s="284"/>
      <c r="K7" s="284"/>
      <c r="L7" s="284"/>
      <c r="M7" s="284"/>
      <c r="N7" s="285"/>
    </row>
    <row r="8" spans="2:14" ht="12" customHeight="1" x14ac:dyDescent="0.2">
      <c r="B8" s="252">
        <v>0.08</v>
      </c>
      <c r="C8" s="39" t="s">
        <v>20</v>
      </c>
      <c r="D8" s="289" t="s">
        <v>21</v>
      </c>
      <c r="E8" s="290"/>
      <c r="F8" s="291"/>
      <c r="G8" s="138">
        <v>0</v>
      </c>
      <c r="H8" s="139">
        <v>16</v>
      </c>
      <c r="I8" s="140">
        <f>(G8*H8)</f>
        <v>0</v>
      </c>
      <c r="J8" s="140">
        <f>I8*0.05</f>
        <v>0</v>
      </c>
      <c r="K8" s="140">
        <f>I8*0.1</f>
        <v>0</v>
      </c>
      <c r="L8" s="136">
        <f>SUM(I8:K8)</f>
        <v>0</v>
      </c>
      <c r="M8" s="137">
        <f>I8*Inputs!$D$56+J8*Inputs!$D$57+K8*Inputs!$D$58</f>
        <v>0</v>
      </c>
      <c r="N8" s="253"/>
    </row>
    <row r="9" spans="2:14" ht="12" customHeight="1" x14ac:dyDescent="0.2">
      <c r="B9" s="254">
        <f>0.1*0.1</f>
        <v>1.0000000000000002E-2</v>
      </c>
      <c r="C9" s="40" t="s">
        <v>23</v>
      </c>
      <c r="D9" s="41" t="s">
        <v>24</v>
      </c>
      <c r="E9" s="41"/>
      <c r="F9" s="42"/>
      <c r="G9" s="186">
        <v>0</v>
      </c>
      <c r="H9" s="141">
        <v>24</v>
      </c>
      <c r="I9" s="142">
        <f>(G9*H9)</f>
        <v>0</v>
      </c>
      <c r="J9" s="142">
        <f>I9*0.05</f>
        <v>0</v>
      </c>
      <c r="K9" s="142">
        <f>I9*0.1</f>
        <v>0</v>
      </c>
      <c r="L9" s="136">
        <f>SUM(I9:K9)</f>
        <v>0</v>
      </c>
      <c r="M9" s="137">
        <f>I9*Inputs!$D$56+J9*Inputs!$D$57+K9*Inputs!$D$58</f>
        <v>0</v>
      </c>
      <c r="N9" s="253"/>
    </row>
    <row r="10" spans="2:14" ht="12" customHeight="1" x14ac:dyDescent="0.2">
      <c r="B10" s="254"/>
      <c r="C10" s="43" t="s">
        <v>25</v>
      </c>
      <c r="D10" s="32" t="s">
        <v>26</v>
      </c>
      <c r="E10" s="32"/>
      <c r="F10" s="44"/>
      <c r="G10" s="283" t="s">
        <v>15</v>
      </c>
      <c r="H10" s="284"/>
      <c r="I10" s="284"/>
      <c r="J10" s="284"/>
      <c r="K10" s="284"/>
      <c r="L10" s="284"/>
      <c r="M10" s="284"/>
      <c r="N10" s="285"/>
    </row>
    <row r="11" spans="2:14" ht="12" customHeight="1" x14ac:dyDescent="0.2">
      <c r="B11" s="252"/>
      <c r="C11" s="45" t="s">
        <v>27</v>
      </c>
      <c r="D11" s="46" t="s">
        <v>28</v>
      </c>
      <c r="E11" s="46"/>
      <c r="F11" s="47"/>
      <c r="G11" s="286" t="s">
        <v>15</v>
      </c>
      <c r="H11" s="287"/>
      <c r="I11" s="287"/>
      <c r="J11" s="287"/>
      <c r="K11" s="287"/>
      <c r="L11" s="287"/>
      <c r="M11" s="287"/>
      <c r="N11" s="288"/>
    </row>
    <row r="12" spans="2:14" ht="12" customHeight="1" x14ac:dyDescent="0.2">
      <c r="B12" s="255"/>
      <c r="C12" s="48" t="s">
        <v>29</v>
      </c>
      <c r="D12" s="37" t="s">
        <v>30</v>
      </c>
      <c r="E12" s="37"/>
      <c r="F12" s="49"/>
      <c r="G12" s="283"/>
      <c r="H12" s="284"/>
      <c r="I12" s="284"/>
      <c r="J12" s="284"/>
      <c r="K12" s="284"/>
      <c r="L12" s="284"/>
      <c r="M12" s="284"/>
      <c r="N12" s="285"/>
    </row>
    <row r="13" spans="2:14" ht="12" customHeight="1" x14ac:dyDescent="0.2">
      <c r="B13" s="256"/>
      <c r="C13" s="64"/>
      <c r="D13" s="128" t="s">
        <v>13</v>
      </c>
      <c r="E13" s="62" t="s">
        <v>176</v>
      </c>
      <c r="F13" s="65"/>
      <c r="G13" s="135"/>
      <c r="H13" s="143"/>
      <c r="I13" s="144"/>
      <c r="J13" s="144"/>
      <c r="K13" s="144"/>
      <c r="L13" s="136"/>
      <c r="M13" s="137"/>
      <c r="N13" s="253"/>
    </row>
    <row r="14" spans="2:14" ht="12" customHeight="1" x14ac:dyDescent="0.2">
      <c r="B14" s="256"/>
      <c r="C14" s="64"/>
      <c r="D14" s="128"/>
      <c r="E14" s="62" t="s">
        <v>126</v>
      </c>
      <c r="F14" s="65"/>
      <c r="G14" s="135">
        <f>'YR2'!G22</f>
        <v>10</v>
      </c>
      <c r="H14" s="143">
        <v>5</v>
      </c>
      <c r="I14" s="144">
        <f t="shared" ref="I14:I23" si="0">(G14*H14)</f>
        <v>50</v>
      </c>
      <c r="J14" s="144">
        <f t="shared" ref="J14:J22" si="1">I14*0.05</f>
        <v>2.5</v>
      </c>
      <c r="K14" s="144">
        <f t="shared" ref="K14:K22" si="2">I14*0.1</f>
        <v>5</v>
      </c>
      <c r="L14" s="136">
        <f t="shared" ref="L14:L23" si="3">SUM(I14:K14)</f>
        <v>57.5</v>
      </c>
      <c r="M14" s="137">
        <f>I14*Inputs!$D$56+J14*Inputs!$D$57+K14*Inputs!$D$58</f>
        <v>2670.0000000000005</v>
      </c>
      <c r="N14" s="253"/>
    </row>
    <row r="15" spans="2:14" ht="12" customHeight="1" x14ac:dyDescent="0.2">
      <c r="B15" s="256"/>
      <c r="C15" s="64"/>
      <c r="D15" s="128"/>
      <c r="E15" s="62" t="s">
        <v>127</v>
      </c>
      <c r="F15" s="65"/>
      <c r="G15" s="135">
        <f>'YR2'!G23</f>
        <v>7</v>
      </c>
      <c r="H15" s="143">
        <v>5</v>
      </c>
      <c r="I15" s="144">
        <f t="shared" si="0"/>
        <v>35</v>
      </c>
      <c r="J15" s="144">
        <f t="shared" si="1"/>
        <v>1.75</v>
      </c>
      <c r="K15" s="144">
        <f t="shared" si="2"/>
        <v>3.5</v>
      </c>
      <c r="L15" s="136">
        <f t="shared" si="3"/>
        <v>40.25</v>
      </c>
      <c r="M15" s="137">
        <f>I15*Inputs!$D$56+J15*Inputs!$D$57+K15*Inputs!$D$58</f>
        <v>1869.0000000000002</v>
      </c>
      <c r="N15" s="253"/>
    </row>
    <row r="16" spans="2:14" ht="12" customHeight="1" x14ac:dyDescent="0.2">
      <c r="B16" s="256"/>
      <c r="C16" s="64"/>
      <c r="D16" s="128" t="s">
        <v>16</v>
      </c>
      <c r="E16" s="66" t="s">
        <v>113</v>
      </c>
      <c r="F16" s="65"/>
      <c r="G16" s="135"/>
      <c r="H16" s="143"/>
      <c r="I16" s="144"/>
      <c r="J16" s="144"/>
      <c r="K16" s="144"/>
      <c r="L16" s="136"/>
      <c r="M16" s="137"/>
      <c r="N16" s="253"/>
    </row>
    <row r="17" spans="2:14" ht="12" customHeight="1" x14ac:dyDescent="0.2">
      <c r="B17" s="256"/>
      <c r="C17" s="64"/>
      <c r="D17" s="128"/>
      <c r="E17" s="66" t="s">
        <v>126</v>
      </c>
      <c r="F17" s="65"/>
      <c r="G17" s="135">
        <f>'YR2'!G25*'YR2'!E25</f>
        <v>20</v>
      </c>
      <c r="H17" s="143">
        <v>2</v>
      </c>
      <c r="I17" s="144">
        <f t="shared" si="0"/>
        <v>40</v>
      </c>
      <c r="J17" s="144">
        <f t="shared" si="1"/>
        <v>2</v>
      </c>
      <c r="K17" s="144">
        <f t="shared" si="2"/>
        <v>4</v>
      </c>
      <c r="L17" s="136">
        <f t="shared" si="3"/>
        <v>46</v>
      </c>
      <c r="M17" s="137">
        <f>I17*Inputs!$D$56+J17*Inputs!$D$57+K17*Inputs!$D$58</f>
        <v>2136.0000000000005</v>
      </c>
      <c r="N17" s="253"/>
    </row>
    <row r="18" spans="2:14" ht="12" customHeight="1" x14ac:dyDescent="0.2">
      <c r="B18" s="256"/>
      <c r="C18" s="64"/>
      <c r="D18" s="128"/>
      <c r="E18" s="66" t="s">
        <v>127</v>
      </c>
      <c r="F18" s="65"/>
      <c r="G18" s="135">
        <f>'YR2'!G26*'YR2'!E26</f>
        <v>14</v>
      </c>
      <c r="H18" s="143">
        <v>2</v>
      </c>
      <c r="I18" s="144">
        <f t="shared" si="0"/>
        <v>28</v>
      </c>
      <c r="J18" s="144">
        <f t="shared" si="1"/>
        <v>1.4000000000000001</v>
      </c>
      <c r="K18" s="144">
        <f t="shared" si="2"/>
        <v>2.8000000000000003</v>
      </c>
      <c r="L18" s="136">
        <f t="shared" si="3"/>
        <v>32.199999999999996</v>
      </c>
      <c r="M18" s="137">
        <f>I18*Inputs!$D$56+J18*Inputs!$D$57+K18*Inputs!$D$58</f>
        <v>1495.2000000000003</v>
      </c>
      <c r="N18" s="253"/>
    </row>
    <row r="19" spans="2:14" ht="12" customHeight="1" x14ac:dyDescent="0.2">
      <c r="B19" s="256"/>
      <c r="C19" s="64"/>
      <c r="D19" s="128"/>
      <c r="E19" s="66" t="s">
        <v>211</v>
      </c>
      <c r="F19" s="65"/>
      <c r="G19" s="135">
        <f>'YR2'!G27*'YR2'!E27</f>
        <v>18</v>
      </c>
      <c r="H19" s="143">
        <v>2</v>
      </c>
      <c r="I19" s="144">
        <f t="shared" si="0"/>
        <v>36</v>
      </c>
      <c r="J19" s="144">
        <f t="shared" si="1"/>
        <v>1.8</v>
      </c>
      <c r="K19" s="144">
        <f t="shared" si="2"/>
        <v>3.6</v>
      </c>
      <c r="L19" s="136">
        <f t="shared" si="3"/>
        <v>41.4</v>
      </c>
      <c r="M19" s="137">
        <f>I19*Inputs!$D$56+J19*Inputs!$D$57+K19*Inputs!$D$58</f>
        <v>1922.4000000000003</v>
      </c>
      <c r="N19" s="253"/>
    </row>
    <row r="20" spans="2:14" ht="12" customHeight="1" x14ac:dyDescent="0.2">
      <c r="B20" s="256"/>
      <c r="C20" s="64"/>
      <c r="D20" s="128"/>
      <c r="E20" s="66" t="s">
        <v>128</v>
      </c>
      <c r="F20" s="65"/>
      <c r="G20" s="135">
        <f>'YR2'!G28*'YR2'!E28</f>
        <v>20</v>
      </c>
      <c r="H20" s="143">
        <v>2</v>
      </c>
      <c r="I20" s="144">
        <f t="shared" si="0"/>
        <v>40</v>
      </c>
      <c r="J20" s="144">
        <f t="shared" si="1"/>
        <v>2</v>
      </c>
      <c r="K20" s="144">
        <f t="shared" si="2"/>
        <v>4</v>
      </c>
      <c r="L20" s="136">
        <f t="shared" si="3"/>
        <v>46</v>
      </c>
      <c r="M20" s="137">
        <f>I20*Inputs!$D$56+J20*Inputs!$D$57+K20*Inputs!$D$58</f>
        <v>2136.0000000000005</v>
      </c>
      <c r="N20" s="253"/>
    </row>
    <row r="21" spans="2:14" ht="12" customHeight="1" x14ac:dyDescent="0.2">
      <c r="B21" s="256"/>
      <c r="C21" s="64"/>
      <c r="D21" s="128"/>
      <c r="E21" s="66" t="s">
        <v>159</v>
      </c>
      <c r="F21" s="65"/>
      <c r="G21" s="135">
        <f>'YR2'!G30*'YR2'!E30</f>
        <v>20</v>
      </c>
      <c r="H21" s="143">
        <v>2</v>
      </c>
      <c r="I21" s="144">
        <f t="shared" si="0"/>
        <v>40</v>
      </c>
      <c r="J21" s="144">
        <f t="shared" si="1"/>
        <v>2</v>
      </c>
      <c r="K21" s="144">
        <f t="shared" si="2"/>
        <v>4</v>
      </c>
      <c r="L21" s="136">
        <f t="shared" si="3"/>
        <v>46</v>
      </c>
      <c r="M21" s="137">
        <f>I21*Inputs!$D$56+J21*Inputs!$D$57+K21*Inputs!$D$58</f>
        <v>2136.0000000000005</v>
      </c>
      <c r="N21" s="253"/>
    </row>
    <row r="22" spans="2:14" ht="12" customHeight="1" x14ac:dyDescent="0.2">
      <c r="B22" s="256"/>
      <c r="C22" s="64"/>
      <c r="D22" s="128" t="s">
        <v>18</v>
      </c>
      <c r="E22" s="66" t="s">
        <v>175</v>
      </c>
      <c r="F22" s="65"/>
      <c r="G22" s="135">
        <f>'YR2'!G44</f>
        <v>0</v>
      </c>
      <c r="H22" s="143">
        <v>5</v>
      </c>
      <c r="I22" s="144">
        <f t="shared" si="0"/>
        <v>0</v>
      </c>
      <c r="J22" s="144">
        <f t="shared" si="1"/>
        <v>0</v>
      </c>
      <c r="K22" s="144">
        <f t="shared" si="2"/>
        <v>0</v>
      </c>
      <c r="L22" s="136">
        <f t="shared" si="3"/>
        <v>0</v>
      </c>
      <c r="M22" s="137">
        <f>I22*Inputs!$D$56+J22*Inputs!$D$57+K22*Inputs!$D$58</f>
        <v>0</v>
      </c>
      <c r="N22" s="253"/>
    </row>
    <row r="23" spans="2:14" ht="12" customHeight="1" x14ac:dyDescent="0.2">
      <c r="B23" s="257"/>
      <c r="C23" s="61" t="s">
        <v>31</v>
      </c>
      <c r="D23" s="62" t="s">
        <v>32</v>
      </c>
      <c r="E23" s="62"/>
      <c r="F23" s="63"/>
      <c r="G23" s="145">
        <v>1</v>
      </c>
      <c r="H23" s="144">
        <v>10</v>
      </c>
      <c r="I23" s="144">
        <f t="shared" si="0"/>
        <v>10</v>
      </c>
      <c r="J23" s="144">
        <f t="shared" ref="J23" si="4">I23*0.05</f>
        <v>0.5</v>
      </c>
      <c r="K23" s="144">
        <f t="shared" ref="K23" si="5">I23*0.1</f>
        <v>1</v>
      </c>
      <c r="L23" s="136">
        <f t="shared" si="3"/>
        <v>11.5</v>
      </c>
      <c r="M23" s="137">
        <f>I23*Inputs!$D$56+J23*Inputs!$D$57+K23*Inputs!$D$58</f>
        <v>534.00000000000011</v>
      </c>
      <c r="N23" s="253"/>
    </row>
    <row r="24" spans="2:14" ht="12" customHeight="1" thickBot="1" x14ac:dyDescent="0.25">
      <c r="B24" s="258" t="s">
        <v>58</v>
      </c>
      <c r="C24" s="56" t="s">
        <v>34</v>
      </c>
      <c r="D24" s="57"/>
      <c r="E24" s="57"/>
      <c r="F24" s="57"/>
      <c r="G24" s="58"/>
      <c r="H24" s="50"/>
      <c r="I24" s="50"/>
      <c r="J24" s="59" t="str">
        <f>IF(G8=0,"$0",1*3.75*75+600)</f>
        <v>$0</v>
      </c>
      <c r="K24" s="60" t="s">
        <v>35</v>
      </c>
      <c r="L24" s="60"/>
      <c r="M24" s="51">
        <f>IF(ISTEXT(J24),0,G8*J24)</f>
        <v>0</v>
      </c>
      <c r="N24" s="259"/>
    </row>
    <row r="25" spans="2:14" ht="12" customHeight="1" thickTop="1" x14ac:dyDescent="0.2">
      <c r="B25" s="260"/>
      <c r="C25" s="261" t="s">
        <v>36</v>
      </c>
      <c r="D25" s="262"/>
      <c r="E25" s="262"/>
      <c r="F25" s="62"/>
      <c r="G25" s="263"/>
      <c r="H25" s="264"/>
      <c r="I25" s="265">
        <f>SUM(I6:I23)</f>
        <v>279</v>
      </c>
      <c r="J25" s="265">
        <f>SUM(J6:J23)</f>
        <v>13.950000000000001</v>
      </c>
      <c r="K25" s="265">
        <f>SUM(K6:K23)</f>
        <v>27.900000000000002</v>
      </c>
      <c r="L25" s="265">
        <f>SUM(L6:L23)</f>
        <v>320.85000000000002</v>
      </c>
      <c r="M25" s="266">
        <f>SUM(M6:M24)</f>
        <v>14898.600000000002</v>
      </c>
      <c r="N25" s="253"/>
    </row>
    <row r="26" spans="2:14" ht="12" customHeight="1" x14ac:dyDescent="0.2">
      <c r="B26" s="14"/>
      <c r="C26" s="14"/>
      <c r="D26" s="14"/>
      <c r="E26" s="14"/>
      <c r="F26" s="15"/>
      <c r="G26" s="15"/>
      <c r="H26" s="16"/>
      <c r="I26" s="17"/>
      <c r="J26" s="17"/>
      <c r="K26" s="17"/>
      <c r="L26" s="17"/>
      <c r="M26" s="17"/>
      <c r="N26" s="17"/>
    </row>
    <row r="27" spans="2:14" ht="12" customHeight="1" x14ac:dyDescent="0.2">
      <c r="B27" s="52" t="s">
        <v>99</v>
      </c>
      <c r="C27" s="52"/>
      <c r="D27" s="14"/>
      <c r="E27" s="14"/>
      <c r="F27" s="18"/>
      <c r="G27" s="15"/>
      <c r="H27" s="16"/>
      <c r="I27" s="17"/>
      <c r="J27" s="17"/>
      <c r="K27" s="17"/>
      <c r="L27" s="17"/>
      <c r="M27" s="17"/>
      <c r="N27" s="17"/>
    </row>
    <row r="28" spans="2:14" ht="12" customHeight="1" x14ac:dyDescent="0.2">
      <c r="B28" s="53" t="s">
        <v>37</v>
      </c>
      <c r="C28" s="27" t="s">
        <v>177</v>
      </c>
      <c r="D28" s="14"/>
      <c r="E28" s="14"/>
      <c r="F28" s="15"/>
      <c r="G28" s="15"/>
      <c r="H28" s="16"/>
      <c r="I28" s="17"/>
      <c r="J28" s="17"/>
      <c r="K28" s="17"/>
      <c r="L28" s="17"/>
      <c r="M28" s="17"/>
      <c r="N28" s="17"/>
    </row>
    <row r="29" spans="2:14" ht="12" customHeight="1" x14ac:dyDescent="0.2">
      <c r="B29" s="54"/>
      <c r="C29" s="55"/>
    </row>
    <row r="30" spans="2:14" x14ac:dyDescent="0.2">
      <c r="B30" s="20"/>
    </row>
    <row r="31" spans="2:14" x14ac:dyDescent="0.2">
      <c r="B31" s="20"/>
    </row>
    <row r="32" spans="2:14" x14ac:dyDescent="0.2">
      <c r="B32" s="20"/>
    </row>
    <row r="33" spans="2:26" x14ac:dyDescent="0.2">
      <c r="B33" s="20"/>
    </row>
    <row r="46" spans="2:26" x14ac:dyDescent="0.2">
      <c r="W46" s="282" t="s">
        <v>38</v>
      </c>
      <c r="X46" s="282"/>
      <c r="Y46" s="282"/>
      <c r="Z46" s="31">
        <v>0.2</v>
      </c>
    </row>
    <row r="47" spans="2:26" x14ac:dyDescent="0.2">
      <c r="W47" s="282" t="s">
        <v>39</v>
      </c>
      <c r="X47" s="282"/>
      <c r="Y47" s="282"/>
      <c r="Z47" s="31">
        <v>0.1</v>
      </c>
    </row>
    <row r="48" spans="2:26" x14ac:dyDescent="0.2">
      <c r="W48" s="282" t="s">
        <v>40</v>
      </c>
      <c r="X48" s="282"/>
      <c r="Y48" s="282"/>
      <c r="Z48" s="31">
        <v>0.1</v>
      </c>
    </row>
  </sheetData>
  <mergeCells count="12">
    <mergeCell ref="W48:Y48"/>
    <mergeCell ref="B2:N2"/>
    <mergeCell ref="N3:N4"/>
    <mergeCell ref="B4:F4"/>
    <mergeCell ref="G5:N5"/>
    <mergeCell ref="G7:N7"/>
    <mergeCell ref="D8:F8"/>
    <mergeCell ref="G10:N10"/>
    <mergeCell ref="G11:N11"/>
    <mergeCell ref="G12:N12"/>
    <mergeCell ref="W46:Y46"/>
    <mergeCell ref="W47:Y47"/>
  </mergeCells>
  <printOptions horizontalCentered="1"/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E48D7-C1E5-4FB5-85B5-437A3CFD296A}">
  <sheetPr>
    <tabColor rgb="FF00B050"/>
  </sheetPr>
  <dimension ref="B2:Z48"/>
  <sheetViews>
    <sheetView zoomScaleNormal="100" workbookViewId="0">
      <selection activeCell="I35" sqref="I35"/>
    </sheetView>
  </sheetViews>
  <sheetFormatPr defaultRowHeight="14.25" x14ac:dyDescent="0.2"/>
  <cols>
    <col min="1" max="1" width="4.140625" style="29" customWidth="1"/>
    <col min="2" max="4" width="3.140625" style="13" customWidth="1"/>
    <col min="5" max="5" width="40.28515625" style="13" customWidth="1"/>
    <col min="6" max="6" width="3.28515625" style="13" customWidth="1"/>
    <col min="7" max="9" width="11.28515625" style="13" customWidth="1"/>
    <col min="10" max="10" width="11.5703125" style="13" bestFit="1" customWidth="1"/>
    <col min="11" max="11" width="10.42578125" style="13" bestFit="1" customWidth="1"/>
    <col min="12" max="12" width="10.140625" style="13" bestFit="1" customWidth="1"/>
    <col min="13" max="13" width="8.42578125" style="13" bestFit="1" customWidth="1"/>
    <col min="14" max="14" width="3.5703125" style="13" customWidth="1"/>
    <col min="15" max="15" width="3.85546875" style="29" customWidth="1"/>
    <col min="16" max="16384" width="9.140625" style="29"/>
  </cols>
  <sheetData>
    <row r="2" spans="2:14" ht="29.25" customHeight="1" x14ac:dyDescent="0.25">
      <c r="B2" s="294" t="s">
        <v>206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2:14" x14ac:dyDescent="0.2">
      <c r="B3" s="243"/>
      <c r="C3" s="244"/>
      <c r="D3" s="244"/>
      <c r="E3" s="244"/>
      <c r="F3" s="244"/>
      <c r="G3" s="245" t="s">
        <v>6</v>
      </c>
      <c r="H3" s="246" t="s">
        <v>7</v>
      </c>
      <c r="I3" s="247" t="s">
        <v>8</v>
      </c>
      <c r="J3" s="247" t="s">
        <v>9</v>
      </c>
      <c r="K3" s="247" t="s">
        <v>10</v>
      </c>
      <c r="L3" s="248" t="s">
        <v>11</v>
      </c>
      <c r="M3" s="248" t="s">
        <v>120</v>
      </c>
      <c r="N3" s="292" t="s">
        <v>5</v>
      </c>
    </row>
    <row r="4" spans="2:14" ht="48.75" thickBot="1" x14ac:dyDescent="0.25">
      <c r="B4" s="295" t="s">
        <v>3</v>
      </c>
      <c r="C4" s="296"/>
      <c r="D4" s="296"/>
      <c r="E4" s="296"/>
      <c r="F4" s="297"/>
      <c r="G4" s="130" t="s">
        <v>12</v>
      </c>
      <c r="H4" s="131" t="s">
        <v>117</v>
      </c>
      <c r="I4" s="132" t="s">
        <v>100</v>
      </c>
      <c r="J4" s="132" t="s">
        <v>101</v>
      </c>
      <c r="K4" s="132" t="s">
        <v>102</v>
      </c>
      <c r="L4" s="132" t="s">
        <v>118</v>
      </c>
      <c r="M4" s="132" t="s">
        <v>119</v>
      </c>
      <c r="N4" s="293"/>
    </row>
    <row r="5" spans="2:14" ht="12" customHeight="1" thickTop="1" x14ac:dyDescent="0.2">
      <c r="B5" s="249" t="s">
        <v>13</v>
      </c>
      <c r="C5" s="32" t="s">
        <v>14</v>
      </c>
      <c r="D5" s="33"/>
      <c r="E5" s="33"/>
      <c r="F5" s="34"/>
      <c r="G5" s="298" t="s">
        <v>15</v>
      </c>
      <c r="H5" s="299"/>
      <c r="I5" s="299"/>
      <c r="J5" s="299"/>
      <c r="K5" s="299"/>
      <c r="L5" s="299"/>
      <c r="M5" s="299"/>
      <c r="N5" s="300"/>
    </row>
    <row r="6" spans="2:14" ht="12" customHeight="1" x14ac:dyDescent="0.2">
      <c r="B6" s="250" t="s">
        <v>16</v>
      </c>
      <c r="C6" s="35" t="s">
        <v>17</v>
      </c>
      <c r="D6" s="35"/>
      <c r="E6" s="35"/>
      <c r="F6" s="36"/>
      <c r="G6" s="185">
        <v>0</v>
      </c>
      <c r="H6" s="136">
        <v>70</v>
      </c>
      <c r="I6" s="136">
        <f>(G6*H6)</f>
        <v>0</v>
      </c>
      <c r="J6" s="136">
        <f>I6*0.05</f>
        <v>0</v>
      </c>
      <c r="K6" s="136">
        <f>I6*0.1</f>
        <v>0</v>
      </c>
      <c r="L6" s="136">
        <f>SUM(I6:K6)</f>
        <v>0</v>
      </c>
      <c r="M6" s="137">
        <f>I6*Inputs!$D$56+J6*Inputs!$D$57+K6*Inputs!$D$58</f>
        <v>0</v>
      </c>
      <c r="N6" s="137" t="s">
        <v>37</v>
      </c>
    </row>
    <row r="7" spans="2:14" ht="12" customHeight="1" x14ac:dyDescent="0.2">
      <c r="B7" s="251" t="s">
        <v>18</v>
      </c>
      <c r="C7" s="37" t="s">
        <v>19</v>
      </c>
      <c r="D7" s="37"/>
      <c r="E7" s="37"/>
      <c r="F7" s="38"/>
      <c r="G7" s="283"/>
      <c r="H7" s="284"/>
      <c r="I7" s="284"/>
      <c r="J7" s="284"/>
      <c r="K7" s="284"/>
      <c r="L7" s="284"/>
      <c r="M7" s="284"/>
      <c r="N7" s="285"/>
    </row>
    <row r="8" spans="2:14" ht="12" customHeight="1" x14ac:dyDescent="0.2">
      <c r="B8" s="252">
        <v>0.08</v>
      </c>
      <c r="C8" s="39" t="s">
        <v>20</v>
      </c>
      <c r="D8" s="289" t="s">
        <v>21</v>
      </c>
      <c r="E8" s="290"/>
      <c r="F8" s="291"/>
      <c r="G8" s="138">
        <v>0</v>
      </c>
      <c r="H8" s="139">
        <v>16</v>
      </c>
      <c r="I8" s="140">
        <f>(G8*H8)</f>
        <v>0</v>
      </c>
      <c r="J8" s="140">
        <f>I8*0.05</f>
        <v>0</v>
      </c>
      <c r="K8" s="140">
        <f>I8*0.1</f>
        <v>0</v>
      </c>
      <c r="L8" s="136">
        <f>SUM(I8:K8)</f>
        <v>0</v>
      </c>
      <c r="M8" s="137">
        <f>I8*Inputs!$D$56+J8*Inputs!$D$57+K8*Inputs!$D$58</f>
        <v>0</v>
      </c>
      <c r="N8" s="253"/>
    </row>
    <row r="9" spans="2:14" ht="12" customHeight="1" x14ac:dyDescent="0.2">
      <c r="B9" s="254">
        <f>0.1*0.1</f>
        <v>1.0000000000000002E-2</v>
      </c>
      <c r="C9" s="40" t="s">
        <v>23</v>
      </c>
      <c r="D9" s="41" t="s">
        <v>24</v>
      </c>
      <c r="E9" s="41"/>
      <c r="F9" s="42"/>
      <c r="G9" s="186">
        <v>0</v>
      </c>
      <c r="H9" s="141">
        <v>24</v>
      </c>
      <c r="I9" s="142">
        <f>(G9*H9)</f>
        <v>0</v>
      </c>
      <c r="J9" s="142">
        <f>I9*0.05</f>
        <v>0</v>
      </c>
      <c r="K9" s="142">
        <f>I9*0.1</f>
        <v>0</v>
      </c>
      <c r="L9" s="136">
        <f>SUM(I9:K9)</f>
        <v>0</v>
      </c>
      <c r="M9" s="137">
        <f>I9*Inputs!$D$56+J9*Inputs!$D$57+K9*Inputs!$D$58</f>
        <v>0</v>
      </c>
      <c r="N9" s="253"/>
    </row>
    <row r="10" spans="2:14" ht="12" customHeight="1" x14ac:dyDescent="0.2">
      <c r="B10" s="254"/>
      <c r="C10" s="43" t="s">
        <v>25</v>
      </c>
      <c r="D10" s="32" t="s">
        <v>26</v>
      </c>
      <c r="E10" s="32"/>
      <c r="F10" s="44"/>
      <c r="G10" s="283" t="s">
        <v>15</v>
      </c>
      <c r="H10" s="284"/>
      <c r="I10" s="284"/>
      <c r="J10" s="284"/>
      <c r="K10" s="284"/>
      <c r="L10" s="284"/>
      <c r="M10" s="284"/>
      <c r="N10" s="285"/>
    </row>
    <row r="11" spans="2:14" ht="12" customHeight="1" x14ac:dyDescent="0.2">
      <c r="B11" s="252"/>
      <c r="C11" s="45" t="s">
        <v>27</v>
      </c>
      <c r="D11" s="46" t="s">
        <v>28</v>
      </c>
      <c r="E11" s="46"/>
      <c r="F11" s="47"/>
      <c r="G11" s="286" t="s">
        <v>15</v>
      </c>
      <c r="H11" s="287"/>
      <c r="I11" s="287"/>
      <c r="J11" s="287"/>
      <c r="K11" s="287"/>
      <c r="L11" s="287"/>
      <c r="M11" s="287"/>
      <c r="N11" s="288"/>
    </row>
    <row r="12" spans="2:14" ht="12" customHeight="1" x14ac:dyDescent="0.2">
      <c r="B12" s="255"/>
      <c r="C12" s="48" t="s">
        <v>29</v>
      </c>
      <c r="D12" s="37" t="s">
        <v>30</v>
      </c>
      <c r="E12" s="37"/>
      <c r="F12" s="49"/>
      <c r="G12" s="283"/>
      <c r="H12" s="284"/>
      <c r="I12" s="284"/>
      <c r="J12" s="284"/>
      <c r="K12" s="284"/>
      <c r="L12" s="284"/>
      <c r="M12" s="284"/>
      <c r="N12" s="285"/>
    </row>
    <row r="13" spans="2:14" ht="12" customHeight="1" x14ac:dyDescent="0.2">
      <c r="B13" s="256"/>
      <c r="C13" s="64"/>
      <c r="D13" s="128" t="s">
        <v>13</v>
      </c>
      <c r="E13" s="62" t="s">
        <v>176</v>
      </c>
      <c r="F13" s="65"/>
      <c r="G13" s="135"/>
      <c r="H13" s="143"/>
      <c r="I13" s="144"/>
      <c r="J13" s="144"/>
      <c r="K13" s="144"/>
      <c r="L13" s="136"/>
      <c r="M13" s="137"/>
      <c r="N13" s="253"/>
    </row>
    <row r="14" spans="2:14" ht="12" customHeight="1" x14ac:dyDescent="0.2">
      <c r="B14" s="256"/>
      <c r="C14" s="64"/>
      <c r="D14" s="128"/>
      <c r="E14" s="62" t="s">
        <v>126</v>
      </c>
      <c r="F14" s="65"/>
      <c r="G14" s="135">
        <f>'YR3'!G22</f>
        <v>31</v>
      </c>
      <c r="H14" s="143">
        <v>5</v>
      </c>
      <c r="I14" s="144">
        <f t="shared" ref="I14:I23" si="0">(G14*H14)</f>
        <v>155</v>
      </c>
      <c r="J14" s="144">
        <f t="shared" ref="J14:J22" si="1">I14*0.05</f>
        <v>7.75</v>
      </c>
      <c r="K14" s="144">
        <f t="shared" ref="K14:K22" si="2">I14*0.1</f>
        <v>15.5</v>
      </c>
      <c r="L14" s="136">
        <f t="shared" ref="L14:L23" si="3">SUM(I14:K14)</f>
        <v>178.25</v>
      </c>
      <c r="M14" s="137">
        <f>I14*Inputs!$D$56+J14*Inputs!$D$57+K14*Inputs!$D$58</f>
        <v>8277.0000000000018</v>
      </c>
      <c r="N14" s="253"/>
    </row>
    <row r="15" spans="2:14" ht="12" customHeight="1" x14ac:dyDescent="0.2">
      <c r="B15" s="256"/>
      <c r="C15" s="64"/>
      <c r="D15" s="128"/>
      <c r="E15" s="62" t="s">
        <v>127</v>
      </c>
      <c r="F15" s="65"/>
      <c r="G15" s="135">
        <f>'YR3'!G23</f>
        <v>21</v>
      </c>
      <c r="H15" s="143">
        <v>5</v>
      </c>
      <c r="I15" s="144">
        <f t="shared" si="0"/>
        <v>105</v>
      </c>
      <c r="J15" s="144">
        <f t="shared" si="1"/>
        <v>5.25</v>
      </c>
      <c r="K15" s="144">
        <f t="shared" si="2"/>
        <v>10.5</v>
      </c>
      <c r="L15" s="136">
        <f t="shared" si="3"/>
        <v>120.75</v>
      </c>
      <c r="M15" s="137">
        <f>I15*Inputs!$D$56+J15*Inputs!$D$57+K15*Inputs!$D$58</f>
        <v>5607.0000000000009</v>
      </c>
      <c r="N15" s="253"/>
    </row>
    <row r="16" spans="2:14" ht="12" customHeight="1" x14ac:dyDescent="0.2">
      <c r="B16" s="256"/>
      <c r="C16" s="64"/>
      <c r="D16" s="128" t="s">
        <v>16</v>
      </c>
      <c r="E16" s="66" t="s">
        <v>113</v>
      </c>
      <c r="F16" s="65"/>
      <c r="G16" s="135"/>
      <c r="H16" s="143"/>
      <c r="I16" s="144"/>
      <c r="J16" s="144"/>
      <c r="K16" s="144"/>
      <c r="L16" s="136"/>
      <c r="M16" s="137"/>
      <c r="N16" s="253"/>
    </row>
    <row r="17" spans="2:14" ht="12" customHeight="1" x14ac:dyDescent="0.2">
      <c r="B17" s="256"/>
      <c r="C17" s="64"/>
      <c r="D17" s="128"/>
      <c r="E17" s="66" t="s">
        <v>126</v>
      </c>
      <c r="F17" s="65"/>
      <c r="G17" s="135">
        <f>'YR3'!G25*'YR3'!E25</f>
        <v>62</v>
      </c>
      <c r="H17" s="143">
        <v>2</v>
      </c>
      <c r="I17" s="144">
        <f t="shared" si="0"/>
        <v>124</v>
      </c>
      <c r="J17" s="144">
        <f t="shared" si="1"/>
        <v>6.2</v>
      </c>
      <c r="K17" s="144">
        <f t="shared" si="2"/>
        <v>12.4</v>
      </c>
      <c r="L17" s="136">
        <f t="shared" si="3"/>
        <v>142.6</v>
      </c>
      <c r="M17" s="137">
        <f>I17*Inputs!$D$56+J17*Inputs!$D$57+K17*Inputs!$D$58</f>
        <v>6621.6000000000013</v>
      </c>
      <c r="N17" s="253"/>
    </row>
    <row r="18" spans="2:14" ht="12" customHeight="1" x14ac:dyDescent="0.2">
      <c r="B18" s="256"/>
      <c r="C18" s="64"/>
      <c r="D18" s="128"/>
      <c r="E18" s="66" t="s">
        <v>127</v>
      </c>
      <c r="F18" s="65"/>
      <c r="G18" s="135">
        <f>'YR3'!G26*'YR3'!E26</f>
        <v>42</v>
      </c>
      <c r="H18" s="143">
        <v>2</v>
      </c>
      <c r="I18" s="144">
        <f t="shared" si="0"/>
        <v>84</v>
      </c>
      <c r="J18" s="144">
        <f t="shared" si="1"/>
        <v>4.2</v>
      </c>
      <c r="K18" s="144">
        <f t="shared" si="2"/>
        <v>8.4</v>
      </c>
      <c r="L18" s="136">
        <f t="shared" si="3"/>
        <v>96.600000000000009</v>
      </c>
      <c r="M18" s="137">
        <f>I18*Inputs!$D$56+J18*Inputs!$D$57+K18*Inputs!$D$58</f>
        <v>4485.6000000000004</v>
      </c>
      <c r="N18" s="253"/>
    </row>
    <row r="19" spans="2:14" ht="12" customHeight="1" x14ac:dyDescent="0.2">
      <c r="B19" s="256"/>
      <c r="C19" s="64"/>
      <c r="D19" s="128"/>
      <c r="E19" s="66" t="s">
        <v>211</v>
      </c>
      <c r="F19" s="65"/>
      <c r="G19" s="135">
        <f>'YR3'!G27*'YR3'!E27</f>
        <v>52</v>
      </c>
      <c r="H19" s="143">
        <v>2</v>
      </c>
      <c r="I19" s="144">
        <f t="shared" si="0"/>
        <v>104</v>
      </c>
      <c r="J19" s="144">
        <f t="shared" si="1"/>
        <v>5.2</v>
      </c>
      <c r="K19" s="144">
        <f t="shared" si="2"/>
        <v>10.4</v>
      </c>
      <c r="L19" s="136">
        <f t="shared" si="3"/>
        <v>119.60000000000001</v>
      </c>
      <c r="M19" s="137">
        <f>I19*Inputs!$D$56+J19*Inputs!$D$57+K19*Inputs!$D$58</f>
        <v>5553.6</v>
      </c>
      <c r="N19" s="253"/>
    </row>
    <row r="20" spans="2:14" ht="12" customHeight="1" x14ac:dyDescent="0.2">
      <c r="B20" s="256"/>
      <c r="C20" s="64"/>
      <c r="D20" s="128"/>
      <c r="E20" s="66" t="s">
        <v>128</v>
      </c>
      <c r="F20" s="65"/>
      <c r="G20" s="135">
        <f>'YR3'!G28*'YR3'!E28</f>
        <v>62</v>
      </c>
      <c r="H20" s="143">
        <v>2</v>
      </c>
      <c r="I20" s="144">
        <f t="shared" si="0"/>
        <v>124</v>
      </c>
      <c r="J20" s="144">
        <f t="shared" si="1"/>
        <v>6.2</v>
      </c>
      <c r="K20" s="144">
        <f t="shared" si="2"/>
        <v>12.4</v>
      </c>
      <c r="L20" s="136">
        <f t="shared" si="3"/>
        <v>142.6</v>
      </c>
      <c r="M20" s="137">
        <f>I20*Inputs!$D$56+J20*Inputs!$D$57+K20*Inputs!$D$58</f>
        <v>6621.6000000000013</v>
      </c>
      <c r="N20" s="253"/>
    </row>
    <row r="21" spans="2:14" ht="12" customHeight="1" x14ac:dyDescent="0.2">
      <c r="B21" s="256"/>
      <c r="C21" s="64"/>
      <c r="D21" s="128"/>
      <c r="E21" s="66" t="s">
        <v>159</v>
      </c>
      <c r="F21" s="65"/>
      <c r="G21" s="135">
        <f>'YR3'!G30*'YR3'!E30</f>
        <v>62</v>
      </c>
      <c r="H21" s="143">
        <v>2</v>
      </c>
      <c r="I21" s="144">
        <f t="shared" si="0"/>
        <v>124</v>
      </c>
      <c r="J21" s="144">
        <f t="shared" si="1"/>
        <v>6.2</v>
      </c>
      <c r="K21" s="144">
        <f t="shared" si="2"/>
        <v>12.4</v>
      </c>
      <c r="L21" s="136">
        <f t="shared" si="3"/>
        <v>142.6</v>
      </c>
      <c r="M21" s="137">
        <f>I21*Inputs!$D$56+J21*Inputs!$D$57+K21*Inputs!$D$58</f>
        <v>6621.6000000000013</v>
      </c>
      <c r="N21" s="253"/>
    </row>
    <row r="22" spans="2:14" ht="12" customHeight="1" x14ac:dyDescent="0.2">
      <c r="B22" s="256"/>
      <c r="C22" s="64"/>
      <c r="D22" s="128" t="s">
        <v>18</v>
      </c>
      <c r="E22" s="66" t="s">
        <v>175</v>
      </c>
      <c r="F22" s="65"/>
      <c r="G22" s="135">
        <f>'YR3'!G44</f>
        <v>0</v>
      </c>
      <c r="H22" s="143">
        <v>5</v>
      </c>
      <c r="I22" s="144">
        <f t="shared" si="0"/>
        <v>0</v>
      </c>
      <c r="J22" s="144">
        <f t="shared" si="1"/>
        <v>0</v>
      </c>
      <c r="K22" s="144">
        <f t="shared" si="2"/>
        <v>0</v>
      </c>
      <c r="L22" s="136">
        <f t="shared" si="3"/>
        <v>0</v>
      </c>
      <c r="M22" s="137">
        <f>I22*Inputs!$D$56+J22*Inputs!$D$57+K22*Inputs!$D$58</f>
        <v>0</v>
      </c>
      <c r="N22" s="253"/>
    </row>
    <row r="23" spans="2:14" ht="12" customHeight="1" x14ac:dyDescent="0.2">
      <c r="B23" s="257"/>
      <c r="C23" s="61" t="s">
        <v>31</v>
      </c>
      <c r="D23" s="62" t="s">
        <v>32</v>
      </c>
      <c r="E23" s="62"/>
      <c r="F23" s="63"/>
      <c r="G23" s="145">
        <v>1</v>
      </c>
      <c r="H23" s="144">
        <v>10</v>
      </c>
      <c r="I23" s="144">
        <f t="shared" si="0"/>
        <v>10</v>
      </c>
      <c r="J23" s="144">
        <f t="shared" ref="J23" si="4">I23*0.05</f>
        <v>0.5</v>
      </c>
      <c r="K23" s="144">
        <f t="shared" ref="K23" si="5">I23*0.1</f>
        <v>1</v>
      </c>
      <c r="L23" s="136">
        <f t="shared" si="3"/>
        <v>11.5</v>
      </c>
      <c r="M23" s="137">
        <f>I23*Inputs!$D$56+J23*Inputs!$D$57+K23*Inputs!$D$58</f>
        <v>534.00000000000011</v>
      </c>
      <c r="N23" s="253"/>
    </row>
    <row r="24" spans="2:14" ht="12" customHeight="1" thickBot="1" x14ac:dyDescent="0.25">
      <c r="B24" s="258" t="s">
        <v>58</v>
      </c>
      <c r="C24" s="56" t="s">
        <v>34</v>
      </c>
      <c r="D24" s="57"/>
      <c r="E24" s="57"/>
      <c r="F24" s="57"/>
      <c r="G24" s="58"/>
      <c r="H24" s="50"/>
      <c r="I24" s="50"/>
      <c r="J24" s="59" t="str">
        <f>IF(G8=0,"$0",1*3.75*75+600)</f>
        <v>$0</v>
      </c>
      <c r="K24" s="60" t="s">
        <v>35</v>
      </c>
      <c r="L24" s="60"/>
      <c r="M24" s="51">
        <f>IF(ISTEXT(J24),0,G8*J24)</f>
        <v>0</v>
      </c>
      <c r="N24" s="259"/>
    </row>
    <row r="25" spans="2:14" ht="12" customHeight="1" thickTop="1" x14ac:dyDescent="0.2">
      <c r="B25" s="260"/>
      <c r="C25" s="261" t="s">
        <v>36</v>
      </c>
      <c r="D25" s="262"/>
      <c r="E25" s="262"/>
      <c r="F25" s="62"/>
      <c r="G25" s="263"/>
      <c r="H25" s="264"/>
      <c r="I25" s="265">
        <f>SUM(I6:I23)</f>
        <v>830</v>
      </c>
      <c r="J25" s="265">
        <f>SUM(J6:J23)</f>
        <v>41.5</v>
      </c>
      <c r="K25" s="265">
        <f>SUM(K6:K23)</f>
        <v>83</v>
      </c>
      <c r="L25" s="265">
        <f>SUM(L6:L23)</f>
        <v>954.50000000000011</v>
      </c>
      <c r="M25" s="266">
        <f>SUM(M6:M24)</f>
        <v>44322</v>
      </c>
      <c r="N25" s="253"/>
    </row>
    <row r="26" spans="2:14" ht="12" customHeight="1" x14ac:dyDescent="0.2">
      <c r="B26" s="14"/>
      <c r="C26" s="14"/>
      <c r="D26" s="14"/>
      <c r="E26" s="14"/>
      <c r="F26" s="15"/>
      <c r="G26" s="15"/>
      <c r="H26" s="16"/>
      <c r="I26" s="17"/>
      <c r="J26" s="17"/>
      <c r="K26" s="17"/>
      <c r="L26" s="17"/>
      <c r="M26" s="17"/>
      <c r="N26" s="17"/>
    </row>
    <row r="27" spans="2:14" ht="12" customHeight="1" x14ac:dyDescent="0.2">
      <c r="B27" s="52" t="s">
        <v>99</v>
      </c>
      <c r="C27" s="52"/>
      <c r="D27" s="14"/>
      <c r="E27" s="14"/>
      <c r="F27" s="18"/>
      <c r="G27" s="15"/>
      <c r="H27" s="16"/>
      <c r="I27" s="17"/>
      <c r="J27" s="17"/>
      <c r="K27" s="17"/>
      <c r="L27" s="17"/>
      <c r="M27" s="17"/>
      <c r="N27" s="17"/>
    </row>
    <row r="28" spans="2:14" ht="12" customHeight="1" x14ac:dyDescent="0.2">
      <c r="B28" s="53" t="s">
        <v>37</v>
      </c>
      <c r="C28" s="27" t="s">
        <v>177</v>
      </c>
      <c r="D28" s="14"/>
      <c r="E28" s="14"/>
      <c r="F28" s="15"/>
      <c r="G28" s="15"/>
      <c r="H28" s="16"/>
      <c r="I28" s="17"/>
      <c r="J28" s="17"/>
      <c r="K28" s="17"/>
      <c r="L28" s="17"/>
      <c r="M28" s="17"/>
      <c r="N28" s="17"/>
    </row>
    <row r="29" spans="2:14" ht="12" customHeight="1" x14ac:dyDescent="0.2">
      <c r="B29" s="54"/>
      <c r="C29" s="55"/>
    </row>
    <row r="30" spans="2:14" x14ac:dyDescent="0.2">
      <c r="B30" s="20"/>
    </row>
    <row r="31" spans="2:14" x14ac:dyDescent="0.2">
      <c r="B31" s="20"/>
    </row>
    <row r="32" spans="2:14" x14ac:dyDescent="0.2">
      <c r="B32" s="20"/>
    </row>
    <row r="33" spans="2:26" x14ac:dyDescent="0.2">
      <c r="B33" s="20"/>
    </row>
    <row r="46" spans="2:26" x14ac:dyDescent="0.2">
      <c r="W46" s="282" t="s">
        <v>38</v>
      </c>
      <c r="X46" s="282"/>
      <c r="Y46" s="282"/>
      <c r="Z46" s="31">
        <v>0.2</v>
      </c>
    </row>
    <row r="47" spans="2:26" x14ac:dyDescent="0.2">
      <c r="W47" s="282" t="s">
        <v>39</v>
      </c>
      <c r="X47" s="282"/>
      <c r="Y47" s="282"/>
      <c r="Z47" s="31">
        <v>0.1</v>
      </c>
    </row>
    <row r="48" spans="2:26" x14ac:dyDescent="0.2">
      <c r="W48" s="282" t="s">
        <v>40</v>
      </c>
      <c r="X48" s="282"/>
      <c r="Y48" s="282"/>
      <c r="Z48" s="31">
        <v>0.1</v>
      </c>
    </row>
  </sheetData>
  <mergeCells count="12">
    <mergeCell ref="W48:Y48"/>
    <mergeCell ref="B2:N2"/>
    <mergeCell ref="N3:N4"/>
    <mergeCell ref="B4:F4"/>
    <mergeCell ref="G5:N5"/>
    <mergeCell ref="G7:N7"/>
    <mergeCell ref="D8:F8"/>
    <mergeCell ref="G10:N10"/>
    <mergeCell ref="G11:N11"/>
    <mergeCell ref="G12:N12"/>
    <mergeCell ref="W46:Y46"/>
    <mergeCell ref="W47:Y47"/>
  </mergeCells>
  <printOptions horizontalCentered="1"/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Inputs</vt:lpstr>
      <vt:lpstr>MemoTables</vt:lpstr>
      <vt:lpstr>YR1</vt:lpstr>
      <vt:lpstr>YR2</vt:lpstr>
      <vt:lpstr>YR3</vt:lpstr>
      <vt:lpstr>summary</vt:lpstr>
      <vt:lpstr>EPA_YR1</vt:lpstr>
      <vt:lpstr>EPA_YR2</vt:lpstr>
      <vt:lpstr>EPA_YR3</vt:lpstr>
      <vt:lpstr>EPA summary</vt:lpstr>
      <vt:lpstr>'EPA summary'!Print_Area</vt:lpstr>
      <vt:lpstr>EPA_YR1!Print_Area</vt:lpstr>
      <vt:lpstr>EPA_YR2!Print_Area</vt:lpstr>
      <vt:lpstr>EPA_YR3!Print_Area</vt:lpstr>
      <vt:lpstr>summary!Print_Area</vt:lpstr>
      <vt:lpstr>'YR1'!Print_Area</vt:lpstr>
      <vt:lpstr>'YR2'!Print_Area</vt:lpstr>
      <vt:lpstr>'YR3'!Print_Area</vt:lpstr>
      <vt:lpstr>'YR1'!Print_Titles</vt:lpstr>
      <vt:lpstr>'YR2'!Print_Titles</vt:lpstr>
      <vt:lpstr>'YR3'!Print_Titles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2019-10-11T20:11:02Z</dcterms:modified>
</cp:coreProperties>
</file>