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rank04\Documents\Incoming ICRS\10-31-2019 ICRs\2060-0338 ICR 1695.11\"/>
    </mc:Choice>
  </mc:AlternateContent>
  <xr:revisionPtr revIDLastSave="0" documentId="8_{3FC140EE-4814-41BD-A5A6-4014AE0F218E}" xr6:coauthVersionLast="41" xr6:coauthVersionMax="41" xr10:uidLastSave="{00000000-0000-0000-0000-000000000000}"/>
  <bookViews>
    <workbookView xWindow="-120" yWindow="-120" windowWidth="19440" windowHeight="15000" tabRatio="922" activeTab="7" xr2:uid="{00000000-000D-0000-FFFF-FFFF00000000}"/>
  </bookViews>
  <sheets>
    <sheet name="Tbl2-SI Cert All" sheetId="8" r:id="rId1"/>
    <sheet name="Tbl3-ABT-All" sheetId="10" r:id="rId2"/>
    <sheet name="Tbl4-SI PLT" sheetId="1" r:id="rId3"/>
    <sheet name="Tbl5-SI InUse" sheetId="12" r:id="rId4"/>
    <sheet name="Tbl6-SEA" sheetId="14" r:id="rId5"/>
    <sheet name="Sector Production" sheetId="27" r:id="rId6"/>
    <sheet name="Tbl8-Agency Burden" sheetId="25" r:id="rId7"/>
    <sheet name="Resp Tally" sheetId="26" r:id="rId8"/>
  </sheets>
  <definedNames>
    <definedName name="_xlnm.Print_Area" localSheetId="0">'Tbl2-SI Cert All'!$A$1:$O$34</definedName>
    <definedName name="_xlnm.Print_Area" localSheetId="2">'Tbl4-SI PLT'!$A$1:$P$23</definedName>
    <definedName name="_xlnm.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7" l="1"/>
  <c r="M29" i="8"/>
  <c r="M18" i="8"/>
  <c r="I20" i="26"/>
  <c r="I19" i="26"/>
  <c r="K19" i="26"/>
  <c r="K20" i="26" s="1"/>
  <c r="G11" i="27"/>
  <c r="J5" i="14"/>
  <c r="J6" i="14"/>
  <c r="J7" i="14"/>
  <c r="J8" i="14"/>
  <c r="J9" i="14"/>
  <c r="J10" i="14"/>
  <c r="J11" i="14"/>
  <c r="J12" i="14"/>
  <c r="J13" i="14"/>
  <c r="J4" i="14"/>
  <c r="B3" i="14"/>
  <c r="C3" i="14"/>
  <c r="D3" i="14"/>
  <c r="E3" i="14"/>
  <c r="F3" i="14"/>
  <c r="G3" i="14"/>
  <c r="H3" i="14"/>
  <c r="J19" i="1"/>
  <c r="J19" i="12"/>
  <c r="J5" i="12"/>
  <c r="J6" i="12"/>
  <c r="J7" i="12"/>
  <c r="J8" i="12"/>
  <c r="J9" i="12"/>
  <c r="J10" i="12"/>
  <c r="J11" i="12"/>
  <c r="J16" i="12"/>
  <c r="J17" i="12"/>
  <c r="J18" i="12"/>
  <c r="J4" i="12"/>
  <c r="J20" i="12" s="1"/>
  <c r="B3" i="12"/>
  <c r="C3" i="12"/>
  <c r="D3" i="12"/>
  <c r="E3" i="12"/>
  <c r="F3" i="12"/>
  <c r="G3" i="12"/>
  <c r="H3" i="12"/>
  <c r="J5" i="1"/>
  <c r="J6" i="1"/>
  <c r="J7" i="1"/>
  <c r="J8" i="1"/>
  <c r="J9" i="1"/>
  <c r="J10" i="1"/>
  <c r="J11" i="1"/>
  <c r="J16" i="1"/>
  <c r="J17" i="1"/>
  <c r="J18" i="1"/>
  <c r="J4" i="1"/>
  <c r="C9" i="10"/>
  <c r="D9" i="10"/>
  <c r="E9" i="10"/>
  <c r="F9" i="10"/>
  <c r="B9" i="10"/>
  <c r="G9" i="10" s="1"/>
  <c r="G11" i="10"/>
  <c r="G5" i="10"/>
  <c r="G4" i="10"/>
  <c r="G6" i="10"/>
  <c r="G7" i="10"/>
  <c r="G8" i="10"/>
  <c r="G10" i="10"/>
  <c r="I5" i="8"/>
  <c r="I6" i="8"/>
  <c r="I7" i="8"/>
  <c r="I8" i="8"/>
  <c r="I10" i="8"/>
  <c r="I11" i="8"/>
  <c r="I12" i="8"/>
  <c r="I13" i="8"/>
  <c r="I14" i="8"/>
  <c r="I15" i="8"/>
  <c r="I16" i="8"/>
  <c r="I17" i="8"/>
  <c r="I18" i="8"/>
  <c r="I20" i="8"/>
  <c r="I21" i="8"/>
  <c r="I22" i="8"/>
  <c r="I23" i="8"/>
  <c r="I24" i="8"/>
  <c r="I25" i="8"/>
  <c r="I26" i="8"/>
  <c r="K12" i="8"/>
  <c r="K11" i="8"/>
  <c r="K10" i="8"/>
  <c r="I4" i="8"/>
  <c r="C37" i="8"/>
  <c r="C38" i="8"/>
  <c r="C39" i="8"/>
  <c r="C40" i="8"/>
  <c r="C41" i="8"/>
  <c r="C42" i="8"/>
  <c r="C36" i="8"/>
  <c r="D10" i="25"/>
  <c r="D9" i="25"/>
  <c r="D8" i="25"/>
  <c r="D7" i="25"/>
  <c r="D6" i="25"/>
  <c r="D5" i="25"/>
  <c r="K13" i="8"/>
  <c r="C10" i="27" l="1"/>
  <c r="I20" i="12" l="1"/>
  <c r="G10" i="26"/>
  <c r="D10" i="26"/>
  <c r="C9" i="26"/>
  <c r="I8" i="26"/>
  <c r="C8" i="26"/>
  <c r="C7" i="26"/>
  <c r="C6" i="26"/>
  <c r="K14" i="8"/>
  <c r="I21" i="25"/>
  <c r="L15" i="12" l="1"/>
  <c r="L14" i="12"/>
  <c r="P14" i="12" s="1"/>
  <c r="L13" i="12"/>
  <c r="P13" i="12" s="1"/>
  <c r="O18" i="12"/>
  <c r="O17" i="12"/>
  <c r="O16" i="12"/>
  <c r="O15" i="12"/>
  <c r="O14" i="12"/>
  <c r="O13" i="12"/>
  <c r="O11" i="12"/>
  <c r="O10" i="12"/>
  <c r="O9" i="12"/>
  <c r="O8" i="12"/>
  <c r="O7" i="12"/>
  <c r="O6" i="12"/>
  <c r="O5" i="12"/>
  <c r="O4" i="12"/>
  <c r="O18" i="1"/>
  <c r="O17" i="1"/>
  <c r="O16" i="1"/>
  <c r="O11" i="1"/>
  <c r="O10" i="1"/>
  <c r="O9" i="1"/>
  <c r="O8" i="1"/>
  <c r="O7" i="1"/>
  <c r="O6" i="1"/>
  <c r="O5" i="1"/>
  <c r="O4" i="1"/>
  <c r="P15" i="12"/>
  <c r="L13" i="1"/>
  <c r="M15" i="1"/>
  <c r="O15" i="1" s="1"/>
  <c r="M14" i="1"/>
  <c r="O14" i="1" s="1"/>
  <c r="M13" i="1"/>
  <c r="L15" i="1"/>
  <c r="L14" i="1"/>
  <c r="P14" i="1" l="1"/>
  <c r="J20" i="1"/>
  <c r="P13" i="1"/>
  <c r="P15" i="1"/>
  <c r="O13" i="1"/>
  <c r="O20" i="1" s="1"/>
  <c r="E7" i="26" s="1"/>
  <c r="O20" i="12"/>
  <c r="E8" i="26" s="1"/>
  <c r="L22" i="8"/>
  <c r="O22" i="8" s="1"/>
  <c r="K29" i="8"/>
  <c r="H5" i="26" s="1"/>
  <c r="H23" i="8"/>
  <c r="N23" i="8" s="1"/>
  <c r="H22" i="8"/>
  <c r="N22" i="8" s="1"/>
  <c r="O23" i="8"/>
  <c r="F10" i="25" l="1"/>
  <c r="I10" i="25" s="1"/>
  <c r="E13" i="25"/>
  <c r="F9" i="25"/>
  <c r="I9" i="25" s="1"/>
  <c r="F8" i="25"/>
  <c r="I8" i="25" s="1"/>
  <c r="F7" i="25"/>
  <c r="I7" i="25" s="1"/>
  <c r="F5" i="25"/>
  <c r="I5" i="25" s="1"/>
  <c r="F6" i="25"/>
  <c r="I6" i="25" s="1"/>
  <c r="I13" i="25" l="1"/>
  <c r="I23" i="25" s="1"/>
  <c r="H10" i="25"/>
  <c r="H5" i="25"/>
  <c r="H7" i="25"/>
  <c r="H9" i="25"/>
  <c r="H6" i="25"/>
  <c r="H8" i="25"/>
  <c r="H13" i="25" l="1"/>
  <c r="P18" i="12" l="1"/>
  <c r="P10" i="12"/>
  <c r="P6" i="12"/>
  <c r="P4" i="12"/>
  <c r="P18" i="1"/>
  <c r="P16" i="1"/>
  <c r="P10" i="1"/>
  <c r="P8" i="1"/>
  <c r="P6" i="1"/>
  <c r="P4" i="1"/>
  <c r="L6" i="10"/>
  <c r="F6" i="26"/>
  <c r="O25" i="8"/>
  <c r="O21" i="8"/>
  <c r="O18" i="8"/>
  <c r="O16" i="8"/>
  <c r="O12" i="8"/>
  <c r="O10" i="8"/>
  <c r="O8" i="8"/>
  <c r="O7" i="8"/>
  <c r="O5" i="8"/>
  <c r="H26" i="8"/>
  <c r="N26" i="8" s="1"/>
  <c r="H25" i="8"/>
  <c r="N25" i="8" s="1"/>
  <c r="H24" i="8"/>
  <c r="N24" i="8" s="1"/>
  <c r="H21" i="8"/>
  <c r="N21" i="8" s="1"/>
  <c r="H20" i="8"/>
  <c r="H17" i="8"/>
  <c r="H16" i="8"/>
  <c r="N16" i="8" s="1"/>
  <c r="H15" i="8"/>
  <c r="N15" i="8" s="1"/>
  <c r="H14" i="8"/>
  <c r="N14" i="8" s="1"/>
  <c r="H13" i="8"/>
  <c r="N13" i="8" s="1"/>
  <c r="H12" i="8"/>
  <c r="N12" i="8" s="1"/>
  <c r="H11" i="8"/>
  <c r="N11" i="8" s="1"/>
  <c r="H10" i="8"/>
  <c r="N10" i="8" s="1"/>
  <c r="H8" i="8"/>
  <c r="N8" i="8" s="1"/>
  <c r="H7" i="8"/>
  <c r="N7" i="8" s="1"/>
  <c r="H6" i="8"/>
  <c r="H5" i="8"/>
  <c r="H4" i="8"/>
  <c r="N4" i="8" s="1"/>
  <c r="O26" i="8"/>
  <c r="O24" i="8"/>
  <c r="O20" i="8"/>
  <c r="O17" i="8"/>
  <c r="O15" i="8"/>
  <c r="O13" i="8"/>
  <c r="O11" i="8"/>
  <c r="O6" i="8"/>
  <c r="O4" i="8"/>
  <c r="N20" i="8"/>
  <c r="N18" i="8"/>
  <c r="N17" i="8"/>
  <c r="N6" i="8"/>
  <c r="N5" i="8"/>
  <c r="G28" i="8"/>
  <c r="F28" i="8"/>
  <c r="E28" i="8"/>
  <c r="D28" i="8"/>
  <c r="C28" i="8"/>
  <c r="B28" i="8"/>
  <c r="F8" i="26"/>
  <c r="L14" i="14"/>
  <c r="H9" i="26" s="1"/>
  <c r="P17" i="12"/>
  <c r="P16" i="12"/>
  <c r="P11" i="12"/>
  <c r="P9" i="12"/>
  <c r="P8" i="12"/>
  <c r="P7" i="12"/>
  <c r="P5" i="12"/>
  <c r="L20" i="12"/>
  <c r="H8" i="26" s="1"/>
  <c r="P17" i="1"/>
  <c r="P11" i="1"/>
  <c r="P9" i="1"/>
  <c r="P7" i="1"/>
  <c r="P5" i="1"/>
  <c r="L20" i="1"/>
  <c r="H7" i="26" s="1"/>
  <c r="I9" i="10"/>
  <c r="I10" i="10" s="1"/>
  <c r="H6" i="26" s="1"/>
  <c r="L8" i="10"/>
  <c r="K4" i="10"/>
  <c r="L7" i="10"/>
  <c r="K8" i="10"/>
  <c r="K7" i="10"/>
  <c r="K6" i="10"/>
  <c r="K5" i="10"/>
  <c r="L5" i="10"/>
  <c r="P4" i="14"/>
  <c r="P5" i="14"/>
  <c r="P6" i="14"/>
  <c r="P7" i="14"/>
  <c r="P8" i="14"/>
  <c r="P9" i="14"/>
  <c r="P10" i="14"/>
  <c r="P11" i="14"/>
  <c r="P12" i="14"/>
  <c r="I4" i="14"/>
  <c r="I13" i="14" s="1"/>
  <c r="O4" i="14"/>
  <c r="I5" i="14"/>
  <c r="O5" i="14" s="1"/>
  <c r="I6" i="14"/>
  <c r="O6" i="14"/>
  <c r="I7" i="14"/>
  <c r="O7" i="14"/>
  <c r="I8" i="14"/>
  <c r="O8" i="14"/>
  <c r="I9" i="14"/>
  <c r="O9" i="14" s="1"/>
  <c r="I10" i="14"/>
  <c r="O10" i="14"/>
  <c r="I11" i="14"/>
  <c r="O11" i="14"/>
  <c r="I12" i="14"/>
  <c r="O12" i="14"/>
  <c r="O14" i="14" l="1"/>
  <c r="E9" i="26" s="1"/>
  <c r="P20" i="1"/>
  <c r="I7" i="26" s="1"/>
  <c r="J14" i="14"/>
  <c r="F9" i="26" s="1"/>
  <c r="P20" i="12"/>
  <c r="L4" i="10"/>
  <c r="L10" i="10" s="1"/>
  <c r="I6" i="26" s="1"/>
  <c r="F7" i="26"/>
  <c r="H10" i="26"/>
  <c r="K10" i="10"/>
  <c r="E6" i="26" s="1"/>
  <c r="P14" i="14"/>
  <c r="I9" i="26" s="1"/>
  <c r="H28" i="8"/>
  <c r="N29" i="8"/>
  <c r="E5" i="26" s="1"/>
  <c r="O14" i="8"/>
  <c r="I28" i="8"/>
  <c r="I29" i="8"/>
  <c r="F5" i="26" s="1"/>
  <c r="E10" i="26" l="1"/>
  <c r="E12" i="26" s="1"/>
  <c r="O29" i="8"/>
  <c r="I5" i="26" s="1"/>
  <c r="I10" i="26" s="1"/>
  <c r="F1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Maurice Davis</author>
    <author>Nydia Yanira Reyes-Morales</author>
  </authors>
  <commentList>
    <comment ref="M9" authorId="0" shapeId="0" xr:uid="{F3C6691D-498F-4C43-B78C-AA33ECC21C0C}">
      <text>
        <r>
          <rPr>
            <b/>
            <sz val="9"/>
            <color indexed="81"/>
            <rFont val="Tahoma"/>
            <charset val="1"/>
          </rPr>
          <t>Julian Maurice Davis:</t>
        </r>
        <r>
          <rPr>
            <sz val="9"/>
            <color indexed="81"/>
            <rFont val="Tahoma"/>
            <charset val="1"/>
          </rPr>
          <t xml:space="preserve">
Based on average respondent burden per year (2018).</t>
        </r>
      </text>
    </comment>
    <comment ref="L13" authorId="1" shapeId="0" xr:uid="{00000000-0006-0000-0200-000001000000}">
      <text>
        <r>
          <rPr>
            <b/>
            <sz val="8"/>
            <color indexed="81"/>
            <rFont val="Tahoma"/>
            <family val="2"/>
          </rPr>
          <t>Nydia Yanira Reyes-Morales:</t>
        </r>
        <r>
          <rPr>
            <sz val="8"/>
            <color indexed="81"/>
            <rFont val="Tahoma"/>
            <family val="2"/>
          </rPr>
          <t xml:space="preserve">
from Phil, annualized, 
based on 125 hours of durability accumulation</t>
        </r>
      </text>
    </comment>
    <comment ref="M1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Nydia Yanira Reyes-Morales:</t>
        </r>
        <r>
          <rPr>
            <sz val="8"/>
            <color indexed="81"/>
            <rFont val="Tahoma"/>
            <family val="2"/>
          </rPr>
          <t xml:space="preserve">
Used actual received
from comp dabase
2011. Revised for 2018 (julian Davis).</t>
        </r>
      </text>
    </comment>
    <comment ref="L1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Nydia Yanira Reyes-Morales:</t>
        </r>
        <r>
          <rPr>
            <sz val="8"/>
            <color indexed="81"/>
            <rFont val="Tahoma"/>
            <family val="2"/>
          </rPr>
          <t xml:space="preserve">
SwRI 2007, adjusted from inflation
</t>
        </r>
      </text>
    </comment>
    <comment ref="L15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Nydia Yanira Reyes-Morales:</t>
        </r>
        <r>
          <rPr>
            <sz val="8"/>
            <color indexed="81"/>
            <rFont val="Tahoma"/>
            <family val="2"/>
          </rPr>
          <t xml:space="preserve">
adjusted from inflation from 2008: $1587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Maurice Davis</author>
  </authors>
  <commentList>
    <comment ref="N3" authorId="0" shapeId="0" xr:uid="{096C8873-211C-4D2C-9480-1D2FB607DD1A}">
      <text>
        <r>
          <rPr>
            <b/>
            <sz val="9"/>
            <color indexed="81"/>
            <rFont val="Tahoma"/>
            <charset val="1"/>
          </rPr>
          <t>Julian Maurice Davis:</t>
        </r>
        <r>
          <rPr>
            <sz val="9"/>
            <color indexed="81"/>
            <rFont val="Tahoma"/>
            <charset val="1"/>
          </rPr>
          <t xml:space="preserve">
A total of 8-SEAs were condiucted in 2017. However, the three year average was about 5 per year.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Maurice Davis</author>
  </authors>
  <commentList>
    <comment ref="G6" authorId="0" shapeId="0" xr:uid="{7155D0E4-9B79-4855-8CF0-DB8C08496F77}">
      <text>
        <r>
          <rPr>
            <b/>
            <sz val="9"/>
            <color indexed="81"/>
            <rFont val="Tahoma"/>
            <family val="2"/>
          </rPr>
          <t>Julian Maurice Davis:</t>
        </r>
        <r>
          <rPr>
            <sz val="9"/>
            <color indexed="81"/>
            <rFont val="Tahoma"/>
            <family val="2"/>
          </rPr>
          <t xml:space="preserve">
This number still needs verificaiton</t>
        </r>
      </text>
    </comment>
  </commentList>
</comments>
</file>

<file path=xl/sharedStrings.xml><?xml version="1.0" encoding="utf-8"?>
<sst xmlns="http://schemas.openxmlformats.org/spreadsheetml/2006/main" count="319" uniqueCount="186">
  <si>
    <t>Total hours and cost</t>
  </si>
  <si>
    <t>Information Collection              Activity</t>
  </si>
  <si>
    <t>Labor Cost/yr</t>
  </si>
  <si>
    <t>Capital Startup      Cost</t>
  </si>
  <si>
    <t>Frequency (2)</t>
  </si>
  <si>
    <t>Total hr/yr</t>
  </si>
  <si>
    <t>Total Cost/yr</t>
  </si>
  <si>
    <t>Review of instructions and regulations</t>
  </si>
  <si>
    <t>Training</t>
  </si>
  <si>
    <t>Projecting testing needs and planning test schedules</t>
  </si>
  <si>
    <t xml:space="preserve">Engine inspection </t>
  </si>
  <si>
    <t>Testing (In-house)</t>
  </si>
  <si>
    <t>Testing (Contract Out)</t>
  </si>
  <si>
    <t>Preparing and submitting  report</t>
  </si>
  <si>
    <t>Store, file and maintain records</t>
  </si>
  <si>
    <t>Total per manufacturer</t>
  </si>
  <si>
    <t>varies</t>
  </si>
  <si>
    <t>N/A</t>
  </si>
  <si>
    <t>Total for the industry</t>
  </si>
  <si>
    <t>(1) Includes diskettes, photocopying, postage expenses, phone calls, and testing costs, annualized.  See section 6(b)(iii) for details.</t>
  </si>
  <si>
    <t>(2) 1 = one time tasks; 4 = tasks carried out quarterly; other # = number of engine families.  Refer to Section 6(d) for further detail.</t>
  </si>
  <si>
    <t>Hours and cost per application</t>
  </si>
  <si>
    <t>Labor       Cost/yr</t>
  </si>
  <si>
    <t>Plan activities</t>
  </si>
  <si>
    <t>Procure engines</t>
  </si>
  <si>
    <t>Ship Engines</t>
  </si>
  <si>
    <t>Engine Maintenance</t>
  </si>
  <si>
    <t xml:space="preserve">Data entry and analysis </t>
  </si>
  <si>
    <t xml:space="preserve">Preparing and submitting  report </t>
  </si>
  <si>
    <t>Total</t>
  </si>
  <si>
    <t>Labor            Cost/yr</t>
  </si>
  <si>
    <t>Total        hr/yr</t>
  </si>
  <si>
    <t>Total               Cost/yr</t>
  </si>
  <si>
    <t>Developing eng families groups</t>
  </si>
  <si>
    <t>Analyze data to determine compliance</t>
  </si>
  <si>
    <t>Preparing and submitting "carry over" applications</t>
  </si>
  <si>
    <t>Preparing and supporting running changes</t>
  </si>
  <si>
    <t>Total per respondent</t>
  </si>
  <si>
    <t>(1) See section 6(b)ii for details.</t>
  </si>
  <si>
    <t>(3) See section 6(b)(ii) for details.</t>
  </si>
  <si>
    <t>(2) See section 6(d) for details.</t>
  </si>
  <si>
    <t>Engine selection and transport</t>
  </si>
  <si>
    <t>Gathering durability data</t>
  </si>
  <si>
    <t>Testing/Gathering emission data on test engines</t>
  </si>
  <si>
    <t>Precertification activities/Submit info in cert application</t>
  </si>
  <si>
    <t>Gather Information regarding point of first retail sale (2)</t>
  </si>
  <si>
    <t>Develop and submit end-of-year-report</t>
  </si>
  <si>
    <t>Develop and submit final reports</t>
  </si>
  <si>
    <t>Recordkeeping (2)</t>
  </si>
  <si>
    <t>(2)  Numbers reflect one activity done four times a year.</t>
  </si>
  <si>
    <t>Provide Pre-audit information</t>
  </si>
  <si>
    <t>Preparing and submitting certification application</t>
  </si>
  <si>
    <t>Number of Respondents</t>
  </si>
  <si>
    <t>Respondents   hr/yr</t>
  </si>
  <si>
    <t>Table 2 - Annual Respondent Burden and Cost for SI Engine Certification</t>
  </si>
  <si>
    <t>Hours and Cost per Application</t>
  </si>
  <si>
    <t>Total Hours and Cost</t>
  </si>
  <si>
    <t>Applications/Respondent (2)</t>
  </si>
  <si>
    <t>O&amp;M      Cost(1)</t>
  </si>
  <si>
    <t>Respondents     hr/yr</t>
  </si>
  <si>
    <t>O&amp;M Cost (1)</t>
  </si>
  <si>
    <t>Hours and Cost per Engine Family</t>
  </si>
  <si>
    <t>Average Burden= total burden/# of respondents</t>
  </si>
  <si>
    <t>Respondent     hr/yr</t>
  </si>
  <si>
    <t>Respondent  hr/yr</t>
  </si>
  <si>
    <t>(2) 1 = one time tasks; 4 = tasks carried out quarterly; other # = number of tests performed/eng manufacturer/model year. Refer to Section 6(d) for further detail.</t>
  </si>
  <si>
    <t>Average Burden In-use programs= (total burden Phase 1 + Phase 2) / (# of respondents Phase1 + Phase2)</t>
  </si>
  <si>
    <t>O&amp;M Cost(1)</t>
  </si>
  <si>
    <t>Laboratory maintenance(1)</t>
  </si>
  <si>
    <t>Review of regulations and guidance documents</t>
  </si>
  <si>
    <t>Data entry and analysis</t>
  </si>
  <si>
    <t>Other tasks (test equipment calibration, engine repair, etc.)</t>
  </si>
  <si>
    <t>Setting up contract</t>
  </si>
  <si>
    <t>(2) 1 = one time tasks; other # = number of tests performed/eng manufacturer/model year.    Refer to Section 6(d) for further detail.</t>
  </si>
  <si>
    <t>Average Burden= total burden / # of respondents</t>
  </si>
  <si>
    <t>Average burden = total burden / # of respondents</t>
  </si>
  <si>
    <t>Preparing and Submitting Annual Production Report</t>
  </si>
  <si>
    <t>Rec Veh Test</t>
  </si>
  <si>
    <t>Marine SI Test</t>
  </si>
  <si>
    <t>Certification Fee (3)</t>
  </si>
  <si>
    <t>Components</t>
  </si>
  <si>
    <t>All Other SI Engines</t>
  </si>
  <si>
    <t>O&amp;M Cost, Annualized (1)</t>
  </si>
  <si>
    <t>Cert, Durability &amp; Evap Testing (annualized)(1)</t>
  </si>
  <si>
    <t>Large SI</t>
  </si>
  <si>
    <t>Small SI</t>
  </si>
  <si>
    <t>Paying Certification Fee</t>
  </si>
  <si>
    <t>Components (per manufacturer)</t>
  </si>
  <si>
    <t>Employee</t>
  </si>
  <si>
    <t>Rate</t>
  </si>
  <si>
    <t>Level</t>
  </si>
  <si>
    <t>Engineer</t>
  </si>
  <si>
    <t xml:space="preserve">Contracts </t>
  </si>
  <si>
    <t>Contract Support</t>
  </si>
  <si>
    <t>GS-13/6</t>
  </si>
  <si>
    <t>GS-13/7</t>
  </si>
  <si>
    <t>GS-15/1</t>
  </si>
  <si>
    <t>SES - 1</t>
  </si>
  <si>
    <t>Rate Increase by 1.6</t>
  </si>
  <si>
    <t>Number of Employees</t>
  </si>
  <si>
    <t>% of Time</t>
  </si>
  <si>
    <t>Full time hours</t>
  </si>
  <si>
    <t>Total  hr/yr</t>
  </si>
  <si>
    <t>Total Labor cost/yr</t>
  </si>
  <si>
    <t xml:space="preserve">Attorney </t>
  </si>
  <si>
    <t xml:space="preserve">SES-1 </t>
  </si>
  <si>
    <t>IT Support</t>
  </si>
  <si>
    <t>SEE Support</t>
  </si>
  <si>
    <t>Hours and Labor Cost</t>
  </si>
  <si>
    <t>Testing</t>
  </si>
  <si>
    <t xml:space="preserve">TOTAL: </t>
  </si>
  <si>
    <t>Subtotal:</t>
  </si>
  <si>
    <t>Subtotal</t>
  </si>
  <si>
    <t>Managers</t>
  </si>
  <si>
    <t>Post Bond</t>
  </si>
  <si>
    <t>Apply for Bond Waivers</t>
  </si>
  <si>
    <t>Marine SI</t>
  </si>
  <si>
    <t>Testing In-house</t>
  </si>
  <si>
    <t>Testing (Contracting out)</t>
  </si>
  <si>
    <t>Testing  Contract Out</t>
  </si>
  <si>
    <t xml:space="preserve">Contract Support -Certification </t>
  </si>
  <si>
    <t xml:space="preserve">Contract Support - Compliance </t>
  </si>
  <si>
    <t>Program</t>
  </si>
  <si>
    <t>Number of Activities</t>
  </si>
  <si>
    <t>Total Hours Per Year</t>
  </si>
  <si>
    <t>Total Labor Cost Per Year</t>
  </si>
  <si>
    <t>Total Annual Capital Costs</t>
  </si>
  <si>
    <t>Total Annual O&amp;M Costs</t>
  </si>
  <si>
    <t>Total Costs</t>
  </si>
  <si>
    <t xml:space="preserve">Certification </t>
  </si>
  <si>
    <t>AB&amp;T</t>
  </si>
  <si>
    <t>PLT</t>
  </si>
  <si>
    <t>In-use</t>
  </si>
  <si>
    <t>SEAs</t>
  </si>
  <si>
    <t>Totals:</t>
  </si>
  <si>
    <t>Respondent Burden Tally</t>
  </si>
  <si>
    <t>Number of Respond.</t>
  </si>
  <si>
    <t>O&amp;M Costs</t>
  </si>
  <si>
    <t>Other</t>
  </si>
  <si>
    <t xml:space="preserve">Table 3 - Annual Respondent Burden and Cost  - Average, Trading and Banking Program </t>
  </si>
  <si>
    <t>Table 4 - Annual Respondent Burden and Cost - Production Line Testing Program</t>
  </si>
  <si>
    <t>Table 5 - In-use Estimated Annual Respondent Burden and Cost</t>
  </si>
  <si>
    <t>Table 6 - Annual Respondent Burden and Cost - Selective Enforcement Auditing (SEA) Program</t>
  </si>
  <si>
    <t xml:space="preserve">Table 8 - Annual Agency Burden and Cost </t>
  </si>
  <si>
    <t>Table 7</t>
  </si>
  <si>
    <t>Hours per respondent:</t>
  </si>
  <si>
    <t>MY 2014</t>
  </si>
  <si>
    <t>MY 2015</t>
  </si>
  <si>
    <t>MY 2016</t>
  </si>
  <si>
    <t>MY 2017</t>
  </si>
  <si>
    <t>Number of manufacturers</t>
  </si>
  <si>
    <t>Nonroad Spark Ignition Engines</t>
  </si>
  <si>
    <t>Small SI: Small nonroad gasoline powered equipment, such as lawnmowers, string trimmers, chain saws, small compressors, pumps, utility vehicles &lt; 25 mph, snow blowers, rammers, floor cleaners</t>
  </si>
  <si>
    <t xml:space="preserve">Marine SI: Gasoline boats and personal watercraft </t>
  </si>
  <si>
    <t>Large SI: Large nonroad gasoline powered equipment, such as forklifts, compressors, generators, and stationary equipment</t>
  </si>
  <si>
    <t>Evaporative components (mostly intended for small nonroad gasoline and marine gasoline equipment)</t>
  </si>
  <si>
    <t xml:space="preserve">Recreational Vehicles </t>
  </si>
  <si>
    <t>All-terrain vehicles / utility vehicles</t>
  </si>
  <si>
    <t>Off-highway motorcycles</t>
  </si>
  <si>
    <t>Snowmobiles</t>
  </si>
  <si>
    <r>
      <t>Total</t>
    </r>
    <r>
      <rPr>
        <b/>
        <sz val="10"/>
        <color rgb="FF000000"/>
        <rFont val="Calibri"/>
        <family val="2"/>
      </rPr>
      <t> </t>
    </r>
  </si>
  <si>
    <t>Legal</t>
  </si>
  <si>
    <t>Administrative, except legal, medical and executive</t>
  </si>
  <si>
    <t>Mech Tech</t>
  </si>
  <si>
    <t>Engine and other machine assemblers</t>
  </si>
  <si>
    <t>Truck Drivers, heavy and tractor trailer</t>
  </si>
  <si>
    <t>*2.1 multiplier</t>
  </si>
  <si>
    <t>Engineer $97.82/hr</t>
  </si>
  <si>
    <t>Manager  $143.81/hr</t>
  </si>
  <si>
    <t>Legal  $197.72/hr</t>
  </si>
  <si>
    <t>Test Cell Operator $65.08/hr</t>
  </si>
  <si>
    <t>Transport  $38.58/hr</t>
  </si>
  <si>
    <t>Clerical $40.72/hr</t>
  </si>
  <si>
    <t>Assembler $42.44/hr</t>
  </si>
  <si>
    <t>Heavy Duty Highway Vehicles</t>
  </si>
  <si>
    <t>--</t>
  </si>
  <si>
    <t>(3) EPA estimates it will audit 14 manufacturers over the next 3 years.  It might, however, request pre-audit information from several manufacturers each year.</t>
  </si>
  <si>
    <t>Total of 8 SEAs in 2017, though the three year average was about 5 per year.</t>
  </si>
  <si>
    <t>Lawn and Garden Equipment</t>
  </si>
  <si>
    <t>Gasoline Boats and Personal Watercraft</t>
  </si>
  <si>
    <t>Forklifts, Generators, and Compressors</t>
  </si>
  <si>
    <t>Nonroad Spark Ignition Evaporative Components</t>
  </si>
  <si>
    <t>All-Terrain Vehicles</t>
  </si>
  <si>
    <t>Nonroad Motorcycles</t>
  </si>
  <si>
    <t>NRSI and Evaporative Certificates</t>
  </si>
  <si>
    <t>Number of Respondents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</si>
</sst>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.0_);_(* \(#,##0.0\);_(* &quot;-&quot;??_);_(@_)"/>
    <numFmt numFmtId="169" formatCode="_(* #,##0_);_(* \(#,##0\);_(* &quot;-&quot;??_);_(@_)"/>
  </numFmts>
  <fonts count="22" x14ac:knownFonts="1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b/>
      <i/>
      <sz val="11"/>
      <color rgb="FFFF0000"/>
      <name val="Calibri"/>
      <family val="2"/>
    </font>
    <font>
      <i/>
      <sz val="10"/>
      <name val="Arial"/>
      <family val="2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9">
    <xf numFmtId="0" fontId="0" fillId="0" borderId="0" xfId="0" applyAlignment="1"/>
    <xf numFmtId="164" fontId="0" fillId="0" borderId="0" xfId="0" applyNumberFormat="1" applyAlignment="1"/>
    <xf numFmtId="4" fontId="0" fillId="0" borderId="0" xfId="0" applyNumberFormat="1" applyAlignment="1"/>
    <xf numFmtId="0" fontId="1" fillId="0" borderId="0" xfId="0" applyFont="1" applyAlignment="1"/>
    <xf numFmtId="164" fontId="1" fillId="0" borderId="0" xfId="0" applyNumberFormat="1" applyFont="1" applyAlignment="1"/>
    <xf numFmtId="4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/>
    <xf numFmtId="0" fontId="0" fillId="0" borderId="0" xfId="0" applyNumberFormat="1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164" fontId="0" fillId="0" borderId="0" xfId="0" applyNumberFormat="1">
      <alignment vertical="top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 wrapText="1"/>
    </xf>
    <xf numFmtId="0" fontId="2" fillId="0" borderId="0" xfId="0" applyFont="1">
      <alignment vertical="top"/>
    </xf>
    <xf numFmtId="0" fontId="1" fillId="0" borderId="0" xfId="0" applyFo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166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/>
    <xf numFmtId="3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3" fillId="4" borderId="1" xfId="0" applyFont="1" applyFill="1" applyBorder="1">
      <alignment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66" fontId="3" fillId="2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centerContinuous"/>
    </xf>
    <xf numFmtId="164" fontId="3" fillId="4" borderId="1" xfId="0" applyNumberFormat="1" applyFont="1" applyFill="1" applyBorder="1" applyAlignment="1">
      <alignment horizontal="centerContinuous"/>
    </xf>
    <xf numFmtId="0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0" fontId="4" fillId="4" borderId="0" xfId="0" applyNumberFormat="1" applyFont="1" applyFill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66" fontId="4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0" fillId="0" borderId="0" xfId="0" applyFill="1" applyBorder="1">
      <alignment vertical="top"/>
    </xf>
    <xf numFmtId="3" fontId="4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165" fontId="7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3" fontId="4" fillId="0" borderId="3" xfId="1" applyNumberFormat="1" applyFont="1" applyBorder="1" applyAlignment="1">
      <alignment horizontal="right" wrapText="1"/>
    </xf>
    <xf numFmtId="0" fontId="6" fillId="2" borderId="1" xfId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6" fillId="2" borderId="1" xfId="1" applyFont="1" applyFill="1" applyBorder="1" applyAlignment="1">
      <alignment horizontal="left" wrapText="1"/>
    </xf>
    <xf numFmtId="3" fontId="4" fillId="0" borderId="4" xfId="1" applyNumberFormat="1" applyFont="1" applyBorder="1" applyAlignment="1">
      <alignment horizontal="right" wrapText="1"/>
    </xf>
    <xf numFmtId="0" fontId="4" fillId="0" borderId="2" xfId="1" applyNumberFormat="1" applyFont="1" applyBorder="1" applyAlignment="1">
      <alignment wrapText="1"/>
    </xf>
    <xf numFmtId="166" fontId="2" fillId="0" borderId="0" xfId="0" applyNumberFormat="1" applyFont="1">
      <alignment vertical="top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 wrapText="1"/>
    </xf>
    <xf numFmtId="166" fontId="3" fillId="0" borderId="1" xfId="0" quotePrefix="1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165" fontId="4" fillId="0" borderId="4" xfId="1" applyNumberFormat="1" applyFont="1" applyBorder="1" applyAlignment="1">
      <alignment horizontal="right" wrapText="1"/>
    </xf>
    <xf numFmtId="166" fontId="1" fillId="0" borderId="0" xfId="0" applyNumberFormat="1" applyFont="1" applyAlignment="1"/>
    <xf numFmtId="164" fontId="4" fillId="0" borderId="1" xfId="0" applyNumberFormat="1" applyFont="1" applyFill="1" applyBorder="1" applyAlignment="1">
      <alignment horizontal="right"/>
    </xf>
    <xf numFmtId="0" fontId="0" fillId="0" borderId="0" xfId="0" applyFill="1" applyAlignment="1"/>
    <xf numFmtId="166" fontId="0" fillId="0" borderId="0" xfId="0" applyNumberFormat="1" applyFill="1" applyAlignment="1"/>
    <xf numFmtId="0" fontId="3" fillId="4" borderId="2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1" applyNumberFormat="1" applyFont="1" applyBorder="1" applyAlignment="1">
      <alignment wrapText="1"/>
    </xf>
    <xf numFmtId="3" fontId="4" fillId="0" borderId="7" xfId="1" applyNumberFormat="1" applyFont="1" applyBorder="1" applyAlignment="1">
      <alignment horizontal="right" wrapText="1"/>
    </xf>
    <xf numFmtId="165" fontId="4" fillId="0" borderId="7" xfId="1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4" fillId="0" borderId="6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166" fontId="4" fillId="5" borderId="7" xfId="0" applyNumberFormat="1" applyFont="1" applyFill="1" applyBorder="1" applyAlignment="1">
      <alignment horizontal="right"/>
    </xf>
    <xf numFmtId="3" fontId="4" fillId="5" borderId="3" xfId="1" applyNumberFormat="1" applyFont="1" applyFill="1" applyBorder="1" applyAlignment="1">
      <alignment horizontal="right" wrapText="1"/>
    </xf>
    <xf numFmtId="166" fontId="4" fillId="5" borderId="3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8" fontId="7" fillId="0" borderId="1" xfId="1" applyNumberFormat="1" applyFont="1" applyBorder="1" applyAlignment="1">
      <alignment wrapText="1"/>
    </xf>
    <xf numFmtId="9" fontId="7" fillId="0" borderId="1" xfId="1" applyNumberFormat="1" applyFont="1" applyBorder="1" applyAlignment="1">
      <alignment wrapText="1"/>
    </xf>
    <xf numFmtId="9" fontId="7" fillId="0" borderId="1" xfId="4" applyFont="1" applyBorder="1" applyAlignment="1">
      <alignment wrapText="1"/>
    </xf>
    <xf numFmtId="165" fontId="7" fillId="0" borderId="3" xfId="1" applyNumberFormat="1" applyFont="1" applyBorder="1" applyAlignment="1">
      <alignment horizontal="right" wrapText="1"/>
    </xf>
    <xf numFmtId="8" fontId="7" fillId="0" borderId="2" xfId="1" applyNumberFormat="1" applyFont="1" applyBorder="1" applyAlignment="1">
      <alignment wrapText="1"/>
    </xf>
    <xf numFmtId="0" fontId="7" fillId="0" borderId="2" xfId="1" applyFont="1" applyBorder="1" applyAlignment="1">
      <alignment wrapText="1"/>
    </xf>
    <xf numFmtId="9" fontId="7" fillId="0" borderId="2" xfId="4" applyFont="1" applyBorder="1" applyAlignment="1">
      <alignment wrapText="1"/>
    </xf>
    <xf numFmtId="0" fontId="6" fillId="2" borderId="8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wrapText="1"/>
    </xf>
    <xf numFmtId="0" fontId="6" fillId="0" borderId="6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8" xfId="1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166" fontId="4" fillId="0" borderId="5" xfId="0" applyNumberFormat="1" applyFont="1" applyFill="1" applyBorder="1" applyAlignment="1">
      <alignment horizontal="right"/>
    </xf>
    <xf numFmtId="167" fontId="3" fillId="4" borderId="1" xfId="3" applyNumberFormat="1" applyFont="1" applyFill="1" applyBorder="1" applyAlignment="1">
      <alignment horizontal="center" vertical="top" wrapText="1"/>
    </xf>
    <xf numFmtId="168" fontId="3" fillId="4" borderId="1" xfId="2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3" fontId="3" fillId="6" borderId="1" xfId="0" applyNumberFormat="1" applyFont="1" applyFill="1" applyBorder="1" applyAlignment="1">
      <alignment horizontal="right" wrapText="1"/>
    </xf>
    <xf numFmtId="3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/>
    <xf numFmtId="3" fontId="3" fillId="5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/>
    <xf numFmtId="3" fontId="4" fillId="7" borderId="1" xfId="0" applyNumberFormat="1" applyFont="1" applyFill="1" applyBorder="1" applyAlignment="1">
      <alignment horizontal="right"/>
    </xf>
    <xf numFmtId="0" fontId="4" fillId="0" borderId="6" xfId="0" applyNumberFormat="1" applyFont="1" applyBorder="1" applyAlignment="1">
      <alignment horizontal="right" wrapText="1"/>
    </xf>
    <xf numFmtId="166" fontId="4" fillId="0" borderId="1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wrapText="1"/>
    </xf>
    <xf numFmtId="166" fontId="4" fillId="7" borderId="3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7" borderId="6" xfId="0" applyNumberFormat="1" applyFont="1" applyFill="1" applyBorder="1" applyAlignment="1">
      <alignment horizontal="right" wrapText="1"/>
    </xf>
    <xf numFmtId="3" fontId="4" fillId="7" borderId="7" xfId="0" applyNumberFormat="1" applyFont="1" applyFill="1" applyBorder="1" applyAlignment="1">
      <alignment horizontal="right"/>
    </xf>
    <xf numFmtId="166" fontId="4" fillId="7" borderId="7" xfId="0" applyNumberFormat="1" applyFont="1" applyFill="1" applyBorder="1" applyAlignment="1">
      <alignment horizontal="right"/>
    </xf>
    <xf numFmtId="166" fontId="4" fillId="7" borderId="10" xfId="0" applyNumberFormat="1" applyFont="1" applyFill="1" applyBorder="1" applyAlignment="1">
      <alignment horizontal="right"/>
    </xf>
    <xf numFmtId="3" fontId="4" fillId="7" borderId="8" xfId="0" applyNumberFormat="1" applyFont="1" applyFill="1" applyBorder="1" applyAlignment="1">
      <alignment horizontal="right" wrapText="1"/>
    </xf>
    <xf numFmtId="3" fontId="4" fillId="7" borderId="9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3" fontId="4" fillId="7" borderId="3" xfId="1" applyNumberFormat="1" applyFont="1" applyFill="1" applyBorder="1" applyAlignment="1">
      <alignment horizontal="right" wrapText="1"/>
    </xf>
    <xf numFmtId="165" fontId="4" fillId="7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3" fillId="6" borderId="1" xfId="0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 wrapText="1"/>
    </xf>
    <xf numFmtId="0" fontId="4" fillId="0" borderId="0" xfId="0" applyFont="1" applyAlignment="1"/>
    <xf numFmtId="169" fontId="4" fillId="0" borderId="0" xfId="2" applyNumberFormat="1" applyFont="1" applyAlignment="1"/>
    <xf numFmtId="167" fontId="4" fillId="0" borderId="0" xfId="3" applyNumberFormat="1" applyFont="1" applyAlignment="1"/>
    <xf numFmtId="3" fontId="4" fillId="0" borderId="0" xfId="0" applyNumberFormat="1" applyFont="1" applyAlignment="1"/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/>
    <xf numFmtId="169" fontId="4" fillId="7" borderId="1" xfId="2" applyNumberFormat="1" applyFont="1" applyFill="1" applyBorder="1" applyAlignment="1"/>
    <xf numFmtId="0" fontId="10" fillId="0" borderId="0" xfId="0" applyFont="1" applyAlignment="1">
      <alignment horizontal="center"/>
    </xf>
    <xf numFmtId="167" fontId="6" fillId="2" borderId="8" xfId="3" applyNumberFormat="1" applyFont="1" applyFill="1" applyBorder="1" applyAlignment="1">
      <alignment horizontal="center" wrapText="1"/>
    </xf>
    <xf numFmtId="169" fontId="6" fillId="2" borderId="8" xfId="2" applyNumberFormat="1" applyFont="1" applyFill="1" applyBorder="1" applyAlignment="1">
      <alignment horizontal="center" wrapText="1"/>
    </xf>
    <xf numFmtId="167" fontId="6" fillId="2" borderId="1" xfId="3" applyNumberFormat="1" applyFont="1" applyFill="1" applyBorder="1" applyAlignment="1">
      <alignment horizontal="center" wrapText="1"/>
    </xf>
    <xf numFmtId="167" fontId="0" fillId="0" borderId="0" xfId="0" applyNumberFormat="1" applyAlignment="1">
      <alignment wrapText="1"/>
    </xf>
    <xf numFmtId="167" fontId="6" fillId="2" borderId="3" xfId="3" applyNumberFormat="1" applyFont="1" applyFill="1" applyBorder="1" applyAlignment="1">
      <alignment horizontal="center" wrapText="1"/>
    </xf>
    <xf numFmtId="3" fontId="3" fillId="0" borderId="3" xfId="1" applyNumberFormat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/>
    </xf>
    <xf numFmtId="0" fontId="7" fillId="8" borderId="1" xfId="1" applyFont="1" applyFill="1" applyBorder="1" applyAlignment="1">
      <alignment wrapText="1"/>
    </xf>
    <xf numFmtId="0" fontId="7" fillId="8" borderId="2" xfId="1" applyFont="1" applyFill="1" applyBorder="1" applyAlignment="1">
      <alignment wrapText="1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5" fillId="0" borderId="0" xfId="0" applyNumberFormat="1" applyFont="1" applyAlignment="1"/>
    <xf numFmtId="0" fontId="5" fillId="0" borderId="0" xfId="0" applyNumberFormat="1" applyFont="1" applyAlignment="1">
      <alignment wrapText="1"/>
    </xf>
    <xf numFmtId="0" fontId="5" fillId="0" borderId="0" xfId="0" applyFont="1" applyBorder="1">
      <alignment vertical="top"/>
    </xf>
    <xf numFmtId="2" fontId="0" fillId="0" borderId="0" xfId="0" applyNumberFormat="1" applyBorder="1">
      <alignment vertical="top"/>
    </xf>
    <xf numFmtId="165" fontId="2" fillId="0" borderId="0" xfId="0" applyNumberFormat="1" applyFont="1">
      <alignment vertical="top"/>
    </xf>
    <xf numFmtId="166" fontId="4" fillId="7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8" fillId="0" borderId="0" xfId="0" applyFont="1" applyAlignment="1"/>
    <xf numFmtId="0" fontId="19" fillId="0" borderId="15" xfId="0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22" xfId="0" applyFont="1" applyBorder="1" applyAlignment="1">
      <alignment wrapText="1"/>
    </xf>
    <xf numFmtId="0" fontId="0" fillId="0" borderId="23" xfId="0" applyBorder="1" applyAlignment="1"/>
    <xf numFmtId="0" fontId="20" fillId="0" borderId="22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0" borderId="25" xfId="0" applyBorder="1" applyAlignment="1"/>
    <xf numFmtId="0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18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wrapText="1"/>
    </xf>
    <xf numFmtId="0" fontId="3" fillId="2" borderId="7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_1722 Marine SI tables" xfId="1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opLeftCell="A13" zoomScale="85" zoomScaleNormal="100" workbookViewId="0">
      <selection activeCell="I29" sqref="I29"/>
    </sheetView>
  </sheetViews>
  <sheetFormatPr defaultColWidth="9.6640625" defaultRowHeight="15" x14ac:dyDescent="0.2"/>
  <cols>
    <col min="1" max="1" width="17.33203125" style="9" customWidth="1"/>
    <col min="2" max="2" width="8.109375" style="9" bestFit="1" customWidth="1"/>
    <col min="3" max="3" width="9" style="11" customWidth="1"/>
    <col min="4" max="4" width="7.6640625" style="11" bestFit="1" customWidth="1"/>
    <col min="5" max="5" width="7.33203125" style="9" customWidth="1"/>
    <col min="6" max="6" width="10.5546875" style="9" customWidth="1"/>
    <col min="7" max="7" width="7.6640625" style="9" customWidth="1"/>
    <col min="8" max="8" width="10.44140625" style="9" customWidth="1"/>
    <col min="9" max="9" width="13" style="10" customWidth="1"/>
    <col min="10" max="10" width="8.77734375" style="9" customWidth="1"/>
    <col min="11" max="11" width="12.44140625" style="10" customWidth="1"/>
    <col min="12" max="12" width="10.5546875" style="9" customWidth="1"/>
    <col min="13" max="13" width="10.44140625" style="9" customWidth="1"/>
    <col min="14" max="14" width="9.109375" style="12" customWidth="1"/>
    <col min="15" max="15" width="11.33203125" style="9" customWidth="1"/>
    <col min="16" max="16" width="11.6640625" style="9" customWidth="1"/>
    <col min="17" max="17" width="10.88671875" style="9" customWidth="1"/>
    <col min="18" max="19" width="11.6640625" style="9" customWidth="1"/>
    <col min="20" max="16384" width="9.6640625" style="9"/>
  </cols>
  <sheetData>
    <row r="1" spans="1:17" x14ac:dyDescent="0.2">
      <c r="A1" s="216" t="s">
        <v>54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8"/>
      <c r="Q1" s="8"/>
    </row>
    <row r="2" spans="1:17" ht="15" customHeight="1" x14ac:dyDescent="0.2">
      <c r="A2" s="41"/>
      <c r="B2" s="216" t="s">
        <v>55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37" t="s">
        <v>56</v>
      </c>
      <c r="N2" s="38"/>
      <c r="O2" s="37"/>
      <c r="P2" s="8"/>
      <c r="Q2" s="8"/>
    </row>
    <row r="3" spans="1:17" s="80" customFormat="1" ht="36.75" customHeight="1" x14ac:dyDescent="0.2">
      <c r="A3" s="72" t="s">
        <v>1</v>
      </c>
      <c r="B3" s="73" t="s">
        <v>167</v>
      </c>
      <c r="C3" s="73" t="s">
        <v>168</v>
      </c>
      <c r="D3" s="73" t="s">
        <v>169</v>
      </c>
      <c r="E3" s="74" t="s">
        <v>170</v>
      </c>
      <c r="F3" s="74" t="s">
        <v>171</v>
      </c>
      <c r="G3" s="75" t="s">
        <v>172</v>
      </c>
      <c r="H3" s="73" t="s">
        <v>59</v>
      </c>
      <c r="I3" s="76" t="s">
        <v>30</v>
      </c>
      <c r="J3" s="73" t="s">
        <v>3</v>
      </c>
      <c r="K3" s="77" t="s">
        <v>82</v>
      </c>
      <c r="L3" s="73" t="s">
        <v>57</v>
      </c>
      <c r="M3" s="73" t="s">
        <v>52</v>
      </c>
      <c r="N3" s="78" t="s">
        <v>31</v>
      </c>
      <c r="O3" s="73" t="s">
        <v>32</v>
      </c>
      <c r="P3" s="79"/>
    </row>
    <row r="4" spans="1:17" ht="25.5" x14ac:dyDescent="0.2">
      <c r="A4" s="39" t="s">
        <v>69</v>
      </c>
      <c r="B4" s="40">
        <v>18</v>
      </c>
      <c r="C4" s="40">
        <v>9</v>
      </c>
      <c r="D4" s="40">
        <v>10</v>
      </c>
      <c r="E4" s="40">
        <v>4</v>
      </c>
      <c r="F4" s="40">
        <v>0</v>
      </c>
      <c r="G4" s="40">
        <v>1</v>
      </c>
      <c r="H4" s="36">
        <f>SUM(B4:G4)</f>
        <v>42</v>
      </c>
      <c r="I4" s="27">
        <f>(B4*97.82)+(C4*143.81)+(D4*197.72)+(E4*65.08)+(F4*38.58)+(G4*40.72)</f>
        <v>5333.29</v>
      </c>
      <c r="J4" s="27">
        <v>0</v>
      </c>
      <c r="K4" s="27">
        <v>15</v>
      </c>
      <c r="L4" s="69">
        <v>1</v>
      </c>
      <c r="M4" s="36">
        <v>620</v>
      </c>
      <c r="N4" s="51">
        <f>H4*L4*M4</f>
        <v>26040</v>
      </c>
      <c r="O4" s="51">
        <f>(I4+J4+K4)*L4*M4</f>
        <v>3315939.8</v>
      </c>
      <c r="P4" s="8"/>
    </row>
    <row r="5" spans="1:17" ht="25.5" x14ac:dyDescent="0.2">
      <c r="A5" s="39" t="s">
        <v>33</v>
      </c>
      <c r="B5" s="40">
        <v>15</v>
      </c>
      <c r="C5" s="40">
        <v>3</v>
      </c>
      <c r="D5" s="40">
        <v>1</v>
      </c>
      <c r="E5" s="40">
        <v>0</v>
      </c>
      <c r="F5" s="40">
        <v>0</v>
      </c>
      <c r="G5" s="40">
        <v>1</v>
      </c>
      <c r="H5" s="36">
        <f t="shared" ref="H5:H8" si="0">SUM(B5:G5)</f>
        <v>20</v>
      </c>
      <c r="I5" s="27">
        <f t="shared" ref="I5:I26" si="1">(B5*97.82)+(C5*143.81)+(D5*197.72)+(E5*65.08)+(F5*38.58)+(G5*40.72)</f>
        <v>2137.1699999999996</v>
      </c>
      <c r="J5" s="27">
        <v>0</v>
      </c>
      <c r="K5" s="27">
        <v>0</v>
      </c>
      <c r="L5" s="69">
        <v>1</v>
      </c>
      <c r="M5" s="36">
        <v>354</v>
      </c>
      <c r="N5" s="51">
        <f t="shared" ref="N5:N26" si="2">H5*L5*M5</f>
        <v>7080</v>
      </c>
      <c r="O5" s="51">
        <f>(I5+J5+K5)*L5*M5</f>
        <v>756558.17999999982</v>
      </c>
      <c r="P5" s="8"/>
    </row>
    <row r="6" spans="1:17" x14ac:dyDescent="0.2">
      <c r="A6" s="39" t="s">
        <v>42</v>
      </c>
      <c r="B6" s="40">
        <v>12</v>
      </c>
      <c r="C6" s="40">
        <v>5</v>
      </c>
      <c r="D6" s="40">
        <v>0</v>
      </c>
      <c r="E6" s="40">
        <v>38</v>
      </c>
      <c r="F6" s="40">
        <v>2</v>
      </c>
      <c r="G6" s="40">
        <v>3</v>
      </c>
      <c r="H6" s="36">
        <f t="shared" si="0"/>
        <v>60</v>
      </c>
      <c r="I6" s="27">
        <f t="shared" si="1"/>
        <v>4565.25</v>
      </c>
      <c r="J6" s="27">
        <v>0</v>
      </c>
      <c r="K6" s="27">
        <v>0</v>
      </c>
      <c r="L6" s="69">
        <v>2.9</v>
      </c>
      <c r="M6" s="36">
        <v>187</v>
      </c>
      <c r="N6" s="51">
        <f t="shared" si="2"/>
        <v>32538</v>
      </c>
      <c r="O6" s="51">
        <f>(I6+J6+K6)*L6*M6</f>
        <v>2475735.0750000002</v>
      </c>
      <c r="P6" s="8"/>
    </row>
    <row r="7" spans="1:17" ht="38.25" x14ac:dyDescent="0.2">
      <c r="A7" s="39" t="s">
        <v>43</v>
      </c>
      <c r="B7" s="40">
        <v>30</v>
      </c>
      <c r="C7" s="40">
        <v>14</v>
      </c>
      <c r="D7" s="40">
        <v>0</v>
      </c>
      <c r="E7" s="40">
        <v>22</v>
      </c>
      <c r="F7" s="40">
        <v>2</v>
      </c>
      <c r="G7" s="40">
        <v>14</v>
      </c>
      <c r="H7" s="36">
        <f t="shared" si="0"/>
        <v>82</v>
      </c>
      <c r="I7" s="27">
        <f t="shared" si="1"/>
        <v>7026.9400000000005</v>
      </c>
      <c r="J7" s="27">
        <v>0</v>
      </c>
      <c r="K7" s="27">
        <v>0</v>
      </c>
      <c r="L7" s="69">
        <v>2.9</v>
      </c>
      <c r="M7" s="36">
        <v>187</v>
      </c>
      <c r="N7" s="51">
        <f t="shared" si="2"/>
        <v>44468.6</v>
      </c>
      <c r="O7" s="51">
        <f>(I7+J7+K7)*L7*M7</f>
        <v>3810709.5619999999</v>
      </c>
      <c r="P7" s="8"/>
    </row>
    <row r="8" spans="1:17" ht="25.5" x14ac:dyDescent="0.2">
      <c r="A8" s="39" t="s">
        <v>68</v>
      </c>
      <c r="B8" s="89">
        <v>200</v>
      </c>
      <c r="C8" s="89">
        <v>150</v>
      </c>
      <c r="D8" s="89">
        <v>0</v>
      </c>
      <c r="E8" s="89">
        <v>400</v>
      </c>
      <c r="F8" s="89">
        <v>200</v>
      </c>
      <c r="G8" s="89">
        <v>0</v>
      </c>
      <c r="H8" s="36">
        <f t="shared" si="0"/>
        <v>950</v>
      </c>
      <c r="I8" s="27">
        <f t="shared" si="1"/>
        <v>74883.5</v>
      </c>
      <c r="J8" s="90">
        <v>0</v>
      </c>
      <c r="K8" s="90">
        <v>73300</v>
      </c>
      <c r="L8" s="104">
        <v>1</v>
      </c>
      <c r="M8" s="93">
        <v>42</v>
      </c>
      <c r="N8" s="51">
        <f t="shared" si="2"/>
        <v>39900</v>
      </c>
      <c r="O8" s="51">
        <f>(I8+J8+K8)*L8*M8</f>
        <v>6223707</v>
      </c>
    </row>
    <row r="9" spans="1:17" ht="25.5" x14ac:dyDescent="0.2">
      <c r="A9" s="88" t="s">
        <v>83</v>
      </c>
      <c r="B9" s="94"/>
      <c r="C9" s="95"/>
      <c r="D9" s="95"/>
      <c r="E9" s="95"/>
      <c r="F9" s="95"/>
      <c r="G9" s="95"/>
      <c r="H9" s="96"/>
      <c r="I9" s="102"/>
      <c r="J9" s="97"/>
      <c r="K9" s="97"/>
      <c r="L9" s="95"/>
      <c r="M9" s="96"/>
      <c r="N9" s="98"/>
      <c r="O9" s="99"/>
    </row>
    <row r="10" spans="1:17" x14ac:dyDescent="0.2">
      <c r="A10" s="85" t="s">
        <v>85</v>
      </c>
      <c r="B10" s="91">
        <v>0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36">
        <f t="shared" ref="H10:H17" si="3">SUM(B10:G10)</f>
        <v>0</v>
      </c>
      <c r="I10" s="27">
        <f t="shared" si="1"/>
        <v>0</v>
      </c>
      <c r="J10" s="92">
        <v>0</v>
      </c>
      <c r="K10" s="126">
        <f>17000/3</f>
        <v>5666.666666666667</v>
      </c>
      <c r="L10" s="105">
        <v>2.4</v>
      </c>
      <c r="M10" s="106">
        <v>146</v>
      </c>
      <c r="N10" s="51">
        <f t="shared" si="2"/>
        <v>0</v>
      </c>
      <c r="O10" s="51">
        <f>(I10+J10+K10)*L10*M10</f>
        <v>1985600</v>
      </c>
    </row>
    <row r="11" spans="1:17" x14ac:dyDescent="0.2">
      <c r="A11" s="85" t="s">
        <v>84</v>
      </c>
      <c r="B11" s="40"/>
      <c r="C11" s="40"/>
      <c r="D11" s="40"/>
      <c r="E11" s="40"/>
      <c r="F11" s="40"/>
      <c r="G11" s="40"/>
      <c r="H11" s="36">
        <f t="shared" si="3"/>
        <v>0</v>
      </c>
      <c r="I11" s="27">
        <f t="shared" si="1"/>
        <v>0</v>
      </c>
      <c r="J11" s="27"/>
      <c r="K11" s="44">
        <f>35510/3</f>
        <v>11836.666666666666</v>
      </c>
      <c r="L11" s="69">
        <v>1.4</v>
      </c>
      <c r="M11" s="36">
        <v>44</v>
      </c>
      <c r="N11" s="51">
        <f t="shared" si="2"/>
        <v>0</v>
      </c>
      <c r="O11" s="51">
        <f t="shared" ref="O11:O18" si="4">(I11+J11+K11)*L11*M11</f>
        <v>729138.66666666663</v>
      </c>
    </row>
    <row r="12" spans="1:17" x14ac:dyDescent="0.2">
      <c r="A12" s="85" t="s">
        <v>77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36">
        <f t="shared" si="3"/>
        <v>0</v>
      </c>
      <c r="I12" s="27">
        <f t="shared" si="1"/>
        <v>0</v>
      </c>
      <c r="J12" s="27">
        <v>0</v>
      </c>
      <c r="K12" s="44">
        <f>22000/3</f>
        <v>7333.333333333333</v>
      </c>
      <c r="L12" s="69">
        <v>1.7</v>
      </c>
      <c r="M12" s="36">
        <v>85</v>
      </c>
      <c r="N12" s="51">
        <f t="shared" si="2"/>
        <v>0</v>
      </c>
      <c r="O12" s="51">
        <f t="shared" si="4"/>
        <v>1059666.6666666665</v>
      </c>
    </row>
    <row r="13" spans="1:17" x14ac:dyDescent="0.2">
      <c r="A13" s="85" t="s">
        <v>78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36">
        <f t="shared" si="3"/>
        <v>0</v>
      </c>
      <c r="I13" s="27">
        <f t="shared" si="1"/>
        <v>0</v>
      </c>
      <c r="J13" s="27">
        <v>0</v>
      </c>
      <c r="K13" s="44">
        <f>45000/3</f>
        <v>15000</v>
      </c>
      <c r="L13" s="69">
        <v>1.7</v>
      </c>
      <c r="M13" s="36">
        <v>27</v>
      </c>
      <c r="N13" s="51">
        <f t="shared" si="2"/>
        <v>0</v>
      </c>
      <c r="O13" s="51">
        <f t="shared" si="4"/>
        <v>688500</v>
      </c>
    </row>
    <row r="14" spans="1:17" ht="25.5" x14ac:dyDescent="0.2">
      <c r="A14" s="85" t="s">
        <v>87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36">
        <f t="shared" si="3"/>
        <v>0</v>
      </c>
      <c r="I14" s="27">
        <f t="shared" si="1"/>
        <v>0</v>
      </c>
      <c r="J14" s="27">
        <v>0</v>
      </c>
      <c r="K14" s="44">
        <f>1000/3</f>
        <v>333.33333333333331</v>
      </c>
      <c r="L14" s="69">
        <v>2.2000000000000002</v>
      </c>
      <c r="M14" s="36">
        <v>318</v>
      </c>
      <c r="N14" s="51">
        <f t="shared" si="2"/>
        <v>0</v>
      </c>
      <c r="O14" s="51">
        <f t="shared" si="4"/>
        <v>233200</v>
      </c>
    </row>
    <row r="15" spans="1:17" ht="25.5" x14ac:dyDescent="0.2">
      <c r="A15" s="39" t="s">
        <v>34</v>
      </c>
      <c r="B15" s="40">
        <v>6</v>
      </c>
      <c r="C15" s="40">
        <v>4</v>
      </c>
      <c r="D15" s="40">
        <v>1</v>
      </c>
      <c r="E15" s="40">
        <v>0</v>
      </c>
      <c r="F15" s="40">
        <v>0</v>
      </c>
      <c r="G15" s="40">
        <v>1</v>
      </c>
      <c r="H15" s="36">
        <f t="shared" si="3"/>
        <v>12</v>
      </c>
      <c r="I15" s="27">
        <f t="shared" si="1"/>
        <v>1400.6</v>
      </c>
      <c r="J15" s="27">
        <v>0</v>
      </c>
      <c r="K15" s="27">
        <v>0</v>
      </c>
      <c r="L15" s="69">
        <v>2.9</v>
      </c>
      <c r="M15" s="36">
        <v>187</v>
      </c>
      <c r="N15" s="51">
        <f t="shared" si="2"/>
        <v>6507.5999999999995</v>
      </c>
      <c r="O15" s="51">
        <f t="shared" si="4"/>
        <v>759545.38</v>
      </c>
    </row>
    <row r="16" spans="1:17" ht="25.5" x14ac:dyDescent="0.2">
      <c r="A16" s="39" t="s">
        <v>51</v>
      </c>
      <c r="B16" s="40">
        <v>2</v>
      </c>
      <c r="C16" s="40">
        <v>0.5</v>
      </c>
      <c r="D16" s="40">
        <v>1</v>
      </c>
      <c r="E16" s="40">
        <v>0</v>
      </c>
      <c r="F16" s="40">
        <v>0</v>
      </c>
      <c r="G16" s="40">
        <v>1</v>
      </c>
      <c r="H16" s="36">
        <f t="shared" si="3"/>
        <v>4.5</v>
      </c>
      <c r="I16" s="27">
        <f t="shared" si="1"/>
        <v>505.98500000000001</v>
      </c>
      <c r="J16" s="27">
        <v>0</v>
      </c>
      <c r="K16" s="27">
        <v>6</v>
      </c>
      <c r="L16" s="69">
        <v>2.9</v>
      </c>
      <c r="M16" s="36">
        <v>187</v>
      </c>
      <c r="N16" s="51">
        <f t="shared" si="2"/>
        <v>2440.35</v>
      </c>
      <c r="O16" s="51">
        <f t="shared" si="4"/>
        <v>277649.46549999999</v>
      </c>
    </row>
    <row r="17" spans="1:15" ht="25.5" x14ac:dyDescent="0.2">
      <c r="A17" s="39" t="s">
        <v>35</v>
      </c>
      <c r="B17" s="89">
        <v>1</v>
      </c>
      <c r="C17" s="89">
        <v>0.5</v>
      </c>
      <c r="D17" s="89">
        <v>0</v>
      </c>
      <c r="E17" s="89">
        <v>0</v>
      </c>
      <c r="F17" s="89">
        <v>0</v>
      </c>
      <c r="G17" s="89">
        <v>2</v>
      </c>
      <c r="H17" s="36">
        <f t="shared" si="3"/>
        <v>3.5</v>
      </c>
      <c r="I17" s="27">
        <f t="shared" si="1"/>
        <v>251.16499999999999</v>
      </c>
      <c r="J17" s="90">
        <v>0</v>
      </c>
      <c r="K17" s="90">
        <v>3</v>
      </c>
      <c r="L17" s="104">
        <v>3.9</v>
      </c>
      <c r="M17" s="93">
        <v>354</v>
      </c>
      <c r="N17" s="51">
        <f t="shared" si="2"/>
        <v>4832.1000000000004</v>
      </c>
      <c r="O17" s="51">
        <f t="shared" si="4"/>
        <v>350900.19899999996</v>
      </c>
    </row>
    <row r="18" spans="1:15" x14ac:dyDescent="0.2">
      <c r="A18" s="88" t="s">
        <v>86</v>
      </c>
      <c r="B18" s="89">
        <v>0.5</v>
      </c>
      <c r="C18" s="89">
        <v>0.5</v>
      </c>
      <c r="D18" s="89">
        <v>0</v>
      </c>
      <c r="E18" s="89">
        <v>0</v>
      </c>
      <c r="F18" s="89">
        <v>0</v>
      </c>
      <c r="G18" s="89">
        <v>0.5</v>
      </c>
      <c r="H18" s="93">
        <v>3</v>
      </c>
      <c r="I18" s="27">
        <f t="shared" si="1"/>
        <v>141.17500000000001</v>
      </c>
      <c r="J18" s="90">
        <v>0</v>
      </c>
      <c r="K18" s="90">
        <v>1</v>
      </c>
      <c r="L18" s="104">
        <v>5.3</v>
      </c>
      <c r="M18" s="36">
        <f>SUM(M10:M14)</f>
        <v>620</v>
      </c>
      <c r="N18" s="51">
        <f t="shared" si="2"/>
        <v>9858</v>
      </c>
      <c r="O18" s="51">
        <f t="shared" si="4"/>
        <v>467187.05000000005</v>
      </c>
    </row>
    <row r="19" spans="1:15" x14ac:dyDescent="0.2">
      <c r="A19" s="88" t="s">
        <v>79</v>
      </c>
      <c r="B19" s="100"/>
      <c r="C19" s="100"/>
      <c r="D19" s="100"/>
      <c r="E19" s="100"/>
      <c r="F19" s="100"/>
      <c r="G19" s="100"/>
      <c r="H19" s="101"/>
      <c r="I19" s="102"/>
      <c r="J19" s="102"/>
      <c r="K19" s="102"/>
      <c r="L19" s="100"/>
      <c r="M19" s="101"/>
      <c r="N19" s="98"/>
      <c r="O19" s="102"/>
    </row>
    <row r="20" spans="1:15" x14ac:dyDescent="0.2">
      <c r="A20" s="85" t="s">
        <v>80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36">
        <f t="shared" ref="H20:H26" si="5">SUM(B20:G20)</f>
        <v>0</v>
      </c>
      <c r="I20" s="27">
        <f t="shared" si="1"/>
        <v>0</v>
      </c>
      <c r="J20" s="92">
        <v>0</v>
      </c>
      <c r="K20" s="92">
        <v>241</v>
      </c>
      <c r="L20" s="105">
        <v>1.7</v>
      </c>
      <c r="M20" s="106">
        <v>171</v>
      </c>
      <c r="N20" s="51">
        <f t="shared" si="2"/>
        <v>0</v>
      </c>
      <c r="O20" s="51">
        <f t="shared" ref="O20:O26" si="6">(I20+J20+K20)*L20*M20</f>
        <v>70058.7</v>
      </c>
    </row>
    <row r="21" spans="1:15" x14ac:dyDescent="0.2">
      <c r="A21" s="85" t="s">
        <v>81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36">
        <f t="shared" si="5"/>
        <v>0</v>
      </c>
      <c r="I21" s="27">
        <f t="shared" si="1"/>
        <v>0</v>
      </c>
      <c r="J21" s="27">
        <v>0</v>
      </c>
      <c r="K21" s="27">
        <v>563</v>
      </c>
      <c r="L21" s="69">
        <v>5.8</v>
      </c>
      <c r="M21" s="36">
        <v>249</v>
      </c>
      <c r="N21" s="51">
        <f t="shared" si="2"/>
        <v>0</v>
      </c>
      <c r="O21" s="51">
        <f t="shared" si="6"/>
        <v>813084.6</v>
      </c>
    </row>
    <row r="22" spans="1:15" s="136" customFormat="1" x14ac:dyDescent="0.2">
      <c r="A22" s="133" t="s">
        <v>114</v>
      </c>
      <c r="B22" s="69">
        <v>1</v>
      </c>
      <c r="C22" s="69">
        <v>1</v>
      </c>
      <c r="D22" s="69">
        <v>0.5</v>
      </c>
      <c r="E22" s="69">
        <v>0</v>
      </c>
      <c r="F22" s="69">
        <v>0</v>
      </c>
      <c r="G22" s="69">
        <v>1</v>
      </c>
      <c r="H22" s="36">
        <f t="shared" si="5"/>
        <v>3.5</v>
      </c>
      <c r="I22" s="27">
        <f t="shared" si="1"/>
        <v>381.21000000000004</v>
      </c>
      <c r="J22" s="44">
        <v>0</v>
      </c>
      <c r="K22" s="44">
        <v>20</v>
      </c>
      <c r="L22" s="69">
        <f>409/76</f>
        <v>5.3815789473684212</v>
      </c>
      <c r="M22" s="134">
        <v>76</v>
      </c>
      <c r="N22" s="135">
        <f t="shared" ref="N22:N23" si="7">H22*L22*M22</f>
        <v>1431.5</v>
      </c>
      <c r="O22" s="135">
        <f t="shared" ref="O22:O23" si="8">(I22+J22+K22)*L22*M22</f>
        <v>164094.89000000001</v>
      </c>
    </row>
    <row r="23" spans="1:15" s="136" customFormat="1" x14ac:dyDescent="0.2">
      <c r="A23" s="133" t="s">
        <v>115</v>
      </c>
      <c r="B23" s="69">
        <v>2</v>
      </c>
      <c r="C23" s="69">
        <v>0.5</v>
      </c>
      <c r="D23" s="69">
        <v>0.5</v>
      </c>
      <c r="E23" s="69">
        <v>0</v>
      </c>
      <c r="F23" s="69">
        <v>0</v>
      </c>
      <c r="G23" s="69">
        <v>1</v>
      </c>
      <c r="H23" s="36">
        <f t="shared" si="5"/>
        <v>4</v>
      </c>
      <c r="I23" s="27">
        <f t="shared" si="1"/>
        <v>407.125</v>
      </c>
      <c r="J23" s="44">
        <v>0</v>
      </c>
      <c r="K23" s="44">
        <v>2</v>
      </c>
      <c r="L23" s="69">
        <v>1</v>
      </c>
      <c r="M23" s="134">
        <v>20</v>
      </c>
      <c r="N23" s="135">
        <f t="shared" si="7"/>
        <v>80</v>
      </c>
      <c r="O23" s="135">
        <f t="shared" si="8"/>
        <v>8182.5</v>
      </c>
    </row>
    <row r="24" spans="1:15" ht="25.5" x14ac:dyDescent="0.2">
      <c r="A24" s="39" t="s">
        <v>36</v>
      </c>
      <c r="B24" s="40">
        <v>3</v>
      </c>
      <c r="C24" s="40">
        <v>2</v>
      </c>
      <c r="D24" s="40">
        <v>1</v>
      </c>
      <c r="E24" s="40">
        <v>3</v>
      </c>
      <c r="F24" s="40">
        <v>0</v>
      </c>
      <c r="G24" s="40">
        <v>2</v>
      </c>
      <c r="H24" s="36">
        <f t="shared" si="5"/>
        <v>11</v>
      </c>
      <c r="I24" s="27">
        <f t="shared" si="1"/>
        <v>1055.48</v>
      </c>
      <c r="J24" s="44">
        <v>0</v>
      </c>
      <c r="K24" s="44">
        <v>6</v>
      </c>
      <c r="L24" s="69">
        <v>3.9</v>
      </c>
      <c r="M24" s="36">
        <v>354</v>
      </c>
      <c r="N24" s="51">
        <f t="shared" si="2"/>
        <v>15186.6</v>
      </c>
      <c r="O24" s="51">
        <f t="shared" si="6"/>
        <v>1465479.2879999999</v>
      </c>
    </row>
    <row r="25" spans="1:15" ht="25.5" x14ac:dyDescent="0.2">
      <c r="A25" s="39" t="s">
        <v>14</v>
      </c>
      <c r="B25" s="40">
        <v>3</v>
      </c>
      <c r="C25" s="40">
        <v>1</v>
      </c>
      <c r="D25" s="40">
        <v>1</v>
      </c>
      <c r="E25" s="40">
        <v>0</v>
      </c>
      <c r="F25" s="40">
        <v>0</v>
      </c>
      <c r="G25" s="40">
        <v>7</v>
      </c>
      <c r="H25" s="36">
        <f t="shared" si="5"/>
        <v>12</v>
      </c>
      <c r="I25" s="27">
        <f t="shared" si="1"/>
        <v>920.03</v>
      </c>
      <c r="J25" s="44">
        <v>0</v>
      </c>
      <c r="K25" s="44">
        <v>6</v>
      </c>
      <c r="L25" s="69">
        <v>1</v>
      </c>
      <c r="M25" s="36">
        <v>354</v>
      </c>
      <c r="N25" s="51">
        <f t="shared" si="2"/>
        <v>4248</v>
      </c>
      <c r="O25" s="51">
        <f t="shared" si="6"/>
        <v>327814.62</v>
      </c>
    </row>
    <row r="26" spans="1:15" s="50" customFormat="1" ht="38.25" x14ac:dyDescent="0.2">
      <c r="A26" s="56" t="s">
        <v>76</v>
      </c>
      <c r="B26" s="86">
        <v>12</v>
      </c>
      <c r="C26" s="87">
        <v>2</v>
      </c>
      <c r="D26" s="87">
        <v>1</v>
      </c>
      <c r="E26" s="87">
        <v>0</v>
      </c>
      <c r="F26" s="87">
        <v>0</v>
      </c>
      <c r="G26" s="87">
        <v>2</v>
      </c>
      <c r="H26" s="36">
        <f t="shared" si="5"/>
        <v>17</v>
      </c>
      <c r="I26" s="27">
        <f t="shared" si="1"/>
        <v>1740.6200000000001</v>
      </c>
      <c r="J26" s="55">
        <v>0</v>
      </c>
      <c r="K26" s="67">
        <v>3</v>
      </c>
      <c r="L26" s="69">
        <v>1</v>
      </c>
      <c r="M26" s="36">
        <v>354</v>
      </c>
      <c r="N26" s="51">
        <f t="shared" si="2"/>
        <v>6018</v>
      </c>
      <c r="O26" s="51">
        <f t="shared" si="6"/>
        <v>617241.4800000001</v>
      </c>
    </row>
    <row r="27" spans="1:15" s="81" customFormat="1" ht="12.75" x14ac:dyDescent="0.2">
      <c r="A27" s="82"/>
      <c r="B27" s="83"/>
      <c r="C27" s="83"/>
      <c r="D27" s="83"/>
      <c r="E27" s="83"/>
      <c r="F27" s="83"/>
      <c r="G27" s="83"/>
      <c r="H27" s="83"/>
      <c r="I27" s="84"/>
      <c r="J27" s="83"/>
      <c r="K27" s="84"/>
      <c r="L27" s="83"/>
      <c r="M27" s="83"/>
      <c r="N27" s="83"/>
      <c r="O27" s="51"/>
    </row>
    <row r="28" spans="1:15" x14ac:dyDescent="0.2">
      <c r="A28" s="73" t="s">
        <v>37</v>
      </c>
      <c r="B28" s="73">
        <f>SUM(B4:B26)</f>
        <v>305.5</v>
      </c>
      <c r="C28" s="73">
        <f t="shared" ref="C28:G28" si="9">SUM(C4:C26)</f>
        <v>193</v>
      </c>
      <c r="D28" s="73">
        <f t="shared" si="9"/>
        <v>17</v>
      </c>
      <c r="E28" s="73">
        <f t="shared" si="9"/>
        <v>467</v>
      </c>
      <c r="F28" s="73">
        <f t="shared" si="9"/>
        <v>204</v>
      </c>
      <c r="G28" s="73">
        <f t="shared" si="9"/>
        <v>36.5</v>
      </c>
      <c r="H28" s="128">
        <f>SUM(H4:H26)</f>
        <v>1224.5</v>
      </c>
      <c r="I28" s="127">
        <f>SUM(I4:I26)</f>
        <v>100749.54</v>
      </c>
      <c r="J28" s="73">
        <v>0</v>
      </c>
      <c r="K28" s="73" t="s">
        <v>16</v>
      </c>
      <c r="L28" s="73" t="s">
        <v>16</v>
      </c>
      <c r="M28" s="73" t="s">
        <v>17</v>
      </c>
      <c r="N28" s="73" t="s">
        <v>17</v>
      </c>
      <c r="O28" s="73" t="s">
        <v>17</v>
      </c>
    </row>
    <row r="29" spans="1:15" x14ac:dyDescent="0.2">
      <c r="A29" s="73" t="s">
        <v>18</v>
      </c>
      <c r="B29" s="73" t="s">
        <v>17</v>
      </c>
      <c r="C29" s="73" t="s">
        <v>17</v>
      </c>
      <c r="D29" s="73" t="s">
        <v>17</v>
      </c>
      <c r="E29" s="73" t="s">
        <v>17</v>
      </c>
      <c r="F29" s="73" t="s">
        <v>17</v>
      </c>
      <c r="G29" s="73" t="s">
        <v>17</v>
      </c>
      <c r="H29" s="73" t="s">
        <v>17</v>
      </c>
      <c r="I29" s="127">
        <f>SUMPRODUCT(I4:I26, L4:L26, M4:M26)</f>
        <v>17902473.289500002</v>
      </c>
      <c r="J29" s="73">
        <v>0</v>
      </c>
      <c r="K29" s="127">
        <f>SUMPRODUCT(K4:K26, L4:L26, M4:M26)</f>
        <v>8697519.833333334</v>
      </c>
      <c r="L29" s="73" t="s">
        <v>16</v>
      </c>
      <c r="M29" s="209">
        <f>SUM(M10:M14)</f>
        <v>620</v>
      </c>
      <c r="N29" s="128">
        <f>SUM(N4:N26)</f>
        <v>200628.75000000003</v>
      </c>
      <c r="O29" s="127">
        <f>SUM(O4:O26)</f>
        <v>26599993.122833338</v>
      </c>
    </row>
    <row r="30" spans="1:15" x14ac:dyDescent="0.2">
      <c r="A30" s="8" t="s">
        <v>38</v>
      </c>
      <c r="B30" s="8"/>
      <c r="E30" s="8"/>
      <c r="F30" s="8"/>
      <c r="G30" s="8"/>
      <c r="J30" s="3"/>
      <c r="L30" s="8"/>
      <c r="N30" s="4"/>
      <c r="O30" s="8"/>
    </row>
    <row r="31" spans="1:15" x14ac:dyDescent="0.2">
      <c r="A31" s="8" t="s">
        <v>40</v>
      </c>
      <c r="B31" s="8"/>
      <c r="C31" s="9"/>
      <c r="E31" s="8"/>
      <c r="F31" s="8"/>
      <c r="G31" s="8"/>
      <c r="H31" s="5"/>
      <c r="I31" s="8"/>
      <c r="J31" s="8"/>
      <c r="K31" s="4"/>
      <c r="L31" s="8"/>
      <c r="N31" s="9"/>
    </row>
    <row r="32" spans="1:15" x14ac:dyDescent="0.2">
      <c r="A32" s="5" t="s">
        <v>39</v>
      </c>
      <c r="B32" s="8"/>
      <c r="C32" s="5"/>
      <c r="E32" s="8"/>
      <c r="F32" s="8"/>
      <c r="G32" s="8"/>
      <c r="H32" s="5"/>
      <c r="I32" s="8"/>
      <c r="J32" s="8"/>
      <c r="K32" s="4"/>
      <c r="L32" s="8"/>
      <c r="N32" s="9"/>
    </row>
    <row r="33" spans="1:15" x14ac:dyDescent="0.2">
      <c r="A33" s="5"/>
      <c r="B33" s="8"/>
      <c r="C33" s="5"/>
      <c r="E33" s="8"/>
      <c r="F33" s="8"/>
      <c r="G33" s="8"/>
      <c r="H33" s="7"/>
      <c r="I33" s="6"/>
      <c r="J33" s="3"/>
      <c r="K33" s="5"/>
      <c r="L33" s="8"/>
      <c r="M33" s="8"/>
      <c r="N33" s="4"/>
      <c r="O33" s="8"/>
    </row>
    <row r="34" spans="1:15" x14ac:dyDescent="0.2">
      <c r="A34" s="20"/>
      <c r="B34" s="3"/>
      <c r="C34" s="5"/>
      <c r="E34" s="8"/>
      <c r="F34" s="8"/>
      <c r="G34" s="8"/>
      <c r="H34" s="7"/>
      <c r="I34" s="6"/>
      <c r="J34" s="3"/>
      <c r="K34" s="5"/>
      <c r="L34" s="8"/>
      <c r="M34" s="8"/>
      <c r="N34" s="4"/>
      <c r="O34" s="8"/>
    </row>
    <row r="35" spans="1:15" x14ac:dyDescent="0.2">
      <c r="C35" s="202" t="s">
        <v>166</v>
      </c>
      <c r="F35" s="8"/>
    </row>
    <row r="36" spans="1:15" x14ac:dyDescent="0.2">
      <c r="A36" s="9" t="s">
        <v>91</v>
      </c>
      <c r="B36" s="9">
        <v>46.58</v>
      </c>
      <c r="C36" s="203">
        <f>B36*2.1</f>
        <v>97.817999999999998</v>
      </c>
      <c r="F36" s="8"/>
    </row>
    <row r="37" spans="1:15" x14ac:dyDescent="0.2">
      <c r="A37" s="200" t="s">
        <v>113</v>
      </c>
      <c r="B37" s="9">
        <v>68.48</v>
      </c>
      <c r="C37" s="203">
        <f t="shared" ref="C37:C42" si="10">B37*2.1</f>
        <v>143.80800000000002</v>
      </c>
      <c r="D37" s="46"/>
      <c r="E37" s="8"/>
      <c r="F37" s="8"/>
    </row>
    <row r="38" spans="1:15" x14ac:dyDescent="0.2">
      <c r="A38" s="200" t="s">
        <v>161</v>
      </c>
      <c r="B38" s="9">
        <v>94.15</v>
      </c>
      <c r="C38" s="203">
        <f t="shared" si="10"/>
        <v>197.71500000000003</v>
      </c>
      <c r="D38" s="46"/>
      <c r="E38" s="8"/>
      <c r="F38" s="8"/>
    </row>
    <row r="39" spans="1:15" ht="60" x14ac:dyDescent="0.2">
      <c r="A39" s="201" t="s">
        <v>162</v>
      </c>
      <c r="B39" s="9">
        <v>19.39</v>
      </c>
      <c r="C39" s="203">
        <f t="shared" si="10"/>
        <v>40.719000000000001</v>
      </c>
      <c r="D39" s="46"/>
      <c r="E39" s="8"/>
      <c r="F39" s="8"/>
    </row>
    <row r="40" spans="1:15" x14ac:dyDescent="0.2">
      <c r="A40" s="200" t="s">
        <v>163</v>
      </c>
      <c r="B40" s="9">
        <v>30.99</v>
      </c>
      <c r="C40" s="203">
        <f t="shared" si="10"/>
        <v>65.078999999999994</v>
      </c>
      <c r="F40" s="8"/>
    </row>
    <row r="41" spans="1:15" ht="30" x14ac:dyDescent="0.2">
      <c r="A41" s="201" t="s">
        <v>164</v>
      </c>
      <c r="B41" s="9">
        <v>20.21</v>
      </c>
      <c r="C41" s="203">
        <f t="shared" si="10"/>
        <v>42.441000000000003</v>
      </c>
    </row>
    <row r="42" spans="1:15" ht="30" x14ac:dyDescent="0.2">
      <c r="A42" s="201" t="s">
        <v>165</v>
      </c>
      <c r="B42" s="9">
        <v>18.37</v>
      </c>
      <c r="C42" s="203">
        <f t="shared" si="10"/>
        <v>38.577000000000005</v>
      </c>
    </row>
  </sheetData>
  <mergeCells count="2">
    <mergeCell ref="A1:O1"/>
    <mergeCell ref="B2:L2"/>
  </mergeCells>
  <phoneticPr fontId="1" type="noConversion"/>
  <printOptions horizontalCentered="1" verticalCentered="1"/>
  <pageMargins left="0.75" right="0.75" top="1" bottom="1" header="0.5" footer="0.5"/>
  <pageSetup scale="67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5" zoomScaleNormal="85" workbookViewId="0">
      <selection activeCell="B4" sqref="B4"/>
    </sheetView>
  </sheetViews>
  <sheetFormatPr defaultRowHeight="12.75" x14ac:dyDescent="0.2"/>
  <cols>
    <col min="1" max="1" width="17" style="16" customWidth="1"/>
    <col min="2" max="2" width="7.77734375" style="16" customWidth="1"/>
    <col min="3" max="3" width="8.88671875" style="16"/>
    <col min="4" max="4" width="8.21875" style="16" customWidth="1"/>
    <col min="5" max="5" width="8" style="16" customWidth="1"/>
    <col min="6" max="6" width="10.6640625" style="16" bestFit="1" customWidth="1"/>
    <col min="7" max="7" width="11.21875" style="16" customWidth="1"/>
    <col min="8" max="8" width="6.21875" style="16" customWidth="1"/>
    <col min="9" max="9" width="7.21875" style="16" bestFit="1" customWidth="1"/>
    <col min="10" max="10" width="11.109375" style="16" customWidth="1"/>
    <col min="11" max="11" width="7.44140625" style="16" customWidth="1"/>
    <col min="12" max="12" width="9.88671875" style="16" bestFit="1" customWidth="1"/>
    <col min="13" max="16384" width="8.88671875" style="16"/>
  </cols>
  <sheetData>
    <row r="1" spans="1:12" x14ac:dyDescent="0.2">
      <c r="A1" s="217" t="s">
        <v>139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x14ac:dyDescent="0.2">
      <c r="A2" s="28"/>
      <c r="B2" s="217" t="s">
        <v>55</v>
      </c>
      <c r="C2" s="217"/>
      <c r="D2" s="217"/>
      <c r="E2" s="217"/>
      <c r="F2" s="217"/>
      <c r="G2" s="217"/>
      <c r="H2" s="217"/>
      <c r="I2" s="217"/>
      <c r="J2" s="217" t="s">
        <v>56</v>
      </c>
      <c r="K2" s="217"/>
      <c r="L2" s="217"/>
    </row>
    <row r="3" spans="1:12" ht="38.25" x14ac:dyDescent="0.2">
      <c r="A3" s="29" t="s">
        <v>1</v>
      </c>
      <c r="B3" s="73" t="s">
        <v>167</v>
      </c>
      <c r="C3" s="73" t="s">
        <v>168</v>
      </c>
      <c r="D3" s="73" t="s">
        <v>169</v>
      </c>
      <c r="E3" s="75" t="s">
        <v>172</v>
      </c>
      <c r="F3" s="30" t="s">
        <v>53</v>
      </c>
      <c r="G3" s="30" t="s">
        <v>22</v>
      </c>
      <c r="H3" s="30" t="s">
        <v>3</v>
      </c>
      <c r="I3" s="30" t="s">
        <v>60</v>
      </c>
      <c r="J3" s="30" t="s">
        <v>52</v>
      </c>
      <c r="K3" s="30" t="s">
        <v>31</v>
      </c>
      <c r="L3" s="30" t="s">
        <v>32</v>
      </c>
    </row>
    <row r="4" spans="1:12" ht="38.25" x14ac:dyDescent="0.2">
      <c r="A4" s="18" t="s">
        <v>44</v>
      </c>
      <c r="B4" s="25">
        <v>60</v>
      </c>
      <c r="C4" s="25">
        <v>2</v>
      </c>
      <c r="D4" s="25">
        <v>2</v>
      </c>
      <c r="E4" s="25">
        <v>0</v>
      </c>
      <c r="F4" s="25">
        <v>64</v>
      </c>
      <c r="G4" s="141">
        <f>(B4+97.82)+(C4*143.81)+(D4*197.72)+(E4*40.72)</f>
        <v>840.88</v>
      </c>
      <c r="H4" s="143">
        <v>0</v>
      </c>
      <c r="I4" s="143">
        <v>25</v>
      </c>
      <c r="J4" s="25">
        <v>50</v>
      </c>
      <c r="K4" s="26">
        <f>F4*J4</f>
        <v>3200</v>
      </c>
      <c r="L4" s="141">
        <f>(G4+H4+I4)*J4</f>
        <v>43294</v>
      </c>
    </row>
    <row r="5" spans="1:12" ht="38.25" x14ac:dyDescent="0.2">
      <c r="A5" s="18" t="s">
        <v>45</v>
      </c>
      <c r="B5" s="25">
        <v>160</v>
      </c>
      <c r="C5" s="25">
        <v>3</v>
      </c>
      <c r="D5" s="25">
        <v>1</v>
      </c>
      <c r="E5" s="25">
        <v>24</v>
      </c>
      <c r="F5" s="25">
        <v>188</v>
      </c>
      <c r="G5" s="141">
        <f>(B5+97.82)+(C5*143.81)+(D5*197.72)+(E5*40.72)</f>
        <v>1864.25</v>
      </c>
      <c r="H5" s="143">
        <v>0</v>
      </c>
      <c r="I5" s="143">
        <v>100</v>
      </c>
      <c r="J5" s="25">
        <v>50</v>
      </c>
      <c r="K5" s="26">
        <f>F5*J5</f>
        <v>9400</v>
      </c>
      <c r="L5" s="141">
        <f>(G5+H5+I5)*J5</f>
        <v>98212.5</v>
      </c>
    </row>
    <row r="6" spans="1:12" ht="25.5" x14ac:dyDescent="0.2">
      <c r="A6" s="18" t="s">
        <v>46</v>
      </c>
      <c r="B6" s="25">
        <v>35</v>
      </c>
      <c r="C6" s="25">
        <v>2</v>
      </c>
      <c r="D6" s="25">
        <v>2</v>
      </c>
      <c r="E6" s="25">
        <v>4</v>
      </c>
      <c r="F6" s="25">
        <v>43</v>
      </c>
      <c r="G6" s="141">
        <f t="shared" ref="G6:G8" si="0">(B6+97.82)+(C6*143.81)+(D6*197.72)+(E6*40.72)</f>
        <v>978.76</v>
      </c>
      <c r="H6" s="143">
        <v>0</v>
      </c>
      <c r="I6" s="143">
        <v>25</v>
      </c>
      <c r="J6" s="25">
        <v>50</v>
      </c>
      <c r="K6" s="26">
        <f>F6*J6</f>
        <v>2150</v>
      </c>
      <c r="L6" s="141">
        <f>(G6+H6+I6)*J6</f>
        <v>50188</v>
      </c>
    </row>
    <row r="7" spans="1:12" ht="25.5" x14ac:dyDescent="0.2">
      <c r="A7" s="18" t="s">
        <v>47</v>
      </c>
      <c r="B7" s="25">
        <v>20</v>
      </c>
      <c r="C7" s="25">
        <v>1</v>
      </c>
      <c r="D7" s="25">
        <v>1</v>
      </c>
      <c r="E7" s="25">
        <v>4</v>
      </c>
      <c r="F7" s="25">
        <v>26</v>
      </c>
      <c r="G7" s="141">
        <f t="shared" si="0"/>
        <v>622.23</v>
      </c>
      <c r="H7" s="143">
        <v>0</v>
      </c>
      <c r="I7" s="143">
        <v>14</v>
      </c>
      <c r="J7" s="25">
        <v>50</v>
      </c>
      <c r="K7" s="26">
        <f>F7*J7</f>
        <v>1300</v>
      </c>
      <c r="L7" s="141">
        <f>(G7+H7+I7)*J7</f>
        <v>31811.5</v>
      </c>
    </row>
    <row r="8" spans="1:12" x14ac:dyDescent="0.2">
      <c r="A8" s="18" t="s">
        <v>48</v>
      </c>
      <c r="B8" s="25">
        <v>24</v>
      </c>
      <c r="C8" s="25"/>
      <c r="D8" s="25">
        <v>4</v>
      </c>
      <c r="E8" s="25"/>
      <c r="F8" s="25">
        <v>28</v>
      </c>
      <c r="G8" s="141">
        <f t="shared" si="0"/>
        <v>912.7</v>
      </c>
      <c r="H8" s="143">
        <v>0</v>
      </c>
      <c r="I8" s="143">
        <v>14</v>
      </c>
      <c r="J8" s="25">
        <v>50</v>
      </c>
      <c r="K8" s="26">
        <f>F8*J8</f>
        <v>1400</v>
      </c>
      <c r="L8" s="141">
        <f>(G8+H8+I8)*J8</f>
        <v>46335</v>
      </c>
    </row>
    <row r="9" spans="1:12" ht="18" customHeight="1" x14ac:dyDescent="0.2">
      <c r="A9" s="137" t="s">
        <v>29</v>
      </c>
      <c r="B9" s="138">
        <f>SUM(B4:B8)</f>
        <v>299</v>
      </c>
      <c r="C9" s="138">
        <f t="shared" ref="C9:F9" si="1">SUM(C4:C8)</f>
        <v>8</v>
      </c>
      <c r="D9" s="138">
        <f t="shared" si="1"/>
        <v>10</v>
      </c>
      <c r="E9" s="138">
        <f t="shared" si="1"/>
        <v>32</v>
      </c>
      <c r="F9" s="138">
        <f t="shared" si="1"/>
        <v>349</v>
      </c>
      <c r="G9" s="142">
        <f>(B9+97.82)+(C9*143.81)+(D9*197.72)+(E9*40.72)</f>
        <v>4827.54</v>
      </c>
      <c r="H9" s="142">
        <v>0</v>
      </c>
      <c r="I9" s="142">
        <f>SUM(I4:I8)</f>
        <v>178</v>
      </c>
      <c r="J9" s="138" t="s">
        <v>17</v>
      </c>
      <c r="K9" s="138" t="s">
        <v>17</v>
      </c>
      <c r="L9" s="142" t="s">
        <v>17</v>
      </c>
    </row>
    <row r="10" spans="1:12" ht="21" customHeight="1" x14ac:dyDescent="0.2">
      <c r="A10" s="137" t="s">
        <v>18</v>
      </c>
      <c r="B10" s="138" t="s">
        <v>17</v>
      </c>
      <c r="C10" s="138" t="s">
        <v>17</v>
      </c>
      <c r="D10" s="138" t="s">
        <v>17</v>
      </c>
      <c r="E10" s="138" t="s">
        <v>17</v>
      </c>
      <c r="F10" s="138" t="s">
        <v>17</v>
      </c>
      <c r="G10" s="142">
        <f>SUMPRODUCT(G4:G8, J4:J8)</f>
        <v>260941</v>
      </c>
      <c r="H10" s="142">
        <v>0</v>
      </c>
      <c r="I10" s="142">
        <f>I9*J10</f>
        <v>8900</v>
      </c>
      <c r="J10" s="139">
        <v>50</v>
      </c>
      <c r="K10" s="140">
        <f>SUM(K4:K8)</f>
        <v>17450</v>
      </c>
      <c r="L10" s="142">
        <f>SUM(L4:L8)</f>
        <v>269841</v>
      </c>
    </row>
    <row r="11" spans="1:12" x14ac:dyDescent="0.2">
      <c r="A11" s="17" t="s">
        <v>38</v>
      </c>
      <c r="G11" s="204">
        <f>SUM(G4:G8)</f>
        <v>5218.8200000000006</v>
      </c>
      <c r="L11" s="57"/>
    </row>
    <row r="12" spans="1:12" x14ac:dyDescent="0.2">
      <c r="A12" s="17" t="s">
        <v>49</v>
      </c>
    </row>
  </sheetData>
  <mergeCells count="3">
    <mergeCell ref="A1:L1"/>
    <mergeCell ref="B2:I2"/>
    <mergeCell ref="J2:L2"/>
  </mergeCells>
  <phoneticPr fontId="1" type="noConversion"/>
  <printOptions horizontalCentered="1" verticalCentered="1"/>
  <pageMargins left="0.75" right="0.75" top="1" bottom="1" header="0.5" footer="0.5"/>
  <pageSetup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zoomScale="85" workbookViewId="0">
      <selection activeCell="I23" sqref="I23"/>
    </sheetView>
  </sheetViews>
  <sheetFormatPr defaultColWidth="9.77734375" defaultRowHeight="15" x14ac:dyDescent="0.2"/>
  <cols>
    <col min="1" max="1" width="17" customWidth="1"/>
    <col min="2" max="2" width="7.6640625" customWidth="1"/>
    <col min="3" max="3" width="9.6640625" customWidth="1"/>
    <col min="4" max="4" width="8.6640625" customWidth="1"/>
    <col min="5" max="5" width="8.21875" customWidth="1"/>
    <col min="6" max="6" width="8.109375" customWidth="1"/>
    <col min="7" max="7" width="9.5546875" customWidth="1"/>
    <col min="8" max="8" width="9.44140625" customWidth="1"/>
    <col min="9" max="9" width="11.6640625" customWidth="1"/>
    <col min="10" max="10" width="15" style="2" customWidth="1"/>
    <col min="11" max="11" width="7.109375" customWidth="1"/>
    <col min="12" max="12" width="12.44140625" style="2" customWidth="1"/>
    <col min="13" max="13" width="9.44140625" customWidth="1"/>
    <col min="14" max="14" width="10.44140625" customWidth="1"/>
    <col min="15" max="15" width="7.21875" style="1" customWidth="1"/>
    <col min="16" max="16" width="13.77734375" customWidth="1"/>
    <col min="17" max="17" width="10.21875" customWidth="1"/>
    <col min="18" max="18" width="8.21875" customWidth="1"/>
    <col min="19" max="20" width="12.33203125" customWidth="1"/>
    <col min="21" max="253" width="10.21875" customWidth="1"/>
  </cols>
  <sheetData>
    <row r="1" spans="1:18" x14ac:dyDescent="0.2">
      <c r="A1" s="218" t="s">
        <v>140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3"/>
      <c r="R1" s="3"/>
    </row>
    <row r="2" spans="1:18" x14ac:dyDescent="0.2">
      <c r="A2" s="22"/>
      <c r="B2" s="218" t="s">
        <v>61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 t="s">
        <v>56</v>
      </c>
      <c r="N2" s="218"/>
      <c r="O2" s="218"/>
      <c r="P2" s="218"/>
      <c r="Q2" s="3"/>
      <c r="R2" s="3"/>
    </row>
    <row r="3" spans="1:18" ht="38.25" x14ac:dyDescent="0.2">
      <c r="A3" s="23" t="s">
        <v>1</v>
      </c>
      <c r="B3" s="73" t="s">
        <v>167</v>
      </c>
      <c r="C3" s="73" t="s">
        <v>168</v>
      </c>
      <c r="D3" s="73" t="s">
        <v>169</v>
      </c>
      <c r="E3" s="75" t="s">
        <v>172</v>
      </c>
      <c r="F3" s="74" t="s">
        <v>170</v>
      </c>
      <c r="G3" s="32" t="s">
        <v>173</v>
      </c>
      <c r="H3" s="74" t="s">
        <v>171</v>
      </c>
      <c r="I3" s="32" t="s">
        <v>59</v>
      </c>
      <c r="J3" s="32" t="s">
        <v>2</v>
      </c>
      <c r="K3" s="32" t="s">
        <v>3</v>
      </c>
      <c r="L3" s="32" t="s">
        <v>67</v>
      </c>
      <c r="M3" s="32" t="s">
        <v>4</v>
      </c>
      <c r="N3" s="32" t="s">
        <v>52</v>
      </c>
      <c r="O3" s="32" t="s">
        <v>5</v>
      </c>
      <c r="P3" s="32" t="s">
        <v>6</v>
      </c>
      <c r="Q3" s="3"/>
      <c r="R3" s="3"/>
    </row>
    <row r="4" spans="1:18" ht="25.5" x14ac:dyDescent="0.2">
      <c r="A4" s="18" t="s">
        <v>7</v>
      </c>
      <c r="B4" s="24">
        <v>45</v>
      </c>
      <c r="C4" s="26">
        <v>5</v>
      </c>
      <c r="D4" s="26">
        <v>8</v>
      </c>
      <c r="E4" s="26">
        <v>0</v>
      </c>
      <c r="F4" s="26">
        <v>0</v>
      </c>
      <c r="G4" s="26">
        <v>0</v>
      </c>
      <c r="H4" s="26">
        <v>0</v>
      </c>
      <c r="I4" s="26">
        <v>58</v>
      </c>
      <c r="J4" s="27">
        <f>(B4*97.82)+(C4*143.81)+(D4*197.72)+(E4*40.72)+(F4*65.08)+(G4*42.44)+(H4*38.58)</f>
        <v>6702.71</v>
      </c>
      <c r="K4" s="27">
        <v>0</v>
      </c>
      <c r="L4" s="27">
        <v>0</v>
      </c>
      <c r="M4" s="26">
        <v>1</v>
      </c>
      <c r="N4" s="26">
        <v>179</v>
      </c>
      <c r="O4" s="135">
        <f>I4*M4*N4</f>
        <v>10382</v>
      </c>
      <c r="P4" s="27">
        <f t="shared" ref="P4:P9" si="0">(J4+K4+L4)*M4*N4</f>
        <v>1199785.0900000001</v>
      </c>
      <c r="Q4" s="3"/>
      <c r="R4" s="3"/>
    </row>
    <row r="5" spans="1:18" x14ac:dyDescent="0.2">
      <c r="A5" s="18" t="s">
        <v>8</v>
      </c>
      <c r="B5" s="24">
        <v>8</v>
      </c>
      <c r="C5" s="26">
        <v>0</v>
      </c>
      <c r="D5" s="26">
        <v>0</v>
      </c>
      <c r="E5" s="26">
        <v>0</v>
      </c>
      <c r="F5" s="26">
        <v>1</v>
      </c>
      <c r="G5" s="26">
        <v>0</v>
      </c>
      <c r="H5" s="26">
        <v>0</v>
      </c>
      <c r="I5" s="26">
        <v>9</v>
      </c>
      <c r="J5" s="27">
        <f t="shared" ref="J5:J19" si="1">(B5*97.82)+(C5*143.81)+(D5*197.72)+(E5*40.72)+(F5*65.08)+(G5*42.44)+(H5*38.58)</f>
        <v>847.64</v>
      </c>
      <c r="K5" s="27">
        <v>0</v>
      </c>
      <c r="L5" s="27">
        <v>40</v>
      </c>
      <c r="M5" s="26">
        <v>1</v>
      </c>
      <c r="N5" s="26">
        <v>179</v>
      </c>
      <c r="O5" s="135">
        <f>I5*M5*N5</f>
        <v>1611</v>
      </c>
      <c r="P5" s="27">
        <f t="shared" si="0"/>
        <v>158887.56</v>
      </c>
      <c r="Q5" s="3"/>
      <c r="R5" s="3"/>
    </row>
    <row r="6" spans="1:18" ht="38.25" x14ac:dyDescent="0.2">
      <c r="A6" s="18" t="s">
        <v>9</v>
      </c>
      <c r="B6" s="24">
        <v>11</v>
      </c>
      <c r="C6" s="26">
        <v>1</v>
      </c>
      <c r="D6" s="26">
        <v>0</v>
      </c>
      <c r="E6" s="26">
        <v>1</v>
      </c>
      <c r="F6" s="26">
        <v>0</v>
      </c>
      <c r="G6" s="26">
        <v>0</v>
      </c>
      <c r="H6" s="26">
        <v>0</v>
      </c>
      <c r="I6" s="26">
        <v>13</v>
      </c>
      <c r="J6" s="27">
        <f t="shared" si="1"/>
        <v>1260.55</v>
      </c>
      <c r="K6" s="27">
        <v>0</v>
      </c>
      <c r="L6" s="27">
        <v>20</v>
      </c>
      <c r="M6" s="26">
        <v>1</v>
      </c>
      <c r="N6" s="26">
        <v>179</v>
      </c>
      <c r="O6" s="135">
        <f t="shared" ref="O6:O11" si="2">I6*M6*N6</f>
        <v>2327</v>
      </c>
      <c r="P6" s="27">
        <f t="shared" si="0"/>
        <v>229218.44999999998</v>
      </c>
      <c r="Q6" s="3"/>
      <c r="R6" s="3"/>
    </row>
    <row r="7" spans="1:18" ht="25.5" x14ac:dyDescent="0.2">
      <c r="A7" s="18" t="s">
        <v>41</v>
      </c>
      <c r="B7" s="24">
        <v>4</v>
      </c>
      <c r="C7" s="26">
        <v>0</v>
      </c>
      <c r="D7" s="26">
        <v>0</v>
      </c>
      <c r="E7" s="26">
        <v>0</v>
      </c>
      <c r="F7" s="26">
        <v>1</v>
      </c>
      <c r="G7" s="26">
        <v>1</v>
      </c>
      <c r="H7" s="26">
        <v>1</v>
      </c>
      <c r="I7" s="26">
        <v>7</v>
      </c>
      <c r="J7" s="27">
        <f t="shared" si="1"/>
        <v>537.38</v>
      </c>
      <c r="K7" s="27">
        <v>0</v>
      </c>
      <c r="L7" s="27">
        <v>20</v>
      </c>
      <c r="M7" s="26">
        <v>1</v>
      </c>
      <c r="N7" s="26">
        <v>179</v>
      </c>
      <c r="O7" s="135">
        <f t="shared" si="2"/>
        <v>1253</v>
      </c>
      <c r="P7" s="27">
        <f t="shared" si="0"/>
        <v>99771.02</v>
      </c>
      <c r="Q7" s="3"/>
      <c r="R7" s="3"/>
    </row>
    <row r="8" spans="1:18" x14ac:dyDescent="0.2">
      <c r="A8" s="18" t="s">
        <v>10</v>
      </c>
      <c r="B8" s="24">
        <v>1</v>
      </c>
      <c r="C8" s="26">
        <v>0</v>
      </c>
      <c r="D8" s="26">
        <v>0</v>
      </c>
      <c r="E8" s="26">
        <v>0</v>
      </c>
      <c r="F8" s="26">
        <v>6</v>
      </c>
      <c r="G8" s="26">
        <v>0</v>
      </c>
      <c r="H8" s="26">
        <v>0</v>
      </c>
      <c r="I8" s="26">
        <v>7</v>
      </c>
      <c r="J8" s="27">
        <f t="shared" si="1"/>
        <v>488.3</v>
      </c>
      <c r="K8" s="27">
        <v>0</v>
      </c>
      <c r="L8" s="27">
        <v>0</v>
      </c>
      <c r="M8" s="26">
        <v>4</v>
      </c>
      <c r="N8" s="26">
        <v>179</v>
      </c>
      <c r="O8" s="135">
        <f t="shared" si="2"/>
        <v>5012</v>
      </c>
      <c r="P8" s="27">
        <f t="shared" si="0"/>
        <v>349622.8</v>
      </c>
      <c r="Q8" s="3"/>
      <c r="R8" s="3"/>
    </row>
    <row r="9" spans="1:18" x14ac:dyDescent="0.2">
      <c r="A9" s="18" t="s">
        <v>11</v>
      </c>
      <c r="B9" s="24">
        <v>8</v>
      </c>
      <c r="C9" s="26">
        <v>0</v>
      </c>
      <c r="D9" s="26">
        <v>0</v>
      </c>
      <c r="E9" s="26">
        <v>0</v>
      </c>
      <c r="F9" s="26">
        <v>12</v>
      </c>
      <c r="G9" s="26">
        <v>2</v>
      </c>
      <c r="H9" s="26">
        <v>0</v>
      </c>
      <c r="I9" s="26">
        <v>22</v>
      </c>
      <c r="J9" s="27">
        <f t="shared" si="1"/>
        <v>1648.4</v>
      </c>
      <c r="K9" s="27">
        <v>0</v>
      </c>
      <c r="L9" s="27">
        <v>300</v>
      </c>
      <c r="M9" s="36">
        <v>10</v>
      </c>
      <c r="N9" s="26">
        <v>37</v>
      </c>
      <c r="O9" s="135">
        <f t="shared" si="2"/>
        <v>8140</v>
      </c>
      <c r="P9" s="27">
        <f t="shared" si="0"/>
        <v>720908</v>
      </c>
    </row>
    <row r="10" spans="1:18" x14ac:dyDescent="0.2">
      <c r="A10" s="18" t="s">
        <v>70</v>
      </c>
      <c r="B10" s="24">
        <v>8</v>
      </c>
      <c r="C10" s="26">
        <v>0</v>
      </c>
      <c r="D10" s="26">
        <v>0</v>
      </c>
      <c r="E10" s="26">
        <v>1</v>
      </c>
      <c r="F10" s="26">
        <v>0</v>
      </c>
      <c r="G10" s="26">
        <v>0</v>
      </c>
      <c r="H10" s="26">
        <v>0</v>
      </c>
      <c r="I10" s="26">
        <v>9</v>
      </c>
      <c r="J10" s="27">
        <f t="shared" si="1"/>
        <v>823.28</v>
      </c>
      <c r="K10" s="27">
        <v>0</v>
      </c>
      <c r="L10" s="27">
        <v>30</v>
      </c>
      <c r="M10" s="26">
        <v>4</v>
      </c>
      <c r="N10" s="26">
        <v>37</v>
      </c>
      <c r="O10" s="135">
        <f t="shared" si="2"/>
        <v>1332</v>
      </c>
      <c r="P10" s="27">
        <f t="shared" ref="P10:P18" si="3">(J10+K10+L10)*M10*N10</f>
        <v>126285.44</v>
      </c>
    </row>
    <row r="11" spans="1:18" ht="38.25" x14ac:dyDescent="0.2">
      <c r="A11" s="42" t="s">
        <v>71</v>
      </c>
      <c r="B11" s="152">
        <v>4</v>
      </c>
      <c r="C11" s="153">
        <v>0</v>
      </c>
      <c r="D11" s="153">
        <v>0</v>
      </c>
      <c r="E11" s="153">
        <v>0</v>
      </c>
      <c r="F11" s="153">
        <v>60</v>
      </c>
      <c r="G11" s="153">
        <v>0</v>
      </c>
      <c r="H11" s="153">
        <v>0</v>
      </c>
      <c r="I11" s="153">
        <v>64</v>
      </c>
      <c r="J11" s="27">
        <f t="shared" si="1"/>
        <v>4296.08</v>
      </c>
      <c r="K11" s="90">
        <v>0</v>
      </c>
      <c r="L11" s="90">
        <v>100</v>
      </c>
      <c r="M11" s="153">
        <v>1</v>
      </c>
      <c r="N11" s="153">
        <v>179</v>
      </c>
      <c r="O11" s="135">
        <f t="shared" si="2"/>
        <v>11456</v>
      </c>
      <c r="P11" s="90">
        <f t="shared" si="3"/>
        <v>786898.32</v>
      </c>
    </row>
    <row r="12" spans="1:18" x14ac:dyDescent="0.2">
      <c r="A12" s="150" t="s">
        <v>12</v>
      </c>
      <c r="B12" s="154"/>
      <c r="C12" s="155"/>
      <c r="D12" s="155"/>
      <c r="E12" s="155"/>
      <c r="F12" s="155"/>
      <c r="G12" s="155"/>
      <c r="H12" s="155"/>
      <c r="I12" s="155"/>
      <c r="J12" s="205"/>
      <c r="K12" s="156"/>
      <c r="L12" s="156"/>
      <c r="M12" s="156"/>
      <c r="N12" s="156"/>
      <c r="O12" s="156"/>
      <c r="P12" s="151"/>
    </row>
    <row r="13" spans="1:18" x14ac:dyDescent="0.2">
      <c r="A13" s="145" t="s">
        <v>85</v>
      </c>
      <c r="B13" s="158"/>
      <c r="C13" s="159"/>
      <c r="D13" s="159"/>
      <c r="E13" s="159"/>
      <c r="F13" s="159"/>
      <c r="G13" s="159"/>
      <c r="H13" s="159"/>
      <c r="I13" s="159"/>
      <c r="J13" s="205"/>
      <c r="K13" s="157"/>
      <c r="L13" s="146">
        <f>17000/3</f>
        <v>5666.666666666667</v>
      </c>
      <c r="M13" s="106">
        <f>240/N13</f>
        <v>11.428571428571429</v>
      </c>
      <c r="N13" s="149">
        <v>21</v>
      </c>
      <c r="O13" s="135">
        <f t="shared" ref="O13:O18" si="4">I13*M13*N13</f>
        <v>0</v>
      </c>
      <c r="P13" s="92">
        <f t="shared" ref="P13:P15" si="5">(J13+K13+L13)*M13*N13</f>
        <v>1360000</v>
      </c>
    </row>
    <row r="14" spans="1:18" x14ac:dyDescent="0.2">
      <c r="A14" s="145" t="s">
        <v>84</v>
      </c>
      <c r="B14" s="154"/>
      <c r="C14" s="155"/>
      <c r="D14" s="155"/>
      <c r="E14" s="155"/>
      <c r="F14" s="155"/>
      <c r="G14" s="155"/>
      <c r="H14" s="155"/>
      <c r="I14" s="155"/>
      <c r="J14" s="205"/>
      <c r="K14" s="151"/>
      <c r="L14" s="147">
        <f>35510/3</f>
        <v>11836.666666666666</v>
      </c>
      <c r="M14" s="36">
        <f>42/N14</f>
        <v>6</v>
      </c>
      <c r="N14" s="26">
        <v>7</v>
      </c>
      <c r="O14" s="135">
        <f t="shared" si="4"/>
        <v>0</v>
      </c>
      <c r="P14" s="27">
        <f t="shared" si="5"/>
        <v>497140</v>
      </c>
    </row>
    <row r="15" spans="1:18" x14ac:dyDescent="0.2">
      <c r="A15" s="145" t="s">
        <v>116</v>
      </c>
      <c r="B15" s="154"/>
      <c r="C15" s="155"/>
      <c r="D15" s="155"/>
      <c r="E15" s="155"/>
      <c r="F15" s="155"/>
      <c r="G15" s="155"/>
      <c r="H15" s="155"/>
      <c r="I15" s="155"/>
      <c r="J15" s="205"/>
      <c r="K15" s="151"/>
      <c r="L15" s="147">
        <f>45000/3</f>
        <v>15000</v>
      </c>
      <c r="M15" s="36">
        <f>39/N15</f>
        <v>3.25</v>
      </c>
      <c r="N15" s="26">
        <v>12</v>
      </c>
      <c r="O15" s="135">
        <f t="shared" si="4"/>
        <v>0</v>
      </c>
      <c r="P15" s="27">
        <f t="shared" si="5"/>
        <v>585000</v>
      </c>
    </row>
    <row r="16" spans="1:18" x14ac:dyDescent="0.2">
      <c r="A16" s="18" t="s">
        <v>72</v>
      </c>
      <c r="B16" s="148">
        <v>2</v>
      </c>
      <c r="C16" s="149">
        <v>1</v>
      </c>
      <c r="D16" s="149">
        <v>2</v>
      </c>
      <c r="E16" s="149">
        <v>2</v>
      </c>
      <c r="F16" s="149">
        <v>0</v>
      </c>
      <c r="G16" s="149">
        <v>0</v>
      </c>
      <c r="H16" s="149">
        <v>0</v>
      </c>
      <c r="I16" s="149">
        <v>7</v>
      </c>
      <c r="J16" s="27">
        <f t="shared" si="1"/>
        <v>816.32999999999993</v>
      </c>
      <c r="K16" s="92">
        <v>0</v>
      </c>
      <c r="L16" s="27">
        <v>21</v>
      </c>
      <c r="M16" s="26">
        <v>1</v>
      </c>
      <c r="N16" s="26">
        <v>142</v>
      </c>
      <c r="O16" s="135">
        <f t="shared" si="4"/>
        <v>994</v>
      </c>
      <c r="P16" s="27">
        <f t="shared" si="3"/>
        <v>118900.85999999999</v>
      </c>
    </row>
    <row r="17" spans="1:16" ht="25.5" x14ac:dyDescent="0.2">
      <c r="A17" s="18" t="s">
        <v>13</v>
      </c>
      <c r="B17" s="24">
        <v>8</v>
      </c>
      <c r="C17" s="26">
        <v>1</v>
      </c>
      <c r="D17" s="26">
        <v>1</v>
      </c>
      <c r="E17" s="26">
        <v>2</v>
      </c>
      <c r="F17" s="26">
        <v>0</v>
      </c>
      <c r="G17" s="26">
        <v>0</v>
      </c>
      <c r="H17" s="26">
        <v>0</v>
      </c>
      <c r="I17" s="26">
        <v>12</v>
      </c>
      <c r="J17" s="27">
        <f t="shared" si="1"/>
        <v>1205.53</v>
      </c>
      <c r="K17" s="27">
        <v>0</v>
      </c>
      <c r="L17" s="27">
        <v>5</v>
      </c>
      <c r="M17" s="26">
        <v>4</v>
      </c>
      <c r="N17" s="26">
        <v>179</v>
      </c>
      <c r="O17" s="135">
        <f t="shared" si="4"/>
        <v>8592</v>
      </c>
      <c r="P17" s="27">
        <f t="shared" si="3"/>
        <v>866739.48</v>
      </c>
    </row>
    <row r="18" spans="1:16" ht="25.5" x14ac:dyDescent="0.2">
      <c r="A18" s="18" t="s">
        <v>14</v>
      </c>
      <c r="B18" s="26">
        <v>2</v>
      </c>
      <c r="C18" s="26">
        <v>0</v>
      </c>
      <c r="D18" s="26">
        <v>0</v>
      </c>
      <c r="E18" s="26">
        <v>3</v>
      </c>
      <c r="F18" s="26">
        <v>0</v>
      </c>
      <c r="G18" s="26">
        <v>1</v>
      </c>
      <c r="H18" s="26">
        <v>0</v>
      </c>
      <c r="I18" s="26">
        <v>6</v>
      </c>
      <c r="J18" s="27">
        <f t="shared" si="1"/>
        <v>360.23999999999995</v>
      </c>
      <c r="K18" s="27">
        <v>0</v>
      </c>
      <c r="L18" s="27">
        <v>2</v>
      </c>
      <c r="M18" s="26">
        <v>4</v>
      </c>
      <c r="N18" s="26">
        <v>179</v>
      </c>
      <c r="O18" s="135">
        <f t="shared" si="4"/>
        <v>4296</v>
      </c>
      <c r="P18" s="27">
        <f t="shared" si="3"/>
        <v>259363.83999999997</v>
      </c>
    </row>
    <row r="19" spans="1:16" ht="25.5" x14ac:dyDescent="0.2">
      <c r="A19" s="58" t="s">
        <v>15</v>
      </c>
      <c r="B19" s="59">
        <v>101</v>
      </c>
      <c r="C19" s="59">
        <v>8</v>
      </c>
      <c r="D19" s="59">
        <v>11</v>
      </c>
      <c r="E19" s="59">
        <v>9</v>
      </c>
      <c r="F19" s="59">
        <v>80</v>
      </c>
      <c r="G19" s="59">
        <v>4</v>
      </c>
      <c r="H19" s="59">
        <v>1</v>
      </c>
      <c r="I19" s="60">
        <v>214</v>
      </c>
      <c r="J19" s="61">
        <f t="shared" si="1"/>
        <v>18986.439999999999</v>
      </c>
      <c r="K19" s="62">
        <v>0</v>
      </c>
      <c r="L19" s="63" t="s">
        <v>16</v>
      </c>
      <c r="M19" s="60" t="s">
        <v>16</v>
      </c>
      <c r="N19" s="60" t="s">
        <v>17</v>
      </c>
      <c r="O19" s="60" t="s">
        <v>17</v>
      </c>
      <c r="P19" s="61" t="s">
        <v>17</v>
      </c>
    </row>
    <row r="20" spans="1:16" x14ac:dyDescent="0.2">
      <c r="A20" s="58" t="s">
        <v>18</v>
      </c>
      <c r="B20" s="60" t="s">
        <v>17</v>
      </c>
      <c r="C20" s="60" t="s">
        <v>17</v>
      </c>
      <c r="D20" s="60" t="s">
        <v>17</v>
      </c>
      <c r="E20" s="60" t="s">
        <v>17</v>
      </c>
      <c r="F20" s="60" t="s">
        <v>17</v>
      </c>
      <c r="G20" s="60" t="s">
        <v>17</v>
      </c>
      <c r="H20" s="60" t="s">
        <v>17</v>
      </c>
      <c r="I20" s="60" t="s">
        <v>17</v>
      </c>
      <c r="J20" s="65">
        <f>SUMPRODUCT(J4:J18, M4:M18, N4:N18)</f>
        <v>4760726.8599999994</v>
      </c>
      <c r="K20" s="65">
        <v>0</v>
      </c>
      <c r="L20" s="65">
        <f>SUMPRODUCT(L4:L18, M4:M18, N4:N18)</f>
        <v>2597794</v>
      </c>
      <c r="M20" s="64" t="s">
        <v>17</v>
      </c>
      <c r="N20" s="64">
        <v>179</v>
      </c>
      <c r="O20" s="64">
        <f>SUM(O4:O18)</f>
        <v>55395</v>
      </c>
      <c r="P20" s="64">
        <f>SUM(P4:P18)</f>
        <v>7358520.8599999994</v>
      </c>
    </row>
    <row r="21" spans="1:16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5"/>
      <c r="K21" s="3"/>
      <c r="L21" s="5"/>
      <c r="M21" s="3"/>
      <c r="N21" s="3"/>
      <c r="O21" s="4"/>
      <c r="P21" s="68"/>
    </row>
    <row r="22" spans="1:16" x14ac:dyDescent="0.2">
      <c r="A22" s="3" t="s">
        <v>20</v>
      </c>
      <c r="B22" s="3"/>
      <c r="C22" s="3"/>
      <c r="D22" s="3"/>
      <c r="E22" s="3"/>
      <c r="F22" s="3"/>
      <c r="G22" s="3"/>
      <c r="H22" s="3"/>
      <c r="I22" s="3"/>
      <c r="M22" s="3"/>
      <c r="N22" s="3"/>
      <c r="O22" s="4"/>
      <c r="P22" s="3"/>
    </row>
    <row r="23" spans="1:16" x14ac:dyDescent="0.2">
      <c r="A23" s="20" t="s">
        <v>74</v>
      </c>
      <c r="B23" s="3"/>
      <c r="C23" s="3"/>
      <c r="D23" s="3"/>
      <c r="E23" s="3"/>
      <c r="F23" s="3"/>
      <c r="G23" s="3"/>
      <c r="H23" s="3"/>
      <c r="I23" s="3"/>
      <c r="J23" s="5"/>
      <c r="K23" s="7"/>
      <c r="L23" s="3"/>
      <c r="M23" s="3"/>
      <c r="N23" s="3"/>
      <c r="O23" s="4"/>
      <c r="P23" s="3"/>
    </row>
  </sheetData>
  <mergeCells count="3">
    <mergeCell ref="B2:L2"/>
    <mergeCell ref="M2:P2"/>
    <mergeCell ref="A1:P1"/>
  </mergeCells>
  <phoneticPr fontId="1" type="noConversion"/>
  <pageMargins left="0.75" right="0.75" top="1" bottom="1" header="0.5" footer="0.5"/>
  <pageSetup scale="6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zoomScale="85" workbookViewId="0">
      <selection activeCell="B3" sqref="B3:H3"/>
    </sheetView>
  </sheetViews>
  <sheetFormatPr defaultRowHeight="11.25" x14ac:dyDescent="0.2"/>
  <cols>
    <col min="1" max="1" width="16.21875" style="3" customWidth="1"/>
    <col min="2" max="2" width="7.77734375" style="3" customWidth="1"/>
    <col min="3" max="4" width="8.33203125" style="3" customWidth="1"/>
    <col min="5" max="5" width="7.44140625" style="3" customWidth="1"/>
    <col min="6" max="6" width="8.5546875" style="3" customWidth="1"/>
    <col min="7" max="7" width="9.21875" style="3" customWidth="1"/>
    <col min="8" max="8" width="8.77734375" style="3" customWidth="1"/>
    <col min="9" max="9" width="10.6640625" style="3" customWidth="1"/>
    <col min="10" max="10" width="10.33203125" style="3" customWidth="1"/>
    <col min="11" max="11" width="6.6640625" style="3" customWidth="1"/>
    <col min="12" max="12" width="11.21875" style="3" customWidth="1"/>
    <col min="13" max="13" width="8.5546875" style="3" customWidth="1"/>
    <col min="14" max="14" width="10.88671875" style="3" customWidth="1"/>
    <col min="15" max="15" width="5.6640625" style="3" customWidth="1"/>
    <col min="16" max="16" width="10" style="3" customWidth="1"/>
    <col min="17" max="16384" width="8.88671875" style="3"/>
  </cols>
  <sheetData>
    <row r="1" spans="1:16" ht="12.75" x14ac:dyDescent="0.2">
      <c r="A1" s="218" t="s">
        <v>141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2.75" x14ac:dyDescent="0.2">
      <c r="A2" s="22"/>
      <c r="B2" s="218" t="s">
        <v>21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 t="s">
        <v>0</v>
      </c>
      <c r="O2" s="218"/>
      <c r="P2" s="218"/>
    </row>
    <row r="3" spans="1:16" ht="38.25" x14ac:dyDescent="0.2">
      <c r="A3" s="23" t="s">
        <v>1</v>
      </c>
      <c r="B3" s="73" t="str">
        <f>'Tbl4-SI PLT'!B3</f>
        <v>Engineer $97.82/hr</v>
      </c>
      <c r="C3" s="73" t="str">
        <f>'Tbl4-SI PLT'!C3</f>
        <v>Manager  $143.81/hr</v>
      </c>
      <c r="D3" s="73" t="str">
        <f>'Tbl4-SI PLT'!D3</f>
        <v>Legal  $197.72/hr</v>
      </c>
      <c r="E3" s="103" t="str">
        <f>'Tbl4-SI PLT'!E3</f>
        <v>Clerical $40.72/hr</v>
      </c>
      <c r="F3" s="74" t="str">
        <f>'Tbl4-SI PLT'!F3</f>
        <v>Test Cell Operator $65.08/hr</v>
      </c>
      <c r="G3" s="32" t="str">
        <f>'Tbl4-SI PLT'!G3</f>
        <v>Assembler $42.44/hr</v>
      </c>
      <c r="H3" s="74" t="str">
        <f>'Tbl4-SI PLT'!H3</f>
        <v>Transport  $38.58/hr</v>
      </c>
      <c r="I3" s="35" t="s">
        <v>64</v>
      </c>
      <c r="J3" s="35" t="s">
        <v>22</v>
      </c>
      <c r="K3" s="35" t="s">
        <v>3</v>
      </c>
      <c r="L3" s="35" t="s">
        <v>58</v>
      </c>
      <c r="M3" s="35" t="s">
        <v>4</v>
      </c>
      <c r="N3" s="35" t="s">
        <v>52</v>
      </c>
      <c r="O3" s="35" t="s">
        <v>5</v>
      </c>
      <c r="P3" s="35" t="s">
        <v>6</v>
      </c>
    </row>
    <row r="4" spans="1:16" ht="25.5" x14ac:dyDescent="0.2">
      <c r="A4" s="19" t="s">
        <v>7</v>
      </c>
      <c r="B4" s="26">
        <v>7</v>
      </c>
      <c r="C4" s="26">
        <v>1</v>
      </c>
      <c r="D4" s="26">
        <v>1</v>
      </c>
      <c r="E4" s="26">
        <v>0</v>
      </c>
      <c r="F4" s="26">
        <v>0</v>
      </c>
      <c r="G4" s="26">
        <v>0</v>
      </c>
      <c r="H4" s="26">
        <v>0</v>
      </c>
      <c r="I4" s="26">
        <v>9</v>
      </c>
      <c r="J4" s="141">
        <f>(B4*97.82)+(C4*143.81)+(D4*197.72)+(E4*40.72)+(F4*65.08)+(G4*42.44)+(H4*38.58)</f>
        <v>1026.27</v>
      </c>
      <c r="K4" s="141">
        <v>0</v>
      </c>
      <c r="L4" s="141">
        <v>0</v>
      </c>
      <c r="M4" s="26">
        <v>1</v>
      </c>
      <c r="N4" s="26">
        <v>40</v>
      </c>
      <c r="O4" s="135">
        <f>I4*M4*N4</f>
        <v>360</v>
      </c>
      <c r="P4" s="141">
        <f>(J4+K4+L4)*M4*N4</f>
        <v>41050.800000000003</v>
      </c>
    </row>
    <row r="5" spans="1:16" ht="12.75" x14ac:dyDescent="0.2">
      <c r="A5" s="19" t="s">
        <v>8</v>
      </c>
      <c r="B5" s="26">
        <v>2</v>
      </c>
      <c r="C5" s="26">
        <v>0</v>
      </c>
      <c r="D5" s="26">
        <v>0</v>
      </c>
      <c r="E5" s="26">
        <v>0</v>
      </c>
      <c r="F5" s="26">
        <v>1</v>
      </c>
      <c r="G5" s="26">
        <v>0</v>
      </c>
      <c r="H5" s="26">
        <v>0</v>
      </c>
      <c r="I5" s="26">
        <v>3</v>
      </c>
      <c r="J5" s="141">
        <f t="shared" ref="J5:J19" si="0">(B5*97.82)+(C5*143.81)+(D5*197.72)+(E5*40.72)+(F5*65.08)+(G5*42.44)+(H5*38.58)</f>
        <v>260.71999999999997</v>
      </c>
      <c r="K5" s="141">
        <v>0</v>
      </c>
      <c r="L5" s="141">
        <v>120</v>
      </c>
      <c r="M5" s="26">
        <v>1</v>
      </c>
      <c r="N5" s="26">
        <v>40</v>
      </c>
      <c r="O5" s="135">
        <f t="shared" ref="O5:O18" si="1">I5*M5*N5</f>
        <v>120</v>
      </c>
      <c r="P5" s="141">
        <f t="shared" ref="P5:P18" si="2">(J5+K5+L5)*M5*N5</f>
        <v>15228.8</v>
      </c>
    </row>
    <row r="6" spans="1:16" ht="12.75" x14ac:dyDescent="0.2">
      <c r="A6" s="19" t="s">
        <v>23</v>
      </c>
      <c r="B6" s="26">
        <v>16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16</v>
      </c>
      <c r="J6" s="141">
        <f t="shared" si="0"/>
        <v>1565.12</v>
      </c>
      <c r="K6" s="141">
        <v>0</v>
      </c>
      <c r="L6" s="141">
        <v>20</v>
      </c>
      <c r="M6" s="26">
        <v>1</v>
      </c>
      <c r="N6" s="26">
        <v>40</v>
      </c>
      <c r="O6" s="135">
        <f t="shared" si="1"/>
        <v>640</v>
      </c>
      <c r="P6" s="141">
        <f t="shared" si="2"/>
        <v>63404.799999999996</v>
      </c>
    </row>
    <row r="7" spans="1:16" ht="12.75" x14ac:dyDescent="0.2">
      <c r="A7" s="19" t="s">
        <v>24</v>
      </c>
      <c r="B7" s="26">
        <v>2</v>
      </c>
      <c r="C7" s="26">
        <v>1</v>
      </c>
      <c r="D7" s="26">
        <v>0</v>
      </c>
      <c r="E7" s="26">
        <v>2</v>
      </c>
      <c r="F7" s="26">
        <v>0</v>
      </c>
      <c r="G7" s="26">
        <v>0</v>
      </c>
      <c r="H7" s="26">
        <v>0</v>
      </c>
      <c r="I7" s="26">
        <v>5</v>
      </c>
      <c r="J7" s="141">
        <f t="shared" si="0"/>
        <v>420.89</v>
      </c>
      <c r="K7" s="141">
        <v>0</v>
      </c>
      <c r="L7" s="141">
        <v>100</v>
      </c>
      <c r="M7" s="26">
        <v>1</v>
      </c>
      <c r="N7" s="26">
        <v>40</v>
      </c>
      <c r="O7" s="135">
        <f t="shared" si="1"/>
        <v>200</v>
      </c>
      <c r="P7" s="141">
        <f t="shared" si="2"/>
        <v>20835.599999999999</v>
      </c>
    </row>
    <row r="8" spans="1:16" ht="12.75" x14ac:dyDescent="0.2">
      <c r="A8" s="19" t="s">
        <v>25</v>
      </c>
      <c r="B8" s="26">
        <v>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4</v>
      </c>
      <c r="I8" s="26">
        <v>5</v>
      </c>
      <c r="J8" s="141">
        <f t="shared" si="0"/>
        <v>252.14</v>
      </c>
      <c r="K8" s="141">
        <v>0</v>
      </c>
      <c r="L8" s="141">
        <v>200</v>
      </c>
      <c r="M8" s="26">
        <v>1</v>
      </c>
      <c r="N8" s="26">
        <v>40</v>
      </c>
      <c r="O8" s="135">
        <f t="shared" si="1"/>
        <v>200</v>
      </c>
      <c r="P8" s="141">
        <f t="shared" si="2"/>
        <v>18085.599999999999</v>
      </c>
    </row>
    <row r="9" spans="1:16" ht="12.75" x14ac:dyDescent="0.2">
      <c r="A9" s="19" t="s">
        <v>26</v>
      </c>
      <c r="B9" s="26">
        <v>1</v>
      </c>
      <c r="C9" s="26">
        <v>0</v>
      </c>
      <c r="D9" s="26">
        <v>0</v>
      </c>
      <c r="E9" s="26">
        <v>0</v>
      </c>
      <c r="F9" s="26">
        <v>3</v>
      </c>
      <c r="G9" s="26">
        <v>33</v>
      </c>
      <c r="H9" s="26">
        <v>0</v>
      </c>
      <c r="I9" s="26">
        <v>37</v>
      </c>
      <c r="J9" s="141">
        <f t="shared" si="0"/>
        <v>1693.58</v>
      </c>
      <c r="K9" s="141">
        <v>0</v>
      </c>
      <c r="L9" s="141">
        <v>210</v>
      </c>
      <c r="M9" s="26">
        <v>1</v>
      </c>
      <c r="N9" s="26">
        <v>40</v>
      </c>
      <c r="O9" s="135">
        <f t="shared" si="1"/>
        <v>1480</v>
      </c>
      <c r="P9" s="141">
        <f t="shared" si="2"/>
        <v>76143.199999999997</v>
      </c>
    </row>
    <row r="10" spans="1:16" ht="12.75" x14ac:dyDescent="0.2">
      <c r="A10" s="43" t="s">
        <v>117</v>
      </c>
      <c r="B10" s="26">
        <v>8</v>
      </c>
      <c r="C10" s="26">
        <v>0</v>
      </c>
      <c r="D10" s="26">
        <v>0</v>
      </c>
      <c r="E10" s="26">
        <v>0</v>
      </c>
      <c r="F10" s="26">
        <v>38</v>
      </c>
      <c r="G10" s="26">
        <v>1</v>
      </c>
      <c r="H10" s="26">
        <v>1</v>
      </c>
      <c r="I10" s="26">
        <v>48</v>
      </c>
      <c r="J10" s="141">
        <f t="shared" si="0"/>
        <v>3336.62</v>
      </c>
      <c r="K10" s="141">
        <v>0</v>
      </c>
      <c r="L10" s="141">
        <v>900</v>
      </c>
      <c r="M10" s="26">
        <v>1</v>
      </c>
      <c r="N10" s="26">
        <v>35</v>
      </c>
      <c r="O10" s="135">
        <f t="shared" si="1"/>
        <v>1680</v>
      </c>
      <c r="P10" s="141">
        <f t="shared" si="2"/>
        <v>148281.69999999998</v>
      </c>
    </row>
    <row r="11" spans="1:16" ht="12.75" x14ac:dyDescent="0.2">
      <c r="A11" s="43" t="s">
        <v>72</v>
      </c>
      <c r="B11" s="26">
        <v>2</v>
      </c>
      <c r="C11" s="26">
        <v>1</v>
      </c>
      <c r="D11" s="26">
        <v>2</v>
      </c>
      <c r="E11" s="26">
        <v>2</v>
      </c>
      <c r="F11" s="26">
        <v>0</v>
      </c>
      <c r="G11" s="26">
        <v>0</v>
      </c>
      <c r="H11" s="26">
        <v>0</v>
      </c>
      <c r="I11" s="26">
        <v>7</v>
      </c>
      <c r="J11" s="141">
        <f t="shared" si="0"/>
        <v>816.32999999999993</v>
      </c>
      <c r="K11" s="141">
        <v>0</v>
      </c>
      <c r="L11" s="141">
        <v>25</v>
      </c>
      <c r="M11" s="26">
        <v>1</v>
      </c>
      <c r="N11" s="26">
        <v>9</v>
      </c>
      <c r="O11" s="135">
        <f t="shared" si="1"/>
        <v>63</v>
      </c>
      <c r="P11" s="141">
        <f t="shared" si="2"/>
        <v>7571.9699999999993</v>
      </c>
    </row>
    <row r="12" spans="1:16" ht="16.5" customHeight="1" x14ac:dyDescent="0.2">
      <c r="A12" s="160" t="s">
        <v>118</v>
      </c>
      <c r="B12" s="144"/>
      <c r="C12" s="144"/>
      <c r="D12" s="144"/>
      <c r="E12" s="144"/>
      <c r="F12" s="144"/>
      <c r="G12" s="144"/>
      <c r="H12" s="144"/>
      <c r="I12" s="144"/>
      <c r="J12" s="162"/>
      <c r="K12" s="162"/>
      <c r="L12" s="162"/>
      <c r="M12" s="144"/>
      <c r="N12" s="144"/>
      <c r="O12" s="161"/>
      <c r="P12" s="162"/>
    </row>
    <row r="13" spans="1:16" ht="12.75" x14ac:dyDescent="0.2">
      <c r="A13" s="145" t="s">
        <v>85</v>
      </c>
      <c r="B13" s="144"/>
      <c r="C13" s="144"/>
      <c r="D13" s="144"/>
      <c r="E13" s="144"/>
      <c r="F13" s="144"/>
      <c r="G13" s="144"/>
      <c r="H13" s="144"/>
      <c r="I13" s="144"/>
      <c r="J13" s="162"/>
      <c r="K13" s="162"/>
      <c r="L13" s="165">
        <f>17000/3</f>
        <v>5666.666666666667</v>
      </c>
      <c r="M13" s="26">
        <v>16</v>
      </c>
      <c r="N13" s="26">
        <v>8</v>
      </c>
      <c r="O13" s="135">
        <f t="shared" si="1"/>
        <v>0</v>
      </c>
      <c r="P13" s="141">
        <f t="shared" ref="P13:P15" si="3">(J13+K13+L13)*M13*N13</f>
        <v>725333.33333333337</v>
      </c>
    </row>
    <row r="14" spans="1:16" ht="12.75" x14ac:dyDescent="0.2">
      <c r="A14" s="145" t="s">
        <v>84</v>
      </c>
      <c r="B14" s="144"/>
      <c r="C14" s="144"/>
      <c r="D14" s="144"/>
      <c r="E14" s="144"/>
      <c r="F14" s="144"/>
      <c r="G14" s="144"/>
      <c r="H14" s="144"/>
      <c r="I14" s="144"/>
      <c r="J14" s="162"/>
      <c r="K14" s="162"/>
      <c r="L14" s="166">
        <f>35510/3</f>
        <v>11836.666666666666</v>
      </c>
      <c r="M14" s="26">
        <v>2</v>
      </c>
      <c r="N14" s="26">
        <v>4</v>
      </c>
      <c r="O14" s="135">
        <f t="shared" si="1"/>
        <v>0</v>
      </c>
      <c r="P14" s="141">
        <f t="shared" si="3"/>
        <v>94693.333333333328</v>
      </c>
    </row>
    <row r="15" spans="1:16" ht="12.75" x14ac:dyDescent="0.2">
      <c r="A15" s="145" t="s">
        <v>116</v>
      </c>
      <c r="B15" s="144"/>
      <c r="C15" s="144"/>
      <c r="D15" s="144"/>
      <c r="E15" s="144"/>
      <c r="F15" s="144"/>
      <c r="G15" s="144"/>
      <c r="H15" s="144"/>
      <c r="I15" s="144"/>
      <c r="J15" s="162"/>
      <c r="K15" s="162"/>
      <c r="L15" s="166">
        <f>45000/3</f>
        <v>15000</v>
      </c>
      <c r="M15" s="26">
        <v>2</v>
      </c>
      <c r="N15" s="26">
        <v>5</v>
      </c>
      <c r="O15" s="135">
        <f t="shared" si="1"/>
        <v>0</v>
      </c>
      <c r="P15" s="141">
        <f t="shared" si="3"/>
        <v>150000</v>
      </c>
    </row>
    <row r="16" spans="1:16" ht="12.75" x14ac:dyDescent="0.2">
      <c r="A16" s="19" t="s">
        <v>27</v>
      </c>
      <c r="B16" s="26">
        <v>22</v>
      </c>
      <c r="C16" s="26">
        <v>0</v>
      </c>
      <c r="D16" s="26">
        <v>0</v>
      </c>
      <c r="E16" s="26">
        <v>5</v>
      </c>
      <c r="F16" s="26">
        <v>2</v>
      </c>
      <c r="G16" s="26">
        <v>0</v>
      </c>
      <c r="H16" s="26">
        <v>0</v>
      </c>
      <c r="I16" s="26">
        <v>29</v>
      </c>
      <c r="J16" s="141">
        <f t="shared" si="0"/>
        <v>2485.7999999999997</v>
      </c>
      <c r="K16" s="141">
        <v>0</v>
      </c>
      <c r="L16" s="141">
        <v>10</v>
      </c>
      <c r="M16" s="26">
        <v>1</v>
      </c>
      <c r="N16" s="26">
        <v>40</v>
      </c>
      <c r="O16" s="135">
        <f t="shared" si="1"/>
        <v>1160</v>
      </c>
      <c r="P16" s="141">
        <f t="shared" si="2"/>
        <v>99831.999999999985</v>
      </c>
    </row>
    <row r="17" spans="1:16" ht="25.5" x14ac:dyDescent="0.2">
      <c r="A17" s="19" t="s">
        <v>28</v>
      </c>
      <c r="B17" s="26">
        <v>18</v>
      </c>
      <c r="C17" s="26">
        <v>1</v>
      </c>
      <c r="D17" s="26">
        <v>1</v>
      </c>
      <c r="E17" s="26">
        <v>1</v>
      </c>
      <c r="F17" s="26">
        <v>0</v>
      </c>
      <c r="G17" s="26">
        <v>0</v>
      </c>
      <c r="H17" s="26">
        <v>0</v>
      </c>
      <c r="I17" s="26">
        <v>21</v>
      </c>
      <c r="J17" s="141">
        <f t="shared" si="0"/>
        <v>2143.0099999999993</v>
      </c>
      <c r="K17" s="141">
        <v>0</v>
      </c>
      <c r="L17" s="141">
        <v>15</v>
      </c>
      <c r="M17" s="26">
        <v>1</v>
      </c>
      <c r="N17" s="26">
        <v>40</v>
      </c>
      <c r="O17" s="135">
        <f t="shared" si="1"/>
        <v>840</v>
      </c>
      <c r="P17" s="141">
        <f t="shared" si="2"/>
        <v>86320.399999999965</v>
      </c>
    </row>
    <row r="18" spans="1:16" ht="25.5" x14ac:dyDescent="0.2">
      <c r="A18" s="19" t="s">
        <v>14</v>
      </c>
      <c r="B18" s="26">
        <v>8</v>
      </c>
      <c r="C18" s="26">
        <v>0</v>
      </c>
      <c r="D18" s="26">
        <v>0</v>
      </c>
      <c r="E18" s="26">
        <v>1</v>
      </c>
      <c r="F18" s="26">
        <v>0</v>
      </c>
      <c r="G18" s="26">
        <v>0</v>
      </c>
      <c r="H18" s="26">
        <v>0</v>
      </c>
      <c r="I18" s="26">
        <v>9</v>
      </c>
      <c r="J18" s="141">
        <f t="shared" si="0"/>
        <v>823.28</v>
      </c>
      <c r="K18" s="141">
        <v>0</v>
      </c>
      <c r="L18" s="141">
        <v>5</v>
      </c>
      <c r="M18" s="26">
        <v>1</v>
      </c>
      <c r="N18" s="26">
        <v>40</v>
      </c>
      <c r="O18" s="135">
        <f t="shared" si="1"/>
        <v>360</v>
      </c>
      <c r="P18" s="141">
        <f t="shared" si="2"/>
        <v>33131.199999999997</v>
      </c>
    </row>
    <row r="19" spans="1:16" ht="25.5" x14ac:dyDescent="0.2">
      <c r="A19" s="66" t="s">
        <v>15</v>
      </c>
      <c r="B19" s="60">
        <v>95</v>
      </c>
      <c r="C19" s="60">
        <v>4</v>
      </c>
      <c r="D19" s="60">
        <v>4</v>
      </c>
      <c r="E19" s="60">
        <v>11</v>
      </c>
      <c r="F19" s="60">
        <v>82</v>
      </c>
      <c r="G19" s="60">
        <v>35</v>
      </c>
      <c r="H19" s="60">
        <v>6</v>
      </c>
      <c r="I19" s="60">
        <v>237</v>
      </c>
      <c r="J19" s="141">
        <f t="shared" si="0"/>
        <v>18160.38</v>
      </c>
      <c r="K19" s="163">
        <v>0</v>
      </c>
      <c r="L19" s="163" t="s">
        <v>16</v>
      </c>
      <c r="M19" s="60" t="s">
        <v>16</v>
      </c>
      <c r="N19" s="60" t="s">
        <v>17</v>
      </c>
      <c r="O19" s="60" t="s">
        <v>17</v>
      </c>
      <c r="P19" s="163" t="s">
        <v>17</v>
      </c>
    </row>
    <row r="20" spans="1:16" ht="12.75" x14ac:dyDescent="0.2">
      <c r="A20" s="66" t="s">
        <v>18</v>
      </c>
      <c r="B20" s="60" t="s">
        <v>17</v>
      </c>
      <c r="C20" s="60" t="s">
        <v>17</v>
      </c>
      <c r="D20" s="60" t="s">
        <v>17</v>
      </c>
      <c r="E20" s="60" t="s">
        <v>17</v>
      </c>
      <c r="F20" s="60" t="s">
        <v>17</v>
      </c>
      <c r="G20" s="60" t="s">
        <v>17</v>
      </c>
      <c r="H20" s="60" t="s">
        <v>17</v>
      </c>
      <c r="I20" s="164">
        <f>SUMPRODUCT(I4:I18, N4:N18, M4:M18)</f>
        <v>7103</v>
      </c>
      <c r="J20" s="164">
        <f>SUMPRODUCT(J4:J18, M4:M18, N4:N18)</f>
        <v>550961.06999999995</v>
      </c>
      <c r="K20" s="164">
        <v>0</v>
      </c>
      <c r="L20" s="164">
        <f>SUMPRODUCT(L4:L18, M4:M18, N4:N18)</f>
        <v>1028951.6666666667</v>
      </c>
      <c r="M20" s="64" t="s">
        <v>17</v>
      </c>
      <c r="N20" s="64">
        <v>40</v>
      </c>
      <c r="O20" s="184">
        <f>SUM(O4:O18)</f>
        <v>7103</v>
      </c>
      <c r="P20" s="163">
        <f>SUM(P4:P18)</f>
        <v>1579912.7366666663</v>
      </c>
    </row>
    <row r="21" spans="1:16" x14ac:dyDescent="0.2">
      <c r="A21" s="3" t="s">
        <v>19</v>
      </c>
      <c r="D21" s="14"/>
      <c r="E21" s="14"/>
      <c r="F21" s="14"/>
      <c r="G21" s="14"/>
      <c r="H21" s="14"/>
      <c r="I21" s="14"/>
      <c r="J21" s="21"/>
      <c r="K21" s="21"/>
      <c r="L21" s="21"/>
      <c r="M21" s="14"/>
      <c r="N21" s="14"/>
      <c r="O21" s="14"/>
      <c r="P21" s="21"/>
    </row>
    <row r="22" spans="1:16" x14ac:dyDescent="0.2">
      <c r="A22" s="3" t="s">
        <v>65</v>
      </c>
      <c r="D22" s="14"/>
      <c r="E22" s="14"/>
      <c r="F22" s="14"/>
      <c r="G22" s="14"/>
      <c r="H22" s="14"/>
      <c r="I22" s="14"/>
      <c r="J22" s="21"/>
      <c r="K22" s="21"/>
      <c r="L22" s="21"/>
      <c r="M22" s="14"/>
      <c r="N22" s="14"/>
      <c r="O22" s="14"/>
      <c r="P22" s="21"/>
    </row>
    <row r="23" spans="1:16" ht="12.75" x14ac:dyDescent="0.2">
      <c r="A23" s="3" t="s">
        <v>62</v>
      </c>
      <c r="D23" s="14"/>
      <c r="E23" s="14"/>
      <c r="F23" s="14"/>
      <c r="G23" s="14"/>
      <c r="H23" s="14"/>
      <c r="I23" s="14"/>
      <c r="J23" s="21"/>
      <c r="K23" s="21"/>
      <c r="L23" s="21"/>
      <c r="M23" s="185"/>
      <c r="N23" s="14"/>
      <c r="O23" s="14"/>
      <c r="P23" s="21"/>
    </row>
    <row r="24" spans="1:16" x14ac:dyDescent="0.2">
      <c r="A24" s="3" t="s">
        <v>66</v>
      </c>
      <c r="D24" s="14"/>
      <c r="E24" s="14"/>
      <c r="F24" s="14"/>
      <c r="G24" s="14"/>
      <c r="H24" s="14"/>
      <c r="I24" s="14"/>
      <c r="J24" s="21"/>
      <c r="K24" s="21"/>
      <c r="L24" s="21"/>
      <c r="M24" s="14"/>
      <c r="N24" s="14"/>
      <c r="O24" s="14"/>
      <c r="P24" s="21"/>
    </row>
  </sheetData>
  <mergeCells count="3">
    <mergeCell ref="B2:M2"/>
    <mergeCell ref="N2:P2"/>
    <mergeCell ref="A1:P1"/>
  </mergeCells>
  <phoneticPr fontId="1" type="noConversion"/>
  <printOptions horizontalCentered="1" verticalCentered="1"/>
  <pageMargins left="0.75" right="0.75" top="1" bottom="1" header="0.5" footer="0.5"/>
  <pageSetup scale="6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0"/>
  <sheetViews>
    <sheetView zoomScale="85" zoomScaleNormal="85" workbookViewId="0">
      <selection sqref="A1:P14"/>
    </sheetView>
  </sheetViews>
  <sheetFormatPr defaultRowHeight="15" x14ac:dyDescent="0.2"/>
  <cols>
    <col min="1" max="1" width="15.6640625" customWidth="1"/>
    <col min="2" max="2" width="7.21875" customWidth="1"/>
    <col min="3" max="3" width="8.21875" bestFit="1" customWidth="1"/>
    <col min="4" max="4" width="7.6640625" bestFit="1" customWidth="1"/>
    <col min="5" max="5" width="7.44140625" bestFit="1" customWidth="1"/>
    <col min="6" max="6" width="7.6640625" bestFit="1" customWidth="1"/>
    <col min="7" max="7" width="9.88671875" customWidth="1"/>
    <col min="8" max="8" width="9.77734375" customWidth="1"/>
    <col min="9" max="9" width="11.33203125" customWidth="1"/>
    <col min="10" max="10" width="10.44140625" customWidth="1"/>
    <col min="11" max="11" width="6.109375" bestFit="1" customWidth="1"/>
    <col min="12" max="12" width="8.77734375" customWidth="1"/>
    <col min="13" max="13" width="9.6640625" customWidth="1"/>
    <col min="14" max="14" width="13.109375" customWidth="1"/>
    <col min="15" max="15" width="5.33203125" customWidth="1"/>
    <col min="16" max="16" width="9.109375" customWidth="1"/>
    <col min="17" max="17" width="10.33203125" bestFit="1" customWidth="1"/>
  </cols>
  <sheetData>
    <row r="1" spans="1:17" x14ac:dyDescent="0.2">
      <c r="A1" s="218" t="s">
        <v>142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x14ac:dyDescent="0.2">
      <c r="A2" s="22"/>
      <c r="B2" s="218" t="s">
        <v>55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 t="s">
        <v>56</v>
      </c>
      <c r="O2" s="218"/>
      <c r="P2" s="218"/>
    </row>
    <row r="3" spans="1:17" ht="38.25" x14ac:dyDescent="0.2">
      <c r="A3" s="23" t="s">
        <v>1</v>
      </c>
      <c r="B3" s="73" t="str">
        <f>'Tbl5-SI InUse'!B3</f>
        <v>Engineer $97.82/hr</v>
      </c>
      <c r="C3" s="73" t="str">
        <f>'Tbl5-SI InUse'!C3</f>
        <v>Manager  $143.81/hr</v>
      </c>
      <c r="D3" s="73" t="str">
        <f>'Tbl5-SI InUse'!D3</f>
        <v>Legal  $197.72/hr</v>
      </c>
      <c r="E3" s="103" t="str">
        <f>'Tbl5-SI InUse'!E3</f>
        <v>Clerical $40.72/hr</v>
      </c>
      <c r="F3" s="74" t="str">
        <f>'Tbl5-SI InUse'!F3</f>
        <v>Test Cell Operator $65.08/hr</v>
      </c>
      <c r="G3" s="32" t="str">
        <f>'Tbl5-SI InUse'!G3</f>
        <v>Assembler $42.44/hr</v>
      </c>
      <c r="H3" s="74" t="str">
        <f>'Tbl5-SI InUse'!H3</f>
        <v>Transport  $38.58/hr</v>
      </c>
      <c r="I3" s="31" t="s">
        <v>63</v>
      </c>
      <c r="J3" s="33" t="s">
        <v>22</v>
      </c>
      <c r="K3" s="31" t="s">
        <v>3</v>
      </c>
      <c r="L3" s="33" t="s">
        <v>58</v>
      </c>
      <c r="M3" s="31" t="s">
        <v>4</v>
      </c>
      <c r="N3" s="31" t="s">
        <v>185</v>
      </c>
      <c r="O3" s="34" t="s">
        <v>5</v>
      </c>
      <c r="P3" s="31" t="s">
        <v>6</v>
      </c>
    </row>
    <row r="4" spans="1:17" ht="25.5" x14ac:dyDescent="0.2">
      <c r="A4" s="19" t="s">
        <v>50</v>
      </c>
      <c r="B4" s="24">
        <v>20</v>
      </c>
      <c r="C4" s="24">
        <v>10</v>
      </c>
      <c r="D4" s="24">
        <v>2</v>
      </c>
      <c r="E4" s="24">
        <v>5</v>
      </c>
      <c r="F4" s="26">
        <v>0</v>
      </c>
      <c r="G4" s="26">
        <v>0</v>
      </c>
      <c r="H4" s="26">
        <v>0</v>
      </c>
      <c r="I4" s="24">
        <f>B4+C4+D4+E4+F4+G4+H4</f>
        <v>37</v>
      </c>
      <c r="J4" s="141">
        <f>(B4*97.82)+(C4*143.81)+(D4*197.72)+(E4*40.72)+(F4*65.08)+(G4*42.44)+(H4*38.58)</f>
        <v>3993.54</v>
      </c>
      <c r="K4" s="167">
        <v>0</v>
      </c>
      <c r="L4" s="167">
        <v>0</v>
      </c>
      <c r="M4" s="24">
        <v>1</v>
      </c>
      <c r="N4" s="24">
        <v>5</v>
      </c>
      <c r="O4" s="24">
        <f t="shared" ref="O4:O12" si="0">I4*M4*N4</f>
        <v>185</v>
      </c>
      <c r="P4" s="167">
        <f>(J4+K4+L4)*M4*N4</f>
        <v>19967.7</v>
      </c>
    </row>
    <row r="5" spans="1:17" ht="25.5" x14ac:dyDescent="0.2">
      <c r="A5" s="19" t="s">
        <v>7</v>
      </c>
      <c r="B5" s="24">
        <v>7</v>
      </c>
      <c r="C5" s="24">
        <v>1</v>
      </c>
      <c r="D5" s="24">
        <v>1</v>
      </c>
      <c r="E5" s="24">
        <v>0</v>
      </c>
      <c r="F5" s="26">
        <v>0</v>
      </c>
      <c r="G5" s="26">
        <v>0</v>
      </c>
      <c r="H5" s="26">
        <v>0</v>
      </c>
      <c r="I5" s="24">
        <f t="shared" ref="I5:I12" si="1">B5+C5+D5+E5+F5+G5+H5</f>
        <v>9</v>
      </c>
      <c r="J5" s="141">
        <f t="shared" ref="J5:J13" si="2">(B5*97.82)+(C5*143.81)+(D5*197.72)+(E5*40.72)+(F5*65.08)+(G5*42.44)+(H5*38.58)</f>
        <v>1026.27</v>
      </c>
      <c r="K5" s="167">
        <v>0</v>
      </c>
      <c r="L5" s="167">
        <v>0</v>
      </c>
      <c r="M5" s="24">
        <v>1</v>
      </c>
      <c r="N5" s="24">
        <v>5</v>
      </c>
      <c r="O5" s="24">
        <f t="shared" si="0"/>
        <v>45</v>
      </c>
      <c r="P5" s="167">
        <f t="shared" ref="P5:P12" si="3">(J5+K5+L5)*M5*N5</f>
        <v>5131.3500000000004</v>
      </c>
    </row>
    <row r="6" spans="1:17" x14ac:dyDescent="0.2">
      <c r="A6" s="19" t="s">
        <v>8</v>
      </c>
      <c r="B6" s="24">
        <v>3</v>
      </c>
      <c r="C6" s="24">
        <v>1</v>
      </c>
      <c r="D6" s="24">
        <v>0</v>
      </c>
      <c r="E6" s="24">
        <v>0</v>
      </c>
      <c r="F6" s="26">
        <v>1</v>
      </c>
      <c r="G6" s="26">
        <v>0</v>
      </c>
      <c r="H6" s="26">
        <v>0</v>
      </c>
      <c r="I6" s="24">
        <f t="shared" si="1"/>
        <v>5</v>
      </c>
      <c r="J6" s="141">
        <f t="shared" si="2"/>
        <v>502.34999999999997</v>
      </c>
      <c r="K6" s="167">
        <v>0</v>
      </c>
      <c r="L6" s="167">
        <v>32</v>
      </c>
      <c r="M6" s="24">
        <v>1</v>
      </c>
      <c r="N6" s="24">
        <v>5</v>
      </c>
      <c r="O6" s="24">
        <f t="shared" si="0"/>
        <v>25</v>
      </c>
      <c r="P6" s="167">
        <f t="shared" si="3"/>
        <v>2671.7499999999995</v>
      </c>
    </row>
    <row r="7" spans="1:17" x14ac:dyDescent="0.2">
      <c r="A7" s="19" t="s">
        <v>23</v>
      </c>
      <c r="B7" s="24">
        <v>16</v>
      </c>
      <c r="C7" s="24">
        <v>0</v>
      </c>
      <c r="D7" s="24">
        <v>0</v>
      </c>
      <c r="E7" s="24">
        <v>0</v>
      </c>
      <c r="F7" s="26">
        <v>0</v>
      </c>
      <c r="G7" s="26">
        <v>0</v>
      </c>
      <c r="H7" s="26">
        <v>0</v>
      </c>
      <c r="I7" s="24">
        <f t="shared" si="1"/>
        <v>16</v>
      </c>
      <c r="J7" s="141">
        <f t="shared" si="2"/>
        <v>1565.12</v>
      </c>
      <c r="K7" s="167">
        <v>0</v>
      </c>
      <c r="L7" s="167">
        <v>32</v>
      </c>
      <c r="M7" s="24">
        <v>1</v>
      </c>
      <c r="N7" s="24">
        <v>5</v>
      </c>
      <c r="O7" s="24">
        <f t="shared" si="0"/>
        <v>80</v>
      </c>
      <c r="P7" s="167">
        <f t="shared" si="3"/>
        <v>7985.5999999999995</v>
      </c>
    </row>
    <row r="8" spans="1:17" x14ac:dyDescent="0.2">
      <c r="A8" s="19" t="s">
        <v>117</v>
      </c>
      <c r="B8" s="24">
        <v>8</v>
      </c>
      <c r="C8" s="24">
        <v>0</v>
      </c>
      <c r="D8" s="24">
        <v>0</v>
      </c>
      <c r="E8" s="24">
        <v>0</v>
      </c>
      <c r="F8" s="24">
        <v>38</v>
      </c>
      <c r="G8" s="24">
        <v>1</v>
      </c>
      <c r="H8" s="26">
        <v>1</v>
      </c>
      <c r="I8" s="24">
        <f t="shared" si="1"/>
        <v>48</v>
      </c>
      <c r="J8" s="141">
        <f t="shared" si="2"/>
        <v>3336.62</v>
      </c>
      <c r="K8" s="167">
        <v>0</v>
      </c>
      <c r="L8" s="167">
        <v>200</v>
      </c>
      <c r="M8" s="24">
        <v>1</v>
      </c>
      <c r="N8" s="24">
        <v>3</v>
      </c>
      <c r="O8" s="24">
        <f t="shared" si="0"/>
        <v>144</v>
      </c>
      <c r="P8" s="167">
        <f t="shared" si="3"/>
        <v>10609.86</v>
      </c>
    </row>
    <row r="9" spans="1:17" x14ac:dyDescent="0.2">
      <c r="A9" s="19" t="s">
        <v>119</v>
      </c>
      <c r="B9" s="24">
        <v>0</v>
      </c>
      <c r="C9" s="24">
        <v>0</v>
      </c>
      <c r="D9" s="24">
        <v>0</v>
      </c>
      <c r="E9" s="24">
        <v>0</v>
      </c>
      <c r="F9" s="26">
        <v>0</v>
      </c>
      <c r="G9" s="26">
        <v>0</v>
      </c>
      <c r="H9" s="26">
        <v>0</v>
      </c>
      <c r="I9" s="24">
        <f t="shared" si="1"/>
        <v>0</v>
      </c>
      <c r="J9" s="141">
        <f t="shared" si="2"/>
        <v>0</v>
      </c>
      <c r="K9" s="167">
        <v>0</v>
      </c>
      <c r="L9" s="167">
        <v>20000</v>
      </c>
      <c r="M9" s="24">
        <v>1</v>
      </c>
      <c r="N9" s="24">
        <v>2</v>
      </c>
      <c r="O9" s="24">
        <f t="shared" si="0"/>
        <v>0</v>
      </c>
      <c r="P9" s="167">
        <f t="shared" si="3"/>
        <v>40000</v>
      </c>
    </row>
    <row r="10" spans="1:17" ht="25.5" x14ac:dyDescent="0.2">
      <c r="A10" s="19" t="s">
        <v>27</v>
      </c>
      <c r="B10" s="24">
        <v>22</v>
      </c>
      <c r="C10" s="26">
        <v>0</v>
      </c>
      <c r="D10" s="26">
        <v>0</v>
      </c>
      <c r="E10" s="26">
        <v>5</v>
      </c>
      <c r="F10" s="26">
        <v>2</v>
      </c>
      <c r="G10" s="26">
        <v>0</v>
      </c>
      <c r="H10" s="26">
        <v>0</v>
      </c>
      <c r="I10" s="24">
        <f t="shared" si="1"/>
        <v>29</v>
      </c>
      <c r="J10" s="141">
        <f t="shared" si="2"/>
        <v>2485.7999999999997</v>
      </c>
      <c r="K10" s="141">
        <v>0</v>
      </c>
      <c r="L10" s="141">
        <v>1</v>
      </c>
      <c r="M10" s="26">
        <v>1</v>
      </c>
      <c r="N10" s="26">
        <v>5</v>
      </c>
      <c r="O10" s="24">
        <f t="shared" si="0"/>
        <v>145</v>
      </c>
      <c r="P10" s="141">
        <f t="shared" si="3"/>
        <v>12433.999999999998</v>
      </c>
    </row>
    <row r="11" spans="1:17" ht="25.5" x14ac:dyDescent="0.2">
      <c r="A11" s="19" t="s">
        <v>28</v>
      </c>
      <c r="B11" s="24">
        <v>18</v>
      </c>
      <c r="C11" s="24">
        <v>1</v>
      </c>
      <c r="D11" s="24">
        <v>1</v>
      </c>
      <c r="E11" s="24">
        <v>1</v>
      </c>
      <c r="F11" s="26">
        <v>0</v>
      </c>
      <c r="G11" s="26">
        <v>0</v>
      </c>
      <c r="H11" s="26">
        <v>0</v>
      </c>
      <c r="I11" s="24">
        <f t="shared" si="1"/>
        <v>21</v>
      </c>
      <c r="J11" s="141">
        <f t="shared" si="2"/>
        <v>2143.0099999999993</v>
      </c>
      <c r="K11" s="167">
        <v>0</v>
      </c>
      <c r="L11" s="167">
        <v>3</v>
      </c>
      <c r="M11" s="24">
        <v>1</v>
      </c>
      <c r="N11" s="24">
        <v>5</v>
      </c>
      <c r="O11" s="24">
        <f t="shared" si="0"/>
        <v>105</v>
      </c>
      <c r="P11" s="167">
        <f t="shared" si="3"/>
        <v>10730.049999999996</v>
      </c>
    </row>
    <row r="12" spans="1:17" ht="25.5" x14ac:dyDescent="0.2">
      <c r="A12" s="19" t="s">
        <v>14</v>
      </c>
      <c r="B12" s="24">
        <v>8</v>
      </c>
      <c r="C12" s="24">
        <v>0</v>
      </c>
      <c r="D12" s="24">
        <v>0</v>
      </c>
      <c r="E12" s="24">
        <v>1</v>
      </c>
      <c r="F12" s="26">
        <v>0</v>
      </c>
      <c r="G12" s="26">
        <v>0</v>
      </c>
      <c r="H12" s="26">
        <v>0</v>
      </c>
      <c r="I12" s="47">
        <f t="shared" si="1"/>
        <v>9</v>
      </c>
      <c r="J12" s="141">
        <f t="shared" si="2"/>
        <v>823.28</v>
      </c>
      <c r="K12" s="168">
        <v>0</v>
      </c>
      <c r="L12" s="168">
        <v>1</v>
      </c>
      <c r="M12" s="47">
        <v>1</v>
      </c>
      <c r="N12" s="47">
        <v>5</v>
      </c>
      <c r="O12" s="47">
        <f t="shared" si="0"/>
        <v>45</v>
      </c>
      <c r="P12" s="168">
        <f t="shared" si="3"/>
        <v>4121.3999999999996</v>
      </c>
      <c r="Q12" s="70"/>
    </row>
    <row r="13" spans="1:17" ht="25.5" x14ac:dyDescent="0.2">
      <c r="A13" s="129" t="s">
        <v>15</v>
      </c>
      <c r="B13" s="130">
        <v>95</v>
      </c>
      <c r="C13" s="130">
        <v>5</v>
      </c>
      <c r="D13" s="130">
        <v>2</v>
      </c>
      <c r="E13" s="130">
        <v>8</v>
      </c>
      <c r="F13" s="131">
        <v>79</v>
      </c>
      <c r="G13" s="131">
        <v>2</v>
      </c>
      <c r="H13" s="131">
        <v>2</v>
      </c>
      <c r="I13" s="130">
        <f>SUM(I4:I12)</f>
        <v>174</v>
      </c>
      <c r="J13" s="169">
        <f t="shared" si="2"/>
        <v>16036.509999999998</v>
      </c>
      <c r="K13" s="170">
        <v>0</v>
      </c>
      <c r="L13" s="170" t="s">
        <v>16</v>
      </c>
      <c r="M13" s="130" t="s">
        <v>16</v>
      </c>
      <c r="N13" s="130" t="s">
        <v>17</v>
      </c>
      <c r="O13" s="130" t="s">
        <v>17</v>
      </c>
      <c r="P13" s="170" t="s">
        <v>17</v>
      </c>
      <c r="Q13" s="70"/>
    </row>
    <row r="14" spans="1:17" x14ac:dyDescent="0.2">
      <c r="A14" s="132" t="s">
        <v>18</v>
      </c>
      <c r="B14" s="130" t="s">
        <v>17</v>
      </c>
      <c r="C14" s="130" t="s">
        <v>17</v>
      </c>
      <c r="D14" s="130" t="s">
        <v>17</v>
      </c>
      <c r="E14" s="130" t="s">
        <v>17</v>
      </c>
      <c r="F14" s="130" t="s">
        <v>17</v>
      </c>
      <c r="G14" s="130" t="s">
        <v>17</v>
      </c>
      <c r="H14" s="130" t="s">
        <v>17</v>
      </c>
      <c r="I14" s="131" t="s">
        <v>17</v>
      </c>
      <c r="J14" s="170">
        <f>SUMPRODUCT(J2:J12,M2:M12,N2:N12)</f>
        <v>72706.709999999992</v>
      </c>
      <c r="K14" s="170">
        <v>0</v>
      </c>
      <c r="L14" s="170">
        <f>SUMPRODUCT(L4:L12,M4:M12,N4:N12)</f>
        <v>40945</v>
      </c>
      <c r="M14" s="130" t="s">
        <v>17</v>
      </c>
      <c r="N14" s="130">
        <v>5</v>
      </c>
      <c r="O14" s="130">
        <f>SUM(O4:O12)</f>
        <v>774</v>
      </c>
      <c r="P14" s="170">
        <f>SUM(P4:P12)</f>
        <v>113651.70999999999</v>
      </c>
      <c r="Q14" s="71"/>
    </row>
    <row r="15" spans="1:17" x14ac:dyDescent="0.2">
      <c r="A15" s="3" t="s">
        <v>19</v>
      </c>
      <c r="B15" s="13"/>
      <c r="C15" s="13"/>
      <c r="D15" s="13"/>
      <c r="E15" s="13"/>
      <c r="F15" s="13"/>
      <c r="G15" s="13"/>
      <c r="H15" s="13"/>
      <c r="I15" s="14"/>
      <c r="J15" s="15"/>
      <c r="K15" s="13"/>
      <c r="L15" s="15"/>
      <c r="M15" s="13"/>
      <c r="N15" s="13"/>
      <c r="O15" s="13"/>
      <c r="P15" s="13"/>
    </row>
    <row r="16" spans="1:17" x14ac:dyDescent="0.2">
      <c r="A16" s="3" t="s">
        <v>73</v>
      </c>
      <c r="B16" s="13"/>
      <c r="C16" s="13"/>
      <c r="D16" s="13"/>
      <c r="E16" s="13"/>
      <c r="F16" s="13"/>
      <c r="G16" s="13"/>
      <c r="H16" s="13"/>
      <c r="I16" s="14"/>
      <c r="J16" s="15"/>
      <c r="K16" s="13"/>
      <c r="L16" s="15"/>
      <c r="M16" s="13"/>
      <c r="N16" s="13"/>
      <c r="O16" s="13"/>
      <c r="P16" s="13"/>
    </row>
    <row r="17" spans="1:16" x14ac:dyDescent="0.2">
      <c r="A17" s="45" t="s">
        <v>176</v>
      </c>
      <c r="B17" s="13"/>
      <c r="C17" s="13"/>
      <c r="D17" s="13"/>
      <c r="E17" s="13"/>
      <c r="F17" s="13"/>
      <c r="G17" s="13"/>
      <c r="H17" s="13"/>
      <c r="I17" s="14"/>
      <c r="J17" s="15"/>
      <c r="K17" s="13"/>
      <c r="L17" s="15"/>
      <c r="M17" s="13"/>
      <c r="N17" s="13"/>
      <c r="O17" s="13"/>
      <c r="P17" s="13"/>
    </row>
    <row r="18" spans="1:16" x14ac:dyDescent="0.2">
      <c r="A18" s="3" t="s">
        <v>75</v>
      </c>
      <c r="B18" s="13"/>
      <c r="C18" s="13"/>
      <c r="D18" s="13"/>
      <c r="E18" s="13"/>
      <c r="F18" s="13"/>
      <c r="G18" s="13"/>
      <c r="H18" s="13"/>
      <c r="I18" s="14"/>
      <c r="J18" s="15"/>
      <c r="K18" s="13"/>
      <c r="L18" s="15"/>
      <c r="M18" s="13"/>
      <c r="N18" s="13"/>
      <c r="O18" s="13"/>
      <c r="P18" s="13"/>
    </row>
    <row r="20" spans="1:16" x14ac:dyDescent="0.2">
      <c r="A20" s="3" t="s">
        <v>177</v>
      </c>
    </row>
  </sheetData>
  <mergeCells count="3">
    <mergeCell ref="A1:P1"/>
    <mergeCell ref="B2:M2"/>
    <mergeCell ref="N2:P2"/>
  </mergeCells>
  <phoneticPr fontId="1" type="noConversion"/>
  <printOptions horizontalCentered="1" vertic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CCD7-9614-40E9-AE69-8DC95AE7D039}">
  <dimension ref="A1:J12"/>
  <sheetViews>
    <sheetView workbookViewId="0">
      <selection activeCell="M5" sqref="M5"/>
    </sheetView>
  </sheetViews>
  <sheetFormatPr defaultRowHeight="15" x14ac:dyDescent="0.2"/>
  <cols>
    <col min="2" max="2" width="20.6640625" customWidth="1"/>
    <col min="9" max="9" width="14.44140625" style="210" customWidth="1"/>
    <col min="10" max="10" width="5" bestFit="1" customWidth="1"/>
  </cols>
  <sheetData>
    <row r="1" spans="1:10" ht="15.75" thickBot="1" x14ac:dyDescent="0.25"/>
    <row r="2" spans="1:10" ht="45.75" thickBot="1" x14ac:dyDescent="0.25">
      <c r="A2" s="188"/>
      <c r="B2" s="189"/>
      <c r="C2" s="190" t="s">
        <v>146</v>
      </c>
      <c r="D2" s="190" t="s">
        <v>147</v>
      </c>
      <c r="E2" s="191" t="s">
        <v>148</v>
      </c>
      <c r="F2" s="191" t="s">
        <v>149</v>
      </c>
      <c r="G2" s="191" t="s">
        <v>150</v>
      </c>
      <c r="I2" s="227" t="s">
        <v>184</v>
      </c>
      <c r="J2" s="228"/>
    </row>
    <row r="3" spans="1:10" ht="102.75" thickBot="1" x14ac:dyDescent="0.25">
      <c r="A3" s="219" t="s">
        <v>151</v>
      </c>
      <c r="B3" s="192" t="s">
        <v>152</v>
      </c>
      <c r="C3" s="193">
        <v>900</v>
      </c>
      <c r="D3" s="193">
        <v>956</v>
      </c>
      <c r="E3" s="194">
        <v>944</v>
      </c>
      <c r="F3" s="194">
        <v>972</v>
      </c>
      <c r="G3" s="199">
        <v>146</v>
      </c>
      <c r="I3" s="211" t="s">
        <v>178</v>
      </c>
      <c r="J3" s="212">
        <v>1084</v>
      </c>
    </row>
    <row r="4" spans="1:10" ht="26.25" thickBot="1" x14ac:dyDescent="0.25">
      <c r="A4" s="220"/>
      <c r="B4" s="192" t="s">
        <v>153</v>
      </c>
      <c r="C4" s="193">
        <v>169</v>
      </c>
      <c r="D4" s="193">
        <v>189</v>
      </c>
      <c r="E4" s="194">
        <v>172</v>
      </c>
      <c r="F4" s="194">
        <v>178</v>
      </c>
      <c r="G4" s="199">
        <v>27</v>
      </c>
      <c r="I4" s="211" t="s">
        <v>179</v>
      </c>
      <c r="J4" s="212">
        <v>112</v>
      </c>
    </row>
    <row r="5" spans="1:10" ht="64.5" thickBot="1" x14ac:dyDescent="0.25">
      <c r="A5" s="220"/>
      <c r="B5" s="192" t="s">
        <v>154</v>
      </c>
      <c r="C5" s="193">
        <v>194</v>
      </c>
      <c r="D5" s="193">
        <v>208</v>
      </c>
      <c r="E5" s="194">
        <v>210</v>
      </c>
      <c r="F5" s="194">
        <v>226</v>
      </c>
      <c r="G5" s="199">
        <v>44</v>
      </c>
      <c r="I5" s="211" t="s">
        <v>180</v>
      </c>
      <c r="J5" s="212">
        <v>34</v>
      </c>
    </row>
    <row r="6" spans="1:10" ht="51.75" thickBot="1" x14ac:dyDescent="0.25">
      <c r="A6" s="221"/>
      <c r="B6" s="192" t="s">
        <v>155</v>
      </c>
      <c r="C6" s="193">
        <v>815</v>
      </c>
      <c r="D6" s="193">
        <v>831</v>
      </c>
      <c r="E6" s="194">
        <v>843</v>
      </c>
      <c r="F6" s="194">
        <v>866</v>
      </c>
      <c r="G6" s="208">
        <v>318</v>
      </c>
      <c r="I6" s="211" t="s">
        <v>181</v>
      </c>
      <c r="J6" s="212" t="s">
        <v>175</v>
      </c>
    </row>
    <row r="7" spans="1:10" ht="26.25" thickBot="1" x14ac:dyDescent="0.25">
      <c r="A7" s="219" t="s">
        <v>156</v>
      </c>
      <c r="B7" s="192" t="s">
        <v>157</v>
      </c>
      <c r="C7" s="193">
        <v>197</v>
      </c>
      <c r="D7" s="193">
        <v>205</v>
      </c>
      <c r="E7" s="194">
        <v>206</v>
      </c>
      <c r="F7" s="194">
        <v>232</v>
      </c>
      <c r="G7" s="222">
        <v>85</v>
      </c>
      <c r="H7">
        <v>91</v>
      </c>
      <c r="I7" s="211" t="s">
        <v>182</v>
      </c>
      <c r="J7" s="212">
        <v>309</v>
      </c>
    </row>
    <row r="8" spans="1:10" ht="26.25" thickBot="1" x14ac:dyDescent="0.25">
      <c r="A8" s="220"/>
      <c r="B8" s="192" t="s">
        <v>158</v>
      </c>
      <c r="C8" s="193">
        <v>49</v>
      </c>
      <c r="D8" s="193">
        <v>53</v>
      </c>
      <c r="E8" s="194">
        <v>47</v>
      </c>
      <c r="F8" s="194">
        <v>49</v>
      </c>
      <c r="G8" s="223"/>
      <c r="H8" s="207">
        <v>25</v>
      </c>
      <c r="I8" s="213" t="s">
        <v>183</v>
      </c>
      <c r="J8" s="212">
        <v>106</v>
      </c>
    </row>
    <row r="9" spans="1:10" ht="15.75" thickBot="1" x14ac:dyDescent="0.25">
      <c r="A9" s="221"/>
      <c r="B9" s="195" t="s">
        <v>159</v>
      </c>
      <c r="C9" s="196">
        <v>32</v>
      </c>
      <c r="D9" s="196">
        <v>29</v>
      </c>
      <c r="E9" s="197">
        <v>29</v>
      </c>
      <c r="F9" s="197">
        <v>33</v>
      </c>
      <c r="G9" s="224"/>
      <c r="H9" s="207">
        <v>8</v>
      </c>
      <c r="I9" s="213" t="s">
        <v>159</v>
      </c>
      <c r="J9" s="212">
        <v>37</v>
      </c>
    </row>
    <row r="10" spans="1:10" ht="15.75" thickBot="1" x14ac:dyDescent="0.25">
      <c r="A10" s="225" t="s">
        <v>160</v>
      </c>
      <c r="B10" s="226"/>
      <c r="C10" s="198">
        <f>SUM(C3:C9)</f>
        <v>2356</v>
      </c>
      <c r="D10" s="198">
        <v>4424</v>
      </c>
      <c r="E10" s="199">
        <v>4551</v>
      </c>
      <c r="F10" s="199">
        <v>4736</v>
      </c>
      <c r="G10" s="199"/>
      <c r="I10" s="214" t="s">
        <v>29</v>
      </c>
      <c r="J10" s="215">
        <f>SUM(J3:J9)</f>
        <v>1682</v>
      </c>
    </row>
    <row r="11" spans="1:10" x14ac:dyDescent="0.2">
      <c r="G11">
        <f>SUM(G3:G9)</f>
        <v>620</v>
      </c>
    </row>
    <row r="12" spans="1:10" x14ac:dyDescent="0.2">
      <c r="B12" s="206" t="s">
        <v>174</v>
      </c>
      <c r="G12">
        <v>36</v>
      </c>
    </row>
  </sheetData>
  <mergeCells count="5">
    <mergeCell ref="A3:A6"/>
    <mergeCell ref="A7:A9"/>
    <mergeCell ref="G7:G9"/>
    <mergeCell ref="A10:B10"/>
    <mergeCell ref="I2:J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workbookViewId="0">
      <selection activeCell="M8" sqref="M8"/>
    </sheetView>
  </sheetViews>
  <sheetFormatPr defaultRowHeight="15" x14ac:dyDescent="0.2"/>
  <cols>
    <col min="1" max="1" width="15.88671875" style="48" customWidth="1"/>
    <col min="2" max="8" width="8.88671875" style="48"/>
    <col min="9" max="9" width="10.77734375" style="48" bestFit="1" customWidth="1"/>
    <col min="10" max="16384" width="8.88671875" style="48"/>
  </cols>
  <sheetData>
    <row r="1" spans="1:9" x14ac:dyDescent="0.2">
      <c r="A1" s="232" t="s">
        <v>143</v>
      </c>
      <c r="B1" s="232"/>
      <c r="C1" s="232"/>
      <c r="D1" s="232"/>
      <c r="E1" s="232"/>
      <c r="F1" s="232"/>
      <c r="G1" s="232"/>
      <c r="H1" s="232"/>
      <c r="I1" s="232"/>
    </row>
    <row r="2" spans="1:9" x14ac:dyDescent="0.2">
      <c r="A2" s="236" t="s">
        <v>88</v>
      </c>
      <c r="B2" s="232" t="s">
        <v>108</v>
      </c>
      <c r="C2" s="232"/>
      <c r="D2" s="232"/>
      <c r="E2" s="232"/>
      <c r="F2" s="232"/>
      <c r="G2" s="232"/>
      <c r="H2" s="232"/>
      <c r="I2" s="232"/>
    </row>
    <row r="3" spans="1:9" ht="33.75" x14ac:dyDescent="0.2">
      <c r="A3" s="237"/>
      <c r="B3" s="54" t="s">
        <v>90</v>
      </c>
      <c r="C3" s="54" t="s">
        <v>89</v>
      </c>
      <c r="D3" s="54" t="s">
        <v>98</v>
      </c>
      <c r="E3" s="54" t="s">
        <v>99</v>
      </c>
      <c r="F3" s="54" t="s">
        <v>101</v>
      </c>
      <c r="G3" s="54" t="s">
        <v>100</v>
      </c>
      <c r="H3" s="52" t="s">
        <v>102</v>
      </c>
      <c r="I3" s="52" t="s">
        <v>103</v>
      </c>
    </row>
    <row r="4" spans="1:9" x14ac:dyDescent="0.2">
      <c r="A4" s="116"/>
      <c r="B4" s="108"/>
      <c r="C4" s="53"/>
      <c r="D4" s="53"/>
      <c r="E4" s="53"/>
      <c r="F4" s="53"/>
      <c r="G4" s="53"/>
      <c r="H4" s="53"/>
      <c r="I4" s="49"/>
    </row>
    <row r="5" spans="1:9" x14ac:dyDescent="0.2">
      <c r="A5" s="117" t="s">
        <v>91</v>
      </c>
      <c r="B5" s="108" t="s">
        <v>94</v>
      </c>
      <c r="C5" s="108">
        <v>53.88</v>
      </c>
      <c r="D5" s="108">
        <f t="shared" ref="D5:D10" si="0">C5*1.6</f>
        <v>86.208000000000013</v>
      </c>
      <c r="E5" s="186">
        <v>8</v>
      </c>
      <c r="F5" s="53">
        <f t="shared" ref="F5" si="1">80*26</f>
        <v>2080</v>
      </c>
      <c r="G5" s="109">
        <v>1</v>
      </c>
      <c r="H5" s="53">
        <f>E5*(F5*G5)</f>
        <v>16640</v>
      </c>
      <c r="I5" s="49">
        <f>D5*E5*(F5*G5)</f>
        <v>1434501.1200000001</v>
      </c>
    </row>
    <row r="6" spans="1:9" x14ac:dyDescent="0.2">
      <c r="A6" s="117" t="s">
        <v>92</v>
      </c>
      <c r="B6" s="108" t="s">
        <v>94</v>
      </c>
      <c r="C6" s="108">
        <v>53.88</v>
      </c>
      <c r="D6" s="108">
        <f t="shared" si="0"/>
        <v>86.208000000000013</v>
      </c>
      <c r="E6" s="186">
        <v>3</v>
      </c>
      <c r="F6" s="53">
        <f>80*26</f>
        <v>2080</v>
      </c>
      <c r="G6" s="110">
        <v>0.3</v>
      </c>
      <c r="H6" s="53">
        <f t="shared" ref="H6:H9" si="2">E6*(F6*G6)</f>
        <v>1872</v>
      </c>
      <c r="I6" s="49">
        <f t="shared" ref="I6:I9" si="3">D6*E6*(F6*G6)</f>
        <v>161381.37600000002</v>
      </c>
    </row>
    <row r="7" spans="1:9" x14ac:dyDescent="0.2">
      <c r="A7" s="117" t="s">
        <v>104</v>
      </c>
      <c r="B7" s="108" t="s">
        <v>95</v>
      </c>
      <c r="C7" s="108">
        <v>54.9</v>
      </c>
      <c r="D7" s="108">
        <f t="shared" si="0"/>
        <v>87.84</v>
      </c>
      <c r="E7" s="186">
        <v>1</v>
      </c>
      <c r="F7" s="53">
        <f t="shared" ref="F7:F10" si="4">80*26</f>
        <v>2080</v>
      </c>
      <c r="G7" s="110">
        <v>0.2</v>
      </c>
      <c r="H7" s="53">
        <f t="shared" si="2"/>
        <v>416</v>
      </c>
      <c r="I7" s="49">
        <f t="shared" si="3"/>
        <v>36541.440000000002</v>
      </c>
    </row>
    <row r="8" spans="1:9" x14ac:dyDescent="0.2">
      <c r="A8" s="117" t="s">
        <v>113</v>
      </c>
      <c r="B8" s="108" t="s">
        <v>96</v>
      </c>
      <c r="C8" s="108">
        <v>63.59</v>
      </c>
      <c r="D8" s="108">
        <f t="shared" si="0"/>
        <v>101.74400000000001</v>
      </c>
      <c r="E8" s="186">
        <v>1</v>
      </c>
      <c r="F8" s="53">
        <f t="shared" si="4"/>
        <v>2080</v>
      </c>
      <c r="G8" s="110">
        <v>1</v>
      </c>
      <c r="H8" s="53">
        <f t="shared" si="2"/>
        <v>2080</v>
      </c>
      <c r="I8" s="49">
        <f t="shared" si="3"/>
        <v>211627.52000000002</v>
      </c>
    </row>
    <row r="9" spans="1:9" x14ac:dyDescent="0.2">
      <c r="A9" s="117" t="s">
        <v>105</v>
      </c>
      <c r="B9" s="108" t="s">
        <v>97</v>
      </c>
      <c r="C9" s="108">
        <v>126.148</v>
      </c>
      <c r="D9" s="108">
        <f t="shared" si="0"/>
        <v>201.83680000000001</v>
      </c>
      <c r="E9" s="186">
        <v>2</v>
      </c>
      <c r="F9" s="53">
        <f t="shared" si="4"/>
        <v>2080</v>
      </c>
      <c r="G9" s="110">
        <v>0.15</v>
      </c>
      <c r="H9" s="53">
        <f t="shared" si="2"/>
        <v>624</v>
      </c>
      <c r="I9" s="49">
        <f t="shared" si="3"/>
        <v>125946.16320000001</v>
      </c>
    </row>
    <row r="10" spans="1:9" x14ac:dyDescent="0.2">
      <c r="A10" s="117" t="s">
        <v>106</v>
      </c>
      <c r="B10" s="112" t="s">
        <v>94</v>
      </c>
      <c r="C10" s="112">
        <v>53.88</v>
      </c>
      <c r="D10" s="108">
        <f t="shared" si="0"/>
        <v>86.208000000000013</v>
      </c>
      <c r="E10" s="187">
        <v>5</v>
      </c>
      <c r="F10" s="113">
        <f t="shared" si="4"/>
        <v>2080</v>
      </c>
      <c r="G10" s="114">
        <v>0.3</v>
      </c>
      <c r="H10" s="113">
        <f t="shared" ref="H10" si="5">E10*(F10*G10)</f>
        <v>3120</v>
      </c>
      <c r="I10" s="49">
        <f t="shared" ref="I10" si="6">D10*E10*(F10*G10)</f>
        <v>268968.96000000002</v>
      </c>
    </row>
    <row r="11" spans="1:9" x14ac:dyDescent="0.2">
      <c r="A11" s="117" t="s">
        <v>107</v>
      </c>
      <c r="B11" s="118"/>
      <c r="C11" s="119"/>
      <c r="D11" s="119"/>
      <c r="E11" s="119"/>
      <c r="F11" s="119"/>
      <c r="G11" s="119"/>
      <c r="H11" s="120"/>
      <c r="I11" s="111">
        <v>177066</v>
      </c>
    </row>
    <row r="12" spans="1:9" ht="15" customHeight="1" x14ac:dyDescent="0.2">
      <c r="A12" s="117" t="s">
        <v>93</v>
      </c>
      <c r="B12" s="121"/>
      <c r="C12" s="122"/>
      <c r="D12" s="122"/>
      <c r="E12" s="122"/>
      <c r="F12" s="122"/>
      <c r="G12" s="122"/>
      <c r="H12" s="123"/>
      <c r="I12" s="111">
        <v>83000</v>
      </c>
    </row>
    <row r="13" spans="1:9" x14ac:dyDescent="0.2">
      <c r="A13" s="115" t="s">
        <v>112</v>
      </c>
      <c r="B13" s="233"/>
      <c r="C13" s="234"/>
      <c r="D13" s="235"/>
      <c r="E13" s="115">
        <f>SUM(E4:E12)</f>
        <v>20</v>
      </c>
      <c r="F13" s="115" t="s">
        <v>17</v>
      </c>
      <c r="G13" s="115" t="s">
        <v>17</v>
      </c>
      <c r="H13" s="180">
        <f>SUM(H4:H12)</f>
        <v>24752</v>
      </c>
      <c r="I13" s="179">
        <f>SUM(I4:I12)</f>
        <v>2499032.5792</v>
      </c>
    </row>
    <row r="15" spans="1:9" x14ac:dyDescent="0.2">
      <c r="A15" s="229" t="s">
        <v>137</v>
      </c>
      <c r="B15" s="230"/>
      <c r="C15" s="230"/>
      <c r="D15" s="230"/>
      <c r="E15" s="230"/>
      <c r="F15" s="230"/>
      <c r="G15" s="230"/>
      <c r="H15" s="230"/>
      <c r="I15" s="231"/>
    </row>
    <row r="16" spans="1:9" ht="15.75" customHeight="1" x14ac:dyDescent="0.2">
      <c r="A16" s="124" t="s">
        <v>109</v>
      </c>
      <c r="B16" s="118"/>
      <c r="C16" s="119"/>
      <c r="D16" s="119"/>
      <c r="E16" s="119"/>
      <c r="F16" s="119"/>
      <c r="G16" s="119"/>
      <c r="H16" s="120"/>
      <c r="I16" s="111">
        <v>200000</v>
      </c>
    </row>
    <row r="17" spans="1:9" x14ac:dyDescent="0.2">
      <c r="A17" s="117" t="s">
        <v>138</v>
      </c>
      <c r="B17" s="118"/>
      <c r="C17" s="119"/>
      <c r="D17" s="119"/>
      <c r="E17" s="119"/>
      <c r="F17" s="119"/>
      <c r="G17" s="119"/>
      <c r="H17" s="120"/>
      <c r="I17" s="111">
        <v>20000</v>
      </c>
    </row>
    <row r="18" spans="1:9" x14ac:dyDescent="0.2">
      <c r="A18" s="117" t="s">
        <v>107</v>
      </c>
      <c r="B18" s="118"/>
      <c r="C18" s="119"/>
      <c r="D18" s="119"/>
      <c r="E18" s="119"/>
      <c r="F18" s="119"/>
      <c r="G18" s="119"/>
      <c r="H18" s="120"/>
      <c r="I18" s="111">
        <v>177066</v>
      </c>
    </row>
    <row r="19" spans="1:9" ht="22.5" x14ac:dyDescent="0.2">
      <c r="A19" s="117" t="s">
        <v>121</v>
      </c>
      <c r="B19" s="121"/>
      <c r="C19" s="122"/>
      <c r="D19" s="122"/>
      <c r="E19" s="122"/>
      <c r="F19" s="122"/>
      <c r="G19" s="122"/>
      <c r="H19" s="123"/>
      <c r="I19" s="111">
        <v>83000</v>
      </c>
    </row>
    <row r="20" spans="1:9" ht="22.5" x14ac:dyDescent="0.2">
      <c r="A20" s="117" t="s">
        <v>120</v>
      </c>
      <c r="B20" s="121"/>
      <c r="C20" s="122"/>
      <c r="D20" s="122"/>
      <c r="E20" s="122"/>
      <c r="F20" s="122"/>
      <c r="G20" s="122"/>
      <c r="H20" s="123"/>
      <c r="I20" s="111">
        <v>200000</v>
      </c>
    </row>
    <row r="21" spans="1:9" x14ac:dyDescent="0.2">
      <c r="A21" s="107"/>
      <c r="B21" s="107"/>
      <c r="C21" s="107"/>
      <c r="H21" s="52" t="s">
        <v>111</v>
      </c>
      <c r="I21" s="181">
        <f>SUM(I16:I20)</f>
        <v>680066</v>
      </c>
    </row>
    <row r="22" spans="1:9" x14ac:dyDescent="0.2">
      <c r="I22" s="182"/>
    </row>
    <row r="23" spans="1:9" x14ac:dyDescent="0.2">
      <c r="F23" s="125"/>
      <c r="H23" s="52" t="s">
        <v>110</v>
      </c>
      <c r="I23" s="183">
        <f>I13+I21</f>
        <v>3179098.5792</v>
      </c>
    </row>
  </sheetData>
  <mergeCells count="5">
    <mergeCell ref="A15:I15"/>
    <mergeCell ref="A1:I1"/>
    <mergeCell ref="B2:I2"/>
    <mergeCell ref="B13:D13"/>
    <mergeCell ref="A2: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3"/>
  <sheetViews>
    <sheetView tabSelected="1" workbookViewId="0">
      <selection activeCell="B1" sqref="B1:I10"/>
    </sheetView>
  </sheetViews>
  <sheetFormatPr defaultRowHeight="15" x14ac:dyDescent="0.2"/>
  <cols>
    <col min="2" max="2" width="8.21875" customWidth="1"/>
    <col min="3" max="3" width="7.88671875" customWidth="1"/>
    <col min="6" max="6" width="10.33203125" customWidth="1"/>
    <col min="7" max="7" width="9" bestFit="1" customWidth="1"/>
    <col min="8" max="8" width="15.5546875" customWidth="1"/>
    <col min="9" max="9" width="9.6640625" customWidth="1"/>
    <col min="11" max="11" width="11" bestFit="1" customWidth="1"/>
  </cols>
  <sheetData>
    <row r="1" spans="2:11" x14ac:dyDescent="0.2">
      <c r="B1" s="238" t="s">
        <v>144</v>
      </c>
      <c r="C1" s="238"/>
      <c r="D1" s="238"/>
      <c r="E1" s="238"/>
      <c r="F1" s="238"/>
      <c r="G1" s="238"/>
      <c r="H1" s="238"/>
      <c r="I1" s="238"/>
    </row>
    <row r="2" spans="2:11" x14ac:dyDescent="0.2">
      <c r="B2" s="238" t="s">
        <v>135</v>
      </c>
      <c r="C2" s="238"/>
      <c r="D2" s="238"/>
      <c r="E2" s="238"/>
      <c r="F2" s="238"/>
      <c r="G2" s="238"/>
      <c r="H2" s="238"/>
      <c r="I2" s="238"/>
    </row>
    <row r="3" spans="2:11" x14ac:dyDescent="0.2">
      <c r="B3" s="178"/>
      <c r="C3" s="178"/>
      <c r="D3" s="178"/>
      <c r="E3" s="178"/>
      <c r="F3" s="178"/>
      <c r="G3" s="178"/>
      <c r="H3" s="178"/>
      <c r="I3" s="178"/>
    </row>
    <row r="4" spans="2:11" ht="38.25" x14ac:dyDescent="0.2">
      <c r="B4" s="175" t="s">
        <v>122</v>
      </c>
      <c r="C4" s="175" t="s">
        <v>136</v>
      </c>
      <c r="D4" s="175" t="s">
        <v>123</v>
      </c>
      <c r="E4" s="175" t="s">
        <v>124</v>
      </c>
      <c r="F4" s="175" t="s">
        <v>125</v>
      </c>
      <c r="G4" s="175" t="s">
        <v>126</v>
      </c>
      <c r="H4" s="175" t="s">
        <v>127</v>
      </c>
      <c r="I4" s="175" t="s">
        <v>128</v>
      </c>
      <c r="K4">
        <v>15</v>
      </c>
    </row>
    <row r="5" spans="2:11" x14ac:dyDescent="0.2">
      <c r="B5" s="171" t="s">
        <v>129</v>
      </c>
      <c r="C5" s="171">
        <v>620</v>
      </c>
      <c r="D5" s="171">
        <v>15</v>
      </c>
      <c r="E5" s="172">
        <f>'Tbl2-SI Cert All'!N29</f>
        <v>200628.75000000003</v>
      </c>
      <c r="F5" s="172">
        <f>'Tbl2-SI Cert All'!I29</f>
        <v>17902473.289500002</v>
      </c>
      <c r="G5" s="172">
        <v>0</v>
      </c>
      <c r="H5" s="172">
        <f>'Tbl2-SI Cert All'!K29</f>
        <v>8697519.833333334</v>
      </c>
      <c r="I5" s="172">
        <f>'Tbl2-SI Cert All'!O29</f>
        <v>26599993.122833338</v>
      </c>
      <c r="K5">
        <v>126</v>
      </c>
    </row>
    <row r="6" spans="2:11" x14ac:dyDescent="0.2">
      <c r="B6" s="171" t="s">
        <v>130</v>
      </c>
      <c r="C6" s="171">
        <f>'Tbl3-ABT-All'!J10</f>
        <v>50</v>
      </c>
      <c r="D6" s="171">
        <v>5</v>
      </c>
      <c r="E6" s="172">
        <f>'Tbl3-ABT-All'!K10</f>
        <v>17450</v>
      </c>
      <c r="F6" s="172">
        <f>'Tbl3-ABT-All'!G10</f>
        <v>260941</v>
      </c>
      <c r="G6" s="172">
        <v>0</v>
      </c>
      <c r="H6" s="172">
        <f>'Tbl3-ABT-All'!I10</f>
        <v>8900</v>
      </c>
      <c r="I6" s="172">
        <f>'Tbl3-ABT-All'!L10</f>
        <v>269841</v>
      </c>
      <c r="K6">
        <v>22</v>
      </c>
    </row>
    <row r="7" spans="2:11" x14ac:dyDescent="0.2">
      <c r="B7" s="171" t="s">
        <v>131</v>
      </c>
      <c r="C7" s="174">
        <f>'Tbl4-SI PLT'!N20</f>
        <v>179</v>
      </c>
      <c r="D7" s="171">
        <v>11</v>
      </c>
      <c r="E7" s="172">
        <f>'Tbl4-SI PLT'!O20</f>
        <v>55395</v>
      </c>
      <c r="F7" s="172">
        <f>'Tbl4-SI PLT'!J20</f>
        <v>4760726.8599999994</v>
      </c>
      <c r="G7" s="172">
        <v>0</v>
      </c>
      <c r="H7" s="172">
        <f>'Tbl4-SI PLT'!L20</f>
        <v>2597794</v>
      </c>
      <c r="I7" s="172">
        <f>'Tbl4-SI PLT'!P20</f>
        <v>7358520.8599999994</v>
      </c>
      <c r="K7">
        <v>18</v>
      </c>
    </row>
    <row r="8" spans="2:11" x14ac:dyDescent="0.2">
      <c r="B8" s="171" t="s">
        <v>132</v>
      </c>
      <c r="C8" s="174">
        <f>'Tbl5-SI InUse'!N20</f>
        <v>40</v>
      </c>
      <c r="D8" s="171">
        <v>12</v>
      </c>
      <c r="E8" s="172">
        <f>'Tbl5-SI InUse'!O20</f>
        <v>7103</v>
      </c>
      <c r="F8" s="172">
        <f>'Tbl5-SI InUse'!J20</f>
        <v>550961.06999999995</v>
      </c>
      <c r="G8" s="172">
        <v>0</v>
      </c>
      <c r="H8" s="172">
        <f>'Tbl5-SI InUse'!L20</f>
        <v>1028951.6666666667</v>
      </c>
      <c r="I8" s="172">
        <f>'Tbl5-SI InUse'!M23</f>
        <v>0</v>
      </c>
      <c r="K8">
        <v>491</v>
      </c>
    </row>
    <row r="9" spans="2:11" x14ac:dyDescent="0.2">
      <c r="B9" s="171" t="s">
        <v>133</v>
      </c>
      <c r="C9" s="174">
        <f>'Tbl6-SEA'!N14</f>
        <v>5</v>
      </c>
      <c r="D9" s="171">
        <v>8</v>
      </c>
      <c r="E9" s="172">
        <f>'Tbl6-SEA'!O14</f>
        <v>774</v>
      </c>
      <c r="F9" s="172">
        <f>'Tbl6-SEA'!J14</f>
        <v>72706.709999999992</v>
      </c>
      <c r="G9" s="172">
        <v>0</v>
      </c>
      <c r="H9" s="172">
        <f>'Tbl6-SEA'!L14</f>
        <v>40945</v>
      </c>
      <c r="I9" s="172">
        <f>'Tbl6-SEA'!P14</f>
        <v>113651.70999999999</v>
      </c>
      <c r="K9">
        <v>193</v>
      </c>
    </row>
    <row r="10" spans="2:11" x14ac:dyDescent="0.2">
      <c r="B10" s="176" t="s">
        <v>134</v>
      </c>
      <c r="C10" s="176">
        <v>354</v>
      </c>
      <c r="D10" s="176">
        <f>SUM(D5:D9)</f>
        <v>51</v>
      </c>
      <c r="E10" s="177">
        <f t="shared" ref="E10:I10" si="0">SUM(E5:E9)</f>
        <v>281350.75</v>
      </c>
      <c r="F10" s="177">
        <f t="shared" si="0"/>
        <v>23547808.929500002</v>
      </c>
      <c r="G10" s="177">
        <f t="shared" si="0"/>
        <v>0</v>
      </c>
      <c r="H10" s="177">
        <f t="shared" si="0"/>
        <v>12374110.5</v>
      </c>
      <c r="I10" s="177">
        <f t="shared" si="0"/>
        <v>34342006.692833342</v>
      </c>
      <c r="K10">
        <v>30</v>
      </c>
    </row>
    <row r="11" spans="2:11" x14ac:dyDescent="0.2">
      <c r="E11" s="172"/>
      <c r="F11" s="173"/>
      <c r="G11" s="173"/>
      <c r="H11" s="173"/>
      <c r="I11" s="173"/>
      <c r="K11">
        <v>151</v>
      </c>
    </row>
    <row r="12" spans="2:11" x14ac:dyDescent="0.2">
      <c r="B12" s="171"/>
      <c r="C12" s="171" t="s">
        <v>145</v>
      </c>
      <c r="D12" s="171"/>
      <c r="E12" s="172">
        <f>E10/C10</f>
        <v>794.77612994350284</v>
      </c>
      <c r="F12" s="173"/>
      <c r="G12" s="173"/>
      <c r="H12" s="173"/>
      <c r="I12" s="173"/>
      <c r="K12">
        <v>972</v>
      </c>
    </row>
    <row r="13" spans="2:11" x14ac:dyDescent="0.2">
      <c r="B13" s="171"/>
      <c r="C13" s="171"/>
      <c r="D13" s="171"/>
      <c r="E13" s="172"/>
      <c r="F13" s="173"/>
      <c r="G13" s="173"/>
      <c r="H13" s="173"/>
      <c r="I13" s="173"/>
      <c r="K13">
        <v>178</v>
      </c>
    </row>
    <row r="14" spans="2:11" x14ac:dyDescent="0.2">
      <c r="B14" s="171"/>
      <c r="C14" s="171"/>
      <c r="D14" s="171"/>
      <c r="E14" s="172"/>
      <c r="F14" s="173"/>
      <c r="G14" s="173"/>
      <c r="H14" s="173"/>
      <c r="I14" s="173"/>
      <c r="K14">
        <v>226</v>
      </c>
    </row>
    <row r="15" spans="2:11" x14ac:dyDescent="0.2">
      <c r="B15" s="171"/>
      <c r="C15" s="171"/>
      <c r="D15" s="171"/>
      <c r="E15" s="172"/>
      <c r="F15" s="173"/>
      <c r="G15" s="173"/>
      <c r="H15" s="173"/>
      <c r="I15" s="173"/>
      <c r="K15">
        <v>866</v>
      </c>
    </row>
    <row r="16" spans="2:11" x14ac:dyDescent="0.2">
      <c r="B16" s="171"/>
      <c r="C16" s="171"/>
      <c r="D16" s="171"/>
      <c r="E16" s="172"/>
      <c r="F16" s="173"/>
      <c r="G16" s="173"/>
      <c r="H16" s="173"/>
      <c r="I16" s="173"/>
      <c r="K16">
        <v>232</v>
      </c>
    </row>
    <row r="17" spans="2:11" x14ac:dyDescent="0.2">
      <c r="B17" s="171"/>
      <c r="C17" s="171"/>
      <c r="D17" s="171"/>
      <c r="E17" s="171"/>
      <c r="F17" s="171"/>
      <c r="G17" s="171"/>
      <c r="H17" s="171"/>
      <c r="I17" s="171"/>
      <c r="K17">
        <v>49</v>
      </c>
    </row>
    <row r="18" spans="2:11" x14ac:dyDescent="0.2">
      <c r="B18" s="171"/>
      <c r="C18" s="171"/>
      <c r="D18" s="171"/>
      <c r="E18" s="171"/>
      <c r="F18" s="171"/>
      <c r="G18" s="171"/>
      <c r="H18" s="171"/>
      <c r="I18" s="171"/>
      <c r="K18">
        <v>33</v>
      </c>
    </row>
    <row r="19" spans="2:11" x14ac:dyDescent="0.2">
      <c r="B19" s="171"/>
      <c r="C19" s="171"/>
      <c r="D19" s="171"/>
      <c r="E19" s="171"/>
      <c r="F19" s="171"/>
      <c r="G19" s="171"/>
      <c r="H19" s="171"/>
      <c r="I19" s="171">
        <f>1867/1180</f>
        <v>1.5822033898305086</v>
      </c>
      <c r="K19">
        <f>SUM(K4:K18)</f>
        <v>3602</v>
      </c>
    </row>
    <row r="20" spans="2:11" x14ac:dyDescent="0.2">
      <c r="B20" s="171"/>
      <c r="C20" s="171"/>
      <c r="D20" s="171"/>
      <c r="E20" s="171"/>
      <c r="F20" s="171"/>
      <c r="G20" s="171"/>
      <c r="H20" s="171"/>
      <c r="I20" s="171">
        <f>1180/1867</f>
        <v>0.6320299946438136</v>
      </c>
      <c r="K20">
        <f>K19*I20</f>
        <v>2276.5720407070166</v>
      </c>
    </row>
    <row r="21" spans="2:11" x14ac:dyDescent="0.2">
      <c r="B21" s="171"/>
      <c r="C21" s="171"/>
      <c r="D21" s="171"/>
      <c r="E21" s="171"/>
      <c r="F21" s="171"/>
      <c r="G21" s="171"/>
      <c r="H21" s="171"/>
      <c r="I21" s="171"/>
    </row>
    <row r="22" spans="2:11" x14ac:dyDescent="0.2">
      <c r="B22" s="171"/>
      <c r="C22" s="171"/>
      <c r="D22" s="171"/>
      <c r="E22" s="171"/>
      <c r="F22" s="171"/>
      <c r="G22" s="171"/>
      <c r="H22" s="171"/>
      <c r="I22" s="171"/>
    </row>
    <row r="23" spans="2:11" x14ac:dyDescent="0.2">
      <c r="B23" s="171"/>
      <c r="C23" s="171"/>
      <c r="D23" s="171"/>
      <c r="E23" s="171"/>
      <c r="F23" s="171"/>
      <c r="G23" s="171"/>
      <c r="H23" s="171"/>
      <c r="I23" s="171"/>
    </row>
  </sheetData>
  <mergeCells count="2">
    <mergeCell ref="B1:I1"/>
    <mergeCell ref="B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Tbl2-SI Cert All</vt:lpstr>
      <vt:lpstr>Tbl3-ABT-All</vt:lpstr>
      <vt:lpstr>Tbl4-SI PLT</vt:lpstr>
      <vt:lpstr>Tbl5-SI InUse</vt:lpstr>
      <vt:lpstr>Tbl6-SEA</vt:lpstr>
      <vt:lpstr>Sector Production</vt:lpstr>
      <vt:lpstr>Tbl8-Agency Burden</vt:lpstr>
      <vt:lpstr>Resp Tally</vt:lpstr>
      <vt:lpstr>'Tbl2-SI Cert All'!Print_Area</vt:lpstr>
      <vt:lpstr>'Tbl4-SI PLT'!Print_Area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Giuliano, Julia</dc:creator>
  <cp:lastModifiedBy>Franklin, Jamia</cp:lastModifiedBy>
  <cp:lastPrinted>2012-05-30T23:29:07Z</cp:lastPrinted>
  <dcterms:created xsi:type="dcterms:W3CDTF">2004-08-16T00:46:20Z</dcterms:created>
  <dcterms:modified xsi:type="dcterms:W3CDTF">2019-10-30T19:27:10Z</dcterms:modified>
</cp:coreProperties>
</file>