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CKerwin\Downloads\"/>
    </mc:Choice>
  </mc:AlternateContent>
  <xr:revisionPtr revIDLastSave="0" documentId="8_{EA3D666F-41E8-4AB2-8938-D3D6A64A7E6D}" xr6:coauthVersionLast="41" xr6:coauthVersionMax="41" xr10:uidLastSave="{00000000-0000-0000-0000-000000000000}"/>
  <bookViews>
    <workbookView xWindow="22440" yWindow="3000" windowWidth="15375" windowHeight="7995" activeTab="5" xr2:uid="{00000000-000D-0000-FFFF-FFFF00000000}"/>
  </bookViews>
  <sheets>
    <sheet name="Year 1" sheetId="8" r:id="rId1"/>
    <sheet name="Year 2" sheetId="9" r:id="rId2"/>
    <sheet name="Year 3" sheetId="11" r:id="rId3"/>
    <sheet name="Agency Year 1" sheetId="13" r:id="rId4"/>
    <sheet name="Agency Year 2" sheetId="14" r:id="rId5"/>
    <sheet name="Agency Year 3" sheetId="15" r:id="rId6"/>
    <sheet name="Other Data for SupportStatement" sheetId="16" r:id="rId7"/>
    <sheet name="Conversion into 2018 dollars" sheetId="17" r:id="rId8"/>
    <sheet name="Respondents-Facilities Data" sheetId="18" r:id="rId9"/>
  </sheets>
  <definedNames>
    <definedName name="_xlnm.Print_Area" localSheetId="3">'Agency Year 1'!$A$1:$J$15</definedName>
    <definedName name="_xlnm.Print_Area" localSheetId="4">'Agency Year 2'!$A$1:$J$11</definedName>
    <definedName name="_xlnm.Print_Area" localSheetId="5">'Agency Year 3'!$A$1:$J$11</definedName>
    <definedName name="_xlnm.Print_Area" localSheetId="6">'Other Data for SupportStatement'!$A$1</definedName>
    <definedName name="_xlnm.Print_Area" localSheetId="0">'Year 1'!$A$1:$N$53</definedName>
    <definedName name="_xlnm.Print_Area" localSheetId="1">'Year 2'!$A$1:$N$48</definedName>
    <definedName name="_xlnm.Print_Area" localSheetId="2">'Year 3'!$A$1:$N$48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18" l="1"/>
  <c r="F9" i="11" l="1"/>
  <c r="H9" i="11"/>
  <c r="I9" i="11" s="1"/>
  <c r="L9" i="11"/>
  <c r="L25" i="11" s="1"/>
  <c r="L9" i="9"/>
  <c r="L9" i="8"/>
  <c r="L25" i="8" s="1"/>
  <c r="E7" i="15"/>
  <c r="G7" i="15"/>
  <c r="H7" i="15" s="1"/>
  <c r="H8" i="15" s="1"/>
  <c r="F15" i="8"/>
  <c r="H15" i="8" s="1"/>
  <c r="F16" i="8"/>
  <c r="H16" i="8" s="1"/>
  <c r="I16" i="8" s="1"/>
  <c r="F17" i="8"/>
  <c r="H17" i="8"/>
  <c r="I17" i="8" s="1"/>
  <c r="F18" i="8"/>
  <c r="H18" i="8" s="1"/>
  <c r="I18" i="8" s="1"/>
  <c r="F19" i="8"/>
  <c r="H19" i="8" s="1"/>
  <c r="F20" i="8"/>
  <c r="H20" i="8" s="1"/>
  <c r="I20" i="8" s="1"/>
  <c r="F21" i="8"/>
  <c r="H21" i="8" s="1"/>
  <c r="F22" i="8"/>
  <c r="H22" i="8" s="1"/>
  <c r="F23" i="8"/>
  <c r="H23" i="8" s="1"/>
  <c r="F12" i="8"/>
  <c r="H12" i="8" s="1"/>
  <c r="I12" i="8" s="1"/>
  <c r="F13" i="8"/>
  <c r="H13" i="8" s="1"/>
  <c r="I13" i="8" s="1"/>
  <c r="F30" i="8"/>
  <c r="H30" i="8" s="1"/>
  <c r="F9" i="8"/>
  <c r="H9" i="8"/>
  <c r="I9" i="8" s="1"/>
  <c r="D16" i="16"/>
  <c r="D9" i="16"/>
  <c r="E7" i="14"/>
  <c r="G7" i="14" s="1"/>
  <c r="L34" i="11"/>
  <c r="K34" i="11"/>
  <c r="F30" i="11"/>
  <c r="H30" i="11" s="1"/>
  <c r="J30" i="11" s="1"/>
  <c r="J34" i="11" s="1"/>
  <c r="K25" i="11"/>
  <c r="F23" i="11"/>
  <c r="H23" i="11" s="1"/>
  <c r="I23" i="11" s="1"/>
  <c r="F22" i="11"/>
  <c r="H22" i="11" s="1"/>
  <c r="F21" i="11"/>
  <c r="H21" i="11" s="1"/>
  <c r="I21" i="11" s="1"/>
  <c r="F20" i="11"/>
  <c r="H20" i="11" s="1"/>
  <c r="J20" i="11" s="1"/>
  <c r="F19" i="11"/>
  <c r="H19" i="11" s="1"/>
  <c r="J19" i="11" s="1"/>
  <c r="F18" i="11"/>
  <c r="H18" i="11"/>
  <c r="I18" i="11" s="1"/>
  <c r="F17" i="11"/>
  <c r="H17" i="11" s="1"/>
  <c r="F16" i="11"/>
  <c r="H16" i="11"/>
  <c r="I16" i="11" s="1"/>
  <c r="F15" i="11"/>
  <c r="H15" i="11" s="1"/>
  <c r="F13" i="11"/>
  <c r="H13" i="11" s="1"/>
  <c r="I13" i="11" s="1"/>
  <c r="F12" i="11"/>
  <c r="H12" i="11"/>
  <c r="J12" i="11" s="1"/>
  <c r="L34" i="9"/>
  <c r="K34" i="9"/>
  <c r="F30" i="9"/>
  <c r="H30" i="9"/>
  <c r="J30" i="9" s="1"/>
  <c r="J34" i="9" s="1"/>
  <c r="K25" i="9"/>
  <c r="F23" i="9"/>
  <c r="H23" i="9"/>
  <c r="F22" i="9"/>
  <c r="H22" i="9" s="1"/>
  <c r="I22" i="9" s="1"/>
  <c r="F21" i="9"/>
  <c r="H21" i="9" s="1"/>
  <c r="I21" i="9" s="1"/>
  <c r="F20" i="9"/>
  <c r="H20" i="9" s="1"/>
  <c r="I20" i="9" s="1"/>
  <c r="F19" i="9"/>
  <c r="H19" i="9"/>
  <c r="I19" i="9" s="1"/>
  <c r="F18" i="9"/>
  <c r="H18" i="9" s="1"/>
  <c r="I18" i="9" s="1"/>
  <c r="F17" i="9"/>
  <c r="H17" i="9"/>
  <c r="I17" i="9" s="1"/>
  <c r="F16" i="9"/>
  <c r="H16" i="9" s="1"/>
  <c r="J16" i="9" s="1"/>
  <c r="F15" i="9"/>
  <c r="H15" i="9"/>
  <c r="J15" i="9" s="1"/>
  <c r="F13" i="9"/>
  <c r="H13" i="9" s="1"/>
  <c r="I13" i="9" s="1"/>
  <c r="F12" i="9"/>
  <c r="H12" i="9" s="1"/>
  <c r="J12" i="9" s="1"/>
  <c r="F9" i="9"/>
  <c r="H9" i="9"/>
  <c r="J9" i="9" s="1"/>
  <c r="G8" i="14"/>
  <c r="K36" i="9"/>
  <c r="K25" i="8"/>
  <c r="K36" i="8" s="1"/>
  <c r="K34" i="8"/>
  <c r="K35" i="8" s="1"/>
  <c r="L34" i="8"/>
  <c r="E7" i="13"/>
  <c r="G7" i="13"/>
  <c r="I7" i="13" s="1"/>
  <c r="I8" i="13" s="1"/>
  <c r="J19" i="9" l="1"/>
  <c r="K35" i="11"/>
  <c r="K35" i="9"/>
  <c r="K36" i="11"/>
  <c r="J22" i="9"/>
  <c r="M22" i="9" s="1"/>
  <c r="J18" i="9"/>
  <c r="N18" i="9"/>
  <c r="I15" i="9"/>
  <c r="N15" i="9" s="1"/>
  <c r="H34" i="9"/>
  <c r="I16" i="9"/>
  <c r="N16" i="9" s="1"/>
  <c r="M16" i="9"/>
  <c r="J21" i="8"/>
  <c r="I21" i="8"/>
  <c r="J17" i="8"/>
  <c r="N17" i="8" s="1"/>
  <c r="J16" i="8"/>
  <c r="N16" i="8" s="1"/>
  <c r="J13" i="11"/>
  <c r="M13" i="11" s="1"/>
  <c r="I12" i="9"/>
  <c r="N12" i="9" s="1"/>
  <c r="J13" i="9"/>
  <c r="N13" i="9" s="1"/>
  <c r="J13" i="8"/>
  <c r="N13" i="8" s="1"/>
  <c r="J12" i="8"/>
  <c r="N12" i="8" s="1"/>
  <c r="G8" i="13"/>
  <c r="H7" i="13"/>
  <c r="H8" i="13" s="1"/>
  <c r="G9" i="13" s="1"/>
  <c r="I19" i="11"/>
  <c r="M19" i="11" s="1"/>
  <c r="J18" i="11"/>
  <c r="M18" i="11" s="1"/>
  <c r="K26" i="11"/>
  <c r="K37" i="11" s="1"/>
  <c r="J9" i="11"/>
  <c r="N9" i="11"/>
  <c r="I9" i="9"/>
  <c r="N9" i="9" s="1"/>
  <c r="H25" i="9"/>
  <c r="H36" i="9" s="1"/>
  <c r="J9" i="8"/>
  <c r="M9" i="8" s="1"/>
  <c r="L36" i="8"/>
  <c r="K26" i="8"/>
  <c r="K37" i="8" s="1"/>
  <c r="D10" i="16"/>
  <c r="I22" i="11"/>
  <c r="J22" i="11"/>
  <c r="M22" i="11" s="1"/>
  <c r="I30" i="8"/>
  <c r="I34" i="8" s="1"/>
  <c r="H34" i="8"/>
  <c r="J30" i="8"/>
  <c r="J34" i="8" s="1"/>
  <c r="I15" i="8"/>
  <c r="J15" i="8"/>
  <c r="H25" i="8"/>
  <c r="I23" i="9"/>
  <c r="J23" i="9"/>
  <c r="M23" i="9" s="1"/>
  <c r="J17" i="11"/>
  <c r="I7" i="14"/>
  <c r="I8" i="14" s="1"/>
  <c r="J22" i="8"/>
  <c r="M12" i="9"/>
  <c r="M15" i="9"/>
  <c r="H25" i="11"/>
  <c r="I17" i="11"/>
  <c r="I12" i="11"/>
  <c r="M12" i="11" s="1"/>
  <c r="J17" i="9"/>
  <c r="N17" i="9" s="1"/>
  <c r="I23" i="8"/>
  <c r="J23" i="8"/>
  <c r="J18" i="8"/>
  <c r="N18" i="8" s="1"/>
  <c r="J15" i="11"/>
  <c r="J23" i="11"/>
  <c r="M23" i="11" s="1"/>
  <c r="J21" i="9"/>
  <c r="M21" i="9" s="1"/>
  <c r="I30" i="11"/>
  <c r="I34" i="11" s="1"/>
  <c r="H34" i="11"/>
  <c r="M19" i="9"/>
  <c r="I19" i="8"/>
  <c r="J19" i="8"/>
  <c r="I7" i="15"/>
  <c r="I8" i="15" s="1"/>
  <c r="M9" i="11"/>
  <c r="N19" i="9"/>
  <c r="J20" i="9"/>
  <c r="N20" i="9" s="1"/>
  <c r="I30" i="9"/>
  <c r="I34" i="9" s="1"/>
  <c r="H35" i="9" s="1"/>
  <c r="I15" i="11"/>
  <c r="J21" i="11"/>
  <c r="M21" i="11" s="1"/>
  <c r="J16" i="11"/>
  <c r="M16" i="11" s="1"/>
  <c r="H7" i="14"/>
  <c r="H8" i="14" s="1"/>
  <c r="G8" i="15"/>
  <c r="I20" i="11"/>
  <c r="N20" i="11" s="1"/>
  <c r="M18" i="9"/>
  <c r="L25" i="9"/>
  <c r="I22" i="8"/>
  <c r="J20" i="8"/>
  <c r="N20" i="8" s="1"/>
  <c r="L36" i="11"/>
  <c r="N9" i="8"/>
  <c r="M15" i="8" l="1"/>
  <c r="N12" i="11"/>
  <c r="N18" i="11"/>
  <c r="N22" i="9"/>
  <c r="M17" i="9"/>
  <c r="I25" i="9"/>
  <c r="I36" i="9" s="1"/>
  <c r="M22" i="8"/>
  <c r="M16" i="8"/>
  <c r="J7" i="15"/>
  <c r="J8" i="15" s="1"/>
  <c r="G9" i="14"/>
  <c r="M15" i="11"/>
  <c r="N19" i="11"/>
  <c r="M17" i="8"/>
  <c r="M18" i="8"/>
  <c r="N15" i="8"/>
  <c r="M30" i="11"/>
  <c r="M34" i="11" s="1"/>
  <c r="M30" i="8"/>
  <c r="M34" i="8" s="1"/>
  <c r="M21" i="8"/>
  <c r="M13" i="8"/>
  <c r="M12" i="8"/>
  <c r="N17" i="11"/>
  <c r="N21" i="8"/>
  <c r="M20" i="8"/>
  <c r="M19" i="8"/>
  <c r="J25" i="8"/>
  <c r="J36" i="8" s="1"/>
  <c r="N13" i="11"/>
  <c r="M13" i="9"/>
  <c r="J7" i="13"/>
  <c r="J8" i="13" s="1"/>
  <c r="H35" i="11"/>
  <c r="N21" i="11"/>
  <c r="N30" i="11"/>
  <c r="N34" i="11" s="1"/>
  <c r="N22" i="11"/>
  <c r="M9" i="9"/>
  <c r="N16" i="11"/>
  <c r="J25" i="9"/>
  <c r="J36" i="9" s="1"/>
  <c r="J25" i="11"/>
  <c r="J36" i="11" s="1"/>
  <c r="M20" i="9"/>
  <c r="N30" i="9"/>
  <c r="N34" i="9" s="1"/>
  <c r="M23" i="8"/>
  <c r="K26" i="9"/>
  <c r="K37" i="9" s="1"/>
  <c r="L36" i="9"/>
  <c r="G9" i="15"/>
  <c r="I25" i="11"/>
  <c r="I36" i="11" s="1"/>
  <c r="M20" i="11"/>
  <c r="N23" i="11"/>
  <c r="M17" i="11"/>
  <c r="N30" i="8"/>
  <c r="N34" i="8" s="1"/>
  <c r="N21" i="9"/>
  <c r="N22" i="8"/>
  <c r="N15" i="11"/>
  <c r="M30" i="9"/>
  <c r="M34" i="9" s="1"/>
  <c r="N19" i="8"/>
  <c r="N23" i="8"/>
  <c r="H36" i="11"/>
  <c r="J7" i="14"/>
  <c r="J8" i="14" s="1"/>
  <c r="N23" i="9"/>
  <c r="H36" i="8"/>
  <c r="I25" i="8"/>
  <c r="I36" i="8" s="1"/>
  <c r="H35" i="8"/>
  <c r="D17" i="16" l="1"/>
  <c r="D18" i="16"/>
  <c r="M25" i="8"/>
  <c r="M36" i="8" s="1"/>
  <c r="D11" i="16" s="1"/>
  <c r="M25" i="11"/>
  <c r="M36" i="11" s="1"/>
  <c r="D13" i="16" s="1"/>
  <c r="M25" i="9"/>
  <c r="M36" i="9" s="1"/>
  <c r="D12" i="16" s="1"/>
  <c r="H37" i="8"/>
  <c r="N25" i="11"/>
  <c r="N36" i="11" s="1"/>
  <c r="H26" i="9"/>
  <c r="N25" i="9"/>
  <c r="N36" i="9" s="1"/>
  <c r="N25" i="8"/>
  <c r="N36" i="8" s="1"/>
  <c r="H26" i="11"/>
  <c r="H37" i="11"/>
  <c r="H26" i="8"/>
  <c r="H37" i="9"/>
  <c r="D14" i="16" l="1"/>
  <c r="D15" i="16" s="1"/>
  <c r="D19" i="16"/>
  <c r="D8" i="16"/>
  <c r="D7" i="16"/>
</calcChain>
</file>

<file path=xl/sharedStrings.xml><?xml version="1.0" encoding="utf-8"?>
<sst xmlns="http://schemas.openxmlformats.org/spreadsheetml/2006/main" count="411" uniqueCount="154">
  <si>
    <t xml:space="preserve">Exhibit 1a.  Year 1 Respondent Burden of Reporting and Recordkeeping Requirements </t>
  </si>
  <si>
    <t>Labor Rates</t>
  </si>
  <si>
    <t>Labor rates were obtained from http://www.bls.gov/news.release/ecec.toc.htm (September 2015)</t>
  </si>
  <si>
    <t>Federal Implementation Plan for Oil and Natural Gas Well Production Facilities; Fort Berthold Indian Reservation (Mandan, Hidatsa, and Arikara Nation), North Dakota</t>
  </si>
  <si>
    <t>Technical</t>
  </si>
  <si>
    <t>Managerial</t>
  </si>
  <si>
    <t xml:space="preserve">Year </t>
  </si>
  <si>
    <t>(A)</t>
  </si>
  <si>
    <t>(B)</t>
  </si>
  <si>
    <t xml:space="preserve">(C) </t>
  </si>
  <si>
    <t>(D)</t>
  </si>
  <si>
    <t>(E)</t>
  </si>
  <si>
    <t>(F)</t>
  </si>
  <si>
    <t>(G)</t>
  </si>
  <si>
    <t>(H)</t>
  </si>
  <si>
    <t>(I)</t>
  </si>
  <si>
    <t>(J)</t>
  </si>
  <si>
    <t>(K)</t>
  </si>
  <si>
    <t>Clerical</t>
  </si>
  <si>
    <t>Person-Hours per Occurrence</t>
  </si>
  <si>
    <t>Number of Occurences per Respondent per Year</t>
  </si>
  <si>
    <t>Person-Hours per Respondent per Year (A*B)</t>
  </si>
  <si>
    <t>Respondents per Year</t>
  </si>
  <si>
    <t>Technical Person-Hours per Year   (C*D)</t>
  </si>
  <si>
    <t>Managerial Person-Hours per Year (0.05*E)</t>
  </si>
  <si>
    <t>Clerical Person-Hours per Year (0.10*E)</t>
  </si>
  <si>
    <r>
      <t>Capital/Startup Cost</t>
    </r>
    <r>
      <rPr>
        <vertAlign val="superscript"/>
        <sz val="10"/>
        <rFont val="Times New Roman"/>
        <family val="1"/>
      </rPr>
      <t>a</t>
    </r>
  </si>
  <si>
    <r>
      <t>O&amp;M Cost</t>
    </r>
    <r>
      <rPr>
        <vertAlign val="superscript"/>
        <sz val="10"/>
        <rFont val="Times New Roman"/>
        <family val="1"/>
      </rPr>
      <t>a,i</t>
    </r>
  </si>
  <si>
    <r>
      <t>Labor Cost</t>
    </r>
    <r>
      <rPr>
        <vertAlign val="superscript"/>
        <sz val="10"/>
        <rFont val="Times New Roman"/>
        <family val="1"/>
      </rPr>
      <t xml:space="preserve">b </t>
    </r>
  </si>
  <si>
    <t>Total Cost per Year</t>
  </si>
  <si>
    <t>FIP Requirement</t>
  </si>
  <si>
    <t>1. APPLICATIONS (Not Applicable)</t>
  </si>
  <si>
    <t>2. SURVEY AND STUDIES (Not Applicable)</t>
  </si>
  <si>
    <t xml:space="preserve">3. ACQUISITION, INSTALLATION, AND UTILIZATION OF TECHNOLOGY AND SYSTEMS </t>
  </si>
  <si>
    <r>
      <t>Continous pilot or auto-ignition system with continous monitoring/recording</t>
    </r>
    <r>
      <rPr>
        <vertAlign val="superscript"/>
        <sz val="10"/>
        <rFont val="Times New Roman"/>
        <family val="1"/>
      </rPr>
      <t>c</t>
    </r>
  </si>
  <si>
    <t>§ 49.4165(c)(6)(iv)</t>
  </si>
  <si>
    <t>4. RECORDKEEPING REQUIREMENTS</t>
  </si>
  <si>
    <t>A. Read Instructions</t>
  </si>
  <si>
    <r>
      <t>Existing sources</t>
    </r>
    <r>
      <rPr>
        <vertAlign val="superscript"/>
        <sz val="10"/>
        <rFont val="Times New Roman"/>
        <family val="1"/>
      </rPr>
      <t>d</t>
    </r>
  </si>
  <si>
    <r>
      <t>New affected sources</t>
    </r>
    <r>
      <rPr>
        <vertAlign val="superscript"/>
        <sz val="10"/>
        <rFont val="Times New Roman"/>
        <family val="1"/>
      </rPr>
      <t>e</t>
    </r>
  </si>
  <si>
    <t>B. Required Activities</t>
  </si>
  <si>
    <r>
      <t>Measure barrels of oil produced</t>
    </r>
    <r>
      <rPr>
        <vertAlign val="superscript"/>
        <sz val="10"/>
        <rFont val="Times New Roman"/>
        <family val="1"/>
      </rPr>
      <t>f</t>
    </r>
  </si>
  <si>
    <t>§ 49.4167(a)(1)</t>
  </si>
  <si>
    <r>
      <t>Volume of produced natural gas sent to control device</t>
    </r>
    <r>
      <rPr>
        <vertAlign val="superscript"/>
        <sz val="10"/>
        <rFont val="Times New Roman"/>
        <family val="1"/>
      </rPr>
      <t>f</t>
    </r>
  </si>
  <si>
    <t>§ 49.4167(a)(2)</t>
  </si>
  <si>
    <t>Volume of natural gas emissions sent to control device</t>
  </si>
  <si>
    <t>§ 49.4167(a)(3)</t>
  </si>
  <si>
    <t>Well completion and recompletion operations</t>
  </si>
  <si>
    <t>§ 49.4167(a)(4)</t>
  </si>
  <si>
    <t>Control device monitoring and deviations</t>
  </si>
  <si>
    <t>§ 49.4167(a)(5)</t>
  </si>
  <si>
    <r>
      <t>Restricted use of pit flares</t>
    </r>
    <r>
      <rPr>
        <vertAlign val="superscript"/>
        <sz val="10"/>
        <rFont val="Times New Roman"/>
        <family val="1"/>
      </rPr>
      <t>g</t>
    </r>
  </si>
  <si>
    <t>§ 49.4167(a)(6)</t>
  </si>
  <si>
    <r>
      <t>Closed-vent system or control device not operating</t>
    </r>
    <r>
      <rPr>
        <vertAlign val="superscript"/>
        <sz val="10"/>
        <rFont val="Times New Roman"/>
        <family val="1"/>
      </rPr>
      <t>g</t>
    </r>
  </si>
  <si>
    <t>§ 49.4167(a)(7)</t>
  </si>
  <si>
    <t>Produced oil and water storage tank inspections</t>
  </si>
  <si>
    <t>§ 49.4167(a)(8)</t>
  </si>
  <si>
    <t>Records retention requirements</t>
  </si>
  <si>
    <t xml:space="preserve">§ 49.4167(b) and (c) </t>
  </si>
  <si>
    <t>C. Train Personnel</t>
  </si>
  <si>
    <t>Included in 3</t>
  </si>
  <si>
    <t>Recordkeeping Requirement Subtotal</t>
  </si>
  <si>
    <t>5. REPORTING REQUIREMENTS</t>
  </si>
  <si>
    <t xml:space="preserve">A. Read Instructions </t>
  </si>
  <si>
    <t>Included in 4A</t>
  </si>
  <si>
    <r>
      <t>Annual report</t>
    </r>
    <r>
      <rPr>
        <vertAlign val="superscript"/>
        <sz val="10"/>
        <rFont val="Times New Roman"/>
        <family val="1"/>
      </rPr>
      <t>h</t>
    </r>
  </si>
  <si>
    <t>§ 49.4168(b)</t>
  </si>
  <si>
    <t>C.  Create information</t>
  </si>
  <si>
    <t>Included in 5B</t>
  </si>
  <si>
    <t>D. Gather existing information</t>
  </si>
  <si>
    <t>E. Write report</t>
  </si>
  <si>
    <t>Reporting Requirement Subtotal</t>
  </si>
  <si>
    <t>TOTAL REPORTING AND RECORDKEEPING LABOR AND COST</t>
  </si>
  <si>
    <r>
      <t xml:space="preserve">a </t>
    </r>
    <r>
      <rPr>
        <sz val="10"/>
        <rFont val="Times New Roman"/>
        <family val="1"/>
      </rPr>
      <t xml:space="preserve">Capital and O&amp;M Costs are per respondent (1 respondent = 1 oil and natural gas production facility) </t>
    </r>
  </si>
  <si>
    <r>
      <t>c</t>
    </r>
    <r>
      <rPr>
        <sz val="10"/>
        <rFont val="Times New Roman"/>
        <family val="1"/>
      </rPr>
      <t xml:space="preserve"> Annual total capital investment costs were determined using cost information and the appropriate CRF factor for the life expectancy of equipment provided by 2 of the FBIR operators.  Additionaly, annual O&amp;M cost specific to auto-ignition systems and continuous pilot flame systems were provided by the 2 operators.  There is no "purchase of services component" cost for the monitoring requirements in this FIP.</t>
    </r>
  </si>
  <si>
    <r>
      <t xml:space="preserve">f  </t>
    </r>
    <r>
      <rPr>
        <sz val="10"/>
        <rFont val="Times New Roman"/>
        <family val="1"/>
      </rPr>
      <t xml:space="preserve">Burden for recordkeeping of measured barrels of oil and produced natural gas vented to flare is covered under another ICR for OMB Control Number 1012-0004. </t>
    </r>
  </si>
  <si>
    <t xml:space="preserve">Exhibit 1b.  Year 2 Respondent Burden of Reporting and Recordkeeping Requirements </t>
  </si>
  <si>
    <t>Cost per Year</t>
  </si>
  <si>
    <t xml:space="preserve">Exhibit 1c.  Year 3 Respondent Burden of Reporting and Recordkeeping Requirements </t>
  </si>
  <si>
    <t>Exhibit 2a.  Year 1 Agency Burden and Cost</t>
  </si>
  <si>
    <t>(Includes multiplier of 1.6)</t>
  </si>
  <si>
    <t>Activity - Year 1</t>
  </si>
  <si>
    <t>EPA Hours per Occurrence</t>
  </si>
  <si>
    <t>EPA Hours per Respondent per Year (A*B)</t>
  </si>
  <si>
    <t>EPA Technical Hours per Year   (C*D)</t>
  </si>
  <si>
    <t>EPA Managerial Hours per Year (0.05*E)</t>
  </si>
  <si>
    <t>EPA Clerical Hours per Year (0.10*E)</t>
  </si>
  <si>
    <r>
      <t>EPA Cost per Year</t>
    </r>
    <r>
      <rPr>
        <vertAlign val="superscript"/>
        <sz val="10"/>
        <rFont val="Times New Roman"/>
        <family val="1"/>
      </rPr>
      <t>a</t>
    </r>
  </si>
  <si>
    <t xml:space="preserve">REPORTING REQIUREMENTS </t>
  </si>
  <si>
    <r>
      <t>Review annual reports</t>
    </r>
    <r>
      <rPr>
        <vertAlign val="superscript"/>
        <sz val="10"/>
        <rFont val="Tahoma"/>
        <family val="2"/>
      </rPr>
      <t>b</t>
    </r>
  </si>
  <si>
    <t>Total Annual Hours</t>
  </si>
  <si>
    <t>Exhibit 2b.  Year 2 Agency Burden and Cost</t>
  </si>
  <si>
    <t>Activity - Year 2</t>
  </si>
  <si>
    <t>Exhibit 2c.  Year 3 Agency Burden and Cost</t>
  </si>
  <si>
    <t>Activity - Year 3</t>
  </si>
  <si>
    <t>Use for background info. only, not meant for inclusion as table in supporting statement</t>
  </si>
  <si>
    <t>Section of Suporting Statement</t>
  </si>
  <si>
    <t>Calculation</t>
  </si>
  <si>
    <t>Result</t>
  </si>
  <si>
    <t>1b</t>
  </si>
  <si>
    <t>average annual hours burden - respondent</t>
  </si>
  <si>
    <t>average annual total costs - respondent</t>
  </si>
  <si>
    <t>Annual average capital/startup costs</t>
  </si>
  <si>
    <t>annual average O&amp;M costs</t>
  </si>
  <si>
    <t>6a</t>
  </si>
  <si>
    <t>year 1 labor costs</t>
  </si>
  <si>
    <t>year 2 labor costs</t>
  </si>
  <si>
    <t>year 3 labor costs</t>
  </si>
  <si>
    <t xml:space="preserve">total labor costs </t>
  </si>
  <si>
    <t>average annual labor costs</t>
  </si>
  <si>
    <t>6d</t>
  </si>
  <si>
    <t>average # of respondents</t>
  </si>
  <si>
    <t>6e</t>
  </si>
  <si>
    <t>average annual agency hours</t>
  </si>
  <si>
    <t>average annual agency costs</t>
  </si>
  <si>
    <t>6g</t>
  </si>
  <si>
    <t>average hours per response</t>
  </si>
  <si>
    <r>
      <t xml:space="preserve">b </t>
    </r>
    <r>
      <rPr>
        <sz val="10"/>
        <rFont val="Times New Roman"/>
        <family val="1"/>
      </rPr>
      <t>Costs are based on September 2018 Bureau of Labor Statistics, Employer Costs for Employee Compensation total compensation index which includes wages, salaries, and benefits.  Costs are estimated using the following hourly rates:  technical at $35.92, management at $59.82, and clerical at $26.50.  (Source:  http://www.bls.gov/news.release/ecec.toc.htm, Table 2)</t>
    </r>
  </si>
  <si>
    <t>Inflation to 2018 dollars</t>
  </si>
  <si>
    <t>Labor rates based on 2018 federal salary table including locality pay for Denver, Colorado at https://www.opm.gov/policy-data-oversight/pay-leave/salaries-wages/salary-tables/pdf/2018/DEN_h.pdf</t>
  </si>
  <si>
    <r>
      <rPr>
        <vertAlign val="superscript"/>
        <sz val="10"/>
        <rFont val="Times New Roman"/>
        <family val="1"/>
      </rPr>
      <t>a</t>
    </r>
    <r>
      <rPr>
        <sz val="10"/>
        <rFont val="Times New Roman"/>
        <family val="1"/>
      </rPr>
      <t xml:space="preserve"> Costs are based on January 2018 Office of Personnel Management salary table for General Schedule (GS) federal employees including locality payment of 25.47% for the Denver, Colorado area and have been increased by 60% to account for benefit packages. Costs are estimated using the following rates:  technical at $72.75, management at $97.42, and clerical at $36.78.  </t>
    </r>
  </si>
  <si>
    <r>
      <rPr>
        <vertAlign val="superscript"/>
        <sz val="10"/>
        <rFont val="Times New Roman"/>
        <family val="1"/>
      </rPr>
      <t>b</t>
    </r>
    <r>
      <rPr>
        <sz val="10"/>
        <rFont val="Times New Roman"/>
        <family val="1"/>
      </rPr>
      <t xml:space="preserve"> Assumes 1,475 oil and natural gas production facilities will submit annual reports in Year 2.</t>
    </r>
  </si>
  <si>
    <r>
      <rPr>
        <vertAlign val="superscript"/>
        <sz val="10"/>
        <rFont val="Times New Roman"/>
        <family val="1"/>
      </rPr>
      <t>b</t>
    </r>
    <r>
      <rPr>
        <sz val="10"/>
        <rFont val="Times New Roman"/>
        <family val="1"/>
      </rPr>
      <t xml:space="preserve"> Assumes 1,338 oil and natural gas production facilities will submit annual reports in Year 1.</t>
    </r>
  </si>
  <si>
    <r>
      <rPr>
        <vertAlign val="superscript"/>
        <sz val="10"/>
        <rFont val="Times New Roman"/>
        <family val="1"/>
      </rPr>
      <t>b</t>
    </r>
    <r>
      <rPr>
        <sz val="10"/>
        <rFont val="Times New Roman"/>
        <family val="1"/>
      </rPr>
      <t xml:space="preserve"> Assumes 1,695 oil and natural gas production facilities will submit annual reports in Year 3.</t>
    </r>
  </si>
  <si>
    <r>
      <t xml:space="preserve">i  </t>
    </r>
    <r>
      <rPr>
        <sz val="10"/>
        <rFont val="Times New Roman"/>
        <family val="1"/>
      </rPr>
      <t>O&amp;M costs were adjusted from 2015 dollars to 2018 dollars for the ICR renewal</t>
    </r>
  </si>
  <si>
    <r>
      <t xml:space="preserve">h </t>
    </r>
    <r>
      <rPr>
        <sz val="10"/>
        <rFont val="Times New Roman"/>
        <family val="1"/>
      </rPr>
      <t>The rule allows each owner/operator to submit a combined annual report for all of their respective facilities in 1 submittal once per year.  Currently there are 17 known owners/operators subject to the FIP requirements.  Therefore, we have reduced the number of occurences per respondent per year to 0.059 to conservatively account for 1 submittal per each owner/operator for all of facilities subject to the FIP.</t>
    </r>
  </si>
  <si>
    <r>
      <t xml:space="preserve">g  </t>
    </r>
    <r>
      <rPr>
        <sz val="10"/>
        <rFont val="Times New Roman"/>
        <family val="1"/>
      </rPr>
      <t>Recordkeeping only required under specific circumstances which are not expected to occur regularly at each facility.  The number of occurences per respondent per year has been reduced to 0.059 to reflect this assumption.</t>
    </r>
  </si>
  <si>
    <t>(numbers pulled from website 04/16/2019)</t>
  </si>
  <si>
    <t>Year</t>
  </si>
  <si>
    <t>Q1: 2015</t>
  </si>
  <si>
    <t>Q4: 2018</t>
  </si>
  <si>
    <t>111.190/104.148 = 1.068 or 6.8%</t>
  </si>
  <si>
    <t>used website: https://research.stlouisfed.org/fred2/series/GDPDEF</t>
  </si>
  <si>
    <t>this was also used in 2016 ICR renewal</t>
  </si>
  <si>
    <t>Confidential wells = 100; split evenly between 2018 and 2019</t>
  </si>
  <si>
    <t>Summary of first production dates obtained from website: https://info.drillinginfo.com/</t>
  </si>
  <si>
    <t>Total of approximately 2,000 wells and 17 operators are located within the exterior boundary of the Fort Berthold Indian Reservation</t>
  </si>
  <si>
    <t>Estimated Respondents/Facilities</t>
  </si>
  <si>
    <t>website gives the gross domestic product: implicit price deflator, Alex Macpherson from HQ recommended using this index to inflate 2012 dollars to 2015 dollars for the U&amp;O FIP, was used in the CTGs to inflate dollars.</t>
  </si>
  <si>
    <t>Conversion to 2018 Dollars.</t>
  </si>
  <si>
    <t xml:space="preserve"> or 6.8%</t>
  </si>
  <si>
    <t>or 6.8%</t>
  </si>
  <si>
    <t>Calculated Information from tables included in text of Supporting Statement (used 3 significant figures)</t>
  </si>
  <si>
    <t>(Dates used 01/01/2015 - 10/01/2018 October was the last available data for 2018)</t>
  </si>
  <si>
    <t>Average of 2016 thru 2018 =</t>
  </si>
  <si>
    <t>Column1</t>
  </si>
  <si>
    <t>(Thru Feb only) 15 + 50 (see Confidential below) =</t>
  </si>
  <si>
    <t xml:space="preserve">255 + 50 (see Confidential below) = </t>
  </si>
  <si>
    <r>
      <t>e</t>
    </r>
    <r>
      <rPr>
        <sz val="10"/>
        <rFont val="Times New Roman"/>
        <family val="1"/>
      </rPr>
      <t xml:space="preserve"> New sources for Year 2 are estimated to be 221 oil and natural gas facilities. This is based on data available at https://info.drillinginfo.com/ for 2016-2018. This estimate is consistent with the number of new facilities reported in annual reports and therefore suffices as an appropriate and accurate data source rather than manually tallying data from hard copy reports.</t>
    </r>
  </si>
  <si>
    <r>
      <t>e</t>
    </r>
    <r>
      <rPr>
        <sz val="10"/>
        <rFont val="Times New Roman"/>
        <family val="1"/>
      </rPr>
      <t xml:space="preserve"> New sources for Year 1 are estimated to be 221 oil and natural gas facilities. This is based on data available at https://info.drillinginfo.com/ for 2016-2018. This estimate is consistent with the number of new facilities reported in annual reports and therefore suffices as an appropriate and accurate data source rather than manually tallying data from hard copy reports.</t>
    </r>
  </si>
  <si>
    <r>
      <t>e</t>
    </r>
    <r>
      <rPr>
        <sz val="10"/>
        <rFont val="Times New Roman"/>
        <family val="1"/>
      </rPr>
      <t xml:space="preserve"> New sources for Year 3 are estimated to be 221 oil and natural gas facilities. This is based on data available at https://info.drillinginfo.com/ for 2016-2018. This estimate is consistent with the number of new facilities reported in annual reports and therefore suffices as an appropriate and accurate data source rather than manually tallying data from hard copy reports.</t>
    </r>
  </si>
  <si>
    <r>
      <rPr>
        <vertAlign val="superscript"/>
        <sz val="10"/>
        <rFont val="Times New Roman"/>
        <family val="1"/>
      </rPr>
      <t>d</t>
    </r>
    <r>
      <rPr>
        <sz val="10"/>
        <rFont val="Times New Roman"/>
        <family val="1"/>
      </rPr>
      <t xml:space="preserve"> Existing sources in Year 1 are estimated to be 2,000 oil and natural gas facilities.  This number was calculated using the total estimated number of existing sources subject to the FIP in April 2019. (Source: https://info.drillinginfo.com)</t>
    </r>
  </si>
  <si>
    <r>
      <rPr>
        <vertAlign val="superscript"/>
        <sz val="10"/>
        <rFont val="Times New Roman"/>
        <family val="1"/>
      </rPr>
      <t>d</t>
    </r>
    <r>
      <rPr>
        <sz val="10"/>
        <rFont val="Times New Roman"/>
        <family val="1"/>
      </rPr>
      <t xml:space="preserve"> Existing sources in Year 2 are estimated to be 2,221 oil and natural gas facilities based on Year 1 numbers. There is no cost for existing sources to read instructons because it is covered under prior year.</t>
    </r>
  </si>
  <si>
    <r>
      <rPr>
        <vertAlign val="superscript"/>
        <sz val="10"/>
        <rFont val="Times New Roman"/>
        <family val="1"/>
      </rPr>
      <t>d</t>
    </r>
    <r>
      <rPr>
        <sz val="10"/>
        <rFont val="Times New Roman"/>
        <family val="1"/>
      </rPr>
      <t xml:space="preserve"> Existing sources in Year 3 are estimated to be 2,442 oil and natural gas facilities based on Year 3 numbers. There is no cost for existing sources to read instructions because it is covered under the prior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</si>
</sst>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quot;$&quot;#,##0.00"/>
  </numFmts>
  <fonts count="8" x14ac:knownFonts="1">
    <font>
      <sz val="10"/>
      <name val="Times New Roman"/>
      <family val="1"/>
    </font>
    <font>
      <b/>
      <sz val="12"/>
      <name val="Times New Roman"/>
      <family val="1"/>
    </font>
    <font>
      <b/>
      <sz val="10"/>
      <name val="Times New Roman"/>
      <family val="1"/>
    </font>
    <font>
      <vertAlign val="superscript"/>
      <sz val="10"/>
      <name val="Times New Roman"/>
      <family val="1"/>
    </font>
    <font>
      <b/>
      <sz val="12"/>
      <color rgb="FF000000"/>
      <name val="Times New Roman"/>
      <family val="1"/>
    </font>
    <font>
      <vertAlign val="superscript"/>
      <sz val="10"/>
      <name val="Tahoma"/>
      <family val="2"/>
    </font>
    <font>
      <sz val="10"/>
      <name val="Times New Roman"/>
      <family val="1"/>
    </font>
    <font>
      <sz val="11"/>
      <name val="Calibri"/>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82">
    <xf numFmtId="0" fontId="0" fillId="0" borderId="0" xfId="0"/>
    <xf numFmtId="0" fontId="0" fillId="0" borderId="0" xfId="0" applyAlignment="1">
      <alignment horizontal="center"/>
    </xf>
    <xf numFmtId="0" fontId="0" fillId="0" borderId="0" xfId="0" applyAlignment="1">
      <alignment horizontal="center" wrapText="1"/>
    </xf>
    <xf numFmtId="0" fontId="1" fillId="0" borderId="0" xfId="0" applyFont="1"/>
    <xf numFmtId="0" fontId="0" fillId="0" borderId="0" xfId="0" applyAlignment="1">
      <alignment horizontal="left"/>
    </xf>
    <xf numFmtId="0" fontId="0" fillId="0" borderId="0" xfId="0" applyAlignment="1">
      <alignment horizontal="right"/>
    </xf>
    <xf numFmtId="0" fontId="0" fillId="0" borderId="1" xfId="0" quotePrefix="1" applyBorder="1" applyAlignment="1">
      <alignment horizontal="center" vertical="center"/>
    </xf>
    <xf numFmtId="0" fontId="0" fillId="0" borderId="3" xfId="0" applyBorder="1" applyAlignment="1">
      <alignment vertical="center" wrapText="1"/>
    </xf>
    <xf numFmtId="0" fontId="0" fillId="0" borderId="0" xfId="0" applyAlignment="1">
      <alignment horizontal="center" vertical="center" wrapText="1"/>
    </xf>
    <xf numFmtId="3" fontId="0" fillId="0" borderId="0" xfId="0" applyNumberForma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wrapText="1"/>
    </xf>
    <xf numFmtId="3" fontId="0" fillId="0" borderId="1" xfId="0" quotePrefix="1" applyNumberFormat="1" applyBorder="1" applyAlignment="1">
      <alignment horizontal="center" vertical="center" wrapText="1"/>
    </xf>
    <xf numFmtId="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xf>
    <xf numFmtId="44" fontId="0" fillId="0" borderId="0" xfId="1" applyFont="1" applyAlignment="1">
      <alignment horizontal="center"/>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0" fontId="0" fillId="0" borderId="0" xfId="0" applyNumberFormat="1"/>
    <xf numFmtId="0" fontId="0" fillId="0" borderId="1" xfId="0" applyBorder="1" applyAlignment="1">
      <alignment horizontal="center" vertical="center"/>
    </xf>
    <xf numFmtId="0" fontId="7" fillId="0" borderId="0" xfId="0" applyFont="1"/>
    <xf numFmtId="0" fontId="0" fillId="0" borderId="0" xfId="0" applyFont="1"/>
    <xf numFmtId="3" fontId="0" fillId="0" borderId="1" xfId="0" applyNumberFormat="1" applyBorder="1" applyAlignment="1">
      <alignment horizontal="center" vertical="center"/>
    </xf>
    <xf numFmtId="1" fontId="0" fillId="0" borderId="0" xfId="0" applyNumberFormat="1"/>
    <xf numFmtId="0" fontId="0" fillId="0" borderId="0" xfId="0" applyAlignment="1">
      <alignment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1"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0" fillId="0" borderId="0" xfId="0" applyAlignment="1">
      <alignment vertical="top" wrapText="1"/>
    </xf>
    <xf numFmtId="0" fontId="0"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2" fillId="0" borderId="1" xfId="0" applyFont="1" applyBorder="1" applyAlignment="1">
      <alignment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3" fontId="0" fillId="0" borderId="2" xfId="0" applyNumberFormat="1" applyBorder="1" applyAlignment="1">
      <alignment horizontal="center" vertical="center"/>
    </xf>
    <xf numFmtId="0" fontId="0" fillId="0" borderId="0" xfId="0" applyAlignment="1"/>
    <xf numFmtId="0" fontId="2" fillId="0" borderId="3" xfId="0" applyFont="1" applyBorder="1" applyAlignment="1">
      <alignmen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2" xfId="0" applyBorder="1" applyAlignment="1">
      <alignment vertical="center" wrapText="1"/>
    </xf>
    <xf numFmtId="0" fontId="0" fillId="0" borderId="6" xfId="0" applyBorder="1" applyAlignment="1">
      <alignment vertical="center" wrapText="1"/>
    </xf>
    <xf numFmtId="164"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0" borderId="0" xfId="0" applyFont="1" applyAlignment="1">
      <alignment wrapText="1"/>
    </xf>
  </cellXfs>
  <cellStyles count="2">
    <cellStyle name="Currency" xfId="1" builtinId="4"/>
    <cellStyle name="Normal" xfId="0" builtinId="0" customBuiltin="1"/>
  </cellStyles>
  <dxfs count="1">
    <dxf>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F36CD3-46F6-497B-B7BD-23962D4C7349}" name="Table1" displayName="Table1" ref="B5:D9" totalsRowShown="0">
  <autoFilter ref="B5:D9" xr:uid="{743678D5-7428-44AB-A7BB-F8E4701D9EFA}"/>
  <tableColumns count="3">
    <tableColumn id="1" xr3:uid="{9851344F-4318-4393-9EFB-159F4D833BBD}" name="Year" dataDxfId="0"/>
    <tableColumn id="2" xr3:uid="{7F2E6ACB-9F24-4271-A9F5-7B06E9D9776A}" name="Estimated Respondents/Facilities"/>
    <tableColumn id="3" xr3:uid="{33E27A1F-DEBD-44A1-ABC1-F28556D27FE2}" name="Column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showGridLines="0" zoomScale="96" zoomScaleNormal="96" workbookViewId="0">
      <selection activeCell="G9" sqref="G9"/>
    </sheetView>
  </sheetViews>
  <sheetFormatPr defaultRowHeight="12.75" x14ac:dyDescent="0.2"/>
  <cols>
    <col min="1" max="2" width="3.83203125" customWidth="1"/>
    <col min="3" max="3" width="51" customWidth="1"/>
    <col min="4" max="6" width="12.83203125" customWidth="1"/>
    <col min="7" max="7" width="13.5" customWidth="1"/>
    <col min="8" max="10" width="12.83203125" customWidth="1"/>
    <col min="11" max="11" width="15.5" customWidth="1"/>
    <col min="12" max="13" width="12.83203125" customWidth="1"/>
    <col min="14" max="14" width="21.83203125" customWidth="1"/>
    <col min="15" max="15" width="16.83203125" customWidth="1"/>
    <col min="16" max="16" width="18.33203125" customWidth="1"/>
    <col min="17" max="19" width="16.83203125" customWidth="1"/>
  </cols>
  <sheetData>
    <row r="1" spans="1:19" ht="18.75" customHeight="1" x14ac:dyDescent="0.25">
      <c r="A1" s="43" t="s">
        <v>0</v>
      </c>
      <c r="B1" s="44"/>
      <c r="C1" s="44"/>
      <c r="D1" s="44"/>
      <c r="E1" s="44"/>
      <c r="F1" s="44"/>
      <c r="G1" s="44"/>
      <c r="H1" s="44"/>
      <c r="I1" s="44"/>
      <c r="J1" s="44"/>
      <c r="K1" s="44"/>
      <c r="L1" s="44"/>
      <c r="M1" s="44"/>
      <c r="N1" s="44"/>
      <c r="P1" t="s">
        <v>1</v>
      </c>
      <c r="Q1" t="s">
        <v>2</v>
      </c>
    </row>
    <row r="2" spans="1:19" ht="18" customHeight="1" x14ac:dyDescent="0.2">
      <c r="A2" s="45" t="s">
        <v>3</v>
      </c>
      <c r="B2" s="46"/>
      <c r="C2" s="46"/>
      <c r="D2" s="46"/>
      <c r="E2" s="46"/>
      <c r="F2" s="46"/>
      <c r="G2" s="46"/>
      <c r="H2" s="46"/>
      <c r="I2" s="46"/>
      <c r="J2" s="46"/>
      <c r="K2" s="46"/>
      <c r="L2" s="46"/>
      <c r="M2" s="46"/>
      <c r="N2" s="46"/>
      <c r="P2" t="s">
        <v>4</v>
      </c>
      <c r="Q2">
        <v>35.92</v>
      </c>
    </row>
    <row r="3" spans="1:19" x14ac:dyDescent="0.2">
      <c r="P3" t="s">
        <v>5</v>
      </c>
      <c r="Q3">
        <v>59.86</v>
      </c>
    </row>
    <row r="4" spans="1:19" x14ac:dyDescent="0.2">
      <c r="A4" s="48" t="s">
        <v>6</v>
      </c>
      <c r="B4" s="49"/>
      <c r="C4" s="49"/>
      <c r="D4" s="26" t="s">
        <v>7</v>
      </c>
      <c r="E4" s="26" t="s">
        <v>8</v>
      </c>
      <c r="F4" s="6" t="s">
        <v>9</v>
      </c>
      <c r="G4" s="26" t="s">
        <v>10</v>
      </c>
      <c r="H4" s="26" t="s">
        <v>11</v>
      </c>
      <c r="I4" s="26" t="s">
        <v>12</v>
      </c>
      <c r="J4" s="26" t="s">
        <v>13</v>
      </c>
      <c r="K4" s="26" t="s">
        <v>14</v>
      </c>
      <c r="L4" s="26" t="s">
        <v>15</v>
      </c>
      <c r="M4" s="26" t="s">
        <v>16</v>
      </c>
      <c r="N4" s="26" t="s">
        <v>17</v>
      </c>
      <c r="O4" s="1"/>
      <c r="P4" s="4" t="s">
        <v>18</v>
      </c>
      <c r="Q4" s="5">
        <v>26.5</v>
      </c>
      <c r="R4" s="1"/>
      <c r="S4" s="1"/>
    </row>
    <row r="5" spans="1:19" ht="63.75" x14ac:dyDescent="0.2">
      <c r="A5" s="49"/>
      <c r="B5" s="49"/>
      <c r="C5" s="49"/>
      <c r="D5" s="23" t="s">
        <v>19</v>
      </c>
      <c r="E5" s="23" t="s">
        <v>20</v>
      </c>
      <c r="F5" s="23" t="s">
        <v>21</v>
      </c>
      <c r="G5" s="23" t="s">
        <v>22</v>
      </c>
      <c r="H5" s="23" t="s">
        <v>23</v>
      </c>
      <c r="I5" s="23" t="s">
        <v>24</v>
      </c>
      <c r="J5" s="23" t="s">
        <v>25</v>
      </c>
      <c r="K5" s="23" t="s">
        <v>26</v>
      </c>
      <c r="L5" s="23" t="s">
        <v>27</v>
      </c>
      <c r="M5" s="23" t="s">
        <v>28</v>
      </c>
      <c r="N5" s="23" t="s">
        <v>29</v>
      </c>
      <c r="O5" s="2"/>
      <c r="P5" s="8" t="s">
        <v>30</v>
      </c>
      <c r="Q5" s="2"/>
      <c r="R5" s="2"/>
      <c r="S5" s="2"/>
    </row>
    <row r="6" spans="1:19" ht="15.95" customHeight="1" x14ac:dyDescent="0.2">
      <c r="A6" s="68" t="s">
        <v>31</v>
      </c>
      <c r="B6" s="69"/>
      <c r="C6" s="69"/>
      <c r="D6" s="69"/>
      <c r="E6" s="69"/>
      <c r="F6" s="69"/>
      <c r="G6" s="69"/>
      <c r="H6" s="69"/>
      <c r="I6" s="69"/>
      <c r="J6" s="69"/>
      <c r="K6" s="69"/>
      <c r="L6" s="69"/>
      <c r="M6" s="69"/>
      <c r="N6" s="70"/>
      <c r="P6" t="s">
        <v>118</v>
      </c>
      <c r="Q6">
        <v>1.0680000000000001</v>
      </c>
      <c r="R6" s="33" t="s">
        <v>140</v>
      </c>
    </row>
    <row r="7" spans="1:19" ht="15.95" customHeight="1" x14ac:dyDescent="0.2">
      <c r="A7" s="68" t="s">
        <v>32</v>
      </c>
      <c r="B7" s="69"/>
      <c r="C7" s="69"/>
      <c r="D7" s="69"/>
      <c r="E7" s="69"/>
      <c r="F7" s="69"/>
      <c r="G7" s="69"/>
      <c r="H7" s="69"/>
      <c r="I7" s="69"/>
      <c r="J7" s="69"/>
      <c r="K7" s="69"/>
      <c r="L7" s="69"/>
      <c r="M7" s="69"/>
      <c r="N7" s="70"/>
      <c r="R7" s="33"/>
    </row>
    <row r="8" spans="1:19" ht="15.95" customHeight="1" x14ac:dyDescent="0.2">
      <c r="A8" s="71" t="s">
        <v>33</v>
      </c>
      <c r="B8" s="72"/>
      <c r="C8" s="72"/>
      <c r="D8" s="69"/>
      <c r="E8" s="69"/>
      <c r="F8" s="69"/>
      <c r="G8" s="69"/>
      <c r="H8" s="69"/>
      <c r="I8" s="69"/>
      <c r="J8" s="69"/>
      <c r="K8" s="69"/>
      <c r="L8" s="69"/>
      <c r="M8" s="69"/>
      <c r="N8" s="70"/>
    </row>
    <row r="9" spans="1:19" ht="34.5" customHeight="1" x14ac:dyDescent="0.2">
      <c r="A9" s="28"/>
      <c r="B9" s="29"/>
      <c r="C9" s="7" t="s">
        <v>34</v>
      </c>
      <c r="D9" s="25">
        <v>24</v>
      </c>
      <c r="E9" s="25">
        <v>1</v>
      </c>
      <c r="F9" s="25">
        <f>D9*E9</f>
        <v>24</v>
      </c>
      <c r="G9" s="34">
        <v>2221</v>
      </c>
      <c r="H9" s="25">
        <f>F9*G9</f>
        <v>53304</v>
      </c>
      <c r="I9" s="25">
        <f>H9*0.05</f>
        <v>2665.2000000000003</v>
      </c>
      <c r="J9" s="25">
        <f>H9*0.1</f>
        <v>5330.4000000000005</v>
      </c>
      <c r="K9" s="27">
        <v>3470</v>
      </c>
      <c r="L9" s="27">
        <f>(4750*Q6)</f>
        <v>5073</v>
      </c>
      <c r="M9" s="27">
        <f>(H9*Q$2)+(I9*Q$3)+(J9*Q$4)</f>
        <v>2215474.1520000002</v>
      </c>
      <c r="N9" s="20">
        <f>(H9*Q$2)+(I9*Q$3)+(J9*Q$4)+(K9*G9)+(L9*G9)</f>
        <v>21189477.152000003</v>
      </c>
      <c r="P9" t="s">
        <v>35</v>
      </c>
    </row>
    <row r="10" spans="1:19" ht="15.95" customHeight="1" x14ac:dyDescent="0.2">
      <c r="A10" s="68" t="s">
        <v>36</v>
      </c>
      <c r="B10" s="69"/>
      <c r="C10" s="69"/>
      <c r="D10" s="69"/>
      <c r="E10" s="69"/>
      <c r="F10" s="69"/>
      <c r="G10" s="69"/>
      <c r="H10" s="69"/>
      <c r="I10" s="69"/>
      <c r="J10" s="69"/>
      <c r="K10" s="69"/>
      <c r="L10" s="69"/>
      <c r="M10" s="69"/>
      <c r="N10" s="70"/>
    </row>
    <row r="11" spans="1:19" ht="15.95" customHeight="1" x14ac:dyDescent="0.2">
      <c r="A11" s="28"/>
      <c r="B11" s="30" t="s">
        <v>37</v>
      </c>
      <c r="C11" s="24"/>
      <c r="D11" s="57"/>
      <c r="E11" s="58"/>
      <c r="F11" s="58"/>
      <c r="G11" s="58"/>
      <c r="H11" s="58"/>
      <c r="I11" s="58"/>
      <c r="J11" s="58"/>
      <c r="K11" s="58"/>
      <c r="L11" s="58"/>
      <c r="M11" s="58"/>
      <c r="N11" s="59"/>
    </row>
    <row r="12" spans="1:19" ht="15.95" customHeight="1" x14ac:dyDescent="0.2">
      <c r="A12" s="28"/>
      <c r="B12" s="29"/>
      <c r="C12" s="7" t="s">
        <v>38</v>
      </c>
      <c r="D12" s="26">
        <v>1</v>
      </c>
      <c r="E12" s="26">
        <v>5.8999999999999997E-2</v>
      </c>
      <c r="F12" s="26">
        <f>D12*E12</f>
        <v>5.8999999999999997E-2</v>
      </c>
      <c r="G12" s="26">
        <v>2000</v>
      </c>
      <c r="H12" s="25">
        <f>F12*G12</f>
        <v>118</v>
      </c>
      <c r="I12" s="25">
        <f>H12*0.05</f>
        <v>5.9</v>
      </c>
      <c r="J12" s="25">
        <f>H12*0.1</f>
        <v>11.8</v>
      </c>
      <c r="K12" s="27">
        <v>0</v>
      </c>
      <c r="L12" s="27">
        <v>0</v>
      </c>
      <c r="M12" s="27">
        <f>(H12*Q$2)+(I12*Q$3)+(J12*Q$4)</f>
        <v>4904.4340000000002</v>
      </c>
      <c r="N12" s="27">
        <f>(H12*Q$2)+(I12*Q$3)+(J12*Q$4)+(K12*G12)+(L12*G12)</f>
        <v>4904.4340000000002</v>
      </c>
    </row>
    <row r="13" spans="1:19" ht="15.95" customHeight="1" x14ac:dyDescent="0.2">
      <c r="A13" s="28"/>
      <c r="B13" s="29"/>
      <c r="C13" s="30" t="s">
        <v>39</v>
      </c>
      <c r="D13" s="25">
        <v>1</v>
      </c>
      <c r="E13" s="12">
        <v>5.8999999999999997E-2</v>
      </c>
      <c r="F13" s="25">
        <f>D13*E13</f>
        <v>5.8999999999999997E-2</v>
      </c>
      <c r="G13" s="25">
        <v>221</v>
      </c>
      <c r="H13" s="25">
        <f>F13*G13</f>
        <v>13.039</v>
      </c>
      <c r="I13" s="25">
        <f>H13*0.05</f>
        <v>0.65195000000000003</v>
      </c>
      <c r="J13" s="25">
        <f>H13*0.1</f>
        <v>1.3039000000000001</v>
      </c>
      <c r="K13" s="27">
        <v>0</v>
      </c>
      <c r="L13" s="27">
        <v>0</v>
      </c>
      <c r="M13" s="27">
        <f>(H13*Q$2)+(I13*Q$3)+(J13*Q$4)</f>
        <v>541.93995700000005</v>
      </c>
      <c r="N13" s="27">
        <f>(H13*Q$2)+(I13*Q$3)+(J13*Q$4)+(K13*G13)+(L13*G13)</f>
        <v>541.93995700000005</v>
      </c>
    </row>
    <row r="14" spans="1:19" ht="15.95" customHeight="1" x14ac:dyDescent="0.2">
      <c r="A14" s="28"/>
      <c r="B14" s="30" t="s">
        <v>40</v>
      </c>
      <c r="C14" s="24"/>
      <c r="D14" s="60"/>
      <c r="E14" s="58"/>
      <c r="F14" s="58"/>
      <c r="G14" s="58"/>
      <c r="H14" s="58"/>
      <c r="I14" s="58"/>
      <c r="J14" s="58"/>
      <c r="K14" s="58"/>
      <c r="L14" s="58"/>
      <c r="M14" s="58"/>
      <c r="N14" s="59"/>
    </row>
    <row r="15" spans="1:19" ht="15.95" customHeight="1" x14ac:dyDescent="0.2">
      <c r="A15" s="28"/>
      <c r="B15" s="29"/>
      <c r="C15" s="7" t="s">
        <v>41</v>
      </c>
      <c r="D15" s="12">
        <v>0</v>
      </c>
      <c r="E15" s="25">
        <v>1</v>
      </c>
      <c r="F15" s="25">
        <f>D15*E15</f>
        <v>0</v>
      </c>
      <c r="G15" s="34">
        <v>2221</v>
      </c>
      <c r="H15" s="25">
        <f>F15*G15</f>
        <v>0</v>
      </c>
      <c r="I15" s="25">
        <f>H15*0.05</f>
        <v>0</v>
      </c>
      <c r="J15" s="25">
        <f>H15*0.1</f>
        <v>0</v>
      </c>
      <c r="K15" s="27">
        <v>0</v>
      </c>
      <c r="L15" s="27">
        <v>0</v>
      </c>
      <c r="M15" s="27">
        <f>(H15*Q$2)+(I15*Q$3)+(J15*Q$4)</f>
        <v>0</v>
      </c>
      <c r="N15" s="27">
        <f>(H15*Q$2)+(I15*Q$3)+(J15*Q$4)+(K15*G15)+(L15*G15)</f>
        <v>0</v>
      </c>
      <c r="P15" t="s">
        <v>42</v>
      </c>
    </row>
    <row r="16" spans="1:19" ht="15.95" customHeight="1" x14ac:dyDescent="0.2">
      <c r="A16" s="28"/>
      <c r="B16" s="29"/>
      <c r="C16" s="7" t="s">
        <v>43</v>
      </c>
      <c r="D16" s="12">
        <v>0</v>
      </c>
      <c r="E16" s="25">
        <v>1</v>
      </c>
      <c r="F16" s="25">
        <f t="shared" ref="F16:F23" si="0">D16*E16</f>
        <v>0</v>
      </c>
      <c r="G16" s="41">
        <v>2221</v>
      </c>
      <c r="H16" s="25">
        <f t="shared" ref="H16:H23" si="1">F16*G16</f>
        <v>0</v>
      </c>
      <c r="I16" s="25">
        <f t="shared" ref="I16:I23" si="2">H16*0.05</f>
        <v>0</v>
      </c>
      <c r="J16" s="25">
        <f t="shared" ref="J16:J23" si="3">H16*0.1</f>
        <v>0</v>
      </c>
      <c r="K16" s="27">
        <v>0</v>
      </c>
      <c r="L16" s="27">
        <v>0</v>
      </c>
      <c r="M16" s="27">
        <f>(H16*Q$2)+(I16*Q$3)+(J16*Q$4)</f>
        <v>0</v>
      </c>
      <c r="N16" s="27">
        <f t="shared" ref="N16:N23" si="4">(H16*Q$2)+(I16*Q$3)+(J16*Q$4)+(K16*G16)+(L16*G16)</f>
        <v>0</v>
      </c>
      <c r="P16" t="s">
        <v>44</v>
      </c>
    </row>
    <row r="17" spans="1:16" ht="15.95" customHeight="1" x14ac:dyDescent="0.2">
      <c r="A17" s="28"/>
      <c r="B17" s="29"/>
      <c r="C17" s="7" t="s">
        <v>45</v>
      </c>
      <c r="D17" s="12">
        <v>1</v>
      </c>
      <c r="E17" s="25">
        <v>1</v>
      </c>
      <c r="F17" s="25">
        <f t="shared" si="0"/>
        <v>1</v>
      </c>
      <c r="G17" s="41">
        <v>2221</v>
      </c>
      <c r="H17" s="25">
        <f t="shared" si="1"/>
        <v>2221</v>
      </c>
      <c r="I17" s="25">
        <f t="shared" si="2"/>
        <v>111.05000000000001</v>
      </c>
      <c r="J17" s="25">
        <f t="shared" si="3"/>
        <v>222.10000000000002</v>
      </c>
      <c r="K17" s="27">
        <v>0</v>
      </c>
      <c r="L17" s="27">
        <v>0</v>
      </c>
      <c r="M17" s="27">
        <f>(H17*Q$2)+(I17*Q$3)+(J17*Q$4)</f>
        <v>92311.422999999995</v>
      </c>
      <c r="N17" s="27">
        <f t="shared" si="4"/>
        <v>92311.422999999995</v>
      </c>
      <c r="P17" t="s">
        <v>46</v>
      </c>
    </row>
    <row r="18" spans="1:16" ht="15.95" customHeight="1" x14ac:dyDescent="0.2">
      <c r="A18" s="28"/>
      <c r="B18" s="29"/>
      <c r="C18" s="7" t="s">
        <v>47</v>
      </c>
      <c r="D18" s="12">
        <v>2</v>
      </c>
      <c r="E18" s="25">
        <v>1</v>
      </c>
      <c r="F18" s="25">
        <f t="shared" si="0"/>
        <v>2</v>
      </c>
      <c r="G18" s="41">
        <v>2221</v>
      </c>
      <c r="H18" s="25">
        <f t="shared" si="1"/>
        <v>4442</v>
      </c>
      <c r="I18" s="25">
        <f t="shared" si="2"/>
        <v>222.10000000000002</v>
      </c>
      <c r="J18" s="25">
        <f t="shared" si="3"/>
        <v>444.20000000000005</v>
      </c>
      <c r="K18" s="27">
        <v>0</v>
      </c>
      <c r="L18" s="27">
        <v>0</v>
      </c>
      <c r="M18" s="27">
        <f>(H18*Q$2)+(I18*Q$3)+(J18*Q$4)</f>
        <v>184622.84599999999</v>
      </c>
      <c r="N18" s="27">
        <f t="shared" si="4"/>
        <v>184622.84599999999</v>
      </c>
      <c r="P18" t="s">
        <v>48</v>
      </c>
    </row>
    <row r="19" spans="1:16" ht="15.95" customHeight="1" x14ac:dyDescent="0.2">
      <c r="A19" s="28"/>
      <c r="B19" s="29"/>
      <c r="C19" s="7" t="s">
        <v>49</v>
      </c>
      <c r="D19" s="12">
        <v>8</v>
      </c>
      <c r="E19" s="25">
        <v>1</v>
      </c>
      <c r="F19" s="25">
        <f t="shared" si="0"/>
        <v>8</v>
      </c>
      <c r="G19" s="41">
        <v>2221</v>
      </c>
      <c r="H19" s="25">
        <f t="shared" si="1"/>
        <v>17768</v>
      </c>
      <c r="I19" s="25">
        <f t="shared" si="2"/>
        <v>888.40000000000009</v>
      </c>
      <c r="J19" s="25">
        <f t="shared" si="3"/>
        <v>1776.8000000000002</v>
      </c>
      <c r="K19" s="27">
        <v>0</v>
      </c>
      <c r="L19" s="27">
        <v>0</v>
      </c>
      <c r="M19" s="27">
        <f t="shared" ref="M19:M23" si="5">(H19*Q$2)+(I19*Q$3)+(J19*Q$4)</f>
        <v>738491.38399999996</v>
      </c>
      <c r="N19" s="27">
        <f t="shared" si="4"/>
        <v>738491.38399999996</v>
      </c>
      <c r="P19" t="s">
        <v>50</v>
      </c>
    </row>
    <row r="20" spans="1:16" ht="15.95" customHeight="1" x14ac:dyDescent="0.2">
      <c r="A20" s="28"/>
      <c r="B20" s="29"/>
      <c r="C20" s="7" t="s">
        <v>51</v>
      </c>
      <c r="D20" s="12">
        <v>0.5</v>
      </c>
      <c r="E20" s="12">
        <v>5.8999999999999997E-2</v>
      </c>
      <c r="F20" s="25">
        <f t="shared" si="0"/>
        <v>2.9499999999999998E-2</v>
      </c>
      <c r="G20" s="41">
        <v>2221</v>
      </c>
      <c r="H20" s="25">
        <f t="shared" si="1"/>
        <v>65.519499999999994</v>
      </c>
      <c r="I20" s="25">
        <f t="shared" si="2"/>
        <v>3.2759749999999999</v>
      </c>
      <c r="J20" s="25">
        <f t="shared" si="3"/>
        <v>6.5519499999999997</v>
      </c>
      <c r="K20" s="27">
        <v>0</v>
      </c>
      <c r="L20" s="27">
        <v>0</v>
      </c>
      <c r="M20" s="27">
        <f t="shared" si="5"/>
        <v>2723.1869784999999</v>
      </c>
      <c r="N20" s="27">
        <f t="shared" si="4"/>
        <v>2723.1869784999999</v>
      </c>
      <c r="P20" t="s">
        <v>52</v>
      </c>
    </row>
    <row r="21" spans="1:16" ht="15.95" customHeight="1" x14ac:dyDescent="0.2">
      <c r="A21" s="28"/>
      <c r="B21" s="29"/>
      <c r="C21" s="7" t="s">
        <v>53</v>
      </c>
      <c r="D21" s="12">
        <v>0.5</v>
      </c>
      <c r="E21" s="12">
        <v>5.8999999999999997E-2</v>
      </c>
      <c r="F21" s="25">
        <f t="shared" si="0"/>
        <v>2.9499999999999998E-2</v>
      </c>
      <c r="G21" s="41">
        <v>2221</v>
      </c>
      <c r="H21" s="25">
        <f t="shared" si="1"/>
        <v>65.519499999999994</v>
      </c>
      <c r="I21" s="25">
        <f t="shared" si="2"/>
        <v>3.2759749999999999</v>
      </c>
      <c r="J21" s="25">
        <f t="shared" si="3"/>
        <v>6.5519499999999997</v>
      </c>
      <c r="K21" s="27">
        <v>0</v>
      </c>
      <c r="L21" s="27">
        <v>0</v>
      </c>
      <c r="M21" s="27">
        <f t="shared" si="5"/>
        <v>2723.1869784999999</v>
      </c>
      <c r="N21" s="27">
        <f t="shared" si="4"/>
        <v>2723.1869784999999</v>
      </c>
      <c r="P21" t="s">
        <v>54</v>
      </c>
    </row>
    <row r="22" spans="1:16" ht="15.95" customHeight="1" x14ac:dyDescent="0.2">
      <c r="A22" s="28"/>
      <c r="B22" s="29"/>
      <c r="C22" s="7" t="s">
        <v>55</v>
      </c>
      <c r="D22" s="12">
        <v>4</v>
      </c>
      <c r="E22" s="12">
        <v>1</v>
      </c>
      <c r="F22" s="25">
        <f t="shared" si="0"/>
        <v>4</v>
      </c>
      <c r="G22" s="41">
        <v>2221</v>
      </c>
      <c r="H22" s="25">
        <f t="shared" si="1"/>
        <v>8884</v>
      </c>
      <c r="I22" s="25">
        <f t="shared" si="2"/>
        <v>444.20000000000005</v>
      </c>
      <c r="J22" s="25">
        <f t="shared" si="3"/>
        <v>888.40000000000009</v>
      </c>
      <c r="K22" s="27">
        <v>0</v>
      </c>
      <c r="L22" s="27">
        <v>0</v>
      </c>
      <c r="M22" s="27">
        <f t="shared" si="5"/>
        <v>369245.69199999998</v>
      </c>
      <c r="N22" s="27">
        <f t="shared" si="4"/>
        <v>369245.69199999998</v>
      </c>
      <c r="P22" t="s">
        <v>56</v>
      </c>
    </row>
    <row r="23" spans="1:16" ht="15.95" customHeight="1" x14ac:dyDescent="0.2">
      <c r="A23" s="28"/>
      <c r="B23" s="29"/>
      <c r="C23" s="7" t="s">
        <v>57</v>
      </c>
      <c r="D23" s="12">
        <v>0.25</v>
      </c>
      <c r="E23" s="25">
        <v>1</v>
      </c>
      <c r="F23" s="25">
        <f t="shared" si="0"/>
        <v>0.25</v>
      </c>
      <c r="G23" s="41">
        <v>2221</v>
      </c>
      <c r="H23" s="25">
        <f t="shared" si="1"/>
        <v>555.25</v>
      </c>
      <c r="I23" s="25">
        <f t="shared" si="2"/>
        <v>27.762500000000003</v>
      </c>
      <c r="J23" s="25">
        <f t="shared" si="3"/>
        <v>55.525000000000006</v>
      </c>
      <c r="K23" s="27">
        <v>0</v>
      </c>
      <c r="L23" s="27">
        <v>0</v>
      </c>
      <c r="M23" s="27">
        <f t="shared" si="5"/>
        <v>23077.855749999999</v>
      </c>
      <c r="N23" s="27">
        <f t="shared" si="4"/>
        <v>23077.855749999999</v>
      </c>
      <c r="P23" t="s">
        <v>58</v>
      </c>
    </row>
    <row r="24" spans="1:16" ht="15.95" customHeight="1" x14ac:dyDescent="0.2">
      <c r="A24" s="28"/>
      <c r="B24" s="30" t="s">
        <v>59</v>
      </c>
      <c r="C24" s="24"/>
      <c r="D24" s="63" t="s">
        <v>60</v>
      </c>
      <c r="E24" s="64"/>
      <c r="F24" s="64"/>
      <c r="G24" s="64"/>
      <c r="H24" s="64"/>
      <c r="I24" s="64"/>
      <c r="J24" s="64"/>
      <c r="K24" s="64"/>
      <c r="L24" s="64"/>
      <c r="M24" s="64"/>
      <c r="N24" s="65"/>
    </row>
    <row r="25" spans="1:16" ht="15.95" customHeight="1" x14ac:dyDescent="0.2">
      <c r="A25" s="31"/>
      <c r="B25" s="62" t="s">
        <v>61</v>
      </c>
      <c r="C25" s="52"/>
      <c r="D25" s="52"/>
      <c r="E25" s="52"/>
      <c r="F25" s="52"/>
      <c r="G25" s="52"/>
      <c r="H25" s="25">
        <f>SUM(H15:H23)+SUM(H12:H13)+H9</f>
        <v>87436.327999999994</v>
      </c>
      <c r="I25" s="25">
        <f t="shared" ref="I25:J25" si="6">SUM(I15:I23)+SUM(I12:I13)+I9</f>
        <v>4371.8164000000006</v>
      </c>
      <c r="J25" s="25">
        <f t="shared" si="6"/>
        <v>8743.6328000000012</v>
      </c>
      <c r="K25" s="27">
        <f>SUM(K15:K23)+K12+K13+K9</f>
        <v>3470</v>
      </c>
      <c r="L25" s="27">
        <f>SUM(L15:L23)+L12+L13+L9</f>
        <v>5073</v>
      </c>
      <c r="M25" s="73">
        <f>SUM(M15:M23)+M12+M13</f>
        <v>1418641.948664</v>
      </c>
      <c r="N25" s="55">
        <f>SUM(N15:N23)+N9+N12+N13</f>
        <v>22608119.100664005</v>
      </c>
    </row>
    <row r="26" spans="1:16" ht="15.95" customHeight="1" x14ac:dyDescent="0.2">
      <c r="A26" s="32"/>
      <c r="B26" s="62"/>
      <c r="C26" s="52"/>
      <c r="D26" s="52"/>
      <c r="E26" s="52"/>
      <c r="F26" s="52"/>
      <c r="G26" s="52"/>
      <c r="H26" s="53">
        <f>SUM(H25:J25)</f>
        <v>100551.7772</v>
      </c>
      <c r="I26" s="54"/>
      <c r="J26" s="54"/>
      <c r="K26" s="66">
        <f>K25+L25</f>
        <v>8543</v>
      </c>
      <c r="L26" s="67"/>
      <c r="M26" s="74"/>
      <c r="N26" s="54"/>
    </row>
    <row r="27" spans="1:16" ht="15.95" customHeight="1" x14ac:dyDescent="0.2">
      <c r="A27" s="68" t="s">
        <v>62</v>
      </c>
      <c r="B27" s="69"/>
      <c r="C27" s="69"/>
      <c r="D27" s="69"/>
      <c r="E27" s="69"/>
      <c r="F27" s="69"/>
      <c r="G27" s="69"/>
      <c r="H27" s="69"/>
      <c r="I27" s="69"/>
      <c r="J27" s="69"/>
      <c r="K27" s="69"/>
      <c r="L27" s="69"/>
      <c r="M27" s="69"/>
      <c r="N27" s="70"/>
    </row>
    <row r="28" spans="1:16" ht="15.95" customHeight="1" x14ac:dyDescent="0.2">
      <c r="A28" s="28"/>
      <c r="B28" s="30" t="s">
        <v>63</v>
      </c>
      <c r="C28" s="24"/>
      <c r="D28" s="63" t="s">
        <v>64</v>
      </c>
      <c r="E28" s="64"/>
      <c r="F28" s="64"/>
      <c r="G28" s="64"/>
      <c r="H28" s="64"/>
      <c r="I28" s="64"/>
      <c r="J28" s="64"/>
      <c r="K28" s="64"/>
      <c r="L28" s="64"/>
      <c r="M28" s="64"/>
      <c r="N28" s="65"/>
    </row>
    <row r="29" spans="1:16" ht="15.95" customHeight="1" x14ac:dyDescent="0.2">
      <c r="A29" s="28"/>
      <c r="B29" s="30" t="s">
        <v>40</v>
      </c>
      <c r="C29" s="24"/>
      <c r="D29" s="57"/>
      <c r="E29" s="58"/>
      <c r="F29" s="58"/>
      <c r="G29" s="58"/>
      <c r="H29" s="58"/>
      <c r="I29" s="58"/>
      <c r="J29" s="58"/>
      <c r="K29" s="58"/>
      <c r="L29" s="58"/>
      <c r="M29" s="58"/>
      <c r="N29" s="59"/>
    </row>
    <row r="30" spans="1:16" ht="15.95" customHeight="1" x14ac:dyDescent="0.2">
      <c r="A30" s="28"/>
      <c r="B30" s="29"/>
      <c r="C30" s="7" t="s">
        <v>65</v>
      </c>
      <c r="D30" s="25">
        <v>20</v>
      </c>
      <c r="E30" s="12">
        <v>5.8999999999999997E-2</v>
      </c>
      <c r="F30" s="26">
        <f>D30*E30</f>
        <v>1.18</v>
      </c>
      <c r="G30" s="26">
        <v>937</v>
      </c>
      <c r="H30" s="25">
        <f>F30*G30</f>
        <v>1105.6599999999999</v>
      </c>
      <c r="I30" s="25">
        <f>H30*0.05</f>
        <v>55.282999999999994</v>
      </c>
      <c r="J30" s="25">
        <f>H30*0.1</f>
        <v>110.56599999999999</v>
      </c>
      <c r="K30" s="27">
        <v>0</v>
      </c>
      <c r="L30" s="27">
        <v>0</v>
      </c>
      <c r="M30" s="27">
        <f t="shared" ref="M30" si="7">(H30*Q$2)+(I30*Q$3)+(J30*Q$4)</f>
        <v>45954.546579999995</v>
      </c>
      <c r="N30" s="27">
        <f>(H30*Q$2)+(I30*Q$3)+(J30*Q$4)+(K30*G30)+(L30*G30)</f>
        <v>45954.546579999995</v>
      </c>
      <c r="P30" t="s">
        <v>66</v>
      </c>
    </row>
    <row r="31" spans="1:16" ht="15.95" customHeight="1" x14ac:dyDescent="0.2">
      <c r="A31" s="28"/>
      <c r="B31" s="30" t="s">
        <v>67</v>
      </c>
      <c r="C31" s="24"/>
      <c r="D31" s="63" t="s">
        <v>68</v>
      </c>
      <c r="E31" s="64"/>
      <c r="F31" s="64"/>
      <c r="G31" s="64"/>
      <c r="H31" s="64"/>
      <c r="I31" s="64"/>
      <c r="J31" s="64"/>
      <c r="K31" s="64"/>
      <c r="L31" s="64"/>
      <c r="M31" s="64"/>
      <c r="N31" s="65"/>
    </row>
    <row r="32" spans="1:16" ht="15.95" customHeight="1" x14ac:dyDescent="0.2">
      <c r="A32" s="28"/>
      <c r="B32" s="30" t="s">
        <v>69</v>
      </c>
      <c r="C32" s="24"/>
      <c r="D32" s="63" t="s">
        <v>68</v>
      </c>
      <c r="E32" s="64"/>
      <c r="F32" s="64"/>
      <c r="G32" s="64"/>
      <c r="H32" s="64"/>
      <c r="I32" s="64"/>
      <c r="J32" s="64"/>
      <c r="K32" s="64"/>
      <c r="L32" s="64"/>
      <c r="M32" s="64"/>
      <c r="N32" s="65"/>
    </row>
    <row r="33" spans="1:14" ht="15.95" customHeight="1" x14ac:dyDescent="0.2">
      <c r="A33" s="28"/>
      <c r="B33" s="30" t="s">
        <v>70</v>
      </c>
      <c r="C33" s="24"/>
      <c r="D33" s="63" t="s">
        <v>68</v>
      </c>
      <c r="E33" s="64"/>
      <c r="F33" s="64"/>
      <c r="G33" s="64"/>
      <c r="H33" s="64"/>
      <c r="I33" s="64"/>
      <c r="J33" s="64"/>
      <c r="K33" s="64"/>
      <c r="L33" s="64"/>
      <c r="M33" s="64"/>
      <c r="N33" s="65"/>
    </row>
    <row r="34" spans="1:14" ht="15.95" customHeight="1" x14ac:dyDescent="0.2">
      <c r="A34" s="31"/>
      <c r="B34" s="62" t="s">
        <v>71</v>
      </c>
      <c r="C34" s="52"/>
      <c r="D34" s="52"/>
      <c r="E34" s="52"/>
      <c r="F34" s="52"/>
      <c r="G34" s="52"/>
      <c r="H34" s="25">
        <f t="shared" ref="H34:M34" si="8">H30</f>
        <v>1105.6599999999999</v>
      </c>
      <c r="I34" s="25">
        <f t="shared" si="8"/>
        <v>55.282999999999994</v>
      </c>
      <c r="J34" s="25">
        <f t="shared" si="8"/>
        <v>110.56599999999999</v>
      </c>
      <c r="K34" s="27">
        <f t="shared" si="8"/>
        <v>0</v>
      </c>
      <c r="L34" s="27">
        <f t="shared" si="8"/>
        <v>0</v>
      </c>
      <c r="M34" s="73">
        <f t="shared" si="8"/>
        <v>45954.546579999995</v>
      </c>
      <c r="N34" s="55">
        <f>SUM(N30:N30)</f>
        <v>45954.546579999995</v>
      </c>
    </row>
    <row r="35" spans="1:14" ht="15.95" customHeight="1" x14ac:dyDescent="0.2">
      <c r="A35" s="32"/>
      <c r="B35" s="62"/>
      <c r="C35" s="52"/>
      <c r="D35" s="52"/>
      <c r="E35" s="52"/>
      <c r="F35" s="52"/>
      <c r="G35" s="52"/>
      <c r="H35" s="53">
        <f>SUM(H34:J34)</f>
        <v>1271.5089999999998</v>
      </c>
      <c r="I35" s="54"/>
      <c r="J35" s="54"/>
      <c r="K35" s="66">
        <f>K34+L34</f>
        <v>0</v>
      </c>
      <c r="L35" s="67"/>
      <c r="M35" s="74"/>
      <c r="N35" s="54"/>
    </row>
    <row r="36" spans="1:14" ht="15.95" customHeight="1" x14ac:dyDescent="0.2">
      <c r="A36" s="52" t="s">
        <v>72</v>
      </c>
      <c r="B36" s="52"/>
      <c r="C36" s="52"/>
      <c r="D36" s="52"/>
      <c r="E36" s="52"/>
      <c r="F36" s="52"/>
      <c r="G36" s="52"/>
      <c r="H36" s="25">
        <f>SUM(H25,H34)</f>
        <v>88541.987999999998</v>
      </c>
      <c r="I36" s="25">
        <f>SUM(I25,I34)</f>
        <v>4427.099400000001</v>
      </c>
      <c r="J36" s="25">
        <f>SUM(J25,J34)</f>
        <v>8854.1988000000019</v>
      </c>
      <c r="K36" s="27">
        <f>K25+K34</f>
        <v>3470</v>
      </c>
      <c r="L36" s="27">
        <f>L25+L34</f>
        <v>5073</v>
      </c>
      <c r="M36" s="73">
        <f>M34+M25+M9</f>
        <v>3680070.6472440003</v>
      </c>
      <c r="N36" s="55">
        <f>SUM(N25,N34)</f>
        <v>22654073.647244006</v>
      </c>
    </row>
    <row r="37" spans="1:14" ht="15.95" customHeight="1" x14ac:dyDescent="0.2">
      <c r="A37" s="52"/>
      <c r="B37" s="52"/>
      <c r="C37" s="52"/>
      <c r="D37" s="52"/>
      <c r="E37" s="52"/>
      <c r="F37" s="52"/>
      <c r="G37" s="52"/>
      <c r="H37" s="53">
        <f>SUM(H36:J36)</f>
        <v>101823.2862</v>
      </c>
      <c r="I37" s="54"/>
      <c r="J37" s="54"/>
      <c r="K37" s="66">
        <f>K26+K35</f>
        <v>8543</v>
      </c>
      <c r="L37" s="59"/>
      <c r="M37" s="74"/>
      <c r="N37" s="54"/>
    </row>
    <row r="38" spans="1:14" ht="15.95" customHeight="1" x14ac:dyDescent="0.2">
      <c r="A38" s="11"/>
      <c r="B38" s="11"/>
      <c r="C38" s="11"/>
      <c r="D38" s="11"/>
      <c r="E38" s="11"/>
      <c r="F38" s="11"/>
      <c r="G38" s="11"/>
      <c r="H38" s="9"/>
      <c r="I38" s="10"/>
      <c r="J38" s="10"/>
      <c r="K38" s="10"/>
      <c r="L38" s="10"/>
      <c r="M38" s="10"/>
      <c r="N38" s="10"/>
    </row>
    <row r="39" spans="1:14" ht="15.95" customHeight="1" x14ac:dyDescent="0.2">
      <c r="A39" s="50" t="s">
        <v>73</v>
      </c>
      <c r="B39" s="50"/>
      <c r="C39" s="50"/>
      <c r="D39" s="50"/>
      <c r="E39" s="50"/>
      <c r="F39" s="50"/>
      <c r="G39" s="50"/>
      <c r="H39" s="50"/>
      <c r="I39" s="50"/>
      <c r="J39" s="44"/>
      <c r="K39" s="44"/>
      <c r="L39" s="44"/>
      <c r="M39" s="44"/>
      <c r="N39" s="44"/>
    </row>
    <row r="40" spans="1:14" ht="33" customHeight="1" x14ac:dyDescent="0.2">
      <c r="A40" s="50" t="s">
        <v>117</v>
      </c>
      <c r="B40" s="50"/>
      <c r="C40" s="50"/>
      <c r="D40" s="50"/>
      <c r="E40" s="50"/>
      <c r="F40" s="50"/>
      <c r="G40" s="50"/>
      <c r="H40" s="50"/>
      <c r="I40" s="50"/>
      <c r="J40" s="44"/>
      <c r="K40" s="44"/>
      <c r="L40" s="44"/>
      <c r="M40" s="44"/>
      <c r="N40" s="44"/>
    </row>
    <row r="41" spans="1:14" ht="31.5" customHeight="1" x14ac:dyDescent="0.2">
      <c r="A41" s="51" t="s">
        <v>74</v>
      </c>
      <c r="B41" s="51"/>
      <c r="C41" s="51"/>
      <c r="D41" s="51"/>
      <c r="E41" s="51"/>
      <c r="F41" s="51"/>
      <c r="G41" s="51"/>
      <c r="H41" s="51"/>
      <c r="I41" s="51"/>
      <c r="J41" s="56"/>
      <c r="K41" s="56"/>
      <c r="L41" s="56"/>
      <c r="M41" s="56"/>
      <c r="N41" s="56"/>
    </row>
    <row r="42" spans="1:14" ht="27" customHeight="1" x14ac:dyDescent="0.2">
      <c r="A42" s="44" t="s">
        <v>151</v>
      </c>
      <c r="B42" s="50"/>
      <c r="C42" s="50"/>
      <c r="D42" s="50"/>
      <c r="E42" s="50"/>
      <c r="F42" s="50"/>
      <c r="G42" s="50"/>
      <c r="H42" s="50"/>
      <c r="I42" s="50"/>
      <c r="J42" s="44"/>
      <c r="K42" s="44"/>
      <c r="L42" s="44"/>
      <c r="M42" s="44"/>
      <c r="N42" s="44"/>
    </row>
    <row r="43" spans="1:14" ht="27" customHeight="1" x14ac:dyDescent="0.2">
      <c r="A43" s="50" t="s">
        <v>149</v>
      </c>
      <c r="B43" s="50"/>
      <c r="C43" s="50"/>
      <c r="D43" s="50"/>
      <c r="E43" s="50"/>
      <c r="F43" s="50"/>
      <c r="G43" s="50"/>
      <c r="H43" s="50"/>
      <c r="I43" s="50"/>
      <c r="J43" s="50"/>
      <c r="K43" s="50"/>
      <c r="L43" s="50"/>
      <c r="M43" s="50"/>
      <c r="N43" s="50"/>
    </row>
    <row r="44" spans="1:14" ht="16.5" customHeight="1" x14ac:dyDescent="0.2">
      <c r="A44" s="50" t="s">
        <v>75</v>
      </c>
      <c r="B44" s="50"/>
      <c r="C44" s="50"/>
      <c r="D44" s="50"/>
      <c r="E44" s="50"/>
      <c r="F44" s="50"/>
      <c r="G44" s="50"/>
      <c r="H44" s="50"/>
      <c r="I44" s="50"/>
      <c r="J44" s="50"/>
      <c r="K44" s="50"/>
      <c r="L44" s="50"/>
      <c r="M44" s="50"/>
      <c r="N44" s="50"/>
    </row>
    <row r="45" spans="1:14" ht="15" customHeight="1" x14ac:dyDescent="0.2">
      <c r="A45" s="51" t="s">
        <v>126</v>
      </c>
      <c r="B45" s="51"/>
      <c r="C45" s="51"/>
      <c r="D45" s="51"/>
      <c r="E45" s="51"/>
      <c r="F45" s="51"/>
      <c r="G45" s="51"/>
      <c r="H45" s="51"/>
      <c r="I45" s="51"/>
      <c r="J45" s="51"/>
      <c r="K45" s="51"/>
      <c r="L45" s="51"/>
      <c r="M45" s="51"/>
      <c r="N45" s="51"/>
    </row>
    <row r="46" spans="1:14" ht="29.25" customHeight="1" x14ac:dyDescent="0.2">
      <c r="A46" s="51" t="s">
        <v>125</v>
      </c>
      <c r="B46" s="51"/>
      <c r="C46" s="51"/>
      <c r="D46" s="51"/>
      <c r="E46" s="51"/>
      <c r="F46" s="51"/>
      <c r="G46" s="51"/>
      <c r="H46" s="51"/>
      <c r="I46" s="51"/>
      <c r="J46" s="51"/>
      <c r="K46" s="51"/>
      <c r="L46" s="51"/>
      <c r="M46" s="51"/>
      <c r="N46" s="51"/>
    </row>
    <row r="47" spans="1:14" ht="15.75" customHeight="1" x14ac:dyDescent="0.2">
      <c r="A47" s="51" t="s">
        <v>124</v>
      </c>
      <c r="B47" s="51"/>
      <c r="C47" s="51"/>
      <c r="D47" s="51"/>
      <c r="E47" s="51"/>
      <c r="F47" s="51"/>
      <c r="G47" s="51"/>
      <c r="H47" s="51"/>
      <c r="I47" s="51"/>
      <c r="J47" s="51"/>
      <c r="K47" s="51"/>
      <c r="L47" s="51"/>
      <c r="M47" s="51"/>
      <c r="N47" s="51"/>
    </row>
    <row r="48" spans="1:14" ht="12.75" customHeight="1" x14ac:dyDescent="0.2">
      <c r="A48" s="61"/>
      <c r="B48" s="61"/>
      <c r="C48" s="61"/>
      <c r="D48" s="61"/>
      <c r="E48" s="61"/>
      <c r="F48" s="61"/>
      <c r="G48" s="61"/>
      <c r="H48" s="61"/>
      <c r="I48" s="61"/>
      <c r="J48" s="61"/>
      <c r="K48" s="61"/>
      <c r="L48" s="61"/>
      <c r="M48" s="61"/>
      <c r="N48" s="61"/>
    </row>
    <row r="49" spans="1:14" ht="12.75" customHeight="1" x14ac:dyDescent="0.2">
      <c r="A49" s="61"/>
      <c r="B49" s="61"/>
      <c r="C49" s="61"/>
      <c r="D49" s="61"/>
      <c r="E49" s="61"/>
      <c r="F49" s="61"/>
      <c r="G49" s="61"/>
      <c r="H49" s="61"/>
      <c r="I49" s="61"/>
      <c r="J49" s="61"/>
      <c r="K49" s="61"/>
      <c r="L49" s="61"/>
      <c r="M49" s="61"/>
      <c r="N49" s="61"/>
    </row>
    <row r="50" spans="1:14" ht="12.75" customHeight="1" x14ac:dyDescent="0.2">
      <c r="A50" s="61"/>
      <c r="B50" s="61"/>
      <c r="C50" s="61"/>
      <c r="D50" s="61"/>
      <c r="E50" s="61"/>
      <c r="F50" s="61"/>
      <c r="G50" s="61"/>
      <c r="H50" s="61"/>
      <c r="I50" s="61"/>
      <c r="J50" s="61"/>
      <c r="K50" s="61"/>
      <c r="L50" s="61"/>
      <c r="M50" s="61"/>
      <c r="N50" s="61"/>
    </row>
    <row r="51" spans="1:14" ht="12.75" customHeight="1" x14ac:dyDescent="0.2">
      <c r="A51" s="61"/>
      <c r="B51" s="61"/>
      <c r="C51" s="61"/>
      <c r="D51" s="61"/>
      <c r="E51" s="61"/>
      <c r="F51" s="61"/>
      <c r="G51" s="61"/>
      <c r="H51" s="61"/>
      <c r="I51" s="61"/>
      <c r="J51" s="61"/>
      <c r="K51" s="61"/>
      <c r="L51" s="61"/>
      <c r="M51" s="61"/>
      <c r="N51" s="61"/>
    </row>
    <row r="52" spans="1:14" ht="30" customHeight="1" x14ac:dyDescent="0.2">
      <c r="A52" s="47"/>
      <c r="B52" s="47"/>
      <c r="C52" s="47"/>
      <c r="D52" s="47"/>
      <c r="E52" s="47"/>
      <c r="F52" s="47"/>
      <c r="G52" s="47"/>
      <c r="H52" s="47"/>
      <c r="I52" s="47"/>
      <c r="J52" s="47"/>
      <c r="K52" s="47"/>
      <c r="L52" s="47"/>
      <c r="M52" s="47"/>
      <c r="N52" s="47"/>
    </row>
    <row r="53" spans="1:14" ht="30" customHeight="1" x14ac:dyDescent="0.2">
      <c r="A53" s="47"/>
      <c r="B53" s="47"/>
      <c r="C53" s="47"/>
      <c r="D53" s="47"/>
      <c r="E53" s="47"/>
      <c r="F53" s="47"/>
      <c r="G53" s="47"/>
      <c r="H53" s="47"/>
      <c r="I53" s="47"/>
      <c r="J53" s="47"/>
      <c r="K53" s="47"/>
      <c r="L53" s="47"/>
      <c r="M53" s="47"/>
      <c r="N53" s="47"/>
    </row>
    <row r="54" spans="1:14" x14ac:dyDescent="0.2">
      <c r="C54" s="39"/>
    </row>
    <row r="55" spans="1:14" x14ac:dyDescent="0.2">
      <c r="C55" s="39"/>
    </row>
  </sheetData>
  <mergeCells count="46">
    <mergeCell ref="A44:N44"/>
    <mergeCell ref="A39:N39"/>
    <mergeCell ref="A6:N6"/>
    <mergeCell ref="A7:N7"/>
    <mergeCell ref="D31:N31"/>
    <mergeCell ref="D32:N32"/>
    <mergeCell ref="D33:N33"/>
    <mergeCell ref="A8:N8"/>
    <mergeCell ref="A10:N10"/>
    <mergeCell ref="A27:N27"/>
    <mergeCell ref="D24:N24"/>
    <mergeCell ref="M25:M26"/>
    <mergeCell ref="M34:M35"/>
    <mergeCell ref="M36:M37"/>
    <mergeCell ref="A50:N50"/>
    <mergeCell ref="A51:N51"/>
    <mergeCell ref="B25:G26"/>
    <mergeCell ref="H26:J26"/>
    <mergeCell ref="N25:N26"/>
    <mergeCell ref="B34:G35"/>
    <mergeCell ref="N34:N35"/>
    <mergeCell ref="H35:J35"/>
    <mergeCell ref="D28:N28"/>
    <mergeCell ref="K26:L26"/>
    <mergeCell ref="D29:N29"/>
    <mergeCell ref="K35:L35"/>
    <mergeCell ref="K37:L37"/>
    <mergeCell ref="A48:N48"/>
    <mergeCell ref="A49:N49"/>
    <mergeCell ref="A40:N40"/>
    <mergeCell ref="A1:N1"/>
    <mergeCell ref="A2:N2"/>
    <mergeCell ref="A52:N52"/>
    <mergeCell ref="A53:N53"/>
    <mergeCell ref="A4:C5"/>
    <mergeCell ref="A42:N42"/>
    <mergeCell ref="A45:N45"/>
    <mergeCell ref="A46:N46"/>
    <mergeCell ref="A47:N47"/>
    <mergeCell ref="A36:G37"/>
    <mergeCell ref="H37:J37"/>
    <mergeCell ref="N36:N37"/>
    <mergeCell ref="A43:N43"/>
    <mergeCell ref="A41:N41"/>
    <mergeCell ref="D11:N11"/>
    <mergeCell ref="D14:N14"/>
  </mergeCells>
  <pageMargins left="0.7" right="0.7" top="0.75" bottom="0.75" header="0.3" footer="0.3"/>
  <pageSetup scale="50" orientation="landscape" r:id="rId1"/>
  <ignoredErrors>
    <ignoredError sqref="H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0"/>
  <sheetViews>
    <sheetView showGridLines="0" zoomScale="98" zoomScaleNormal="98" workbookViewId="0">
      <selection activeCell="G9" sqref="G9"/>
    </sheetView>
  </sheetViews>
  <sheetFormatPr defaultRowHeight="12.75" x14ac:dyDescent="0.2"/>
  <cols>
    <col min="1" max="2" width="3.83203125" customWidth="1"/>
    <col min="3" max="3" width="50.83203125" customWidth="1"/>
    <col min="4" max="10" width="12.83203125" customWidth="1"/>
    <col min="11" max="11" width="15.5" customWidth="1"/>
    <col min="12" max="13" width="12.83203125" customWidth="1"/>
    <col min="14" max="14" width="20.1640625" customWidth="1"/>
    <col min="15" max="15" width="16.83203125" customWidth="1"/>
    <col min="16" max="16" width="18.33203125" customWidth="1"/>
    <col min="17" max="19" width="16.83203125" customWidth="1"/>
  </cols>
  <sheetData>
    <row r="1" spans="1:19" ht="15.75" x14ac:dyDescent="0.25">
      <c r="A1" s="3" t="s">
        <v>76</v>
      </c>
      <c r="P1" t="s">
        <v>1</v>
      </c>
      <c r="Q1" t="s">
        <v>2</v>
      </c>
    </row>
    <row r="2" spans="1:19" ht="18" customHeight="1" x14ac:dyDescent="0.2">
      <c r="A2" s="45" t="s">
        <v>3</v>
      </c>
      <c r="B2" s="46"/>
      <c r="C2" s="46"/>
      <c r="D2" s="46"/>
      <c r="E2" s="46"/>
      <c r="F2" s="46"/>
      <c r="G2" s="46"/>
      <c r="H2" s="46"/>
      <c r="I2" s="46"/>
      <c r="J2" s="46"/>
      <c r="K2" s="46"/>
      <c r="L2" s="46"/>
      <c r="M2" s="46"/>
      <c r="N2" s="46"/>
      <c r="P2" t="s">
        <v>4</v>
      </c>
      <c r="Q2">
        <v>35.92</v>
      </c>
    </row>
    <row r="3" spans="1:19" x14ac:dyDescent="0.2">
      <c r="P3" t="s">
        <v>5</v>
      </c>
      <c r="Q3">
        <v>59.86</v>
      </c>
    </row>
    <row r="4" spans="1:19" x14ac:dyDescent="0.2">
      <c r="A4" s="48" t="s">
        <v>6</v>
      </c>
      <c r="B4" s="49"/>
      <c r="C4" s="49"/>
      <c r="D4" s="26" t="s">
        <v>7</v>
      </c>
      <c r="E4" s="26" t="s">
        <v>8</v>
      </c>
      <c r="F4" s="6" t="s">
        <v>9</v>
      </c>
      <c r="G4" s="26" t="s">
        <v>10</v>
      </c>
      <c r="H4" s="26" t="s">
        <v>11</v>
      </c>
      <c r="I4" s="26" t="s">
        <v>12</v>
      </c>
      <c r="J4" s="26" t="s">
        <v>13</v>
      </c>
      <c r="K4" s="26" t="s">
        <v>14</v>
      </c>
      <c r="L4" s="26" t="s">
        <v>15</v>
      </c>
      <c r="M4" s="26" t="s">
        <v>16</v>
      </c>
      <c r="N4" s="26" t="s">
        <v>17</v>
      </c>
      <c r="O4" s="1"/>
      <c r="P4" s="4" t="s">
        <v>18</v>
      </c>
      <c r="Q4" s="5">
        <v>26.5</v>
      </c>
      <c r="R4" s="1"/>
      <c r="S4" s="1"/>
    </row>
    <row r="5" spans="1:19" ht="63.75" x14ac:dyDescent="0.2">
      <c r="A5" s="49"/>
      <c r="B5" s="49"/>
      <c r="C5" s="49"/>
      <c r="D5" s="23" t="s">
        <v>19</v>
      </c>
      <c r="E5" s="23" t="s">
        <v>20</v>
      </c>
      <c r="F5" s="23" t="s">
        <v>21</v>
      </c>
      <c r="G5" s="23" t="s">
        <v>22</v>
      </c>
      <c r="H5" s="23" t="s">
        <v>23</v>
      </c>
      <c r="I5" s="23" t="s">
        <v>24</v>
      </c>
      <c r="J5" s="23" t="s">
        <v>25</v>
      </c>
      <c r="K5" s="23" t="s">
        <v>26</v>
      </c>
      <c r="L5" s="23" t="s">
        <v>27</v>
      </c>
      <c r="M5" s="23" t="s">
        <v>28</v>
      </c>
      <c r="N5" s="23" t="s">
        <v>77</v>
      </c>
      <c r="O5" s="2"/>
      <c r="P5" s="8" t="s">
        <v>30</v>
      </c>
      <c r="Q5" s="2"/>
      <c r="R5" s="2"/>
      <c r="S5" s="2"/>
    </row>
    <row r="6" spans="1:19" ht="15.95" customHeight="1" x14ac:dyDescent="0.2">
      <c r="A6" s="68" t="s">
        <v>31</v>
      </c>
      <c r="B6" s="69"/>
      <c r="C6" s="69"/>
      <c r="D6" s="69"/>
      <c r="E6" s="69"/>
      <c r="F6" s="69"/>
      <c r="G6" s="69"/>
      <c r="H6" s="69"/>
      <c r="I6" s="69"/>
      <c r="J6" s="69"/>
      <c r="K6" s="69"/>
      <c r="L6" s="69"/>
      <c r="M6" s="69"/>
      <c r="N6" s="70"/>
      <c r="P6" t="s">
        <v>118</v>
      </c>
      <c r="Q6">
        <v>1.0680000000000001</v>
      </c>
      <c r="R6" t="s">
        <v>141</v>
      </c>
    </row>
    <row r="7" spans="1:19" ht="15.95" customHeight="1" x14ac:dyDescent="0.2">
      <c r="A7" s="68" t="s">
        <v>32</v>
      </c>
      <c r="B7" s="69"/>
      <c r="C7" s="69"/>
      <c r="D7" s="69"/>
      <c r="E7" s="69"/>
      <c r="F7" s="69"/>
      <c r="G7" s="69"/>
      <c r="H7" s="69"/>
      <c r="I7" s="69"/>
      <c r="J7" s="69"/>
      <c r="K7" s="69"/>
      <c r="L7" s="69"/>
      <c r="M7" s="69"/>
      <c r="N7" s="70"/>
    </row>
    <row r="8" spans="1:19" ht="15.95" customHeight="1" x14ac:dyDescent="0.2">
      <c r="A8" s="71" t="s">
        <v>33</v>
      </c>
      <c r="B8" s="72"/>
      <c r="C8" s="72"/>
      <c r="D8" s="69"/>
      <c r="E8" s="69"/>
      <c r="F8" s="69"/>
      <c r="G8" s="69"/>
      <c r="H8" s="69"/>
      <c r="I8" s="69"/>
      <c r="J8" s="69"/>
      <c r="K8" s="69"/>
      <c r="L8" s="69"/>
      <c r="M8" s="69"/>
      <c r="N8" s="70"/>
    </row>
    <row r="9" spans="1:19" ht="28.5" customHeight="1" x14ac:dyDescent="0.2">
      <c r="A9" s="28"/>
      <c r="B9" s="29"/>
      <c r="C9" s="7" t="s">
        <v>34</v>
      </c>
      <c r="D9" s="25">
        <v>24</v>
      </c>
      <c r="E9" s="25">
        <v>1</v>
      </c>
      <c r="F9" s="25">
        <f>D9*E9</f>
        <v>24</v>
      </c>
      <c r="G9" s="25">
        <v>2442</v>
      </c>
      <c r="H9" s="25">
        <f>F9*G9</f>
        <v>58608</v>
      </c>
      <c r="I9" s="25">
        <f>H9*0.05</f>
        <v>2930.4</v>
      </c>
      <c r="J9" s="25">
        <f>H9*0.1</f>
        <v>5860.8</v>
      </c>
      <c r="K9" s="27">
        <v>3470</v>
      </c>
      <c r="L9" s="27">
        <f>(4750*Q6)</f>
        <v>5073</v>
      </c>
      <c r="M9" s="27">
        <f>(H9*Q$2)+(I9*Q$3)+(J9*Q$4)</f>
        <v>2435924.304</v>
      </c>
      <c r="N9" s="27">
        <f>(H9*Q$2)+(I9*Q$3)+(J9*Q$4)+(K9*G9)+(L9*G9)</f>
        <v>23297930.303999998</v>
      </c>
      <c r="P9" t="s">
        <v>35</v>
      </c>
    </row>
    <row r="10" spans="1:19" ht="15.95" customHeight="1" x14ac:dyDescent="0.2">
      <c r="A10" s="68" t="s">
        <v>36</v>
      </c>
      <c r="B10" s="69"/>
      <c r="C10" s="69"/>
      <c r="D10" s="69"/>
      <c r="E10" s="69"/>
      <c r="F10" s="69"/>
      <c r="G10" s="69"/>
      <c r="H10" s="69"/>
      <c r="I10" s="69"/>
      <c r="J10" s="69"/>
      <c r="K10" s="69"/>
      <c r="L10" s="69"/>
      <c r="M10" s="69"/>
      <c r="N10" s="70"/>
    </row>
    <row r="11" spans="1:19" ht="15.95" customHeight="1" x14ac:dyDescent="0.2">
      <c r="A11" s="28"/>
      <c r="B11" s="30" t="s">
        <v>37</v>
      </c>
      <c r="C11" s="24"/>
      <c r="D11" s="57"/>
      <c r="E11" s="58"/>
      <c r="F11" s="58"/>
      <c r="G11" s="58"/>
      <c r="H11" s="58"/>
      <c r="I11" s="58"/>
      <c r="J11" s="58"/>
      <c r="K11" s="58"/>
      <c r="L11" s="58"/>
      <c r="M11" s="58"/>
      <c r="N11" s="59"/>
    </row>
    <row r="12" spans="1:19" ht="15.95" customHeight="1" x14ac:dyDescent="0.2">
      <c r="A12" s="28"/>
      <c r="B12" s="29"/>
      <c r="C12" s="7" t="s">
        <v>38</v>
      </c>
      <c r="D12" s="26">
        <v>0</v>
      </c>
      <c r="E12" s="26">
        <v>0</v>
      </c>
      <c r="F12" s="26">
        <f>D12*E12</f>
        <v>0</v>
      </c>
      <c r="G12" s="26">
        <v>2221</v>
      </c>
      <c r="H12" s="25">
        <f>F12*G12</f>
        <v>0</v>
      </c>
      <c r="I12" s="25">
        <f>H12*0.05</f>
        <v>0</v>
      </c>
      <c r="J12" s="25">
        <f>H12*0.1</f>
        <v>0</v>
      </c>
      <c r="K12" s="27">
        <v>0</v>
      </c>
      <c r="L12" s="27">
        <v>0</v>
      </c>
      <c r="M12" s="27">
        <f>(H12*Q$2)+(I12*Q$3)+(J12*Q$4)</f>
        <v>0</v>
      </c>
      <c r="N12" s="27">
        <f>(H12*Q$2)+(I12*Q$3)+(J12*Q$4)+(K12*G12)+(L12*G12)</f>
        <v>0</v>
      </c>
    </row>
    <row r="13" spans="1:19" ht="15.95" customHeight="1" x14ac:dyDescent="0.2">
      <c r="A13" s="28"/>
      <c r="B13" s="29"/>
      <c r="C13" s="30" t="s">
        <v>39</v>
      </c>
      <c r="D13" s="25">
        <v>1</v>
      </c>
      <c r="E13" s="12">
        <v>5.8999999999999997E-2</v>
      </c>
      <c r="F13" s="25">
        <f>D13*E13</f>
        <v>5.8999999999999997E-2</v>
      </c>
      <c r="G13" s="25">
        <v>221</v>
      </c>
      <c r="H13" s="25">
        <f>F13*G13</f>
        <v>13.039</v>
      </c>
      <c r="I13" s="25">
        <f>H13*0.05</f>
        <v>0.65195000000000003</v>
      </c>
      <c r="J13" s="25">
        <f>H13*0.1</f>
        <v>1.3039000000000001</v>
      </c>
      <c r="K13" s="27">
        <v>0</v>
      </c>
      <c r="L13" s="27">
        <v>0</v>
      </c>
      <c r="M13" s="27">
        <f>(H13*Q$2)+(I13*Q$3)+(J13*Q$4)</f>
        <v>541.93995700000005</v>
      </c>
      <c r="N13" s="27">
        <f>(H13*Q$2)+(I13*Q$3)+(J13*Q$4)+(K13*G13)+(L13*G13)</f>
        <v>541.93995700000005</v>
      </c>
    </row>
    <row r="14" spans="1:19" ht="15.95" customHeight="1" x14ac:dyDescent="0.2">
      <c r="A14" s="28"/>
      <c r="B14" s="30" t="s">
        <v>40</v>
      </c>
      <c r="C14" s="24"/>
      <c r="D14" s="60"/>
      <c r="E14" s="58"/>
      <c r="F14" s="58"/>
      <c r="G14" s="58"/>
      <c r="H14" s="58"/>
      <c r="I14" s="58"/>
      <c r="J14" s="58"/>
      <c r="K14" s="58"/>
      <c r="L14" s="58"/>
      <c r="M14" s="58"/>
      <c r="N14" s="59"/>
    </row>
    <row r="15" spans="1:19" ht="15.95" customHeight="1" x14ac:dyDescent="0.2">
      <c r="A15" s="28"/>
      <c r="B15" s="29"/>
      <c r="C15" s="7" t="s">
        <v>41</v>
      </c>
      <c r="D15" s="12">
        <v>0</v>
      </c>
      <c r="E15" s="25">
        <v>1</v>
      </c>
      <c r="F15" s="25">
        <f>D15*E15</f>
        <v>0</v>
      </c>
      <c r="G15" s="40">
        <v>2442</v>
      </c>
      <c r="H15" s="25">
        <f>F15*G15</f>
        <v>0</v>
      </c>
      <c r="I15" s="25">
        <f>H15*0.05</f>
        <v>0</v>
      </c>
      <c r="J15" s="25">
        <f>H15*0.1</f>
        <v>0</v>
      </c>
      <c r="K15" s="27">
        <v>0</v>
      </c>
      <c r="L15" s="27">
        <v>0</v>
      </c>
      <c r="M15" s="27">
        <f>(H15*Q$2)+(I15*Q$3)+(J15*Q$4)</f>
        <v>0</v>
      </c>
      <c r="N15" s="27">
        <f>(H15*Q$2)+(I15*Q$3)+(J15*Q$4)+(K15*G15)+(L15*G15)</f>
        <v>0</v>
      </c>
      <c r="P15" t="s">
        <v>42</v>
      </c>
    </row>
    <row r="16" spans="1:19" ht="15.95" customHeight="1" x14ac:dyDescent="0.2">
      <c r="A16" s="28"/>
      <c r="B16" s="29"/>
      <c r="C16" s="7" t="s">
        <v>43</v>
      </c>
      <c r="D16" s="12">
        <v>0</v>
      </c>
      <c r="E16" s="25">
        <v>1</v>
      </c>
      <c r="F16" s="25">
        <f t="shared" ref="F16:F23" si="0">D16*E16</f>
        <v>0</v>
      </c>
      <c r="G16" s="40">
        <v>2442</v>
      </c>
      <c r="H16" s="25">
        <f t="shared" ref="H16:H23" si="1">F16*G16</f>
        <v>0</v>
      </c>
      <c r="I16" s="25">
        <f t="shared" ref="I16:I23" si="2">H16*0.05</f>
        <v>0</v>
      </c>
      <c r="J16" s="25">
        <f t="shared" ref="J16:J23" si="3">H16*0.1</f>
        <v>0</v>
      </c>
      <c r="K16" s="27">
        <v>0</v>
      </c>
      <c r="L16" s="27">
        <v>0</v>
      </c>
      <c r="M16" s="27">
        <f>(H16*Q$2)+(I16*Q$3)+(J16*Q$4)</f>
        <v>0</v>
      </c>
      <c r="N16" s="27">
        <f t="shared" ref="N16:N23" si="4">(H16*Q$2)+(I16*Q$3)+(J16*Q$4)+(K16*G16)+(L16*G16)</f>
        <v>0</v>
      </c>
      <c r="P16" t="s">
        <v>44</v>
      </c>
    </row>
    <row r="17" spans="1:16" ht="15.95" customHeight="1" x14ac:dyDescent="0.2">
      <c r="A17" s="28"/>
      <c r="B17" s="29"/>
      <c r="C17" s="7" t="s">
        <v>45</v>
      </c>
      <c r="D17" s="12">
        <v>1</v>
      </c>
      <c r="E17" s="25">
        <v>1</v>
      </c>
      <c r="F17" s="25">
        <f t="shared" si="0"/>
        <v>1</v>
      </c>
      <c r="G17" s="40">
        <v>2442</v>
      </c>
      <c r="H17" s="25">
        <f t="shared" si="1"/>
        <v>2442</v>
      </c>
      <c r="I17" s="25">
        <f t="shared" si="2"/>
        <v>122.10000000000001</v>
      </c>
      <c r="J17" s="25">
        <f t="shared" si="3"/>
        <v>244.20000000000002</v>
      </c>
      <c r="K17" s="27">
        <v>0</v>
      </c>
      <c r="L17" s="27">
        <v>0</v>
      </c>
      <c r="M17" s="27">
        <f t="shared" ref="M17:M23" si="5">(H17*Q$2)+(I17*Q$3)+(J17*Q$4)</f>
        <v>101496.84600000001</v>
      </c>
      <c r="N17" s="27">
        <f t="shared" si="4"/>
        <v>101496.84600000001</v>
      </c>
      <c r="P17" t="s">
        <v>46</v>
      </c>
    </row>
    <row r="18" spans="1:16" ht="15.95" customHeight="1" x14ac:dyDescent="0.2">
      <c r="A18" s="28"/>
      <c r="B18" s="29"/>
      <c r="C18" s="7" t="s">
        <v>47</v>
      </c>
      <c r="D18" s="12">
        <v>2</v>
      </c>
      <c r="E18" s="25">
        <v>1</v>
      </c>
      <c r="F18" s="25">
        <f t="shared" si="0"/>
        <v>2</v>
      </c>
      <c r="G18" s="40">
        <v>2442</v>
      </c>
      <c r="H18" s="25">
        <f t="shared" si="1"/>
        <v>4884</v>
      </c>
      <c r="I18" s="25">
        <f t="shared" si="2"/>
        <v>244.20000000000002</v>
      </c>
      <c r="J18" s="25">
        <f t="shared" si="3"/>
        <v>488.40000000000003</v>
      </c>
      <c r="K18" s="27">
        <v>0</v>
      </c>
      <c r="L18" s="27">
        <v>0</v>
      </c>
      <c r="M18" s="27">
        <f t="shared" si="5"/>
        <v>202993.69200000001</v>
      </c>
      <c r="N18" s="27">
        <f t="shared" si="4"/>
        <v>202993.69200000001</v>
      </c>
      <c r="P18" t="s">
        <v>48</v>
      </c>
    </row>
    <row r="19" spans="1:16" ht="15.95" customHeight="1" x14ac:dyDescent="0.2">
      <c r="A19" s="28"/>
      <c r="B19" s="29"/>
      <c r="C19" s="7" t="s">
        <v>49</v>
      </c>
      <c r="D19" s="12">
        <v>8</v>
      </c>
      <c r="E19" s="25">
        <v>1</v>
      </c>
      <c r="F19" s="25">
        <f t="shared" si="0"/>
        <v>8</v>
      </c>
      <c r="G19" s="40">
        <v>2442</v>
      </c>
      <c r="H19" s="25">
        <f t="shared" si="1"/>
        <v>19536</v>
      </c>
      <c r="I19" s="25">
        <f t="shared" si="2"/>
        <v>976.80000000000007</v>
      </c>
      <c r="J19" s="25">
        <f t="shared" si="3"/>
        <v>1953.6000000000001</v>
      </c>
      <c r="K19" s="27">
        <v>0</v>
      </c>
      <c r="L19" s="27">
        <v>0</v>
      </c>
      <c r="M19" s="27">
        <f t="shared" si="5"/>
        <v>811974.76800000004</v>
      </c>
      <c r="N19" s="27">
        <f t="shared" si="4"/>
        <v>811974.76800000004</v>
      </c>
      <c r="P19" t="s">
        <v>50</v>
      </c>
    </row>
    <row r="20" spans="1:16" ht="15.95" customHeight="1" x14ac:dyDescent="0.2">
      <c r="A20" s="28"/>
      <c r="B20" s="29"/>
      <c r="C20" s="7" t="s">
        <v>51</v>
      </c>
      <c r="D20" s="12">
        <v>0.5</v>
      </c>
      <c r="E20" s="12">
        <v>5.8999999999999997E-2</v>
      </c>
      <c r="F20" s="25">
        <f t="shared" si="0"/>
        <v>2.9499999999999998E-2</v>
      </c>
      <c r="G20" s="40">
        <v>2442</v>
      </c>
      <c r="H20" s="25">
        <f t="shared" si="1"/>
        <v>72.039000000000001</v>
      </c>
      <c r="I20" s="25">
        <f t="shared" si="2"/>
        <v>3.6019500000000004</v>
      </c>
      <c r="J20" s="25">
        <f t="shared" si="3"/>
        <v>7.2039000000000009</v>
      </c>
      <c r="K20" s="27">
        <v>0</v>
      </c>
      <c r="L20" s="27">
        <v>0</v>
      </c>
      <c r="M20" s="27">
        <f t="shared" si="5"/>
        <v>2994.1569570000006</v>
      </c>
      <c r="N20" s="27">
        <f t="shared" si="4"/>
        <v>2994.1569570000006</v>
      </c>
      <c r="P20" t="s">
        <v>52</v>
      </c>
    </row>
    <row r="21" spans="1:16" ht="15.95" customHeight="1" x14ac:dyDescent="0.2">
      <c r="A21" s="28"/>
      <c r="B21" s="29"/>
      <c r="C21" s="7" t="s">
        <v>53</v>
      </c>
      <c r="D21" s="12">
        <v>0.5</v>
      </c>
      <c r="E21" s="12">
        <v>5.8999999999999997E-2</v>
      </c>
      <c r="F21" s="25">
        <f t="shared" si="0"/>
        <v>2.9499999999999998E-2</v>
      </c>
      <c r="G21" s="40">
        <v>2442</v>
      </c>
      <c r="H21" s="25">
        <f t="shared" si="1"/>
        <v>72.039000000000001</v>
      </c>
      <c r="I21" s="25">
        <f t="shared" si="2"/>
        <v>3.6019500000000004</v>
      </c>
      <c r="J21" s="25">
        <f t="shared" si="3"/>
        <v>7.2039000000000009</v>
      </c>
      <c r="K21" s="27">
        <v>0</v>
      </c>
      <c r="L21" s="27">
        <v>0</v>
      </c>
      <c r="M21" s="27">
        <f t="shared" si="5"/>
        <v>2994.1569570000006</v>
      </c>
      <c r="N21" s="27">
        <f t="shared" si="4"/>
        <v>2994.1569570000006</v>
      </c>
      <c r="P21" t="s">
        <v>54</v>
      </c>
    </row>
    <row r="22" spans="1:16" ht="15.95" customHeight="1" x14ac:dyDescent="0.2">
      <c r="A22" s="28"/>
      <c r="B22" s="29"/>
      <c r="C22" s="7" t="s">
        <v>55</v>
      </c>
      <c r="D22" s="12">
        <v>4</v>
      </c>
      <c r="E22" s="12">
        <v>1</v>
      </c>
      <c r="F22" s="25">
        <f t="shared" si="0"/>
        <v>4</v>
      </c>
      <c r="G22" s="40">
        <v>2442</v>
      </c>
      <c r="H22" s="25">
        <f t="shared" si="1"/>
        <v>9768</v>
      </c>
      <c r="I22" s="25">
        <f t="shared" si="2"/>
        <v>488.40000000000003</v>
      </c>
      <c r="J22" s="25">
        <f t="shared" si="3"/>
        <v>976.80000000000007</v>
      </c>
      <c r="K22" s="27">
        <v>0</v>
      </c>
      <c r="L22" s="27">
        <v>0</v>
      </c>
      <c r="M22" s="27">
        <f t="shared" si="5"/>
        <v>405987.38400000002</v>
      </c>
      <c r="N22" s="27">
        <f t="shared" si="4"/>
        <v>405987.38400000002</v>
      </c>
      <c r="P22" t="s">
        <v>56</v>
      </c>
    </row>
    <row r="23" spans="1:16" ht="15.95" customHeight="1" x14ac:dyDescent="0.2">
      <c r="A23" s="28"/>
      <c r="B23" s="29"/>
      <c r="C23" s="7" t="s">
        <v>57</v>
      </c>
      <c r="D23" s="12">
        <v>0.25</v>
      </c>
      <c r="E23" s="25">
        <v>1</v>
      </c>
      <c r="F23" s="25">
        <f t="shared" si="0"/>
        <v>0.25</v>
      </c>
      <c r="G23" s="40">
        <v>2442</v>
      </c>
      <c r="H23" s="25">
        <f t="shared" si="1"/>
        <v>610.5</v>
      </c>
      <c r="I23" s="25">
        <f t="shared" si="2"/>
        <v>30.525000000000002</v>
      </c>
      <c r="J23" s="25">
        <f t="shared" si="3"/>
        <v>61.050000000000004</v>
      </c>
      <c r="K23" s="27">
        <v>0</v>
      </c>
      <c r="L23" s="27">
        <v>0</v>
      </c>
      <c r="M23" s="27">
        <f t="shared" si="5"/>
        <v>25374.211500000001</v>
      </c>
      <c r="N23" s="27">
        <f t="shared" si="4"/>
        <v>25374.211500000001</v>
      </c>
      <c r="P23" t="s">
        <v>58</v>
      </c>
    </row>
    <row r="24" spans="1:16" ht="15.95" customHeight="1" x14ac:dyDescent="0.2">
      <c r="A24" s="28"/>
      <c r="B24" s="30" t="s">
        <v>59</v>
      </c>
      <c r="C24" s="24"/>
      <c r="D24" s="63" t="s">
        <v>60</v>
      </c>
      <c r="E24" s="64"/>
      <c r="F24" s="64"/>
      <c r="G24" s="64"/>
      <c r="H24" s="64"/>
      <c r="I24" s="64"/>
      <c r="J24" s="64"/>
      <c r="K24" s="64"/>
      <c r="L24" s="64"/>
      <c r="M24" s="64"/>
      <c r="N24" s="65"/>
    </row>
    <row r="25" spans="1:16" ht="15.95" customHeight="1" x14ac:dyDescent="0.2">
      <c r="A25" s="31"/>
      <c r="B25" s="62" t="s">
        <v>61</v>
      </c>
      <c r="C25" s="52"/>
      <c r="D25" s="52"/>
      <c r="E25" s="52"/>
      <c r="F25" s="52"/>
      <c r="G25" s="52"/>
      <c r="H25" s="25">
        <f>SUM(H15:H23)+SUM(H12:H13)+H9</f>
        <v>96005.616999999998</v>
      </c>
      <c r="I25" s="25">
        <f t="shared" ref="I25:J25" si="6">SUM(I15:I23)+SUM(I12:I13)+I9</f>
        <v>4800.2808500000001</v>
      </c>
      <c r="J25" s="25">
        <f t="shared" si="6"/>
        <v>9600.5617000000002</v>
      </c>
      <c r="K25" s="27">
        <f>SUM(K15:K23)+K12+K13+K9</f>
        <v>3470</v>
      </c>
      <c r="L25" s="27">
        <f>SUM(L15:L23)+L12+L13+L9</f>
        <v>5073</v>
      </c>
      <c r="M25" s="73">
        <f>SUM(M15:M23)+M12+M13</f>
        <v>1554357.1553710003</v>
      </c>
      <c r="N25" s="55">
        <f>SUM(N15:N23)+N9+N12+N13</f>
        <v>24852287.459370997</v>
      </c>
    </row>
    <row r="26" spans="1:16" ht="15.95" customHeight="1" x14ac:dyDescent="0.2">
      <c r="A26" s="32"/>
      <c r="B26" s="62"/>
      <c r="C26" s="52"/>
      <c r="D26" s="52"/>
      <c r="E26" s="52"/>
      <c r="F26" s="52"/>
      <c r="G26" s="52"/>
      <c r="H26" s="53">
        <f>SUM(H25:J25)</f>
        <v>110406.45955</v>
      </c>
      <c r="I26" s="54"/>
      <c r="J26" s="54"/>
      <c r="K26" s="66">
        <f>K25+L25</f>
        <v>8543</v>
      </c>
      <c r="L26" s="67"/>
      <c r="M26" s="74"/>
      <c r="N26" s="54"/>
    </row>
    <row r="27" spans="1:16" ht="15.95" customHeight="1" x14ac:dyDescent="0.2">
      <c r="A27" s="68">
        <v>68</v>
      </c>
      <c r="B27" s="69"/>
      <c r="C27" s="69"/>
      <c r="D27" s="69"/>
      <c r="E27" s="69"/>
      <c r="F27" s="69"/>
      <c r="G27" s="69"/>
      <c r="H27" s="69"/>
      <c r="I27" s="69"/>
      <c r="J27" s="69"/>
      <c r="K27" s="69"/>
      <c r="L27" s="69"/>
      <c r="M27" s="69"/>
      <c r="N27" s="70"/>
    </row>
    <row r="28" spans="1:16" ht="15.95" customHeight="1" x14ac:dyDescent="0.2">
      <c r="A28" s="28"/>
      <c r="B28" s="30" t="s">
        <v>63</v>
      </c>
      <c r="C28" s="24"/>
      <c r="D28" s="63" t="s">
        <v>64</v>
      </c>
      <c r="E28" s="64"/>
      <c r="F28" s="64"/>
      <c r="G28" s="64"/>
      <c r="H28" s="64"/>
      <c r="I28" s="64"/>
      <c r="J28" s="64"/>
      <c r="K28" s="64"/>
      <c r="L28" s="64"/>
      <c r="M28" s="64"/>
      <c r="N28" s="65"/>
    </row>
    <row r="29" spans="1:16" ht="15.95" customHeight="1" x14ac:dyDescent="0.2">
      <c r="A29" s="28"/>
      <c r="B29" s="30" t="s">
        <v>40</v>
      </c>
      <c r="C29" s="24"/>
      <c r="D29" s="57"/>
      <c r="E29" s="58"/>
      <c r="F29" s="58"/>
      <c r="G29" s="58"/>
      <c r="H29" s="58"/>
      <c r="I29" s="58"/>
      <c r="J29" s="58"/>
      <c r="K29" s="58"/>
      <c r="L29" s="58"/>
      <c r="M29" s="58"/>
      <c r="N29" s="59"/>
    </row>
    <row r="30" spans="1:16" ht="15.95" customHeight="1" x14ac:dyDescent="0.2">
      <c r="A30" s="28"/>
      <c r="B30" s="29"/>
      <c r="C30" s="7" t="s">
        <v>65</v>
      </c>
      <c r="D30" s="25">
        <v>20</v>
      </c>
      <c r="E30" s="12">
        <v>5.8999999999999997E-2</v>
      </c>
      <c r="F30" s="26">
        <f>D30*E30</f>
        <v>1.18</v>
      </c>
      <c r="G30" s="25">
        <v>1094</v>
      </c>
      <c r="H30" s="25">
        <f>F30*G30</f>
        <v>1290.9199999999998</v>
      </c>
      <c r="I30" s="25">
        <f>H30*0.05</f>
        <v>64.545999999999992</v>
      </c>
      <c r="J30" s="25">
        <f>H30*0.1</f>
        <v>129.09199999999998</v>
      </c>
      <c r="K30" s="27">
        <v>0</v>
      </c>
      <c r="L30" s="27">
        <v>0</v>
      </c>
      <c r="M30" s="27">
        <f t="shared" ref="M30" si="7">(H30*Q$2)+(I30*Q$3)+(J30*Q$4)</f>
        <v>53654.507959999995</v>
      </c>
      <c r="N30" s="27">
        <f>(H30*Q$2)+(I30*Q$3)+(J30*Q$4)+(K30*G30)+(L30*G30)</f>
        <v>53654.507959999995</v>
      </c>
      <c r="P30" t="s">
        <v>66</v>
      </c>
    </row>
    <row r="31" spans="1:16" ht="15.95" customHeight="1" x14ac:dyDescent="0.2">
      <c r="A31" s="28"/>
      <c r="B31" s="30" t="s">
        <v>67</v>
      </c>
      <c r="C31" s="24"/>
      <c r="D31" s="63" t="s">
        <v>68</v>
      </c>
      <c r="E31" s="64"/>
      <c r="F31" s="64"/>
      <c r="G31" s="64"/>
      <c r="H31" s="64"/>
      <c r="I31" s="64"/>
      <c r="J31" s="64"/>
      <c r="K31" s="64"/>
      <c r="L31" s="64"/>
      <c r="M31" s="64"/>
      <c r="N31" s="65"/>
    </row>
    <row r="32" spans="1:16" ht="15.95" customHeight="1" x14ac:dyDescent="0.2">
      <c r="A32" s="28"/>
      <c r="B32" s="30" t="s">
        <v>69</v>
      </c>
      <c r="C32" s="24"/>
      <c r="D32" s="63" t="s">
        <v>68</v>
      </c>
      <c r="E32" s="64"/>
      <c r="F32" s="64"/>
      <c r="G32" s="64"/>
      <c r="H32" s="64"/>
      <c r="I32" s="64"/>
      <c r="J32" s="64"/>
      <c r="K32" s="64"/>
      <c r="L32" s="64"/>
      <c r="M32" s="64"/>
      <c r="N32" s="65"/>
    </row>
    <row r="33" spans="1:14" ht="15.95" customHeight="1" x14ac:dyDescent="0.2">
      <c r="A33" s="28"/>
      <c r="B33" s="30" t="s">
        <v>70</v>
      </c>
      <c r="C33" s="24"/>
      <c r="D33" s="63" t="s">
        <v>68</v>
      </c>
      <c r="E33" s="64"/>
      <c r="F33" s="64"/>
      <c r="G33" s="64"/>
      <c r="H33" s="64"/>
      <c r="I33" s="64"/>
      <c r="J33" s="64"/>
      <c r="K33" s="64"/>
      <c r="L33" s="64"/>
      <c r="M33" s="64"/>
      <c r="N33" s="65"/>
    </row>
    <row r="34" spans="1:14" ht="15.95" customHeight="1" x14ac:dyDescent="0.2">
      <c r="A34" s="31"/>
      <c r="B34" s="62" t="s">
        <v>71</v>
      </c>
      <c r="C34" s="52"/>
      <c r="D34" s="52"/>
      <c r="E34" s="52"/>
      <c r="F34" s="52"/>
      <c r="G34" s="52"/>
      <c r="H34" s="25">
        <f t="shared" ref="H34:M34" si="8">H30</f>
        <v>1290.9199999999998</v>
      </c>
      <c r="I34" s="25">
        <f t="shared" si="8"/>
        <v>64.545999999999992</v>
      </c>
      <c r="J34" s="25">
        <f t="shared" si="8"/>
        <v>129.09199999999998</v>
      </c>
      <c r="K34" s="27">
        <f t="shared" si="8"/>
        <v>0</v>
      </c>
      <c r="L34" s="27">
        <f t="shared" si="8"/>
        <v>0</v>
      </c>
      <c r="M34" s="73">
        <f t="shared" si="8"/>
        <v>53654.507959999995</v>
      </c>
      <c r="N34" s="55">
        <f>SUM(N30:N30)</f>
        <v>53654.507959999995</v>
      </c>
    </row>
    <row r="35" spans="1:14" ht="15.95" customHeight="1" x14ac:dyDescent="0.2">
      <c r="A35" s="32"/>
      <c r="B35" s="62"/>
      <c r="C35" s="52"/>
      <c r="D35" s="52"/>
      <c r="E35" s="52"/>
      <c r="F35" s="52"/>
      <c r="G35" s="52"/>
      <c r="H35" s="53">
        <f>SUM(H34:J34)</f>
        <v>1484.558</v>
      </c>
      <c r="I35" s="54"/>
      <c r="J35" s="54"/>
      <c r="K35" s="66">
        <f>K34+L34</f>
        <v>0</v>
      </c>
      <c r="L35" s="67"/>
      <c r="M35" s="74"/>
      <c r="N35" s="54"/>
    </row>
    <row r="36" spans="1:14" ht="15.95" customHeight="1" x14ac:dyDescent="0.2">
      <c r="A36" s="52" t="s">
        <v>72</v>
      </c>
      <c r="B36" s="52"/>
      <c r="C36" s="52"/>
      <c r="D36" s="52"/>
      <c r="E36" s="52"/>
      <c r="F36" s="52"/>
      <c r="G36" s="52"/>
      <c r="H36" s="25">
        <f>SUM(H25,H34)</f>
        <v>97296.536999999997</v>
      </c>
      <c r="I36" s="25">
        <f>SUM(I25,I34)</f>
        <v>4864.8268500000004</v>
      </c>
      <c r="J36" s="25">
        <f>SUM(J25,J34)</f>
        <v>9729.6537000000008</v>
      </c>
      <c r="K36" s="27">
        <f>K25+K34</f>
        <v>3470</v>
      </c>
      <c r="L36" s="27">
        <f>L25+L34</f>
        <v>5073</v>
      </c>
      <c r="M36" s="73">
        <f>M34+M25+M9</f>
        <v>4043935.9673310006</v>
      </c>
      <c r="N36" s="55">
        <f>SUM(N25,N34)</f>
        <v>24905941.967330996</v>
      </c>
    </row>
    <row r="37" spans="1:14" ht="15.95" customHeight="1" x14ac:dyDescent="0.2">
      <c r="A37" s="52"/>
      <c r="B37" s="52"/>
      <c r="C37" s="52"/>
      <c r="D37" s="52"/>
      <c r="E37" s="52"/>
      <c r="F37" s="52"/>
      <c r="G37" s="52"/>
      <c r="H37" s="53">
        <f>SUM(H36:J36)</f>
        <v>111891.01754999999</v>
      </c>
      <c r="I37" s="54"/>
      <c r="J37" s="54"/>
      <c r="K37" s="66">
        <f>K26+K35</f>
        <v>8543</v>
      </c>
      <c r="L37" s="59"/>
      <c r="M37" s="74"/>
      <c r="N37" s="54"/>
    </row>
    <row r="38" spans="1:14" ht="15.95" customHeight="1" x14ac:dyDescent="0.2">
      <c r="A38" s="11"/>
      <c r="B38" s="11"/>
      <c r="C38" s="11"/>
      <c r="D38" s="11"/>
      <c r="E38" s="11"/>
      <c r="F38" s="11"/>
      <c r="G38" s="11"/>
      <c r="H38" s="9"/>
      <c r="I38" s="10"/>
      <c r="J38" s="10"/>
      <c r="K38" s="10"/>
      <c r="L38" s="10"/>
      <c r="M38" s="10"/>
      <c r="N38" s="10"/>
    </row>
    <row r="39" spans="1:14" ht="15.95" customHeight="1" x14ac:dyDescent="0.2">
      <c r="A39" s="50" t="s">
        <v>73</v>
      </c>
      <c r="B39" s="50"/>
      <c r="C39" s="50"/>
      <c r="D39" s="50"/>
      <c r="E39" s="50"/>
      <c r="F39" s="50"/>
      <c r="G39" s="50"/>
      <c r="H39" s="50"/>
      <c r="I39" s="50"/>
      <c r="J39" s="50"/>
      <c r="K39" s="50"/>
      <c r="L39" s="50"/>
      <c r="M39" s="50"/>
      <c r="N39" s="50"/>
    </row>
    <row r="40" spans="1:14" ht="33" customHeight="1" x14ac:dyDescent="0.2">
      <c r="A40" s="50" t="s">
        <v>117</v>
      </c>
      <c r="B40" s="50"/>
      <c r="C40" s="50"/>
      <c r="D40" s="50"/>
      <c r="E40" s="50"/>
      <c r="F40" s="50"/>
      <c r="G40" s="50"/>
      <c r="H40" s="50"/>
      <c r="I40" s="50"/>
      <c r="J40" s="50"/>
      <c r="K40" s="50"/>
      <c r="L40" s="50"/>
      <c r="M40" s="50"/>
      <c r="N40" s="50"/>
    </row>
    <row r="41" spans="1:14" ht="31.5" customHeight="1" x14ac:dyDescent="0.2">
      <c r="A41" s="51" t="s">
        <v>74</v>
      </c>
      <c r="B41" s="51"/>
      <c r="C41" s="51"/>
      <c r="D41" s="51"/>
      <c r="E41" s="51"/>
      <c r="F41" s="51"/>
      <c r="G41" s="51"/>
      <c r="H41" s="51"/>
      <c r="I41" s="51"/>
      <c r="J41" s="51"/>
      <c r="K41" s="51"/>
      <c r="L41" s="51"/>
      <c r="M41" s="51"/>
      <c r="N41" s="51"/>
    </row>
    <row r="42" spans="1:14" ht="18.75" customHeight="1" x14ac:dyDescent="0.2">
      <c r="A42" s="44" t="s">
        <v>152</v>
      </c>
      <c r="B42" s="44"/>
      <c r="C42" s="44"/>
      <c r="D42" s="44"/>
      <c r="E42" s="44"/>
      <c r="F42" s="44"/>
      <c r="G42" s="44"/>
      <c r="H42" s="44"/>
      <c r="I42" s="44"/>
      <c r="J42" s="44"/>
      <c r="K42" s="44"/>
      <c r="L42" s="44"/>
      <c r="M42" s="44"/>
      <c r="N42" s="44"/>
    </row>
    <row r="43" spans="1:14" ht="33" customHeight="1" x14ac:dyDescent="0.2">
      <c r="A43" s="50" t="s">
        <v>148</v>
      </c>
      <c r="B43" s="50"/>
      <c r="C43" s="50"/>
      <c r="D43" s="50"/>
      <c r="E43" s="50"/>
      <c r="F43" s="50"/>
      <c r="G43" s="50"/>
      <c r="H43" s="50"/>
      <c r="I43" s="50"/>
      <c r="J43" s="50"/>
      <c r="K43" s="50"/>
      <c r="L43" s="50"/>
      <c r="M43" s="50"/>
      <c r="N43" s="50"/>
    </row>
    <row r="44" spans="1:14" ht="20.25" customHeight="1" x14ac:dyDescent="0.2">
      <c r="A44" s="50" t="s">
        <v>75</v>
      </c>
      <c r="B44" s="50"/>
      <c r="C44" s="50"/>
      <c r="D44" s="50"/>
      <c r="E44" s="50"/>
      <c r="F44" s="50"/>
      <c r="G44" s="50"/>
      <c r="H44" s="50"/>
      <c r="I44" s="50"/>
      <c r="J44" s="50"/>
      <c r="K44" s="50"/>
      <c r="L44" s="50"/>
      <c r="M44" s="50"/>
      <c r="N44" s="50"/>
    </row>
    <row r="45" spans="1:14" ht="18" customHeight="1" x14ac:dyDescent="0.2">
      <c r="A45" s="51" t="s">
        <v>126</v>
      </c>
      <c r="B45" s="51"/>
      <c r="C45" s="51"/>
      <c r="D45" s="51"/>
      <c r="E45" s="51"/>
      <c r="F45" s="51"/>
      <c r="G45" s="51"/>
      <c r="H45" s="51"/>
      <c r="I45" s="51"/>
      <c r="J45" s="51"/>
      <c r="K45" s="51"/>
      <c r="L45" s="51"/>
      <c r="M45" s="51"/>
      <c r="N45" s="51"/>
    </row>
    <row r="46" spans="1:14" ht="31.5" customHeight="1" x14ac:dyDescent="0.2">
      <c r="A46" s="51" t="s">
        <v>125</v>
      </c>
      <c r="B46" s="51"/>
      <c r="C46" s="51"/>
      <c r="D46" s="51"/>
      <c r="E46" s="51"/>
      <c r="F46" s="51"/>
      <c r="G46" s="51"/>
      <c r="H46" s="51"/>
      <c r="I46" s="51"/>
      <c r="J46" s="51"/>
      <c r="K46" s="51"/>
      <c r="L46" s="51"/>
      <c r="M46" s="51"/>
      <c r="N46" s="51"/>
    </row>
    <row r="47" spans="1:14" ht="30" customHeight="1" x14ac:dyDescent="0.2">
      <c r="A47" s="51" t="s">
        <v>124</v>
      </c>
      <c r="B47" s="51"/>
      <c r="C47" s="51"/>
      <c r="D47" s="51"/>
      <c r="E47" s="51"/>
      <c r="F47" s="51"/>
      <c r="G47" s="51"/>
      <c r="H47" s="51"/>
      <c r="I47" s="51"/>
      <c r="J47" s="51"/>
      <c r="K47" s="51"/>
      <c r="L47" s="51"/>
      <c r="M47" s="51"/>
      <c r="N47" s="51"/>
    </row>
    <row r="48" spans="1:14" ht="30" customHeight="1" x14ac:dyDescent="0.2">
      <c r="A48" s="47"/>
      <c r="B48" s="44"/>
      <c r="C48" s="44"/>
      <c r="D48" s="44"/>
      <c r="E48" s="44"/>
      <c r="F48" s="44"/>
      <c r="G48" s="44"/>
      <c r="H48" s="44"/>
      <c r="I48" s="44"/>
      <c r="J48" s="44"/>
      <c r="K48" s="44"/>
      <c r="L48" s="44"/>
      <c r="M48" s="44"/>
      <c r="N48" s="44"/>
    </row>
    <row r="49" spans="3:3" x14ac:dyDescent="0.2">
      <c r="C49" s="22"/>
    </row>
    <row r="50" spans="3:3" x14ac:dyDescent="0.2">
      <c r="C50" s="22"/>
    </row>
  </sheetData>
  <mergeCells count="40">
    <mergeCell ref="D29:N29"/>
    <mergeCell ref="K35:L35"/>
    <mergeCell ref="K37:L37"/>
    <mergeCell ref="A39:N39"/>
    <mergeCell ref="A36:G37"/>
    <mergeCell ref="N36:N37"/>
    <mergeCell ref="H37:J37"/>
    <mergeCell ref="M36:M37"/>
    <mergeCell ref="A2:N2"/>
    <mergeCell ref="D11:N11"/>
    <mergeCell ref="D14:N14"/>
    <mergeCell ref="D24:N24"/>
    <mergeCell ref="K26:L26"/>
    <mergeCell ref="A4:C5"/>
    <mergeCell ref="A6:N6"/>
    <mergeCell ref="A7:N7"/>
    <mergeCell ref="A8:N8"/>
    <mergeCell ref="D28:N28"/>
    <mergeCell ref="A10:N10"/>
    <mergeCell ref="B25:G26"/>
    <mergeCell ref="N25:N26"/>
    <mergeCell ref="H26:J26"/>
    <mergeCell ref="A27:N27"/>
    <mergeCell ref="M25:M26"/>
    <mergeCell ref="A48:N48"/>
    <mergeCell ref="D31:N31"/>
    <mergeCell ref="D32:N32"/>
    <mergeCell ref="D33:N33"/>
    <mergeCell ref="A44:N44"/>
    <mergeCell ref="A45:N45"/>
    <mergeCell ref="A46:N46"/>
    <mergeCell ref="A47:N47"/>
    <mergeCell ref="B34:G35"/>
    <mergeCell ref="N34:N35"/>
    <mergeCell ref="H35:J35"/>
    <mergeCell ref="M34:M35"/>
    <mergeCell ref="A41:N41"/>
    <mergeCell ref="A42:N42"/>
    <mergeCell ref="A43:N43"/>
    <mergeCell ref="A40:N40"/>
  </mergeCells>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0"/>
  <sheetViews>
    <sheetView showGridLines="0" topLeftCell="A2" zoomScale="93" zoomScaleNormal="93" workbookViewId="0">
      <selection activeCell="G9" sqref="G9"/>
    </sheetView>
  </sheetViews>
  <sheetFormatPr defaultRowHeight="12.75" x14ac:dyDescent="0.2"/>
  <cols>
    <col min="1" max="2" width="3.83203125" customWidth="1"/>
    <col min="3" max="3" width="55.1640625" customWidth="1"/>
    <col min="4" max="10" width="12.83203125" customWidth="1"/>
    <col min="11" max="11" width="15.5" customWidth="1"/>
    <col min="12" max="13" width="12.83203125" customWidth="1"/>
    <col min="14" max="14" width="18.5" customWidth="1"/>
    <col min="15" max="15" width="16.83203125" customWidth="1"/>
    <col min="16" max="16" width="18.33203125" customWidth="1"/>
    <col min="17" max="19" width="16.83203125" customWidth="1"/>
  </cols>
  <sheetData>
    <row r="1" spans="1:19" ht="15.75" x14ac:dyDescent="0.25">
      <c r="A1" s="3" t="s">
        <v>78</v>
      </c>
      <c r="P1" t="s">
        <v>1</v>
      </c>
      <c r="Q1" t="s">
        <v>2</v>
      </c>
    </row>
    <row r="2" spans="1:19" ht="18" customHeight="1" x14ac:dyDescent="0.2">
      <c r="A2" s="45" t="s">
        <v>3</v>
      </c>
      <c r="B2" s="46"/>
      <c r="C2" s="46"/>
      <c r="D2" s="46"/>
      <c r="E2" s="46"/>
      <c r="F2" s="46"/>
      <c r="G2" s="46"/>
      <c r="H2" s="46"/>
      <c r="I2" s="46"/>
      <c r="J2" s="46"/>
      <c r="K2" s="46"/>
      <c r="L2" s="46"/>
      <c r="M2" s="46"/>
      <c r="N2" s="46"/>
      <c r="P2" t="s">
        <v>4</v>
      </c>
      <c r="Q2">
        <v>35.92</v>
      </c>
    </row>
    <row r="3" spans="1:19" x14ac:dyDescent="0.2">
      <c r="P3" t="s">
        <v>5</v>
      </c>
      <c r="Q3">
        <v>59.82</v>
      </c>
    </row>
    <row r="4" spans="1:19" x14ac:dyDescent="0.2">
      <c r="A4" s="48" t="s">
        <v>6</v>
      </c>
      <c r="B4" s="49"/>
      <c r="C4" s="49"/>
      <c r="D4" s="26" t="s">
        <v>7</v>
      </c>
      <c r="E4" s="26" t="s">
        <v>8</v>
      </c>
      <c r="F4" s="6" t="s">
        <v>9</v>
      </c>
      <c r="G4" s="26" t="s">
        <v>10</v>
      </c>
      <c r="H4" s="26" t="s">
        <v>11</v>
      </c>
      <c r="I4" s="26" t="s">
        <v>12</v>
      </c>
      <c r="J4" s="26" t="s">
        <v>13</v>
      </c>
      <c r="K4" s="26" t="s">
        <v>14</v>
      </c>
      <c r="L4" s="26" t="s">
        <v>15</v>
      </c>
      <c r="M4" s="26" t="s">
        <v>16</v>
      </c>
      <c r="N4" s="26" t="s">
        <v>17</v>
      </c>
      <c r="O4" s="1"/>
      <c r="P4" s="4" t="s">
        <v>18</v>
      </c>
      <c r="Q4" s="5">
        <v>26.5</v>
      </c>
      <c r="R4" s="1"/>
      <c r="S4" s="1"/>
    </row>
    <row r="5" spans="1:19" ht="63.75" x14ac:dyDescent="0.2">
      <c r="A5" s="49"/>
      <c r="B5" s="49"/>
      <c r="C5" s="49"/>
      <c r="D5" s="23" t="s">
        <v>19</v>
      </c>
      <c r="E5" s="23" t="s">
        <v>20</v>
      </c>
      <c r="F5" s="23" t="s">
        <v>21</v>
      </c>
      <c r="G5" s="23" t="s">
        <v>22</v>
      </c>
      <c r="H5" s="23" t="s">
        <v>23</v>
      </c>
      <c r="I5" s="23" t="s">
        <v>24</v>
      </c>
      <c r="J5" s="23" t="s">
        <v>25</v>
      </c>
      <c r="K5" s="23" t="s">
        <v>26</v>
      </c>
      <c r="L5" s="23" t="s">
        <v>27</v>
      </c>
      <c r="M5" s="23" t="s">
        <v>28</v>
      </c>
      <c r="N5" s="23" t="s">
        <v>77</v>
      </c>
      <c r="O5" s="2"/>
      <c r="P5" s="8" t="s">
        <v>30</v>
      </c>
      <c r="Q5" s="2"/>
      <c r="R5" s="2"/>
      <c r="S5" s="2"/>
    </row>
    <row r="6" spans="1:19" ht="15.95" customHeight="1" x14ac:dyDescent="0.2">
      <c r="A6" s="68" t="s">
        <v>31</v>
      </c>
      <c r="B6" s="69"/>
      <c r="C6" s="69"/>
      <c r="D6" s="69"/>
      <c r="E6" s="69"/>
      <c r="F6" s="69"/>
      <c r="G6" s="69"/>
      <c r="H6" s="69"/>
      <c r="I6" s="69"/>
      <c r="J6" s="69"/>
      <c r="K6" s="69"/>
      <c r="L6" s="69"/>
      <c r="M6" s="69"/>
      <c r="N6" s="70"/>
      <c r="P6" t="s">
        <v>118</v>
      </c>
      <c r="Q6">
        <v>1.0680000000000001</v>
      </c>
      <c r="R6" s="33" t="s">
        <v>141</v>
      </c>
    </row>
    <row r="7" spans="1:19" ht="15.95" customHeight="1" x14ac:dyDescent="0.2">
      <c r="A7" s="68" t="s">
        <v>32</v>
      </c>
      <c r="B7" s="69"/>
      <c r="C7" s="69"/>
      <c r="D7" s="69"/>
      <c r="E7" s="69"/>
      <c r="F7" s="69"/>
      <c r="G7" s="69"/>
      <c r="H7" s="69"/>
      <c r="I7" s="69"/>
      <c r="J7" s="69"/>
      <c r="K7" s="69"/>
      <c r="L7" s="69"/>
      <c r="M7" s="69"/>
      <c r="N7" s="70"/>
    </row>
    <row r="8" spans="1:19" ht="15.95" customHeight="1" x14ac:dyDescent="0.2">
      <c r="A8" s="71" t="s">
        <v>33</v>
      </c>
      <c r="B8" s="72"/>
      <c r="C8" s="72"/>
      <c r="D8" s="69"/>
      <c r="E8" s="69"/>
      <c r="F8" s="69"/>
      <c r="G8" s="69"/>
      <c r="H8" s="69"/>
      <c r="I8" s="69"/>
      <c r="J8" s="69"/>
      <c r="K8" s="69"/>
      <c r="L8" s="69"/>
      <c r="M8" s="69"/>
      <c r="N8" s="70"/>
    </row>
    <row r="9" spans="1:19" ht="28.5" customHeight="1" x14ac:dyDescent="0.2">
      <c r="A9" s="28"/>
      <c r="B9" s="29"/>
      <c r="C9" s="7" t="s">
        <v>34</v>
      </c>
      <c r="D9" s="25">
        <v>24</v>
      </c>
      <c r="E9" s="25">
        <v>1</v>
      </c>
      <c r="F9" s="25">
        <f>D9*E9</f>
        <v>24</v>
      </c>
      <c r="G9" s="25">
        <v>2663</v>
      </c>
      <c r="H9" s="25">
        <f>F9*G9</f>
        <v>63912</v>
      </c>
      <c r="I9" s="25">
        <f>H9*0.05</f>
        <v>3195.6000000000004</v>
      </c>
      <c r="J9" s="25">
        <f>H9*0.1</f>
        <v>6391.2000000000007</v>
      </c>
      <c r="K9" s="27">
        <v>3470</v>
      </c>
      <c r="L9" s="27">
        <f>(4750*Q6)</f>
        <v>5073</v>
      </c>
      <c r="M9" s="27">
        <f>(H9*Q$2)+(I9*Q$3)+(J9*Q$4)</f>
        <v>2656246.6319999998</v>
      </c>
      <c r="N9" s="20">
        <f>(H9*Q$2)+(I9*Q$3)+(J9*Q$4)+(K9*G9)+(L9*G9)</f>
        <v>25406255.631999999</v>
      </c>
      <c r="P9" t="s">
        <v>35</v>
      </c>
    </row>
    <row r="10" spans="1:19" ht="15.95" customHeight="1" x14ac:dyDescent="0.2">
      <c r="A10" s="68" t="s">
        <v>36</v>
      </c>
      <c r="B10" s="69"/>
      <c r="C10" s="69"/>
      <c r="D10" s="69"/>
      <c r="E10" s="69"/>
      <c r="F10" s="69"/>
      <c r="G10" s="69"/>
      <c r="H10" s="69"/>
      <c r="I10" s="69"/>
      <c r="J10" s="69"/>
      <c r="K10" s="69"/>
      <c r="L10" s="69"/>
      <c r="M10" s="69"/>
      <c r="N10" s="70"/>
    </row>
    <row r="11" spans="1:19" ht="15.95" customHeight="1" x14ac:dyDescent="0.2">
      <c r="A11" s="28"/>
      <c r="B11" s="30" t="s">
        <v>37</v>
      </c>
      <c r="C11" s="24"/>
      <c r="D11" s="57"/>
      <c r="E11" s="58"/>
      <c r="F11" s="58"/>
      <c r="G11" s="58"/>
      <c r="H11" s="58"/>
      <c r="I11" s="58"/>
      <c r="J11" s="58"/>
      <c r="K11" s="58"/>
      <c r="L11" s="58"/>
      <c r="M11" s="58"/>
      <c r="N11" s="59"/>
    </row>
    <row r="12" spans="1:19" ht="15.95" customHeight="1" x14ac:dyDescent="0.2">
      <c r="A12" s="28"/>
      <c r="B12" s="29"/>
      <c r="C12" s="7" t="s">
        <v>38</v>
      </c>
      <c r="D12" s="26">
        <v>0</v>
      </c>
      <c r="E12" s="26">
        <v>0</v>
      </c>
      <c r="F12" s="26">
        <f>D12*E12</f>
        <v>0</v>
      </c>
      <c r="G12" s="26">
        <v>2442</v>
      </c>
      <c r="H12" s="25">
        <f>F12*G12</f>
        <v>0</v>
      </c>
      <c r="I12" s="25">
        <f>H12*0.05</f>
        <v>0</v>
      </c>
      <c r="J12" s="25">
        <f>H12*0.1</f>
        <v>0</v>
      </c>
      <c r="K12" s="27">
        <v>0</v>
      </c>
      <c r="L12" s="27">
        <v>0</v>
      </c>
      <c r="M12" s="27">
        <f>(H12*Q$2)+(I12*Q$3)+(J12*Q$4)</f>
        <v>0</v>
      </c>
      <c r="N12" s="27">
        <f>(H12*Q$2)+(I12*Q$3)+(J12*Q$4)+(K12*G12)+(L12*G12)</f>
        <v>0</v>
      </c>
    </row>
    <row r="13" spans="1:19" ht="15.95" customHeight="1" x14ac:dyDescent="0.2">
      <c r="A13" s="28"/>
      <c r="B13" s="29"/>
      <c r="C13" s="30" t="s">
        <v>39</v>
      </c>
      <c r="D13" s="25">
        <v>1</v>
      </c>
      <c r="E13" s="12">
        <v>5.8999999999999997E-2</v>
      </c>
      <c r="F13" s="25">
        <f>D13*E13</f>
        <v>5.8999999999999997E-2</v>
      </c>
      <c r="G13" s="25">
        <v>221</v>
      </c>
      <c r="H13" s="25">
        <f>F13*G13</f>
        <v>13.039</v>
      </c>
      <c r="I13" s="25">
        <f>H13*0.05</f>
        <v>0.65195000000000003</v>
      </c>
      <c r="J13" s="25">
        <f>H13*0.1</f>
        <v>1.3039000000000001</v>
      </c>
      <c r="K13" s="27">
        <v>0</v>
      </c>
      <c r="L13" s="27">
        <v>0</v>
      </c>
      <c r="M13" s="27">
        <f>(H13*Q$2)+(I13*Q$3)+(J13*Q$4)</f>
        <v>541.91387900000007</v>
      </c>
      <c r="N13" s="27">
        <f>(H13*Q$2)+(I13*Q$3)+(J13*Q$4)+(K13*G13)+(L13*G13)</f>
        <v>541.91387900000007</v>
      </c>
    </row>
    <row r="14" spans="1:19" ht="15.95" customHeight="1" x14ac:dyDescent="0.2">
      <c r="A14" s="28"/>
      <c r="B14" s="30" t="s">
        <v>40</v>
      </c>
      <c r="C14" s="24"/>
      <c r="D14" s="60"/>
      <c r="E14" s="58"/>
      <c r="F14" s="58"/>
      <c r="G14" s="58"/>
      <c r="H14" s="58"/>
      <c r="I14" s="58"/>
      <c r="J14" s="58"/>
      <c r="K14" s="58"/>
      <c r="L14" s="58"/>
      <c r="M14" s="58"/>
      <c r="N14" s="59"/>
    </row>
    <row r="15" spans="1:19" ht="15.95" customHeight="1" x14ac:dyDescent="0.2">
      <c r="A15" s="28"/>
      <c r="B15" s="29"/>
      <c r="C15" s="7" t="s">
        <v>41</v>
      </c>
      <c r="D15" s="12">
        <v>0</v>
      </c>
      <c r="E15" s="25">
        <v>1</v>
      </c>
      <c r="F15" s="25">
        <f>D15*E15</f>
        <v>0</v>
      </c>
      <c r="G15" s="40">
        <v>2663</v>
      </c>
      <c r="H15" s="25">
        <f>F15*G15</f>
        <v>0</v>
      </c>
      <c r="I15" s="25">
        <f>H15*0.05</f>
        <v>0</v>
      </c>
      <c r="J15" s="25">
        <f>H15*0.1</f>
        <v>0</v>
      </c>
      <c r="K15" s="27">
        <v>0</v>
      </c>
      <c r="L15" s="27">
        <v>0</v>
      </c>
      <c r="M15" s="27">
        <f>(H15*Q$2)+(I15*Q$3)+(J15*Q$4)</f>
        <v>0</v>
      </c>
      <c r="N15" s="27">
        <f>(H15*Q$2)+(I15*Q$3)+(J15*Q$4)+(K15*G15)+(L15*G15)</f>
        <v>0</v>
      </c>
      <c r="P15" t="s">
        <v>42</v>
      </c>
    </row>
    <row r="16" spans="1:19" ht="15.95" customHeight="1" x14ac:dyDescent="0.2">
      <c r="A16" s="28"/>
      <c r="B16" s="29"/>
      <c r="C16" s="7" t="s">
        <v>43</v>
      </c>
      <c r="D16" s="12">
        <v>0</v>
      </c>
      <c r="E16" s="25">
        <v>1</v>
      </c>
      <c r="F16" s="25">
        <f t="shared" ref="F16:F23" si="0">D16*E16</f>
        <v>0</v>
      </c>
      <c r="G16" s="40">
        <v>2663</v>
      </c>
      <c r="H16" s="25">
        <f t="shared" ref="H16:H23" si="1">F16*G16</f>
        <v>0</v>
      </c>
      <c r="I16" s="25">
        <f t="shared" ref="I16:I23" si="2">H16*0.05</f>
        <v>0</v>
      </c>
      <c r="J16" s="25">
        <f t="shared" ref="J16:J23" si="3">H16*0.1</f>
        <v>0</v>
      </c>
      <c r="K16" s="27">
        <v>0</v>
      </c>
      <c r="L16" s="27">
        <v>0</v>
      </c>
      <c r="M16" s="27">
        <f>(H16*Q$2)+(I16*Q$3)+(J16*Q$4)</f>
        <v>0</v>
      </c>
      <c r="N16" s="27">
        <f t="shared" ref="N16:N23" si="4">(H16*Q$2)+(I16*Q$3)+(J16*Q$4)+(K16*G16)+(L16*G16)</f>
        <v>0</v>
      </c>
      <c r="P16" t="s">
        <v>44</v>
      </c>
    </row>
    <row r="17" spans="1:16" ht="15.95" customHeight="1" x14ac:dyDescent="0.2">
      <c r="A17" s="28"/>
      <c r="B17" s="29"/>
      <c r="C17" s="7" t="s">
        <v>45</v>
      </c>
      <c r="D17" s="12">
        <v>1</v>
      </c>
      <c r="E17" s="25">
        <v>1</v>
      </c>
      <c r="F17" s="25">
        <f t="shared" si="0"/>
        <v>1</v>
      </c>
      <c r="G17" s="40">
        <v>2663</v>
      </c>
      <c r="H17" s="25">
        <f t="shared" si="1"/>
        <v>2663</v>
      </c>
      <c r="I17" s="25">
        <f t="shared" si="2"/>
        <v>133.15</v>
      </c>
      <c r="J17" s="25">
        <f t="shared" si="3"/>
        <v>266.3</v>
      </c>
      <c r="K17" s="27">
        <v>0</v>
      </c>
      <c r="L17" s="27">
        <v>0</v>
      </c>
      <c r="M17" s="27">
        <f t="shared" ref="M17:M23" si="5">(H17*Q$2)+(I17*Q$3)+(J17*Q$4)</f>
        <v>110676.943</v>
      </c>
      <c r="N17" s="27">
        <f t="shared" si="4"/>
        <v>110676.943</v>
      </c>
      <c r="P17" t="s">
        <v>46</v>
      </c>
    </row>
    <row r="18" spans="1:16" ht="15.95" customHeight="1" x14ac:dyDescent="0.2">
      <c r="A18" s="28"/>
      <c r="B18" s="29"/>
      <c r="C18" s="7" t="s">
        <v>47</v>
      </c>
      <c r="D18" s="12">
        <v>2</v>
      </c>
      <c r="E18" s="25">
        <v>1</v>
      </c>
      <c r="F18" s="25">
        <f t="shared" si="0"/>
        <v>2</v>
      </c>
      <c r="G18" s="40">
        <v>2663</v>
      </c>
      <c r="H18" s="25">
        <f t="shared" si="1"/>
        <v>5326</v>
      </c>
      <c r="I18" s="25">
        <f t="shared" si="2"/>
        <v>266.3</v>
      </c>
      <c r="J18" s="25">
        <f t="shared" si="3"/>
        <v>532.6</v>
      </c>
      <c r="K18" s="27">
        <v>0</v>
      </c>
      <c r="L18" s="27">
        <v>0</v>
      </c>
      <c r="M18" s="27">
        <f t="shared" si="5"/>
        <v>221353.886</v>
      </c>
      <c r="N18" s="27">
        <f t="shared" si="4"/>
        <v>221353.886</v>
      </c>
      <c r="P18" t="s">
        <v>48</v>
      </c>
    </row>
    <row r="19" spans="1:16" ht="15.95" customHeight="1" x14ac:dyDescent="0.2">
      <c r="A19" s="28"/>
      <c r="B19" s="29"/>
      <c r="C19" s="7" t="s">
        <v>49</v>
      </c>
      <c r="D19" s="12">
        <v>8</v>
      </c>
      <c r="E19" s="25">
        <v>1</v>
      </c>
      <c r="F19" s="25">
        <f t="shared" si="0"/>
        <v>8</v>
      </c>
      <c r="G19" s="40">
        <v>2663</v>
      </c>
      <c r="H19" s="25">
        <f t="shared" si="1"/>
        <v>21304</v>
      </c>
      <c r="I19" s="25">
        <f t="shared" si="2"/>
        <v>1065.2</v>
      </c>
      <c r="J19" s="25">
        <f t="shared" si="3"/>
        <v>2130.4</v>
      </c>
      <c r="K19" s="27">
        <v>0</v>
      </c>
      <c r="L19" s="27">
        <v>0</v>
      </c>
      <c r="M19" s="27">
        <f t="shared" si="5"/>
        <v>885415.54399999999</v>
      </c>
      <c r="N19" s="27">
        <f t="shared" si="4"/>
        <v>885415.54399999999</v>
      </c>
      <c r="P19" t="s">
        <v>50</v>
      </c>
    </row>
    <row r="20" spans="1:16" ht="15.95" customHeight="1" x14ac:dyDescent="0.2">
      <c r="A20" s="28"/>
      <c r="B20" s="29"/>
      <c r="C20" s="7" t="s">
        <v>51</v>
      </c>
      <c r="D20" s="12">
        <v>0.5</v>
      </c>
      <c r="E20" s="12">
        <v>5.8999999999999997E-2</v>
      </c>
      <c r="F20" s="25">
        <f t="shared" si="0"/>
        <v>2.9499999999999998E-2</v>
      </c>
      <c r="G20" s="40">
        <v>2663</v>
      </c>
      <c r="H20" s="25">
        <f t="shared" si="1"/>
        <v>78.558499999999995</v>
      </c>
      <c r="I20" s="25">
        <f t="shared" si="2"/>
        <v>3.9279250000000001</v>
      </c>
      <c r="J20" s="25">
        <f t="shared" si="3"/>
        <v>7.8558500000000002</v>
      </c>
      <c r="K20" s="27">
        <v>0</v>
      </c>
      <c r="L20" s="27">
        <v>0</v>
      </c>
      <c r="M20" s="27">
        <f t="shared" si="5"/>
        <v>3264.9698185000002</v>
      </c>
      <c r="N20" s="27">
        <f t="shared" si="4"/>
        <v>3264.9698185000002</v>
      </c>
      <c r="P20" t="s">
        <v>52</v>
      </c>
    </row>
    <row r="21" spans="1:16" ht="15.95" customHeight="1" x14ac:dyDescent="0.2">
      <c r="A21" s="28"/>
      <c r="B21" s="29"/>
      <c r="C21" s="7" t="s">
        <v>53</v>
      </c>
      <c r="D21" s="12">
        <v>0.5</v>
      </c>
      <c r="E21" s="12">
        <v>5.8999999999999997E-2</v>
      </c>
      <c r="F21" s="25">
        <f t="shared" si="0"/>
        <v>2.9499999999999998E-2</v>
      </c>
      <c r="G21" s="40">
        <v>2663</v>
      </c>
      <c r="H21" s="25">
        <f t="shared" si="1"/>
        <v>78.558499999999995</v>
      </c>
      <c r="I21" s="25">
        <f t="shared" si="2"/>
        <v>3.9279250000000001</v>
      </c>
      <c r="J21" s="25">
        <f t="shared" si="3"/>
        <v>7.8558500000000002</v>
      </c>
      <c r="K21" s="27">
        <v>0</v>
      </c>
      <c r="L21" s="27">
        <v>0</v>
      </c>
      <c r="M21" s="27">
        <f t="shared" si="5"/>
        <v>3264.9698185000002</v>
      </c>
      <c r="N21" s="27">
        <f t="shared" si="4"/>
        <v>3264.9698185000002</v>
      </c>
      <c r="P21" t="s">
        <v>54</v>
      </c>
    </row>
    <row r="22" spans="1:16" ht="15.95" customHeight="1" x14ac:dyDescent="0.2">
      <c r="A22" s="28"/>
      <c r="B22" s="29"/>
      <c r="C22" s="7" t="s">
        <v>55</v>
      </c>
      <c r="D22" s="12">
        <v>4</v>
      </c>
      <c r="E22" s="12">
        <v>1</v>
      </c>
      <c r="F22" s="25">
        <f t="shared" si="0"/>
        <v>4</v>
      </c>
      <c r="G22" s="40">
        <v>2663</v>
      </c>
      <c r="H22" s="25">
        <f t="shared" si="1"/>
        <v>10652</v>
      </c>
      <c r="I22" s="25">
        <f t="shared" si="2"/>
        <v>532.6</v>
      </c>
      <c r="J22" s="25">
        <f t="shared" si="3"/>
        <v>1065.2</v>
      </c>
      <c r="K22" s="27">
        <v>0</v>
      </c>
      <c r="L22" s="27">
        <v>0</v>
      </c>
      <c r="M22" s="27">
        <f t="shared" si="5"/>
        <v>442707.772</v>
      </c>
      <c r="N22" s="27">
        <f t="shared" si="4"/>
        <v>442707.772</v>
      </c>
      <c r="P22" t="s">
        <v>56</v>
      </c>
    </row>
    <row r="23" spans="1:16" ht="15.95" customHeight="1" x14ac:dyDescent="0.2">
      <c r="A23" s="28"/>
      <c r="B23" s="29"/>
      <c r="C23" s="7" t="s">
        <v>57</v>
      </c>
      <c r="D23" s="12">
        <v>0.25</v>
      </c>
      <c r="E23" s="25">
        <v>1</v>
      </c>
      <c r="F23" s="25">
        <f t="shared" si="0"/>
        <v>0.25</v>
      </c>
      <c r="G23" s="40">
        <v>2663</v>
      </c>
      <c r="H23" s="25">
        <f t="shared" si="1"/>
        <v>665.75</v>
      </c>
      <c r="I23" s="25">
        <f t="shared" si="2"/>
        <v>33.287500000000001</v>
      </c>
      <c r="J23" s="25">
        <f t="shared" si="3"/>
        <v>66.575000000000003</v>
      </c>
      <c r="K23" s="27">
        <v>0</v>
      </c>
      <c r="L23" s="27">
        <v>0</v>
      </c>
      <c r="M23" s="27">
        <f t="shared" si="5"/>
        <v>27669.23575</v>
      </c>
      <c r="N23" s="27">
        <f t="shared" si="4"/>
        <v>27669.23575</v>
      </c>
      <c r="P23" t="s">
        <v>58</v>
      </c>
    </row>
    <row r="24" spans="1:16" ht="15.95" customHeight="1" x14ac:dyDescent="0.2">
      <c r="A24" s="28"/>
      <c r="B24" s="30" t="s">
        <v>59</v>
      </c>
      <c r="C24" s="24"/>
      <c r="D24" s="63" t="s">
        <v>60</v>
      </c>
      <c r="E24" s="64"/>
      <c r="F24" s="64"/>
      <c r="G24" s="64"/>
      <c r="H24" s="64"/>
      <c r="I24" s="64"/>
      <c r="J24" s="64"/>
      <c r="K24" s="64"/>
      <c r="L24" s="64"/>
      <c r="M24" s="64"/>
      <c r="N24" s="65"/>
    </row>
    <row r="25" spans="1:16" ht="15.95" customHeight="1" x14ac:dyDescent="0.2">
      <c r="A25" s="31"/>
      <c r="B25" s="62" t="s">
        <v>61</v>
      </c>
      <c r="C25" s="52"/>
      <c r="D25" s="52"/>
      <c r="E25" s="52"/>
      <c r="F25" s="52"/>
      <c r="G25" s="52"/>
      <c r="H25" s="25">
        <f>SUM(H15:H23)+SUM(H12:H13)+H9</f>
        <v>104692.90599999999</v>
      </c>
      <c r="I25" s="25">
        <f t="shared" ref="I25:J25" si="6">SUM(I15:I23)+SUM(I12:I13)+I9</f>
        <v>5234.6453000000001</v>
      </c>
      <c r="J25" s="25">
        <f t="shared" si="6"/>
        <v>10469.2906</v>
      </c>
      <c r="K25" s="27">
        <f>SUM(K15:K23)+K12+K13+K9</f>
        <v>3470</v>
      </c>
      <c r="L25" s="27">
        <f>SUM(L15:L23)+L12+L13+L9</f>
        <v>5073</v>
      </c>
      <c r="M25" s="73">
        <f>SUM(M15:M23)+M12+M13</f>
        <v>1694895.2342660003</v>
      </c>
      <c r="N25" s="55">
        <f>SUM(N15:N23)+N9+N12+N13</f>
        <v>27101150.866265997</v>
      </c>
    </row>
    <row r="26" spans="1:16" ht="15.95" customHeight="1" x14ac:dyDescent="0.2">
      <c r="A26" s="32"/>
      <c r="B26" s="62"/>
      <c r="C26" s="52"/>
      <c r="D26" s="52"/>
      <c r="E26" s="52"/>
      <c r="F26" s="52"/>
      <c r="G26" s="52"/>
      <c r="H26" s="53">
        <f>SUM(H25:J25)</f>
        <v>120396.8419</v>
      </c>
      <c r="I26" s="54"/>
      <c r="J26" s="54"/>
      <c r="K26" s="66">
        <f>K25+L25</f>
        <v>8543</v>
      </c>
      <c r="L26" s="67"/>
      <c r="M26" s="74"/>
      <c r="N26" s="54"/>
    </row>
    <row r="27" spans="1:16" ht="15.95" customHeight="1" x14ac:dyDescent="0.2">
      <c r="A27" s="68" t="s">
        <v>62</v>
      </c>
      <c r="B27" s="69"/>
      <c r="C27" s="69"/>
      <c r="D27" s="69"/>
      <c r="E27" s="69"/>
      <c r="F27" s="69"/>
      <c r="G27" s="69"/>
      <c r="H27" s="69"/>
      <c r="I27" s="69"/>
      <c r="J27" s="69"/>
      <c r="K27" s="69"/>
      <c r="L27" s="69"/>
      <c r="M27" s="69"/>
      <c r="N27" s="70"/>
    </row>
    <row r="28" spans="1:16" ht="15.95" customHeight="1" x14ac:dyDescent="0.2">
      <c r="A28" s="28"/>
      <c r="B28" s="30" t="s">
        <v>63</v>
      </c>
      <c r="C28" s="24"/>
      <c r="D28" s="63" t="s">
        <v>64</v>
      </c>
      <c r="E28" s="64"/>
      <c r="F28" s="64"/>
      <c r="G28" s="64"/>
      <c r="H28" s="64"/>
      <c r="I28" s="64"/>
      <c r="J28" s="64"/>
      <c r="K28" s="64"/>
      <c r="L28" s="64"/>
      <c r="M28" s="64"/>
      <c r="N28" s="65"/>
    </row>
    <row r="29" spans="1:16" ht="15.95" customHeight="1" x14ac:dyDescent="0.2">
      <c r="A29" s="28"/>
      <c r="B29" s="30" t="s">
        <v>40</v>
      </c>
      <c r="C29" s="24"/>
      <c r="D29" s="57"/>
      <c r="E29" s="58"/>
      <c r="F29" s="58"/>
      <c r="G29" s="58"/>
      <c r="H29" s="58"/>
      <c r="I29" s="58"/>
      <c r="J29" s="58"/>
      <c r="K29" s="58"/>
      <c r="L29" s="58"/>
      <c r="M29" s="58"/>
      <c r="N29" s="59"/>
    </row>
    <row r="30" spans="1:16" ht="15.95" customHeight="1" x14ac:dyDescent="0.2">
      <c r="A30" s="28"/>
      <c r="B30" s="29"/>
      <c r="C30" s="7" t="s">
        <v>65</v>
      </c>
      <c r="D30" s="25">
        <v>20</v>
      </c>
      <c r="E30" s="12">
        <v>5.8999999999999997E-2</v>
      </c>
      <c r="F30" s="26">
        <f>D30*E30</f>
        <v>1.18</v>
      </c>
      <c r="G30" s="25">
        <v>1251</v>
      </c>
      <c r="H30" s="25">
        <f>F30*G30</f>
        <v>1476.1799999999998</v>
      </c>
      <c r="I30" s="25">
        <f>H30*0.05</f>
        <v>73.808999999999997</v>
      </c>
      <c r="J30" s="25">
        <f>H30*0.1</f>
        <v>147.61799999999999</v>
      </c>
      <c r="K30" s="27">
        <v>0</v>
      </c>
      <c r="L30" s="27">
        <v>0</v>
      </c>
      <c r="M30" s="27">
        <f t="shared" ref="M30" si="7">(H30*Q$2)+(I30*Q$3)+(J30*Q$4)</f>
        <v>61351.516979999993</v>
      </c>
      <c r="N30" s="27">
        <f>(H30*Q$2)+(I30*Q$3)+(J30*Q$4)+(K30*G30)+(L30*G30)</f>
        <v>61351.516979999993</v>
      </c>
      <c r="P30" t="s">
        <v>66</v>
      </c>
    </row>
    <row r="31" spans="1:16" ht="15.95" customHeight="1" x14ac:dyDescent="0.2">
      <c r="A31" s="28"/>
      <c r="B31" s="30" t="s">
        <v>67</v>
      </c>
      <c r="C31" s="24"/>
      <c r="D31" s="63" t="s">
        <v>68</v>
      </c>
      <c r="E31" s="64"/>
      <c r="F31" s="64"/>
      <c r="G31" s="64"/>
      <c r="H31" s="64"/>
      <c r="I31" s="64"/>
      <c r="J31" s="64"/>
      <c r="K31" s="64"/>
      <c r="L31" s="64"/>
      <c r="M31" s="64"/>
      <c r="N31" s="65"/>
    </row>
    <row r="32" spans="1:16" ht="15.95" customHeight="1" x14ac:dyDescent="0.2">
      <c r="A32" s="28"/>
      <c r="B32" s="30" t="s">
        <v>69</v>
      </c>
      <c r="C32" s="24"/>
      <c r="D32" s="63" t="s">
        <v>68</v>
      </c>
      <c r="E32" s="64"/>
      <c r="F32" s="64"/>
      <c r="G32" s="64"/>
      <c r="H32" s="64"/>
      <c r="I32" s="64"/>
      <c r="J32" s="64"/>
      <c r="K32" s="64"/>
      <c r="L32" s="64"/>
      <c r="M32" s="64"/>
      <c r="N32" s="65"/>
    </row>
    <row r="33" spans="1:14" ht="15.95" customHeight="1" x14ac:dyDescent="0.2">
      <c r="A33" s="28"/>
      <c r="B33" s="30" t="s">
        <v>70</v>
      </c>
      <c r="C33" s="24"/>
      <c r="D33" s="63" t="s">
        <v>68</v>
      </c>
      <c r="E33" s="64"/>
      <c r="F33" s="64"/>
      <c r="G33" s="64"/>
      <c r="H33" s="64"/>
      <c r="I33" s="64"/>
      <c r="J33" s="64"/>
      <c r="K33" s="64"/>
      <c r="L33" s="64"/>
      <c r="M33" s="64"/>
      <c r="N33" s="65"/>
    </row>
    <row r="34" spans="1:14" ht="15.95" customHeight="1" x14ac:dyDescent="0.2">
      <c r="A34" s="31"/>
      <c r="B34" s="62" t="s">
        <v>71</v>
      </c>
      <c r="C34" s="52"/>
      <c r="D34" s="52"/>
      <c r="E34" s="52"/>
      <c r="F34" s="52"/>
      <c r="G34" s="52"/>
      <c r="H34" s="25">
        <f t="shared" ref="H34:M34" si="8">H30</f>
        <v>1476.1799999999998</v>
      </c>
      <c r="I34" s="25">
        <f t="shared" si="8"/>
        <v>73.808999999999997</v>
      </c>
      <c r="J34" s="25">
        <f t="shared" si="8"/>
        <v>147.61799999999999</v>
      </c>
      <c r="K34" s="27">
        <f t="shared" si="8"/>
        <v>0</v>
      </c>
      <c r="L34" s="27">
        <f t="shared" si="8"/>
        <v>0</v>
      </c>
      <c r="M34" s="73">
        <f t="shared" si="8"/>
        <v>61351.516979999993</v>
      </c>
      <c r="N34" s="55">
        <f>SUM(N30:N30)</f>
        <v>61351.516979999993</v>
      </c>
    </row>
    <row r="35" spans="1:14" ht="15.95" customHeight="1" x14ac:dyDescent="0.2">
      <c r="A35" s="32"/>
      <c r="B35" s="62"/>
      <c r="C35" s="52"/>
      <c r="D35" s="52"/>
      <c r="E35" s="52"/>
      <c r="F35" s="52"/>
      <c r="G35" s="52"/>
      <c r="H35" s="53">
        <f>SUM(H34:J34)</f>
        <v>1697.6069999999997</v>
      </c>
      <c r="I35" s="54"/>
      <c r="J35" s="54"/>
      <c r="K35" s="66">
        <f>K34+L34</f>
        <v>0</v>
      </c>
      <c r="L35" s="67"/>
      <c r="M35" s="74"/>
      <c r="N35" s="54"/>
    </row>
    <row r="36" spans="1:14" ht="15.95" customHeight="1" x14ac:dyDescent="0.2">
      <c r="A36" s="52" t="s">
        <v>72</v>
      </c>
      <c r="B36" s="52"/>
      <c r="C36" s="52"/>
      <c r="D36" s="52"/>
      <c r="E36" s="52"/>
      <c r="F36" s="52"/>
      <c r="G36" s="52"/>
      <c r="H36" s="25">
        <f>SUM(H25,H34)</f>
        <v>106169.08599999998</v>
      </c>
      <c r="I36" s="25">
        <f>SUM(I25,I34)</f>
        <v>5308.4543000000003</v>
      </c>
      <c r="J36" s="25">
        <f>SUM(J25,J34)</f>
        <v>10616.908600000001</v>
      </c>
      <c r="K36" s="27">
        <f>K25+K34</f>
        <v>3470</v>
      </c>
      <c r="L36" s="27">
        <f>L25+L34</f>
        <v>5073</v>
      </c>
      <c r="M36" s="73">
        <f>M34+M25+M9</f>
        <v>4412493.3832459999</v>
      </c>
      <c r="N36" s="55">
        <f>SUM(N25,N34)</f>
        <v>27162502.383245997</v>
      </c>
    </row>
    <row r="37" spans="1:14" ht="15.95" customHeight="1" x14ac:dyDescent="0.2">
      <c r="A37" s="52"/>
      <c r="B37" s="52"/>
      <c r="C37" s="52"/>
      <c r="D37" s="52"/>
      <c r="E37" s="52"/>
      <c r="F37" s="52"/>
      <c r="G37" s="52"/>
      <c r="H37" s="53">
        <f>SUM(H36:J36)</f>
        <v>122094.44889999997</v>
      </c>
      <c r="I37" s="54"/>
      <c r="J37" s="54"/>
      <c r="K37" s="66">
        <f>K26+K35</f>
        <v>8543</v>
      </c>
      <c r="L37" s="59"/>
      <c r="M37" s="74"/>
      <c r="N37" s="54"/>
    </row>
    <row r="38" spans="1:14" ht="15.95" customHeight="1" x14ac:dyDescent="0.2">
      <c r="A38" s="11"/>
      <c r="B38" s="11"/>
      <c r="C38" s="11"/>
      <c r="D38" s="11"/>
      <c r="E38" s="11"/>
      <c r="F38" s="11"/>
      <c r="G38" s="11"/>
      <c r="H38" s="9"/>
      <c r="I38" s="10"/>
      <c r="J38" s="10"/>
      <c r="K38" s="10"/>
      <c r="L38" s="10"/>
      <c r="M38" s="10"/>
      <c r="N38" s="10"/>
    </row>
    <row r="39" spans="1:14" ht="15.95" customHeight="1" x14ac:dyDescent="0.2">
      <c r="A39" s="50" t="s">
        <v>73</v>
      </c>
      <c r="B39" s="50"/>
      <c r="C39" s="50"/>
      <c r="D39" s="50"/>
      <c r="E39" s="50"/>
      <c r="F39" s="50"/>
      <c r="G39" s="50"/>
      <c r="H39" s="50"/>
      <c r="I39" s="50"/>
      <c r="J39" s="50"/>
      <c r="K39" s="50"/>
      <c r="L39" s="50"/>
      <c r="M39" s="50"/>
      <c r="N39" s="50"/>
    </row>
    <row r="40" spans="1:14" ht="33" customHeight="1" x14ac:dyDescent="0.2">
      <c r="A40" s="50" t="s">
        <v>117</v>
      </c>
      <c r="B40" s="50"/>
      <c r="C40" s="50"/>
      <c r="D40" s="50"/>
      <c r="E40" s="50"/>
      <c r="F40" s="50"/>
      <c r="G40" s="50"/>
      <c r="H40" s="50"/>
      <c r="I40" s="50"/>
      <c r="J40" s="50"/>
      <c r="K40" s="50"/>
      <c r="L40" s="50"/>
      <c r="M40" s="50"/>
      <c r="N40" s="50"/>
    </row>
    <row r="41" spans="1:14" ht="31.5" customHeight="1" x14ac:dyDescent="0.2">
      <c r="A41" s="51" t="s">
        <v>74</v>
      </c>
      <c r="B41" s="51"/>
      <c r="C41" s="51"/>
      <c r="D41" s="51"/>
      <c r="E41" s="51"/>
      <c r="F41" s="51"/>
      <c r="G41" s="51"/>
      <c r="H41" s="51"/>
      <c r="I41" s="51"/>
      <c r="J41" s="51"/>
      <c r="K41" s="51"/>
      <c r="L41" s="51"/>
      <c r="M41" s="51"/>
      <c r="N41" s="51"/>
    </row>
    <row r="42" spans="1:14" ht="16.5" customHeight="1" x14ac:dyDescent="0.2">
      <c r="A42" s="44" t="s">
        <v>153</v>
      </c>
      <c r="B42" s="44"/>
      <c r="C42" s="44"/>
      <c r="D42" s="44"/>
      <c r="E42" s="44"/>
      <c r="F42" s="44"/>
      <c r="G42" s="44"/>
      <c r="H42" s="44"/>
      <c r="I42" s="44"/>
      <c r="J42" s="44"/>
      <c r="K42" s="44"/>
      <c r="L42" s="44"/>
      <c r="M42" s="44"/>
      <c r="N42" s="44"/>
    </row>
    <row r="43" spans="1:14" ht="36.75" customHeight="1" x14ac:dyDescent="0.2">
      <c r="A43" s="50" t="s">
        <v>150</v>
      </c>
      <c r="B43" s="50"/>
      <c r="C43" s="50"/>
      <c r="D43" s="50"/>
      <c r="E43" s="50"/>
      <c r="F43" s="50"/>
      <c r="G43" s="50"/>
      <c r="H43" s="50"/>
      <c r="I43" s="50"/>
      <c r="J43" s="50"/>
      <c r="K43" s="50"/>
      <c r="L43" s="50"/>
      <c r="M43" s="50"/>
      <c r="N43" s="50"/>
    </row>
    <row r="44" spans="1:14" ht="18" customHeight="1" x14ac:dyDescent="0.2">
      <c r="A44" s="50" t="s">
        <v>75</v>
      </c>
      <c r="B44" s="50"/>
      <c r="C44" s="50"/>
      <c r="D44" s="50"/>
      <c r="E44" s="50"/>
      <c r="F44" s="50"/>
      <c r="G44" s="50"/>
      <c r="H44" s="50"/>
      <c r="I44" s="50"/>
      <c r="J44" s="50"/>
      <c r="K44" s="50"/>
      <c r="L44" s="50"/>
      <c r="M44" s="50"/>
      <c r="N44" s="50"/>
    </row>
    <row r="45" spans="1:14" ht="16.5" customHeight="1" x14ac:dyDescent="0.2">
      <c r="A45" s="51" t="s">
        <v>126</v>
      </c>
      <c r="B45" s="51"/>
      <c r="C45" s="51"/>
      <c r="D45" s="51"/>
      <c r="E45" s="51"/>
      <c r="F45" s="51"/>
      <c r="G45" s="51"/>
      <c r="H45" s="51"/>
      <c r="I45" s="51"/>
      <c r="J45" s="51"/>
      <c r="K45" s="51"/>
      <c r="L45" s="51"/>
      <c r="M45" s="51"/>
      <c r="N45" s="51"/>
    </row>
    <row r="46" spans="1:14" ht="32.25" customHeight="1" x14ac:dyDescent="0.2">
      <c r="A46" s="51" t="s">
        <v>125</v>
      </c>
      <c r="B46" s="51"/>
      <c r="C46" s="51"/>
      <c r="D46" s="51"/>
      <c r="E46" s="51"/>
      <c r="F46" s="51"/>
      <c r="G46" s="51"/>
      <c r="H46" s="51"/>
      <c r="I46" s="51"/>
      <c r="J46" s="51"/>
      <c r="K46" s="51"/>
      <c r="L46" s="51"/>
      <c r="M46" s="51"/>
      <c r="N46" s="51"/>
    </row>
    <row r="47" spans="1:14" ht="30" customHeight="1" x14ac:dyDescent="0.2">
      <c r="A47" s="51" t="s">
        <v>124</v>
      </c>
      <c r="B47" s="51"/>
      <c r="C47" s="51"/>
      <c r="D47" s="51"/>
      <c r="E47" s="51"/>
      <c r="F47" s="51"/>
      <c r="G47" s="51"/>
      <c r="H47" s="51"/>
      <c r="I47" s="51"/>
      <c r="J47" s="51"/>
      <c r="K47" s="51"/>
      <c r="L47" s="51"/>
      <c r="M47" s="51"/>
      <c r="N47" s="51"/>
    </row>
    <row r="48" spans="1:14" ht="30" customHeight="1" x14ac:dyDescent="0.2">
      <c r="A48" s="47"/>
      <c r="B48" s="44"/>
      <c r="C48" s="44"/>
      <c r="D48" s="44"/>
      <c r="E48" s="44"/>
      <c r="F48" s="44"/>
      <c r="G48" s="44"/>
      <c r="H48" s="44"/>
      <c r="I48" s="44"/>
      <c r="J48" s="44"/>
      <c r="K48" s="44"/>
      <c r="L48" s="44"/>
      <c r="M48" s="44"/>
      <c r="N48" s="44"/>
    </row>
    <row r="49" spans="3:3" x14ac:dyDescent="0.2">
      <c r="C49" s="22"/>
    </row>
    <row r="50" spans="3:3" x14ac:dyDescent="0.2">
      <c r="C50" s="22"/>
    </row>
  </sheetData>
  <mergeCells count="40">
    <mergeCell ref="D29:N29"/>
    <mergeCell ref="K35:L35"/>
    <mergeCell ref="K37:L37"/>
    <mergeCell ref="A39:N39"/>
    <mergeCell ref="A36:G37"/>
    <mergeCell ref="N36:N37"/>
    <mergeCell ref="H37:J37"/>
    <mergeCell ref="M36:M37"/>
    <mergeCell ref="A2:N2"/>
    <mergeCell ref="D11:N11"/>
    <mergeCell ref="D14:N14"/>
    <mergeCell ref="D24:N24"/>
    <mergeCell ref="K26:L26"/>
    <mergeCell ref="A4:C5"/>
    <mergeCell ref="A6:N6"/>
    <mergeCell ref="A7:N7"/>
    <mergeCell ref="A8:N8"/>
    <mergeCell ref="D28:N28"/>
    <mergeCell ref="A10:N10"/>
    <mergeCell ref="B25:G26"/>
    <mergeCell ref="N25:N26"/>
    <mergeCell ref="H26:J26"/>
    <mergeCell ref="A27:N27"/>
    <mergeCell ref="M25:M26"/>
    <mergeCell ref="A48:N48"/>
    <mergeCell ref="D31:N31"/>
    <mergeCell ref="D32:N32"/>
    <mergeCell ref="D33:N33"/>
    <mergeCell ref="A44:N44"/>
    <mergeCell ref="A45:N45"/>
    <mergeCell ref="A46:N46"/>
    <mergeCell ref="A47:N47"/>
    <mergeCell ref="B34:G35"/>
    <mergeCell ref="N34:N35"/>
    <mergeCell ref="H35:J35"/>
    <mergeCell ref="M34:M35"/>
    <mergeCell ref="A41:N41"/>
    <mergeCell ref="A42:N42"/>
    <mergeCell ref="A43:N43"/>
    <mergeCell ref="A40:N40"/>
  </mergeCells>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7"/>
  <sheetViews>
    <sheetView showGridLines="0" zoomScaleNormal="100" workbookViewId="0">
      <selection activeCell="F7" sqref="F7"/>
    </sheetView>
  </sheetViews>
  <sheetFormatPr defaultRowHeight="12.75" x14ac:dyDescent="0.2"/>
  <cols>
    <col min="1" max="1" width="3.83203125" customWidth="1"/>
    <col min="2" max="2" width="44.83203125" customWidth="1"/>
    <col min="3" max="10" width="12.83203125" customWidth="1"/>
    <col min="11" max="15" width="16.83203125" customWidth="1"/>
  </cols>
  <sheetData>
    <row r="1" spans="1:15" ht="15.75" x14ac:dyDescent="0.25">
      <c r="A1" s="3" t="s">
        <v>79</v>
      </c>
      <c r="L1" t="s">
        <v>1</v>
      </c>
      <c r="M1" t="s">
        <v>119</v>
      </c>
    </row>
    <row r="2" spans="1:15" ht="32.25" customHeight="1" x14ac:dyDescent="0.25">
      <c r="A2" s="81" t="s">
        <v>3</v>
      </c>
      <c r="B2" s="44"/>
      <c r="C2" s="44"/>
      <c r="D2" s="44"/>
      <c r="E2" s="44"/>
      <c r="F2" s="44"/>
      <c r="G2" s="44"/>
      <c r="H2" s="44"/>
      <c r="I2" s="44"/>
      <c r="J2" s="44"/>
      <c r="L2" t="s">
        <v>4</v>
      </c>
      <c r="M2" s="21">
        <v>72.75</v>
      </c>
      <c r="N2" t="s">
        <v>80</v>
      </c>
    </row>
    <row r="3" spans="1:15" x14ac:dyDescent="0.2">
      <c r="L3" t="s">
        <v>5</v>
      </c>
      <c r="M3" s="21">
        <v>97.42</v>
      </c>
      <c r="N3" t="s">
        <v>80</v>
      </c>
    </row>
    <row r="4" spans="1:15" x14ac:dyDescent="0.2">
      <c r="A4" s="48" t="s">
        <v>81</v>
      </c>
      <c r="B4" s="49"/>
      <c r="C4" s="26" t="s">
        <v>7</v>
      </c>
      <c r="D4" s="26" t="s">
        <v>8</v>
      </c>
      <c r="E4" s="6" t="s">
        <v>9</v>
      </c>
      <c r="F4" s="26" t="s">
        <v>10</v>
      </c>
      <c r="G4" s="26" t="s">
        <v>11</v>
      </c>
      <c r="H4" s="26" t="s">
        <v>12</v>
      </c>
      <c r="I4" s="26" t="s">
        <v>13</v>
      </c>
      <c r="J4" s="26" t="s">
        <v>14</v>
      </c>
      <c r="K4" s="1"/>
      <c r="L4" s="4" t="s">
        <v>18</v>
      </c>
      <c r="M4" s="21">
        <v>36.78</v>
      </c>
      <c r="N4" t="s">
        <v>80</v>
      </c>
      <c r="O4" s="1"/>
    </row>
    <row r="5" spans="1:15" ht="63.75" x14ac:dyDescent="0.2">
      <c r="A5" s="49"/>
      <c r="B5" s="49"/>
      <c r="C5" s="23" t="s">
        <v>82</v>
      </c>
      <c r="D5" s="23" t="s">
        <v>20</v>
      </c>
      <c r="E5" s="23" t="s">
        <v>83</v>
      </c>
      <c r="F5" s="23" t="s">
        <v>22</v>
      </c>
      <c r="G5" s="23" t="s">
        <v>84</v>
      </c>
      <c r="H5" s="23" t="s">
        <v>85</v>
      </c>
      <c r="I5" s="23" t="s">
        <v>86</v>
      </c>
      <c r="J5" s="23" t="s">
        <v>87</v>
      </c>
      <c r="K5" s="2"/>
      <c r="L5" s="8" t="s">
        <v>30</v>
      </c>
      <c r="M5" s="2"/>
      <c r="N5" s="2"/>
      <c r="O5" s="2"/>
    </row>
    <row r="6" spans="1:15" ht="15.95" customHeight="1" x14ac:dyDescent="0.2">
      <c r="A6" s="28" t="s">
        <v>88</v>
      </c>
      <c r="B6" s="7"/>
      <c r="C6" s="25"/>
      <c r="D6" s="25"/>
      <c r="E6" s="25"/>
      <c r="F6" s="25"/>
      <c r="G6" s="25"/>
      <c r="H6" s="25"/>
      <c r="I6" s="25"/>
      <c r="J6" s="26"/>
    </row>
    <row r="7" spans="1:15" ht="15.95" customHeight="1" x14ac:dyDescent="0.2">
      <c r="A7" s="28"/>
      <c r="B7" s="7" t="s">
        <v>89</v>
      </c>
      <c r="C7" s="25">
        <v>1</v>
      </c>
      <c r="D7" s="25">
        <v>1</v>
      </c>
      <c r="E7" s="25">
        <f t="shared" ref="E7" si="0">C7*D7</f>
        <v>1</v>
      </c>
      <c r="F7" s="42">
        <v>2221</v>
      </c>
      <c r="G7" s="25">
        <f t="shared" ref="G7" si="1">E7*F7</f>
        <v>2221</v>
      </c>
      <c r="H7" s="25">
        <f t="shared" ref="H7" si="2">G7*0.05</f>
        <v>111.05000000000001</v>
      </c>
      <c r="I7" s="25">
        <f t="shared" ref="I7" si="3">G7*0.1</f>
        <v>222.10000000000002</v>
      </c>
      <c r="J7" s="27">
        <f t="shared" ref="J7" si="4">(G7*M$2)+(H7*M$3)+(I7*M$4)</f>
        <v>180565.079</v>
      </c>
      <c r="L7" t="s">
        <v>66</v>
      </c>
    </row>
    <row r="8" spans="1:15" ht="15.95" customHeight="1" x14ac:dyDescent="0.2">
      <c r="A8" s="75" t="s">
        <v>90</v>
      </c>
      <c r="B8" s="76"/>
      <c r="C8" s="76"/>
      <c r="D8" s="76"/>
      <c r="E8" s="76"/>
      <c r="F8" s="77"/>
      <c r="G8" s="25">
        <f>SUM(G6:G7)</f>
        <v>2221</v>
      </c>
      <c r="H8" s="25">
        <f>SUM(H6:H7)</f>
        <v>111.05000000000001</v>
      </c>
      <c r="I8" s="25">
        <f>SUM(I6:I7)</f>
        <v>222.10000000000002</v>
      </c>
      <c r="J8" s="55">
        <f>SUM(J6:J7)</f>
        <v>180565.079</v>
      </c>
    </row>
    <row r="9" spans="1:15" ht="15.95" customHeight="1" x14ac:dyDescent="0.2">
      <c r="A9" s="78"/>
      <c r="B9" s="79"/>
      <c r="C9" s="79"/>
      <c r="D9" s="79"/>
      <c r="E9" s="79"/>
      <c r="F9" s="80"/>
      <c r="G9" s="53">
        <f>SUM(G8:I8)</f>
        <v>2554.15</v>
      </c>
      <c r="H9" s="54"/>
      <c r="I9" s="54"/>
      <c r="J9" s="54"/>
    </row>
    <row r="10" spans="1:15" ht="39.75" customHeight="1" x14ac:dyDescent="0.2">
      <c r="A10" s="44" t="s">
        <v>120</v>
      </c>
      <c r="B10" s="44"/>
      <c r="C10" s="44"/>
      <c r="D10" s="44"/>
      <c r="E10" s="44"/>
      <c r="F10" s="44"/>
      <c r="G10" s="44"/>
      <c r="H10" s="44"/>
      <c r="I10" s="44"/>
      <c r="J10" s="44"/>
    </row>
    <row r="11" spans="1:15" ht="15.75" x14ac:dyDescent="0.2">
      <c r="A11" s="61" t="s">
        <v>122</v>
      </c>
      <c r="B11" s="61"/>
      <c r="C11" s="61"/>
      <c r="D11" s="61"/>
      <c r="E11" s="61"/>
      <c r="F11" s="61"/>
      <c r="G11" s="61"/>
      <c r="H11" s="61"/>
      <c r="I11" s="61"/>
      <c r="J11" s="61"/>
    </row>
    <row r="12" spans="1:15" x14ac:dyDescent="0.2">
      <c r="A12" s="61"/>
      <c r="B12" s="61"/>
      <c r="C12" s="61"/>
      <c r="D12" s="61"/>
      <c r="E12" s="61"/>
      <c r="F12" s="61"/>
      <c r="G12" s="61"/>
      <c r="H12" s="61"/>
      <c r="I12" s="61"/>
      <c r="J12" s="61"/>
    </row>
    <row r="13" spans="1:15" x14ac:dyDescent="0.2">
      <c r="A13" s="61"/>
      <c r="B13" s="61"/>
      <c r="C13" s="61"/>
      <c r="D13" s="61"/>
      <c r="E13" s="61"/>
      <c r="F13" s="61"/>
      <c r="G13" s="61"/>
      <c r="H13" s="61"/>
      <c r="I13" s="61"/>
      <c r="J13" s="61"/>
    </row>
    <row r="14" spans="1:15" x14ac:dyDescent="0.2">
      <c r="A14" s="61"/>
      <c r="B14" s="61"/>
      <c r="C14" s="61"/>
      <c r="D14" s="61"/>
      <c r="E14" s="61"/>
      <c r="F14" s="61"/>
      <c r="G14" s="61"/>
      <c r="H14" s="61"/>
      <c r="I14" s="61"/>
      <c r="J14" s="61"/>
    </row>
    <row r="15" spans="1:15" x14ac:dyDescent="0.2">
      <c r="A15" s="61"/>
      <c r="B15" s="61"/>
      <c r="C15" s="61"/>
      <c r="D15" s="61"/>
      <c r="E15" s="61"/>
      <c r="F15" s="61"/>
      <c r="G15" s="61"/>
      <c r="H15" s="61"/>
      <c r="I15" s="61"/>
      <c r="J15" s="61"/>
    </row>
    <row r="16" spans="1:15" x14ac:dyDescent="0.2">
      <c r="B16" s="22"/>
    </row>
    <row r="17" spans="2:2" x14ac:dyDescent="0.2">
      <c r="B17" s="22"/>
    </row>
  </sheetData>
  <mergeCells count="11">
    <mergeCell ref="A4:B5"/>
    <mergeCell ref="J8:J9"/>
    <mergeCell ref="G9:I9"/>
    <mergeCell ref="A2:J2"/>
    <mergeCell ref="A14:J14"/>
    <mergeCell ref="A15:J15"/>
    <mergeCell ref="A8:F9"/>
    <mergeCell ref="A11:J11"/>
    <mergeCell ref="A10:J10"/>
    <mergeCell ref="A12:J12"/>
    <mergeCell ref="A13:J13"/>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1"/>
  <sheetViews>
    <sheetView showGridLines="0" zoomScaleNormal="100" workbookViewId="0">
      <selection activeCell="F18" sqref="F18:F19"/>
    </sheetView>
  </sheetViews>
  <sheetFormatPr defaultRowHeight="12.75" x14ac:dyDescent="0.2"/>
  <cols>
    <col min="1" max="1" width="3.83203125" customWidth="1"/>
    <col min="2" max="2" width="44.83203125" customWidth="1"/>
    <col min="3" max="10" width="12.83203125" customWidth="1"/>
    <col min="11" max="15" width="16.83203125" customWidth="1"/>
  </cols>
  <sheetData>
    <row r="1" spans="1:15" ht="15.75" x14ac:dyDescent="0.25">
      <c r="A1" s="3" t="s">
        <v>91</v>
      </c>
      <c r="L1" t="s">
        <v>1</v>
      </c>
      <c r="M1" t="s">
        <v>119</v>
      </c>
    </row>
    <row r="2" spans="1:15" ht="32.25" customHeight="1" x14ac:dyDescent="0.25">
      <c r="A2" s="81" t="s">
        <v>3</v>
      </c>
      <c r="B2" s="44"/>
      <c r="C2" s="44"/>
      <c r="D2" s="44"/>
      <c r="E2" s="44"/>
      <c r="F2" s="44"/>
      <c r="G2" s="44"/>
      <c r="H2" s="44"/>
      <c r="I2" s="44"/>
      <c r="J2" s="44"/>
      <c r="L2" t="s">
        <v>4</v>
      </c>
      <c r="M2" s="21">
        <v>72.75</v>
      </c>
      <c r="N2" t="s">
        <v>80</v>
      </c>
    </row>
    <row r="3" spans="1:15" x14ac:dyDescent="0.2">
      <c r="L3" t="s">
        <v>5</v>
      </c>
      <c r="M3" s="21">
        <v>97.42</v>
      </c>
      <c r="N3" t="s">
        <v>80</v>
      </c>
    </row>
    <row r="4" spans="1:15" x14ac:dyDescent="0.2">
      <c r="A4" s="48" t="s">
        <v>92</v>
      </c>
      <c r="B4" s="49"/>
      <c r="C4" s="26" t="s">
        <v>7</v>
      </c>
      <c r="D4" s="26" t="s">
        <v>8</v>
      </c>
      <c r="E4" s="6" t="s">
        <v>9</v>
      </c>
      <c r="F4" s="26" t="s">
        <v>10</v>
      </c>
      <c r="G4" s="26" t="s">
        <v>11</v>
      </c>
      <c r="H4" s="26" t="s">
        <v>12</v>
      </c>
      <c r="I4" s="26" t="s">
        <v>13</v>
      </c>
      <c r="J4" s="26" t="s">
        <v>14</v>
      </c>
      <c r="K4" s="1"/>
      <c r="L4" s="4" t="s">
        <v>18</v>
      </c>
      <c r="M4" s="21">
        <v>36.78</v>
      </c>
      <c r="N4" t="s">
        <v>80</v>
      </c>
      <c r="O4" s="1"/>
    </row>
    <row r="5" spans="1:15" ht="63.75" x14ac:dyDescent="0.2">
      <c r="A5" s="49"/>
      <c r="B5" s="49"/>
      <c r="C5" s="23" t="s">
        <v>82</v>
      </c>
      <c r="D5" s="23" t="s">
        <v>20</v>
      </c>
      <c r="E5" s="23" t="s">
        <v>83</v>
      </c>
      <c r="F5" s="23" t="s">
        <v>22</v>
      </c>
      <c r="G5" s="23" t="s">
        <v>84</v>
      </c>
      <c r="H5" s="23" t="s">
        <v>85</v>
      </c>
      <c r="I5" s="23" t="s">
        <v>86</v>
      </c>
      <c r="J5" s="23" t="s">
        <v>87</v>
      </c>
      <c r="K5" s="2"/>
      <c r="L5" s="8" t="s">
        <v>30</v>
      </c>
      <c r="M5" s="2"/>
      <c r="N5" s="2"/>
      <c r="O5" s="2"/>
    </row>
    <row r="6" spans="1:15" ht="15.95" customHeight="1" x14ac:dyDescent="0.2">
      <c r="A6" s="28" t="s">
        <v>88</v>
      </c>
      <c r="B6" s="7"/>
      <c r="C6" s="25"/>
      <c r="D6" s="25"/>
      <c r="E6" s="25"/>
      <c r="F6" s="25"/>
      <c r="G6" s="25"/>
      <c r="H6" s="25"/>
      <c r="I6" s="25"/>
      <c r="J6" s="26"/>
    </row>
    <row r="7" spans="1:15" ht="15.95" customHeight="1" x14ac:dyDescent="0.2">
      <c r="A7" s="28"/>
      <c r="B7" s="7" t="s">
        <v>89</v>
      </c>
      <c r="C7" s="25">
        <v>1</v>
      </c>
      <c r="D7" s="25">
        <v>1</v>
      </c>
      <c r="E7" s="25">
        <f t="shared" ref="E7" si="0">C7*D7</f>
        <v>1</v>
      </c>
      <c r="F7" s="42">
        <v>2442</v>
      </c>
      <c r="G7" s="37">
        <f t="shared" ref="G7" si="1">E7*F7</f>
        <v>2442</v>
      </c>
      <c r="H7" s="25">
        <f t="shared" ref="H7" si="2">G7*0.05</f>
        <v>122.10000000000001</v>
      </c>
      <c r="I7" s="25">
        <f t="shared" ref="I7" si="3">G7*0.1</f>
        <v>244.20000000000002</v>
      </c>
      <c r="J7" s="27">
        <f t="shared" ref="J7" si="4">(G7*M$2)+(H7*M$3)+(I7*M$4)</f>
        <v>198532.158</v>
      </c>
      <c r="L7" t="s">
        <v>66</v>
      </c>
    </row>
    <row r="8" spans="1:15" ht="15.95" customHeight="1" x14ac:dyDescent="0.2">
      <c r="A8" s="75" t="s">
        <v>90</v>
      </c>
      <c r="B8" s="76"/>
      <c r="C8" s="76"/>
      <c r="D8" s="76"/>
      <c r="E8" s="76"/>
      <c r="F8" s="77"/>
      <c r="G8" s="25">
        <f>SUM(G6:G7)</f>
        <v>2442</v>
      </c>
      <c r="H8" s="25">
        <f>SUM(H6:H7)</f>
        <v>122.10000000000001</v>
      </c>
      <c r="I8" s="25">
        <f>SUM(I6:I7)</f>
        <v>244.20000000000002</v>
      </c>
      <c r="J8" s="55">
        <f>SUM(J6:J7)</f>
        <v>198532.158</v>
      </c>
    </row>
    <row r="9" spans="1:15" ht="15.95" customHeight="1" x14ac:dyDescent="0.2">
      <c r="A9" s="78"/>
      <c r="B9" s="79"/>
      <c r="C9" s="79"/>
      <c r="D9" s="79"/>
      <c r="E9" s="79"/>
      <c r="F9" s="80"/>
      <c r="G9" s="53">
        <f>SUM(G8:I8)</f>
        <v>2808.2999999999997</v>
      </c>
      <c r="H9" s="54"/>
      <c r="I9" s="54"/>
      <c r="J9" s="54"/>
    </row>
    <row r="10" spans="1:15" ht="27.75" customHeight="1" x14ac:dyDescent="0.2">
      <c r="A10" s="44" t="s">
        <v>120</v>
      </c>
      <c r="B10" s="44"/>
      <c r="C10" s="44"/>
      <c r="D10" s="44"/>
      <c r="E10" s="44"/>
      <c r="F10" s="44"/>
      <c r="G10" s="44"/>
      <c r="H10" s="44"/>
      <c r="I10" s="44"/>
      <c r="J10" s="44"/>
    </row>
    <row r="11" spans="1:15" ht="15.75" x14ac:dyDescent="0.2">
      <c r="A11" s="61" t="s">
        <v>121</v>
      </c>
      <c r="B11" s="61"/>
      <c r="C11" s="61"/>
      <c r="D11" s="61"/>
      <c r="E11" s="61"/>
      <c r="F11" s="61"/>
      <c r="G11" s="61"/>
      <c r="H11" s="61"/>
      <c r="I11" s="61"/>
      <c r="J11" s="61"/>
    </row>
  </sheetData>
  <mergeCells count="7">
    <mergeCell ref="A2:J2"/>
    <mergeCell ref="A11:J11"/>
    <mergeCell ref="A8:F9"/>
    <mergeCell ref="J8:J9"/>
    <mergeCell ref="G9:I9"/>
    <mergeCell ref="A10:J10"/>
    <mergeCell ref="A4:B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
  <sheetViews>
    <sheetView showGridLines="0" tabSelected="1" topLeftCell="C1" zoomScaleNormal="100" workbookViewId="0">
      <selection activeCell="G16" sqref="G16"/>
    </sheetView>
  </sheetViews>
  <sheetFormatPr defaultRowHeight="12.75" x14ac:dyDescent="0.2"/>
  <cols>
    <col min="1" max="1" width="3.83203125" customWidth="1"/>
    <col min="2" max="2" width="44.83203125" customWidth="1"/>
    <col min="3" max="10" width="12.83203125" customWidth="1"/>
    <col min="11" max="15" width="16.83203125" customWidth="1"/>
  </cols>
  <sheetData>
    <row r="1" spans="1:15" ht="15.75" x14ac:dyDescent="0.25">
      <c r="A1" s="3" t="s">
        <v>93</v>
      </c>
      <c r="L1" t="s">
        <v>1</v>
      </c>
      <c r="M1" t="s">
        <v>119</v>
      </c>
    </row>
    <row r="2" spans="1:15" ht="32.25" customHeight="1" x14ac:dyDescent="0.25">
      <c r="A2" s="81" t="s">
        <v>3</v>
      </c>
      <c r="B2" s="44"/>
      <c r="C2" s="44"/>
      <c r="D2" s="44"/>
      <c r="E2" s="44"/>
      <c r="F2" s="44"/>
      <c r="G2" s="44"/>
      <c r="H2" s="44"/>
      <c r="I2" s="44"/>
      <c r="J2" s="44"/>
      <c r="L2" t="s">
        <v>4</v>
      </c>
      <c r="M2" s="21">
        <v>72.75</v>
      </c>
      <c r="N2" t="s">
        <v>80</v>
      </c>
    </row>
    <row r="3" spans="1:15" x14ac:dyDescent="0.2">
      <c r="L3" t="s">
        <v>5</v>
      </c>
      <c r="M3" s="21">
        <v>97.42</v>
      </c>
      <c r="N3" t="s">
        <v>80</v>
      </c>
    </row>
    <row r="4" spans="1:15" x14ac:dyDescent="0.2">
      <c r="A4" s="48" t="s">
        <v>94</v>
      </c>
      <c r="B4" s="49"/>
      <c r="C4" s="26" t="s">
        <v>7</v>
      </c>
      <c r="D4" s="26" t="s">
        <v>8</v>
      </c>
      <c r="E4" s="6" t="s">
        <v>9</v>
      </c>
      <c r="F4" s="26" t="s">
        <v>10</v>
      </c>
      <c r="G4" s="26" t="s">
        <v>11</v>
      </c>
      <c r="H4" s="26" t="s">
        <v>12</v>
      </c>
      <c r="I4" s="26" t="s">
        <v>13</v>
      </c>
      <c r="J4" s="26" t="s">
        <v>14</v>
      </c>
      <c r="K4" s="1"/>
      <c r="L4" s="4" t="s">
        <v>18</v>
      </c>
      <c r="M4" s="21">
        <v>36.78</v>
      </c>
      <c r="N4" t="s">
        <v>80</v>
      </c>
      <c r="O4" s="1"/>
    </row>
    <row r="5" spans="1:15" ht="63.75" x14ac:dyDescent="0.2">
      <c r="A5" s="49"/>
      <c r="B5" s="49"/>
      <c r="C5" s="23" t="s">
        <v>82</v>
      </c>
      <c r="D5" s="23" t="s">
        <v>20</v>
      </c>
      <c r="E5" s="23" t="s">
        <v>83</v>
      </c>
      <c r="F5" s="23" t="s">
        <v>22</v>
      </c>
      <c r="G5" s="23" t="s">
        <v>84</v>
      </c>
      <c r="H5" s="23" t="s">
        <v>85</v>
      </c>
      <c r="I5" s="23" t="s">
        <v>86</v>
      </c>
      <c r="J5" s="23" t="s">
        <v>87</v>
      </c>
      <c r="K5" s="2"/>
      <c r="L5" s="8" t="s">
        <v>30</v>
      </c>
      <c r="M5" s="2"/>
      <c r="N5" s="2"/>
      <c r="O5" s="2"/>
    </row>
    <row r="6" spans="1:15" ht="15.95" customHeight="1" x14ac:dyDescent="0.2">
      <c r="A6" s="28" t="s">
        <v>88</v>
      </c>
      <c r="B6" s="7"/>
      <c r="C6" s="25"/>
      <c r="D6" s="25"/>
      <c r="E6" s="25"/>
      <c r="F6" s="25"/>
      <c r="G6" s="25"/>
      <c r="H6" s="25"/>
      <c r="I6" s="25"/>
      <c r="J6" s="26"/>
    </row>
    <row r="7" spans="1:15" ht="15.95" customHeight="1" x14ac:dyDescent="0.2">
      <c r="A7" s="28"/>
      <c r="B7" s="7" t="s">
        <v>89</v>
      </c>
      <c r="C7" s="25">
        <v>1</v>
      </c>
      <c r="D7" s="25">
        <v>1</v>
      </c>
      <c r="E7" s="25">
        <f t="shared" ref="E7" si="0">C7*D7</f>
        <v>1</v>
      </c>
      <c r="F7" s="25">
        <v>2663</v>
      </c>
      <c r="G7" s="25">
        <f t="shared" ref="G7" si="1">E7*F7</f>
        <v>2663</v>
      </c>
      <c r="H7" s="25">
        <f t="shared" ref="H7" si="2">G7*0.05</f>
        <v>133.15</v>
      </c>
      <c r="I7" s="25">
        <f t="shared" ref="I7" si="3">G7*0.1</f>
        <v>266.3</v>
      </c>
      <c r="J7" s="27">
        <f>(G7*M$2)+(H7*M$3)+(I7*M$4)</f>
        <v>216499.23699999999</v>
      </c>
      <c r="L7" t="s">
        <v>66</v>
      </c>
    </row>
    <row r="8" spans="1:15" ht="15.95" customHeight="1" x14ac:dyDescent="0.2">
      <c r="A8" s="75" t="s">
        <v>90</v>
      </c>
      <c r="B8" s="76"/>
      <c r="C8" s="76"/>
      <c r="D8" s="76"/>
      <c r="E8" s="76"/>
      <c r="F8" s="77"/>
      <c r="G8" s="25">
        <f>SUM(G6:G7)</f>
        <v>2663</v>
      </c>
      <c r="H8" s="25">
        <f>SUM(H6:H7)</f>
        <v>133.15</v>
      </c>
      <c r="I8" s="25">
        <f>SUM(I6:I7)</f>
        <v>266.3</v>
      </c>
      <c r="J8" s="55">
        <f>SUM(J6:J7)</f>
        <v>216499.23699999999</v>
      </c>
    </row>
    <row r="9" spans="1:15" ht="15.95" customHeight="1" x14ac:dyDescent="0.2">
      <c r="A9" s="78"/>
      <c r="B9" s="79"/>
      <c r="C9" s="79"/>
      <c r="D9" s="79"/>
      <c r="E9" s="79"/>
      <c r="F9" s="80"/>
      <c r="G9" s="53">
        <f>SUM(G8:I8)</f>
        <v>3062.4500000000003</v>
      </c>
      <c r="H9" s="54"/>
      <c r="I9" s="54"/>
      <c r="J9" s="54"/>
    </row>
    <row r="10" spans="1:15" ht="27.75" customHeight="1" x14ac:dyDescent="0.2">
      <c r="A10" s="44" t="s">
        <v>120</v>
      </c>
      <c r="B10" s="44"/>
      <c r="C10" s="44"/>
      <c r="D10" s="44"/>
      <c r="E10" s="44"/>
      <c r="F10" s="44"/>
      <c r="G10" s="44"/>
      <c r="H10" s="44"/>
      <c r="I10" s="44"/>
      <c r="J10" s="44"/>
    </row>
    <row r="11" spans="1:15" ht="15.75" x14ac:dyDescent="0.2">
      <c r="A11" s="61" t="s">
        <v>123</v>
      </c>
      <c r="B11" s="61"/>
      <c r="C11" s="61"/>
      <c r="D11" s="61"/>
      <c r="E11" s="61"/>
      <c r="F11" s="61"/>
      <c r="G11" s="61"/>
      <c r="H11" s="61"/>
      <c r="I11" s="61"/>
      <c r="J11" s="61"/>
    </row>
  </sheetData>
  <mergeCells count="7">
    <mergeCell ref="A2:J2"/>
    <mergeCell ref="A11:J11"/>
    <mergeCell ref="A8:F9"/>
    <mergeCell ref="J8:J9"/>
    <mergeCell ref="G9:I9"/>
    <mergeCell ref="A10:J10"/>
    <mergeCell ref="A4:B5"/>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J39"/>
  <sheetViews>
    <sheetView workbookViewId="0">
      <selection activeCell="D10" sqref="D10"/>
    </sheetView>
  </sheetViews>
  <sheetFormatPr defaultRowHeight="12.75" x14ac:dyDescent="0.2"/>
  <cols>
    <col min="2" max="2" width="14.83203125" customWidth="1"/>
    <col min="3" max="3" width="22" customWidth="1"/>
    <col min="4" max="4" width="22.83203125" customWidth="1"/>
  </cols>
  <sheetData>
    <row r="3" spans="2:10" x14ac:dyDescent="0.2">
      <c r="B3" t="s">
        <v>142</v>
      </c>
    </row>
    <row r="4" spans="2:10" x14ac:dyDescent="0.2">
      <c r="B4" t="s">
        <v>95</v>
      </c>
    </row>
    <row r="6" spans="2:10" ht="38.25" x14ac:dyDescent="0.2">
      <c r="B6" s="13" t="s">
        <v>96</v>
      </c>
      <c r="C6" s="13" t="s">
        <v>97</v>
      </c>
      <c r="D6" s="13" t="s">
        <v>98</v>
      </c>
      <c r="E6" s="22"/>
      <c r="F6" s="22"/>
      <c r="G6" s="22"/>
      <c r="H6" s="22"/>
      <c r="I6" s="22"/>
      <c r="J6" s="22"/>
    </row>
    <row r="7" spans="2:10" ht="25.5" x14ac:dyDescent="0.2">
      <c r="B7" s="15" t="s">
        <v>99</v>
      </c>
      <c r="C7" s="14" t="s">
        <v>100</v>
      </c>
      <c r="D7" s="16">
        <f>AVERAGE('Year 1'!H37:J37,'Year 2'!H37:J37,'Year 3'!H37:J37)</f>
        <v>111936.25088333333</v>
      </c>
      <c r="E7" s="22"/>
      <c r="F7" s="22"/>
      <c r="G7" s="22"/>
      <c r="H7" s="22"/>
      <c r="I7" s="22"/>
      <c r="J7" s="22"/>
    </row>
    <row r="8" spans="2:10" ht="25.5" x14ac:dyDescent="0.2">
      <c r="B8" s="15" t="s">
        <v>99</v>
      </c>
      <c r="C8" s="14" t="s">
        <v>101</v>
      </c>
      <c r="D8" s="17">
        <f>AVERAGE('Year 1'!N36:N37,'Year 2'!N36:N37,'Year 3'!N36:N37)</f>
        <v>24907505.999273669</v>
      </c>
      <c r="E8" s="22"/>
      <c r="F8" s="22"/>
      <c r="G8" s="22"/>
      <c r="H8" s="22"/>
      <c r="I8" s="22"/>
      <c r="J8" s="22"/>
    </row>
    <row r="9" spans="2:10" ht="25.5" x14ac:dyDescent="0.2">
      <c r="B9" s="15" t="s">
        <v>99</v>
      </c>
      <c r="C9" s="14" t="s">
        <v>102</v>
      </c>
      <c r="D9" s="18">
        <f>AVERAGE(('Year 1'!K9*'Year 1'!G9),('Year 2'!K9*'Year 2'!G9),('Year 3'!K9*'Year 3'!G9))</f>
        <v>8473740</v>
      </c>
      <c r="E9" s="22"/>
      <c r="F9" s="22"/>
      <c r="G9" s="22"/>
      <c r="H9" s="22"/>
      <c r="I9" s="22"/>
      <c r="J9" s="22"/>
    </row>
    <row r="10" spans="2:10" ht="25.5" x14ac:dyDescent="0.2">
      <c r="B10" s="15" t="s">
        <v>99</v>
      </c>
      <c r="C10" s="14" t="s">
        <v>103</v>
      </c>
      <c r="D10" s="18">
        <f>AVERAGE(('Year 1'!L9*'Year 1'!G9),('Year 2'!L9*'Year 2'!G9),('Year 3'!L9*'Year 3'!G9))</f>
        <v>12388266</v>
      </c>
      <c r="E10" s="22"/>
      <c r="F10" s="22"/>
      <c r="G10" s="22"/>
      <c r="H10" s="22"/>
      <c r="I10" s="22"/>
      <c r="J10" s="22"/>
    </row>
    <row r="11" spans="2:10" x14ac:dyDescent="0.2">
      <c r="B11" s="15" t="s">
        <v>104</v>
      </c>
      <c r="C11" s="14" t="s">
        <v>105</v>
      </c>
      <c r="D11" s="18">
        <f>'Year 1'!M36</f>
        <v>3680070.6472440003</v>
      </c>
      <c r="E11" s="22"/>
      <c r="F11" s="22"/>
      <c r="G11" s="22"/>
      <c r="H11" s="22"/>
      <c r="I11" s="22"/>
      <c r="J11" s="22"/>
    </row>
    <row r="12" spans="2:10" x14ac:dyDescent="0.2">
      <c r="B12" s="15" t="s">
        <v>104</v>
      </c>
      <c r="C12" s="14" t="s">
        <v>106</v>
      </c>
      <c r="D12" s="18">
        <f>'Year 2'!M36</f>
        <v>4043935.9673310006</v>
      </c>
      <c r="E12" s="22"/>
      <c r="F12" s="22"/>
      <c r="G12" s="22"/>
      <c r="H12" s="22"/>
      <c r="I12" s="22"/>
      <c r="J12" s="22"/>
    </row>
    <row r="13" spans="2:10" x14ac:dyDescent="0.2">
      <c r="B13" s="15" t="s">
        <v>104</v>
      </c>
      <c r="C13" s="14" t="s">
        <v>107</v>
      </c>
      <c r="D13" s="18">
        <f>'Year 3'!M36</f>
        <v>4412493.3832459999</v>
      </c>
      <c r="E13" s="22"/>
      <c r="F13" s="22"/>
      <c r="G13" s="22"/>
      <c r="H13" s="22"/>
      <c r="I13" s="22"/>
      <c r="J13" s="22"/>
    </row>
    <row r="14" spans="2:10" x14ac:dyDescent="0.2">
      <c r="B14" s="15" t="s">
        <v>104</v>
      </c>
      <c r="C14" s="14" t="s">
        <v>108</v>
      </c>
      <c r="D14" s="18">
        <f>D11+D12+D13</f>
        <v>12136499.997820999</v>
      </c>
      <c r="E14" s="22"/>
      <c r="F14" s="22"/>
      <c r="G14" s="22"/>
      <c r="H14" s="22"/>
      <c r="I14" s="22"/>
      <c r="J14" s="22"/>
    </row>
    <row r="15" spans="2:10" ht="25.5" x14ac:dyDescent="0.2">
      <c r="B15" s="15" t="s">
        <v>104</v>
      </c>
      <c r="C15" s="14" t="s">
        <v>109</v>
      </c>
      <c r="D15" s="18">
        <f>D14/3</f>
        <v>4045499.9992736666</v>
      </c>
      <c r="E15" s="22"/>
      <c r="F15" s="22"/>
      <c r="G15" s="22"/>
      <c r="H15" s="22"/>
      <c r="I15" s="22"/>
      <c r="J15" s="22"/>
    </row>
    <row r="16" spans="2:10" ht="37.5" customHeight="1" x14ac:dyDescent="0.2">
      <c r="B16" s="15" t="s">
        <v>110</v>
      </c>
      <c r="C16" s="14" t="s">
        <v>111</v>
      </c>
      <c r="D16" s="17">
        <f>AVERAGE('Year 1'!G9,'Year 2'!G15,'Year 3'!G15)</f>
        <v>2442</v>
      </c>
      <c r="E16" s="22"/>
      <c r="F16" s="22"/>
      <c r="G16" s="22"/>
      <c r="H16" s="22"/>
      <c r="I16" s="22"/>
      <c r="J16" s="22"/>
    </row>
    <row r="17" spans="2:10" ht="27.75" customHeight="1" x14ac:dyDescent="0.2">
      <c r="B17" s="15" t="s">
        <v>112</v>
      </c>
      <c r="C17" s="14" t="s">
        <v>113</v>
      </c>
      <c r="D17" s="17">
        <f>AVERAGE('Agency Year 1'!G9:I9,'Agency Year 2'!G9:I9,'Agency Year 3'!G9:I9)</f>
        <v>2808.2999999999997</v>
      </c>
      <c r="E17" s="22"/>
      <c r="F17" s="22"/>
      <c r="G17" s="22"/>
      <c r="H17" s="22"/>
      <c r="I17" s="22"/>
      <c r="J17" s="22"/>
    </row>
    <row r="18" spans="2:10" ht="28.5" customHeight="1" x14ac:dyDescent="0.2">
      <c r="B18" s="15" t="s">
        <v>112</v>
      </c>
      <c r="C18" s="14" t="s">
        <v>114</v>
      </c>
      <c r="D18" s="18">
        <f>AVERAGE('Agency Year 1'!J8:J9,'Agency Year 2'!J8:J9,'Agency Year 3'!J8:J9)</f>
        <v>198532.15799999997</v>
      </c>
      <c r="E18" s="22"/>
      <c r="F18" s="22"/>
      <c r="G18" s="22"/>
      <c r="H18" s="22"/>
      <c r="I18" s="22"/>
      <c r="J18" s="22"/>
    </row>
    <row r="19" spans="2:10" ht="25.5" x14ac:dyDescent="0.2">
      <c r="B19" s="15" t="s">
        <v>115</v>
      </c>
      <c r="C19" s="14" t="s">
        <v>116</v>
      </c>
      <c r="D19" s="19">
        <f>AVERAGE('Year 1'!H37/'Year 1'!G9,'Year 2'!H37/'Year 2'!G15,'Year 3'!H37/'Year 3'!G15)</f>
        <v>45.837857132586031</v>
      </c>
      <c r="E19" s="22"/>
      <c r="F19" s="22"/>
      <c r="G19" s="22"/>
      <c r="H19" s="22"/>
      <c r="I19" s="22"/>
      <c r="J19" s="22"/>
    </row>
    <row r="20" spans="2:10" x14ac:dyDescent="0.2">
      <c r="B20" s="22"/>
      <c r="C20" s="22"/>
      <c r="D20" s="22"/>
      <c r="E20" s="22"/>
      <c r="F20" s="22"/>
      <c r="G20" s="22"/>
      <c r="H20" s="22"/>
      <c r="I20" s="22"/>
      <c r="J20" s="22"/>
    </row>
    <row r="21" spans="2:10" x14ac:dyDescent="0.2">
      <c r="B21" s="22"/>
      <c r="C21" s="22"/>
      <c r="D21" s="22"/>
      <c r="E21" s="22"/>
      <c r="F21" s="22"/>
      <c r="G21" s="22"/>
      <c r="H21" s="22"/>
      <c r="I21" s="22"/>
      <c r="J21" s="22"/>
    </row>
    <row r="22" spans="2:10" x14ac:dyDescent="0.2">
      <c r="B22" s="22"/>
      <c r="C22" s="22"/>
      <c r="D22" s="22"/>
      <c r="E22" s="22"/>
      <c r="F22" s="22"/>
      <c r="G22" s="22"/>
      <c r="H22" s="22"/>
      <c r="I22" s="22"/>
      <c r="J22" s="22"/>
    </row>
    <row r="23" spans="2:10" x14ac:dyDescent="0.2">
      <c r="B23" s="22"/>
      <c r="C23" s="22"/>
      <c r="D23" s="22"/>
      <c r="E23" s="22"/>
      <c r="F23" s="22"/>
      <c r="G23" s="22"/>
      <c r="H23" s="22"/>
      <c r="I23" s="22"/>
      <c r="J23" s="22"/>
    </row>
    <row r="24" spans="2:10" x14ac:dyDescent="0.2">
      <c r="B24" s="22"/>
      <c r="C24" s="22"/>
      <c r="D24" s="22"/>
      <c r="E24" s="22"/>
      <c r="F24" s="22"/>
      <c r="G24" s="22"/>
      <c r="H24" s="22"/>
      <c r="I24" s="22"/>
      <c r="J24" s="22"/>
    </row>
    <row r="25" spans="2:10" x14ac:dyDescent="0.2">
      <c r="B25" s="22"/>
      <c r="C25" s="22"/>
      <c r="D25" s="22"/>
      <c r="E25" s="22"/>
      <c r="F25" s="22"/>
      <c r="G25" s="22"/>
      <c r="H25" s="22"/>
      <c r="I25" s="22"/>
      <c r="J25" s="22"/>
    </row>
    <row r="26" spans="2:10" x14ac:dyDescent="0.2">
      <c r="B26" s="22"/>
      <c r="C26" s="22"/>
      <c r="D26" s="22"/>
      <c r="E26" s="22"/>
      <c r="F26" s="22"/>
      <c r="G26" s="22"/>
      <c r="H26" s="22"/>
      <c r="I26" s="22"/>
      <c r="J26" s="22"/>
    </row>
    <row r="27" spans="2:10" x14ac:dyDescent="0.2">
      <c r="B27" s="22"/>
      <c r="C27" s="22"/>
      <c r="D27" s="22"/>
      <c r="E27" s="22"/>
      <c r="F27" s="22"/>
      <c r="G27" s="22"/>
      <c r="H27" s="22"/>
      <c r="I27" s="22"/>
      <c r="J27" s="22"/>
    </row>
    <row r="28" spans="2:10" x14ac:dyDescent="0.2">
      <c r="B28" s="22"/>
      <c r="C28" s="22"/>
      <c r="D28" s="22"/>
      <c r="E28" s="22"/>
      <c r="F28" s="22"/>
      <c r="G28" s="22"/>
      <c r="H28" s="22"/>
      <c r="I28" s="22"/>
      <c r="J28" s="22"/>
    </row>
    <row r="29" spans="2:10" x14ac:dyDescent="0.2">
      <c r="B29" s="22"/>
      <c r="C29" s="22"/>
      <c r="D29" s="22"/>
      <c r="E29" s="22"/>
      <c r="F29" s="22"/>
      <c r="G29" s="22"/>
      <c r="H29" s="22"/>
      <c r="I29" s="22"/>
      <c r="J29" s="22"/>
    </row>
    <row r="30" spans="2:10" x14ac:dyDescent="0.2">
      <c r="B30" s="22"/>
      <c r="C30" s="22"/>
      <c r="D30" s="22"/>
      <c r="E30" s="22"/>
      <c r="F30" s="22"/>
      <c r="G30" s="22"/>
      <c r="H30" s="22"/>
      <c r="I30" s="22"/>
      <c r="J30" s="22"/>
    </row>
    <row r="31" spans="2:10" x14ac:dyDescent="0.2">
      <c r="B31" s="22"/>
      <c r="C31" s="22"/>
      <c r="D31" s="22"/>
      <c r="E31" s="22"/>
      <c r="F31" s="22"/>
      <c r="G31" s="22"/>
      <c r="H31" s="22"/>
      <c r="I31" s="22"/>
      <c r="J31" s="22"/>
    </row>
    <row r="32" spans="2:10" x14ac:dyDescent="0.2">
      <c r="B32" s="22"/>
      <c r="C32" s="22"/>
      <c r="D32" s="22"/>
      <c r="E32" s="22"/>
      <c r="F32" s="22"/>
      <c r="G32" s="22"/>
      <c r="H32" s="22"/>
      <c r="I32" s="22"/>
      <c r="J32" s="22"/>
    </row>
    <row r="33" spans="2:10" x14ac:dyDescent="0.2">
      <c r="B33" s="22"/>
      <c r="C33" s="22"/>
      <c r="D33" s="22"/>
      <c r="E33" s="22"/>
      <c r="F33" s="22"/>
      <c r="G33" s="22"/>
      <c r="H33" s="22"/>
      <c r="I33" s="22"/>
      <c r="J33" s="22"/>
    </row>
    <row r="34" spans="2:10" x14ac:dyDescent="0.2">
      <c r="B34" s="22"/>
      <c r="C34" s="22"/>
      <c r="D34" s="22"/>
      <c r="E34" s="22"/>
      <c r="F34" s="22"/>
      <c r="G34" s="22"/>
      <c r="H34" s="22"/>
      <c r="I34" s="22"/>
      <c r="J34" s="22"/>
    </row>
    <row r="35" spans="2:10" x14ac:dyDescent="0.2">
      <c r="B35" s="22"/>
      <c r="C35" s="22"/>
      <c r="D35" s="22"/>
      <c r="E35" s="22"/>
      <c r="F35" s="22"/>
      <c r="G35" s="22"/>
      <c r="H35" s="22"/>
      <c r="I35" s="22"/>
      <c r="J35" s="22"/>
    </row>
    <row r="36" spans="2:10" x14ac:dyDescent="0.2">
      <c r="B36" s="22"/>
      <c r="C36" s="22"/>
      <c r="D36" s="22"/>
      <c r="E36" s="22"/>
      <c r="F36" s="22"/>
      <c r="G36" s="22"/>
      <c r="H36" s="22"/>
      <c r="I36" s="22"/>
      <c r="J36" s="22"/>
    </row>
    <row r="37" spans="2:10" x14ac:dyDescent="0.2">
      <c r="B37" s="22"/>
      <c r="C37" s="22"/>
      <c r="D37" s="22"/>
      <c r="E37" s="22"/>
      <c r="F37" s="22"/>
      <c r="G37" s="22"/>
      <c r="H37" s="22"/>
      <c r="I37" s="22"/>
      <c r="J37" s="22"/>
    </row>
    <row r="38" spans="2:10" x14ac:dyDescent="0.2">
      <c r="B38" s="22"/>
      <c r="C38" s="22"/>
      <c r="D38" s="22"/>
      <c r="E38" s="22"/>
      <c r="F38" s="22"/>
      <c r="G38" s="22"/>
      <c r="H38" s="22"/>
      <c r="I38" s="22"/>
      <c r="J38" s="22"/>
    </row>
    <row r="39" spans="2:10" x14ac:dyDescent="0.2">
      <c r="B39" s="22"/>
      <c r="C39" s="22"/>
      <c r="D39" s="22"/>
      <c r="E39" s="22"/>
      <c r="F39" s="22"/>
      <c r="G39" s="22"/>
      <c r="H39" s="22"/>
      <c r="I39" s="22"/>
      <c r="J39" s="2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9:D20"/>
  <sheetViews>
    <sheetView workbookViewId="0">
      <selection activeCell="G31" sqref="G31"/>
    </sheetView>
  </sheetViews>
  <sheetFormatPr defaultRowHeight="12.75" x14ac:dyDescent="0.2"/>
  <sheetData>
    <row r="9" spans="1:4" x14ac:dyDescent="0.2">
      <c r="A9" t="s">
        <v>139</v>
      </c>
    </row>
    <row r="11" spans="1:4" x14ac:dyDescent="0.2">
      <c r="A11" t="s">
        <v>132</v>
      </c>
    </row>
    <row r="12" spans="1:4" x14ac:dyDescent="0.2">
      <c r="A12" t="s">
        <v>138</v>
      </c>
    </row>
    <row r="13" spans="1:4" x14ac:dyDescent="0.2">
      <c r="A13" t="s">
        <v>133</v>
      </c>
    </row>
    <row r="15" spans="1:4" x14ac:dyDescent="0.2">
      <c r="A15" t="s">
        <v>129</v>
      </c>
      <c r="B15">
        <v>104.148</v>
      </c>
    </row>
    <row r="16" spans="1:4" x14ac:dyDescent="0.2">
      <c r="D16" t="s">
        <v>131</v>
      </c>
    </row>
    <row r="17" spans="1:2" x14ac:dyDescent="0.2">
      <c r="A17" t="s">
        <v>130</v>
      </c>
      <c r="B17">
        <v>111.19</v>
      </c>
    </row>
    <row r="19" spans="1:2" x14ac:dyDescent="0.2">
      <c r="A19" t="s">
        <v>143</v>
      </c>
    </row>
    <row r="20" spans="1:2" x14ac:dyDescent="0.2">
      <c r="A20"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528F-BD84-4725-9B91-547D70233B0B}">
  <dimension ref="A1:H11"/>
  <sheetViews>
    <sheetView workbookViewId="0">
      <selection activeCell="C12" sqref="C12"/>
    </sheetView>
  </sheetViews>
  <sheetFormatPr defaultRowHeight="12.75" x14ac:dyDescent="0.2"/>
  <cols>
    <col min="2" max="2" width="12" customWidth="1"/>
    <col min="3" max="3" width="55.6640625" customWidth="1"/>
  </cols>
  <sheetData>
    <row r="1" spans="1:8" x14ac:dyDescent="0.2">
      <c r="A1" t="s">
        <v>135</v>
      </c>
    </row>
    <row r="2" spans="1:8" x14ac:dyDescent="0.2">
      <c r="A2" t="s">
        <v>136</v>
      </c>
    </row>
    <row r="5" spans="1:8" x14ac:dyDescent="0.2">
      <c r="B5" t="s">
        <v>128</v>
      </c>
      <c r="C5" t="s">
        <v>137</v>
      </c>
      <c r="D5" t="s">
        <v>145</v>
      </c>
    </row>
    <row r="6" spans="1:8" x14ac:dyDescent="0.2">
      <c r="B6" s="4">
        <v>2019</v>
      </c>
      <c r="C6" t="s">
        <v>146</v>
      </c>
      <c r="D6">
        <v>65</v>
      </c>
    </row>
    <row r="7" spans="1:8" x14ac:dyDescent="0.2">
      <c r="B7" s="4">
        <v>2018</v>
      </c>
      <c r="C7" s="36" t="s">
        <v>147</v>
      </c>
      <c r="D7">
        <v>305</v>
      </c>
      <c r="E7" t="s">
        <v>144</v>
      </c>
      <c r="H7" s="38">
        <f>AVERAGE(D7:D9)</f>
        <v>220.66666666666666</v>
      </c>
    </row>
    <row r="8" spans="1:8" x14ac:dyDescent="0.2">
      <c r="B8" s="4">
        <v>2017</v>
      </c>
      <c r="C8" s="4"/>
      <c r="D8">
        <v>220</v>
      </c>
    </row>
    <row r="9" spans="1:8" x14ac:dyDescent="0.2">
      <c r="B9" s="4">
        <v>2016</v>
      </c>
      <c r="C9" s="4"/>
      <c r="D9">
        <v>137</v>
      </c>
    </row>
    <row r="11" spans="1:8" ht="15" x14ac:dyDescent="0.25">
      <c r="C11" s="35" t="s">
        <v>134</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802A7EECB85A498A647EC35D5E01BE" ma:contentTypeVersion="5" ma:contentTypeDescription="Create a new document." ma:contentTypeScope="" ma:versionID="c269dfbb46694cace0c2db00ecebb5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fa11f48-6068-4be5-9488-940db69a02dc" xmlns:ns6="667ea7e5-652d-435d-a377-c35a8712b2df" targetNamespace="http://schemas.microsoft.com/office/2006/metadata/properties" ma:root="true" ma:fieldsID="7c552c53e046128d0f829805d6ba8483" ns1:_="" ns2:_="" ns3:_="" ns4:_="" ns5:_="" ns6:_="">
    <xsd:import namespace="http://schemas.microsoft.com/sharepoint/v3"/>
    <xsd:import namespace="4ffa91fb-a0ff-4ac5-b2db-65c790d184a4"/>
    <xsd:import namespace="http://schemas.microsoft.com/sharepoint.v3"/>
    <xsd:import namespace="http://schemas.microsoft.com/sharepoint/v3/fields"/>
    <xsd:import namespace="3fa11f48-6068-4be5-9488-940db69a02dc"/>
    <xsd:import namespace="667ea7e5-652d-435d-a377-c35a8712b2d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91e7e77-7663-4be1-bf91-9d23c2582279}" ma:internalName="TaxCatchAllLabel" ma:readOnly="true" ma:showField="CatchAllDataLabel" ma:web="2cf67fee-803d-4dcb-aa98-9877ac254af1">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91e7e77-7663-4be1-bf91-9d23c2582279}" ma:internalName="TaxCatchAll" ma:showField="CatchAllData" ma:web="2cf67fee-803d-4dcb-aa98-9877ac254af1">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a11f48-6068-4be5-9488-940db69a02dc"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7ea7e5-652d-435d-a377-c35a8712b2df"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2019-04-15T06:00:00+00:00</Document_x0020_Creation_x0020_Date>
    <EPA_x0020_Office xmlns="4ffa91fb-a0ff-4ac5-b2db-65c790d184a4">R08-ARD-APMB</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Rao, Lohitaksha</DisplayName>
        <AccountId>5845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22FF185D-4A28-4265-B2BE-AE7A6C86B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fa11f48-6068-4be5-9488-940db69a02dc"/>
    <ds:schemaRef ds:uri="667ea7e5-652d-435d-a377-c35a8712b2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1B1D47-F6B3-4AB6-8962-004AF73BBD42}">
  <ds:schemaRefs>
    <ds:schemaRef ds:uri="Microsoft.SharePoint.Taxonomy.ContentTypeSync"/>
  </ds:schemaRefs>
</ds:datastoreItem>
</file>

<file path=customXml/itemProps3.xml><?xml version="1.0" encoding="utf-8"?>
<ds:datastoreItem xmlns:ds="http://schemas.openxmlformats.org/officeDocument/2006/customXml" ds:itemID="{86594C87-07AC-4A61-A8C9-0429AA4CE937}">
  <ds:schemaRefs>
    <ds:schemaRef ds:uri="http://schemas.microsoft.com/sharepoint/v3/contenttype/forms"/>
  </ds:schemaRefs>
</ds:datastoreItem>
</file>

<file path=customXml/itemProps4.xml><?xml version="1.0" encoding="utf-8"?>
<ds:datastoreItem xmlns:ds="http://schemas.openxmlformats.org/officeDocument/2006/customXml" ds:itemID="{22F68E76-ABA5-45BE-8D47-5349AF5A3281}">
  <ds:schemaRefs>
    <ds:schemaRef ds:uri="667ea7e5-652d-435d-a377-c35a8712b2df"/>
    <ds:schemaRef ds:uri="http://purl.org/dc/term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sharepoint/v3/fields"/>
    <ds:schemaRef ds:uri="3fa11f48-6068-4be5-9488-940db69a02dc"/>
    <ds:schemaRef ds:uri="4ffa91fb-a0ff-4ac5-b2db-65c790d184a4"/>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Year 1</vt:lpstr>
      <vt:lpstr>Year 2</vt:lpstr>
      <vt:lpstr>Year 3</vt:lpstr>
      <vt:lpstr>Agency Year 1</vt:lpstr>
      <vt:lpstr>Agency Year 2</vt:lpstr>
      <vt:lpstr>Agency Year 3</vt:lpstr>
      <vt:lpstr>Other Data for SupportStatement</vt:lpstr>
      <vt:lpstr>Conversion into 2018 dollars</vt:lpstr>
      <vt:lpstr>Respondents-Facilities Data</vt:lpstr>
      <vt:lpstr>'Agency Year 1'!Print_Area</vt:lpstr>
      <vt:lpstr>'Agency Year 2'!Print_Area</vt:lpstr>
      <vt:lpstr>'Agency Year 3'!Print_Area</vt:lpstr>
      <vt:lpstr>'Other Data for SupportStatement'!Print_Area</vt:lpstr>
      <vt:lpstr>'Year 1'!Print_Area</vt:lpstr>
      <vt:lpstr>'Year 2'!Print_Area</vt:lpstr>
      <vt:lpstr>'Year 3'!Print_Area</vt:lpstr>
    </vt:vector>
  </TitlesOfParts>
  <Manager/>
  <Company>Midwest Research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Draft Copy R8 FBIR Renewal ICR Tables</dc:title>
  <dc:subject/>
  <dc:creator>Brian Shrager</dc:creator>
  <cp:keywords/>
  <dc:description/>
  <cp:lastModifiedBy>Courtney Kerwin</cp:lastModifiedBy>
  <cp:revision/>
  <cp:lastPrinted>2019-04-16T14:19:38Z</cp:lastPrinted>
  <dcterms:created xsi:type="dcterms:W3CDTF">1999-11-18T17:06:56Z</dcterms:created>
  <dcterms:modified xsi:type="dcterms:W3CDTF">2019-09-30T15:12:36Z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0x010100D5802A7EECB85A498A647EC35D5E01BE</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AuthorIds_UIVersion_8192">
    <vt:lpwstr>2101</vt:lpwstr>
  </property>
  <property fmtid="{D5CDD505-2E9C-101B-9397-08002B2CF9AE}" pid="7" name="AuthorIds_UIVersion_10752">
    <vt:lpwstr>2101</vt:lpwstr>
  </property>
</Properties>
</file>