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CKerwin\Downloads\"/>
    </mc:Choice>
  </mc:AlternateContent>
  <xr:revisionPtr revIDLastSave="0" documentId="8_{F332F61D-5C35-4241-88D1-F6E08FB9D1E2}" xr6:coauthVersionLast="41" xr6:coauthVersionMax="41" xr10:uidLastSave="{00000000-0000-0000-0000-000000000000}"/>
  <bookViews>
    <workbookView xWindow="-120" yWindow="-120" windowWidth="20730" windowHeight="11310" tabRatio="888" activeTab="8" xr2:uid="{00000000-000D-0000-FFFF-FFFF00000000}"/>
  </bookViews>
  <sheets>
    <sheet name="TBL1-YR1" sheetId="104" r:id="rId1"/>
    <sheet name="TBL2-YR2" sheetId="198" r:id="rId2"/>
    <sheet name="TBL3-YR3" sheetId="199" r:id="rId3"/>
    <sheet name="TBL4-YR1" sheetId="139" r:id="rId4"/>
    <sheet name="TBL5-YR2" sheetId="200" r:id="rId5"/>
    <sheet name="TBL6-YR3" sheetId="201" r:id="rId6"/>
    <sheet name="TBL7-SUMMARY" sheetId="192" r:id="rId7"/>
    <sheet name="TBL8-YR1" sheetId="169" r:id="rId8"/>
    <sheet name="TBL9-YR2" sheetId="202" r:id="rId9"/>
    <sheet name="TBL10-YR3" sheetId="203" r:id="rId10"/>
    <sheet name="TBL11-SUMMARY" sheetId="197" r:id="rId11"/>
    <sheet name="Monitors" sheetId="137" state="hidden" r:id="rId12"/>
    <sheet name="Capital vs. O&amp;M" sheetId="173" r:id="rId13"/>
    <sheet name="2019 Changes" sheetId="196" r:id="rId14"/>
  </sheets>
  <externalReferences>
    <externalReference r:id="rId15"/>
  </externalReferences>
  <definedNames>
    <definedName name="_xlnm._FilterDatabase" localSheetId="6" hidden="1">'TBL7-SUMMARY'!#REF!</definedName>
    <definedName name="_Hlk505256713" localSheetId="12">'Capital vs. O&amp;M'!$A$38</definedName>
    <definedName name="cler">[1]basis!$C$26</definedName>
    <definedName name="comptime" localSheetId="9">'TBL10-YR3'!#REF!</definedName>
    <definedName name="comptime" localSheetId="7">'TBL8-YR1'!#REF!</definedName>
    <definedName name="comptime" localSheetId="8">'TBL9-YR2'!#REF!</definedName>
    <definedName name="excd">[1]basis!$C$19</definedName>
    <definedName name="lit">[1]basis!$C$13</definedName>
    <definedName name="mang">[1]basis!$C$25</definedName>
    <definedName name="new_respondents">[1]basis!$C$17</definedName>
    <definedName name="noexcd">[1]basis!$C$20</definedName>
    <definedName name="_xlnm.Print_Area" localSheetId="13">'2019 Changes'!$A$1:$E$15</definedName>
    <definedName name="_xlnm.Print_Area" localSheetId="9">'TBL10-YR3'!$A$1:$I$39</definedName>
    <definedName name="_xlnm.Print_Area" localSheetId="7">'TBL8-YR1'!$A$1:$I$40</definedName>
    <definedName name="_xlnm.Print_Area" localSheetId="8">'TBL9-YR2'!$A$1:$I$40</definedName>
    <definedName name="_xlnm.Print_Titles" localSheetId="0">'TBL1-YR1'!$1:$4</definedName>
    <definedName name="_xlnm.Print_Titles" localSheetId="1">'TBL2-YR2'!$1:$4</definedName>
    <definedName name="_xlnm.Print_Titles" localSheetId="2">'TBL3-YR3'!$1:$4</definedName>
    <definedName name="_xlnm.Print_Titles" localSheetId="3">'TBL4-YR1'!$1:$4</definedName>
    <definedName name="_xlnm.Print_Titles" localSheetId="4">'TBL5-YR2'!$1:$4</definedName>
    <definedName name="_xlnm.Print_Titles" localSheetId="5">'TBL6-YR3'!$1:$4</definedName>
    <definedName name="read1" localSheetId="9">#REF!</definedName>
    <definedName name="read1" localSheetId="1">#REF!</definedName>
    <definedName name="read1" localSheetId="2">#REF!</definedName>
    <definedName name="read1" localSheetId="4">#REF!</definedName>
    <definedName name="read1" localSheetId="5">#REF!</definedName>
    <definedName name="read1" localSheetId="8">#REF!</definedName>
    <definedName name="read1">#REF!</definedName>
    <definedName name="respondents" localSheetId="9">'TBL10-YR3'!#REF!</definedName>
    <definedName name="respondents" localSheetId="7">'TBL8-YR1'!#REF!</definedName>
    <definedName name="respondents" localSheetId="8">'TBL9-YR2'!#REF!</definedName>
    <definedName name="retest" localSheetId="9">'TBL10-YR3'!#REF!</definedName>
    <definedName name="retest" localSheetId="7">'TBL8-YR1'!#REF!</definedName>
    <definedName name="retest" localSheetId="8">'TBL9-YR2'!#REF!</definedName>
    <definedName name="sperfac" localSheetId="9">'TBL10-YR3'!#REF!</definedName>
    <definedName name="sperfac" localSheetId="7">'TBL8-YR1'!#REF!</definedName>
    <definedName name="sperfac" localSheetId="8">'TBL9-YR2'!#REF!</definedName>
    <definedName name="ssmalf">[1]basis!$C$21</definedName>
    <definedName name="tech">[1]basis!$C$24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192" l="1"/>
  <c r="M58" i="198"/>
  <c r="M58" i="104"/>
  <c r="M54" i="201"/>
  <c r="M54" i="200"/>
  <c r="M54" i="139"/>
  <c r="M58" i="199"/>
  <c r="M74" i="199"/>
  <c r="O15" i="201" l="1"/>
  <c r="O13" i="201"/>
  <c r="L35" i="201"/>
  <c r="G10" i="192"/>
  <c r="G6" i="192"/>
  <c r="G32" i="173" l="1"/>
  <c r="L68" i="201" l="1"/>
  <c r="M74" i="104"/>
  <c r="M75" i="104" s="1"/>
  <c r="L73" i="104"/>
  <c r="I73" i="104"/>
  <c r="I72" i="104"/>
  <c r="I58" i="104"/>
  <c r="I58" i="198"/>
  <c r="I73" i="198" s="1"/>
  <c r="I72" i="198"/>
  <c r="I72" i="199"/>
  <c r="I54" i="139"/>
  <c r="I69" i="139" s="1"/>
  <c r="I68" i="139"/>
  <c r="I68" i="200"/>
  <c r="I54" i="200"/>
  <c r="I68" i="201"/>
  <c r="L69" i="139"/>
  <c r="H8" i="139"/>
  <c r="H8" i="104"/>
  <c r="M47" i="139" l="1"/>
  <c r="I47" i="139"/>
  <c r="G47" i="139"/>
  <c r="E47" i="139"/>
  <c r="M46" i="139"/>
  <c r="G46" i="139"/>
  <c r="I46" i="139" s="1"/>
  <c r="G47" i="200"/>
  <c r="I47" i="200" s="1"/>
  <c r="E47" i="200"/>
  <c r="M47" i="200" s="1"/>
  <c r="M46" i="200"/>
  <c r="G46" i="200"/>
  <c r="I46" i="200" s="1"/>
  <c r="M41" i="139"/>
  <c r="G41" i="139"/>
  <c r="I41" i="139" s="1"/>
  <c r="M40" i="139"/>
  <c r="G40" i="139"/>
  <c r="I40" i="139" s="1"/>
  <c r="M41" i="200"/>
  <c r="G41" i="200"/>
  <c r="I41" i="200" s="1"/>
  <c r="M40" i="200"/>
  <c r="G40" i="200"/>
  <c r="I40" i="200" s="1"/>
  <c r="E47" i="201"/>
  <c r="G47" i="201"/>
  <c r="M46" i="201"/>
  <c r="G46" i="201"/>
  <c r="I46" i="201" s="1"/>
  <c r="G41" i="201"/>
  <c r="M41" i="201"/>
  <c r="G40" i="201"/>
  <c r="I40" i="201" s="1"/>
  <c r="L47" i="139" l="1"/>
  <c r="L46" i="139"/>
  <c r="J46" i="139"/>
  <c r="K46" i="139"/>
  <c r="J47" i="139"/>
  <c r="K47" i="139"/>
  <c r="K47" i="200"/>
  <c r="J47" i="200"/>
  <c r="L47" i="200" s="1"/>
  <c r="K46" i="200"/>
  <c r="J46" i="200"/>
  <c r="L46" i="200" s="1"/>
  <c r="K40" i="139"/>
  <c r="J40" i="139"/>
  <c r="L40" i="139"/>
  <c r="K41" i="139"/>
  <c r="J41" i="139"/>
  <c r="L41" i="139" s="1"/>
  <c r="K41" i="200"/>
  <c r="J41" i="200"/>
  <c r="L41" i="200" s="1"/>
  <c r="J40" i="200"/>
  <c r="K40" i="200"/>
  <c r="L40" i="200" s="1"/>
  <c r="I47" i="201"/>
  <c r="J47" i="201" s="1"/>
  <c r="M47" i="201"/>
  <c r="K46" i="201"/>
  <c r="J46" i="201"/>
  <c r="L46" i="201"/>
  <c r="I41" i="201"/>
  <c r="J40" i="201"/>
  <c r="L40" i="201" s="1"/>
  <c r="K40" i="201"/>
  <c r="M40" i="201"/>
  <c r="B12" i="197"/>
  <c r="G63" i="173"/>
  <c r="K47" i="201" l="1"/>
  <c r="L47" i="201" s="1"/>
  <c r="K41" i="201"/>
  <c r="J41" i="201"/>
  <c r="L41" i="201" s="1"/>
  <c r="B21" i="192"/>
  <c r="B20" i="192"/>
  <c r="B17" i="192"/>
  <c r="B16" i="192"/>
  <c r="E26" i="200"/>
  <c r="E26" i="139"/>
  <c r="E50" i="198"/>
  <c r="E29" i="198"/>
  <c r="E50" i="104"/>
  <c r="E29" i="104"/>
  <c r="E26" i="201" l="1"/>
  <c r="H23" i="201"/>
  <c r="E50" i="199"/>
  <c r="E29" i="199"/>
  <c r="B3" i="196"/>
  <c r="C8" i="203" s="1"/>
  <c r="H26" i="199" l="1"/>
  <c r="B18" i="192"/>
  <c r="B22" i="192"/>
  <c r="E28" i="173"/>
  <c r="E24" i="173"/>
  <c r="E19" i="173"/>
  <c r="E15" i="173"/>
  <c r="D19" i="173" l="1"/>
  <c r="D16" i="173"/>
  <c r="F12" i="173"/>
  <c r="D12" i="173"/>
  <c r="F10" i="173"/>
  <c r="G10" i="173" s="1"/>
  <c r="D10" i="173"/>
  <c r="F9" i="173"/>
  <c r="G9" i="173" s="1"/>
  <c r="D9" i="173"/>
  <c r="F8" i="173"/>
  <c r="D8" i="173"/>
  <c r="F7" i="173"/>
  <c r="G7" i="173" s="1"/>
  <c r="D7" i="173"/>
  <c r="F6" i="173"/>
  <c r="G6" i="173" s="1"/>
  <c r="D6" i="173"/>
  <c r="F21" i="173"/>
  <c r="G21" i="173" s="1"/>
  <c r="F19" i="173"/>
  <c r="G19" i="173" s="1"/>
  <c r="F18" i="173"/>
  <c r="G18" i="173" s="1"/>
  <c r="D18" i="173"/>
  <c r="F17" i="173"/>
  <c r="D17" i="173"/>
  <c r="F16" i="173"/>
  <c r="G16" i="173" s="1"/>
  <c r="F15" i="173"/>
  <c r="G15" i="173" s="1"/>
  <c r="D15" i="173"/>
  <c r="C30" i="173"/>
  <c r="C65" i="173" s="1"/>
  <c r="E24" i="203"/>
  <c r="D23" i="203"/>
  <c r="E23" i="203" s="1"/>
  <c r="D22" i="203"/>
  <c r="E22" i="203" s="1"/>
  <c r="D21" i="203"/>
  <c r="E21" i="203" s="1"/>
  <c r="D20" i="203"/>
  <c r="E20" i="203" s="1"/>
  <c r="H19" i="203"/>
  <c r="D17" i="203"/>
  <c r="E17" i="203" s="1"/>
  <c r="E14" i="203"/>
  <c r="F14" i="203" s="1"/>
  <c r="C13" i="203"/>
  <c r="D13" i="203" s="1"/>
  <c r="E13" i="203" s="1"/>
  <c r="D11" i="203"/>
  <c r="E11" i="203" s="1"/>
  <c r="D10" i="203"/>
  <c r="E10" i="203" s="1"/>
  <c r="D9" i="203"/>
  <c r="E9" i="203" s="1"/>
  <c r="G9" i="203" s="1"/>
  <c r="D18" i="203"/>
  <c r="E18" i="203" s="1"/>
  <c r="H7" i="203"/>
  <c r="C6" i="203"/>
  <c r="C16" i="203" s="1"/>
  <c r="D16" i="203" s="1"/>
  <c r="E16" i="203" s="1"/>
  <c r="D5" i="203"/>
  <c r="E5" i="203" s="1"/>
  <c r="E24" i="202"/>
  <c r="G23" i="202"/>
  <c r="E23" i="202"/>
  <c r="F23" i="202" s="1"/>
  <c r="D23" i="202"/>
  <c r="D22" i="202"/>
  <c r="E22" i="202" s="1"/>
  <c r="D21" i="202"/>
  <c r="E21" i="202" s="1"/>
  <c r="D20" i="202"/>
  <c r="E20" i="202" s="1"/>
  <c r="H19" i="202"/>
  <c r="D17" i="202"/>
  <c r="E17" i="202" s="1"/>
  <c r="H15" i="202"/>
  <c r="F14" i="202"/>
  <c r="E14" i="202"/>
  <c r="G14" i="202" s="1"/>
  <c r="D11" i="202"/>
  <c r="E11" i="202" s="1"/>
  <c r="E10" i="202"/>
  <c r="D10" i="202"/>
  <c r="H9" i="202"/>
  <c r="G9" i="202"/>
  <c r="F9" i="202"/>
  <c r="E9" i="202"/>
  <c r="D9" i="202"/>
  <c r="C18" i="202"/>
  <c r="D18" i="202" s="1"/>
  <c r="E18" i="202" s="1"/>
  <c r="H7" i="202"/>
  <c r="D6" i="202"/>
  <c r="E6" i="202" s="1"/>
  <c r="C16" i="202"/>
  <c r="D16" i="202" s="1"/>
  <c r="E16" i="202" s="1"/>
  <c r="D5" i="202"/>
  <c r="E5" i="202" s="1"/>
  <c r="H7" i="169"/>
  <c r="H9" i="169"/>
  <c r="H10" i="169"/>
  <c r="H11" i="169"/>
  <c r="H14" i="169"/>
  <c r="H15" i="169"/>
  <c r="H17" i="169"/>
  <c r="H19" i="169"/>
  <c r="H20" i="169"/>
  <c r="H21" i="169"/>
  <c r="H22" i="169"/>
  <c r="H23" i="169"/>
  <c r="H24" i="169"/>
  <c r="C18" i="169"/>
  <c r="C13" i="169"/>
  <c r="C16" i="169"/>
  <c r="A19" i="192"/>
  <c r="A15" i="192"/>
  <c r="H66" i="201"/>
  <c r="M66" i="201" s="1"/>
  <c r="G66" i="201"/>
  <c r="H65" i="201"/>
  <c r="M65" i="201" s="1"/>
  <c r="G65" i="201"/>
  <c r="H64" i="201"/>
  <c r="M64" i="201" s="1"/>
  <c r="G64" i="201"/>
  <c r="G63" i="201"/>
  <c r="H62" i="201"/>
  <c r="M62" i="201" s="1"/>
  <c r="G62" i="201"/>
  <c r="H61" i="201"/>
  <c r="M61" i="201" s="1"/>
  <c r="G61" i="201"/>
  <c r="I61" i="201" s="1"/>
  <c r="G60" i="201"/>
  <c r="H53" i="201"/>
  <c r="M53" i="201" s="1"/>
  <c r="G53" i="201"/>
  <c r="M52" i="201"/>
  <c r="G52" i="201"/>
  <c r="I52" i="201" s="1"/>
  <c r="G51" i="201"/>
  <c r="M44" i="201"/>
  <c r="G44" i="201"/>
  <c r="I44" i="201" s="1"/>
  <c r="M43" i="201"/>
  <c r="G43" i="201"/>
  <c r="I43" i="201" s="1"/>
  <c r="M38" i="201"/>
  <c r="G38" i="201"/>
  <c r="I38" i="201" s="1"/>
  <c r="M37" i="201"/>
  <c r="G37" i="201"/>
  <c r="I37" i="201" s="1"/>
  <c r="G35" i="201"/>
  <c r="M34" i="201"/>
  <c r="G34" i="201"/>
  <c r="G32" i="201"/>
  <c r="I32" i="201" s="1"/>
  <c r="E32" i="201"/>
  <c r="M32" i="201" s="1"/>
  <c r="G31" i="201"/>
  <c r="I31" i="201" s="1"/>
  <c r="J31" i="201" s="1"/>
  <c r="E31" i="201"/>
  <c r="M31" i="201" s="1"/>
  <c r="M29" i="201"/>
  <c r="G29" i="201"/>
  <c r="I29" i="201" s="1"/>
  <c r="M28" i="201"/>
  <c r="G28" i="201"/>
  <c r="I28" i="201" s="1"/>
  <c r="M26" i="201"/>
  <c r="G26" i="201"/>
  <c r="I26" i="201" s="1"/>
  <c r="M25" i="201"/>
  <c r="G25" i="201"/>
  <c r="I25" i="201" s="1"/>
  <c r="M23" i="201"/>
  <c r="G23" i="201"/>
  <c r="I23" i="201" s="1"/>
  <c r="M21" i="201"/>
  <c r="G21" i="201"/>
  <c r="I21" i="201" s="1"/>
  <c r="M20" i="201"/>
  <c r="G20" i="201"/>
  <c r="I20" i="201" s="1"/>
  <c r="M19" i="201"/>
  <c r="G19" i="201"/>
  <c r="I19" i="201" s="1"/>
  <c r="G18" i="201"/>
  <c r="I18" i="201" s="1"/>
  <c r="G17" i="201"/>
  <c r="I17" i="201" s="1"/>
  <c r="D17" i="201"/>
  <c r="M17" i="201" s="1"/>
  <c r="G16" i="201"/>
  <c r="I16" i="201" s="1"/>
  <c r="D16" i="201"/>
  <c r="M16" i="201" s="1"/>
  <c r="G15" i="201"/>
  <c r="I15" i="201" s="1"/>
  <c r="D15" i="201"/>
  <c r="M15" i="201" s="1"/>
  <c r="G14" i="201"/>
  <c r="I14" i="201" s="1"/>
  <c r="D14" i="201"/>
  <c r="M14" i="201" s="1"/>
  <c r="G13" i="201"/>
  <c r="I13" i="201" s="1"/>
  <c r="D13" i="201"/>
  <c r="M13" i="201" s="1"/>
  <c r="G12" i="201"/>
  <c r="I12" i="201" s="1"/>
  <c r="D12" i="201"/>
  <c r="M12" i="201" s="1"/>
  <c r="G11" i="201"/>
  <c r="I11" i="201" s="1"/>
  <c r="D11" i="201"/>
  <c r="M11" i="201" s="1"/>
  <c r="G10" i="201"/>
  <c r="I10" i="201" s="1"/>
  <c r="D10" i="201"/>
  <c r="M10" i="201" s="1"/>
  <c r="M8" i="201"/>
  <c r="G8" i="201"/>
  <c r="I8" i="201" s="1"/>
  <c r="H66" i="200"/>
  <c r="M66" i="200" s="1"/>
  <c r="G66" i="200"/>
  <c r="H65" i="200"/>
  <c r="M65" i="200" s="1"/>
  <c r="G65" i="200"/>
  <c r="H64" i="200"/>
  <c r="M64" i="200" s="1"/>
  <c r="G64" i="200"/>
  <c r="H63" i="200"/>
  <c r="G63" i="200"/>
  <c r="H62" i="200"/>
  <c r="M62" i="200" s="1"/>
  <c r="G62" i="200"/>
  <c r="H61" i="200"/>
  <c r="M61" i="200" s="1"/>
  <c r="G61" i="200"/>
  <c r="H60" i="200"/>
  <c r="M60" i="200" s="1"/>
  <c r="G60" i="200"/>
  <c r="H53" i="200"/>
  <c r="M53" i="200" s="1"/>
  <c r="G53" i="200"/>
  <c r="H52" i="200"/>
  <c r="M52" i="200" s="1"/>
  <c r="G52" i="200"/>
  <c r="G51" i="200"/>
  <c r="M44" i="200"/>
  <c r="G44" i="200"/>
  <c r="I44" i="200" s="1"/>
  <c r="K44" i="200" s="1"/>
  <c r="M43" i="200"/>
  <c r="G43" i="200"/>
  <c r="I43" i="200" s="1"/>
  <c r="M38" i="200"/>
  <c r="G38" i="200"/>
  <c r="I38" i="200" s="1"/>
  <c r="M37" i="200"/>
  <c r="G37" i="200"/>
  <c r="I37" i="200" s="1"/>
  <c r="G35" i="200"/>
  <c r="M34" i="200"/>
  <c r="H35" i="200"/>
  <c r="G34" i="200"/>
  <c r="I34" i="200" s="1"/>
  <c r="G32" i="200"/>
  <c r="I32" i="200" s="1"/>
  <c r="K32" i="200" s="1"/>
  <c r="E32" i="200"/>
  <c r="M32" i="200" s="1"/>
  <c r="G31" i="200"/>
  <c r="I31" i="200" s="1"/>
  <c r="E31" i="200"/>
  <c r="M31" i="200" s="1"/>
  <c r="M29" i="200"/>
  <c r="G29" i="200"/>
  <c r="I29" i="200" s="1"/>
  <c r="M28" i="200"/>
  <c r="G28" i="200"/>
  <c r="I28" i="200" s="1"/>
  <c r="M26" i="200"/>
  <c r="G26" i="200"/>
  <c r="I26" i="200" s="1"/>
  <c r="K26" i="200" s="1"/>
  <c r="M25" i="200"/>
  <c r="G25" i="200"/>
  <c r="I25" i="200" s="1"/>
  <c r="M23" i="200"/>
  <c r="G23" i="200"/>
  <c r="I23" i="200" s="1"/>
  <c r="M21" i="200"/>
  <c r="G21" i="200"/>
  <c r="I21" i="200" s="1"/>
  <c r="M20" i="200"/>
  <c r="G20" i="200"/>
  <c r="I20" i="200" s="1"/>
  <c r="M19" i="200"/>
  <c r="G19" i="200"/>
  <c r="I19" i="200" s="1"/>
  <c r="G18" i="200"/>
  <c r="I18" i="200" s="1"/>
  <c r="G17" i="200"/>
  <c r="I17" i="200" s="1"/>
  <c r="D17" i="200"/>
  <c r="M17" i="200" s="1"/>
  <c r="G16" i="200"/>
  <c r="I16" i="200" s="1"/>
  <c r="D16" i="200"/>
  <c r="M16" i="200" s="1"/>
  <c r="G15" i="200"/>
  <c r="I15" i="200" s="1"/>
  <c r="J15" i="200" s="1"/>
  <c r="D15" i="200"/>
  <c r="M15" i="200" s="1"/>
  <c r="G14" i="200"/>
  <c r="I14" i="200" s="1"/>
  <c r="D14" i="200"/>
  <c r="M14" i="200" s="1"/>
  <c r="G13" i="200"/>
  <c r="I13" i="200" s="1"/>
  <c r="D13" i="200"/>
  <c r="M13" i="200" s="1"/>
  <c r="G12" i="200"/>
  <c r="I12" i="200" s="1"/>
  <c r="D12" i="200"/>
  <c r="M12" i="200" s="1"/>
  <c r="G11" i="200"/>
  <c r="I11" i="200" s="1"/>
  <c r="D11" i="200"/>
  <c r="M11" i="200" s="1"/>
  <c r="G10" i="200"/>
  <c r="I10" i="200" s="1"/>
  <c r="D10" i="200"/>
  <c r="M10" i="200" s="1"/>
  <c r="M8" i="200"/>
  <c r="G8" i="200"/>
  <c r="I8" i="200" s="1"/>
  <c r="M70" i="199"/>
  <c r="G70" i="199"/>
  <c r="I70" i="199" s="1"/>
  <c r="M69" i="199"/>
  <c r="G69" i="199"/>
  <c r="I69" i="199" s="1"/>
  <c r="M68" i="199"/>
  <c r="G68" i="199"/>
  <c r="I68" i="199" s="1"/>
  <c r="K68" i="199" s="1"/>
  <c r="G67" i="199"/>
  <c r="M66" i="199"/>
  <c r="G66" i="199"/>
  <c r="I66" i="199" s="1"/>
  <c r="M65" i="199"/>
  <c r="G65" i="199"/>
  <c r="I65" i="199" s="1"/>
  <c r="G64" i="199"/>
  <c r="H57" i="199"/>
  <c r="G57" i="199"/>
  <c r="M56" i="199"/>
  <c r="G56" i="199"/>
  <c r="I56" i="199" s="1"/>
  <c r="K56" i="199" s="1"/>
  <c r="G55" i="199"/>
  <c r="G54" i="199"/>
  <c r="G50" i="199"/>
  <c r="G49" i="199"/>
  <c r="M47" i="199"/>
  <c r="I47" i="199"/>
  <c r="K47" i="199" s="1"/>
  <c r="G47" i="199"/>
  <c r="M46" i="199"/>
  <c r="G46" i="199"/>
  <c r="I46" i="199" s="1"/>
  <c r="G44" i="199"/>
  <c r="G43" i="199"/>
  <c r="G41" i="199"/>
  <c r="G40" i="199"/>
  <c r="G38" i="199"/>
  <c r="G37" i="199"/>
  <c r="G35" i="199"/>
  <c r="I35" i="199" s="1"/>
  <c r="E35" i="199"/>
  <c r="M35" i="199" s="1"/>
  <c r="G34" i="199"/>
  <c r="I34" i="199" s="1"/>
  <c r="E34" i="199"/>
  <c r="M34" i="199" s="1"/>
  <c r="M32" i="199"/>
  <c r="G32" i="199"/>
  <c r="I32" i="199" s="1"/>
  <c r="K32" i="199" s="1"/>
  <c r="M31" i="199"/>
  <c r="G31" i="199"/>
  <c r="I31" i="199" s="1"/>
  <c r="G29" i="199"/>
  <c r="G28" i="199"/>
  <c r="M26" i="199"/>
  <c r="G26" i="199"/>
  <c r="I26" i="199" s="1"/>
  <c r="M24" i="199"/>
  <c r="I24" i="199"/>
  <c r="K24" i="199" s="1"/>
  <c r="G24" i="199"/>
  <c r="M23" i="199"/>
  <c r="G23" i="199"/>
  <c r="I23" i="199" s="1"/>
  <c r="M22" i="199"/>
  <c r="G22" i="199"/>
  <c r="I22" i="199" s="1"/>
  <c r="K22" i="199" s="1"/>
  <c r="I21" i="199"/>
  <c r="G21" i="199"/>
  <c r="D21" i="199"/>
  <c r="M21" i="199" s="1"/>
  <c r="M20" i="199"/>
  <c r="G20" i="199"/>
  <c r="I20" i="199" s="1"/>
  <c r="M19" i="199"/>
  <c r="G19" i="199"/>
  <c r="I19" i="199" s="1"/>
  <c r="M18" i="199"/>
  <c r="G18" i="199"/>
  <c r="I18" i="199" s="1"/>
  <c r="M17" i="199"/>
  <c r="G17" i="199"/>
  <c r="I17" i="199" s="1"/>
  <c r="M16" i="199"/>
  <c r="G16" i="199"/>
  <c r="I16" i="199" s="1"/>
  <c r="M15" i="199"/>
  <c r="G15" i="199"/>
  <c r="I15" i="199" s="1"/>
  <c r="M14" i="199"/>
  <c r="G14" i="199"/>
  <c r="I14" i="199" s="1"/>
  <c r="M13" i="199"/>
  <c r="G13" i="199"/>
  <c r="I13" i="199" s="1"/>
  <c r="M12" i="199"/>
  <c r="G12" i="199"/>
  <c r="I12" i="199" s="1"/>
  <c r="M11" i="199"/>
  <c r="G11" i="199"/>
  <c r="I11" i="199" s="1"/>
  <c r="M8" i="199"/>
  <c r="G8" i="199"/>
  <c r="I8" i="199" s="1"/>
  <c r="M70" i="198"/>
  <c r="G70" i="198"/>
  <c r="I70" i="198" s="1"/>
  <c r="M69" i="198"/>
  <c r="G69" i="198"/>
  <c r="I69" i="198" s="1"/>
  <c r="J69" i="198" s="1"/>
  <c r="M68" i="198"/>
  <c r="G68" i="198"/>
  <c r="I68" i="198" s="1"/>
  <c r="M67" i="198"/>
  <c r="G67" i="198"/>
  <c r="I67" i="198" s="1"/>
  <c r="M66" i="198"/>
  <c r="G66" i="198"/>
  <c r="I66" i="198" s="1"/>
  <c r="M65" i="198"/>
  <c r="G65" i="198"/>
  <c r="I65" i="198" s="1"/>
  <c r="J65" i="198" s="1"/>
  <c r="M64" i="198"/>
  <c r="G64" i="198"/>
  <c r="I64" i="198" s="1"/>
  <c r="H57" i="198"/>
  <c r="G57" i="198"/>
  <c r="M56" i="198"/>
  <c r="G56" i="198"/>
  <c r="I56" i="198" s="1"/>
  <c r="K56" i="198" s="1"/>
  <c r="M55" i="198"/>
  <c r="G55" i="198"/>
  <c r="I55" i="198" s="1"/>
  <c r="M54" i="198"/>
  <c r="G54" i="198"/>
  <c r="I54" i="198" s="1"/>
  <c r="G50" i="198"/>
  <c r="G49" i="198"/>
  <c r="I49" i="198" s="1"/>
  <c r="M47" i="198"/>
  <c r="G47" i="198"/>
  <c r="I47" i="198" s="1"/>
  <c r="M46" i="198"/>
  <c r="G46" i="198"/>
  <c r="I46" i="198" s="1"/>
  <c r="H44" i="198"/>
  <c r="M44" i="198" s="1"/>
  <c r="G44" i="198"/>
  <c r="M43" i="198"/>
  <c r="G43" i="198"/>
  <c r="I43" i="198" s="1"/>
  <c r="G41" i="198"/>
  <c r="G40" i="198"/>
  <c r="I40" i="198" s="1"/>
  <c r="G38" i="198"/>
  <c r="H38" i="198"/>
  <c r="M38" i="198" s="1"/>
  <c r="G37" i="198"/>
  <c r="I37" i="198" s="1"/>
  <c r="G35" i="198"/>
  <c r="I35" i="198" s="1"/>
  <c r="E35" i="198"/>
  <c r="M35" i="198" s="1"/>
  <c r="G34" i="198"/>
  <c r="I34" i="198" s="1"/>
  <c r="E34" i="198"/>
  <c r="M34" i="198" s="1"/>
  <c r="M32" i="198"/>
  <c r="G32" i="198"/>
  <c r="I32" i="198" s="1"/>
  <c r="M31" i="198"/>
  <c r="G31" i="198"/>
  <c r="I31" i="198" s="1"/>
  <c r="J31" i="198" s="1"/>
  <c r="G29" i="198"/>
  <c r="H29" i="198"/>
  <c r="G28" i="198"/>
  <c r="I28" i="198" s="1"/>
  <c r="M26" i="198"/>
  <c r="G26" i="198"/>
  <c r="I26" i="198" s="1"/>
  <c r="M24" i="198"/>
  <c r="G24" i="198"/>
  <c r="I24" i="198" s="1"/>
  <c r="M23" i="198"/>
  <c r="I23" i="198"/>
  <c r="J23" i="198" s="1"/>
  <c r="G23" i="198"/>
  <c r="M22" i="198"/>
  <c r="G22" i="198"/>
  <c r="I22" i="198" s="1"/>
  <c r="G21" i="198"/>
  <c r="I21" i="198" s="1"/>
  <c r="D21" i="198"/>
  <c r="M21" i="198" s="1"/>
  <c r="M20" i="198"/>
  <c r="G20" i="198"/>
  <c r="I20" i="198" s="1"/>
  <c r="M19" i="198"/>
  <c r="G19" i="198"/>
  <c r="I19" i="198" s="1"/>
  <c r="M18" i="198"/>
  <c r="G18" i="198"/>
  <c r="I18" i="198" s="1"/>
  <c r="M17" i="198"/>
  <c r="G17" i="198"/>
  <c r="I17" i="198" s="1"/>
  <c r="M16" i="198"/>
  <c r="G16" i="198"/>
  <c r="I16" i="198" s="1"/>
  <c r="M15" i="198"/>
  <c r="G15" i="198"/>
  <c r="I15" i="198" s="1"/>
  <c r="M14" i="198"/>
  <c r="G14" i="198"/>
  <c r="I14" i="198" s="1"/>
  <c r="M13" i="198"/>
  <c r="G13" i="198"/>
  <c r="I13" i="198" s="1"/>
  <c r="M12" i="198"/>
  <c r="G12" i="198"/>
  <c r="I12" i="198" s="1"/>
  <c r="M11" i="198"/>
  <c r="G11" i="198"/>
  <c r="I11" i="198" s="1"/>
  <c r="M8" i="198"/>
  <c r="G8" i="198"/>
  <c r="I8" i="198" s="1"/>
  <c r="G8" i="104"/>
  <c r="C9" i="197"/>
  <c r="G7" i="197"/>
  <c r="G6" i="197"/>
  <c r="I62" i="200" l="1"/>
  <c r="K62" i="200" s="1"/>
  <c r="I64" i="200"/>
  <c r="J64" i="200" s="1"/>
  <c r="I66" i="200"/>
  <c r="K66" i="200" s="1"/>
  <c r="J11" i="200"/>
  <c r="K11" i="200"/>
  <c r="I63" i="200"/>
  <c r="I65" i="200"/>
  <c r="K65" i="200" s="1"/>
  <c r="I53" i="200"/>
  <c r="J53" i="200" s="1"/>
  <c r="K43" i="200"/>
  <c r="J43" i="200"/>
  <c r="J12" i="200"/>
  <c r="K12" i="200"/>
  <c r="J31" i="200"/>
  <c r="K31" i="200"/>
  <c r="I52" i="200"/>
  <c r="J52" i="200" s="1"/>
  <c r="I61" i="200"/>
  <c r="K61" i="200" s="1"/>
  <c r="J32" i="200"/>
  <c r="L32" i="200" s="1"/>
  <c r="I60" i="200"/>
  <c r="K60" i="200" s="1"/>
  <c r="I64" i="201"/>
  <c r="J64" i="201" s="1"/>
  <c r="I62" i="201"/>
  <c r="J62" i="201" s="1"/>
  <c r="I65" i="201"/>
  <c r="K65" i="201" s="1"/>
  <c r="I66" i="201"/>
  <c r="K66" i="201" s="1"/>
  <c r="I53" i="201"/>
  <c r="K53" i="201" s="1"/>
  <c r="M72" i="198"/>
  <c r="I57" i="198"/>
  <c r="J31" i="199"/>
  <c r="L31" i="199" s="1"/>
  <c r="K31" i="199"/>
  <c r="J23" i="199"/>
  <c r="K23" i="199"/>
  <c r="I57" i="199"/>
  <c r="M57" i="199"/>
  <c r="K57" i="199"/>
  <c r="J57" i="199"/>
  <c r="G14" i="203"/>
  <c r="H14" i="203"/>
  <c r="J11" i="201"/>
  <c r="K11" i="201"/>
  <c r="K31" i="201"/>
  <c r="L31" i="201" s="1"/>
  <c r="J32" i="201"/>
  <c r="J43" i="201"/>
  <c r="K32" i="201"/>
  <c r="K43" i="201"/>
  <c r="I34" i="201"/>
  <c r="M51" i="201"/>
  <c r="D6" i="203"/>
  <c r="E6" i="203" s="1"/>
  <c r="H55" i="199"/>
  <c r="M55" i="199" s="1"/>
  <c r="I54" i="199"/>
  <c r="B23" i="192"/>
  <c r="B24" i="192" s="1"/>
  <c r="M54" i="199"/>
  <c r="D21" i="173"/>
  <c r="G8" i="173"/>
  <c r="G12" i="173"/>
  <c r="G17" i="173"/>
  <c r="G5" i="203"/>
  <c r="F5" i="203"/>
  <c r="F16" i="203"/>
  <c r="G16" i="203"/>
  <c r="G11" i="203"/>
  <c r="F11" i="203"/>
  <c r="G20" i="203"/>
  <c r="F20" i="203"/>
  <c r="G13" i="203"/>
  <c r="F13" i="203"/>
  <c r="G21" i="203"/>
  <c r="F21" i="203"/>
  <c r="F18" i="203"/>
  <c r="G18" i="203"/>
  <c r="F22" i="203"/>
  <c r="G22" i="203"/>
  <c r="F23" i="203"/>
  <c r="G23" i="203"/>
  <c r="G17" i="203"/>
  <c r="F17" i="203"/>
  <c r="H17" i="203" s="1"/>
  <c r="F10" i="203"/>
  <c r="F24" i="203"/>
  <c r="G10" i="203"/>
  <c r="G24" i="203"/>
  <c r="F9" i="203"/>
  <c r="H9" i="203" s="1"/>
  <c r="D8" i="203"/>
  <c r="E8" i="203" s="1"/>
  <c r="H5" i="202"/>
  <c r="G5" i="202"/>
  <c r="F5" i="202"/>
  <c r="G17" i="202"/>
  <c r="H17" i="202" s="1"/>
  <c r="F17" i="202"/>
  <c r="F16" i="202"/>
  <c r="G16" i="202"/>
  <c r="H16" i="202" s="1"/>
  <c r="G6" i="202"/>
  <c r="F6" i="202"/>
  <c r="G20" i="202"/>
  <c r="F20" i="202"/>
  <c r="H20" i="202" s="1"/>
  <c r="G11" i="202"/>
  <c r="F11" i="202"/>
  <c r="H11" i="202" s="1"/>
  <c r="H21" i="202"/>
  <c r="G21" i="202"/>
  <c r="F21" i="202"/>
  <c r="G18" i="202"/>
  <c r="F18" i="202"/>
  <c r="G22" i="202"/>
  <c r="F22" i="202"/>
  <c r="H22" i="202" s="1"/>
  <c r="H14" i="202"/>
  <c r="C13" i="202"/>
  <c r="D13" i="202" s="1"/>
  <c r="E13" i="202" s="1"/>
  <c r="H23" i="202"/>
  <c r="F10" i="202"/>
  <c r="H10" i="202" s="1"/>
  <c r="C12" i="202"/>
  <c r="D12" i="202" s="1"/>
  <c r="E12" i="202" s="1"/>
  <c r="B4" i="197" s="1"/>
  <c r="F24" i="202"/>
  <c r="G10" i="202"/>
  <c r="G24" i="202"/>
  <c r="H24" i="202" s="1"/>
  <c r="D8" i="202"/>
  <c r="E8" i="202" s="1"/>
  <c r="C12" i="169"/>
  <c r="I44" i="198"/>
  <c r="I51" i="201"/>
  <c r="K52" i="201"/>
  <c r="J52" i="201"/>
  <c r="J10" i="201"/>
  <c r="K10" i="201"/>
  <c r="K18" i="201"/>
  <c r="J18" i="201"/>
  <c r="K13" i="201"/>
  <c r="J13" i="201"/>
  <c r="L13" i="201" s="1"/>
  <c r="K19" i="201"/>
  <c r="J19" i="201"/>
  <c r="K25" i="201"/>
  <c r="J25" i="201"/>
  <c r="K37" i="201"/>
  <c r="J37" i="201"/>
  <c r="L37" i="201" s="1"/>
  <c r="K21" i="201"/>
  <c r="J21" i="201"/>
  <c r="K28" i="201"/>
  <c r="J28" i="201"/>
  <c r="L28" i="201" s="1"/>
  <c r="K12" i="201"/>
  <c r="J12" i="201"/>
  <c r="J23" i="201"/>
  <c r="K23" i="201"/>
  <c r="K29" i="201"/>
  <c r="J29" i="201"/>
  <c r="K20" i="201"/>
  <c r="J20" i="201"/>
  <c r="K26" i="201"/>
  <c r="J26" i="201"/>
  <c r="J38" i="201"/>
  <c r="K38" i="201"/>
  <c r="K44" i="201"/>
  <c r="J44" i="201"/>
  <c r="K61" i="201"/>
  <c r="J61" i="201"/>
  <c r="K16" i="201"/>
  <c r="J16" i="201"/>
  <c r="K14" i="201"/>
  <c r="J14" i="201"/>
  <c r="J8" i="201"/>
  <c r="J17" i="201"/>
  <c r="J53" i="201"/>
  <c r="K8" i="201"/>
  <c r="K17" i="201"/>
  <c r="J15" i="201"/>
  <c r="K15" i="201"/>
  <c r="J23" i="200"/>
  <c r="K23" i="200"/>
  <c r="K52" i="200"/>
  <c r="K19" i="200"/>
  <c r="J19" i="200"/>
  <c r="K29" i="200"/>
  <c r="J29" i="200"/>
  <c r="K16" i="200"/>
  <c r="J16" i="200"/>
  <c r="K25" i="200"/>
  <c r="J25" i="200"/>
  <c r="K37" i="200"/>
  <c r="J37" i="200"/>
  <c r="J10" i="200"/>
  <c r="K10" i="200"/>
  <c r="K21" i="200"/>
  <c r="J21" i="200"/>
  <c r="K34" i="200"/>
  <c r="J34" i="200"/>
  <c r="J63" i="200"/>
  <c r="K63" i="200"/>
  <c r="K38" i="200"/>
  <c r="J38" i="200"/>
  <c r="K13" i="200"/>
  <c r="J13" i="200"/>
  <c r="K18" i="200"/>
  <c r="J18" i="200"/>
  <c r="K28" i="200"/>
  <c r="J28" i="200"/>
  <c r="M35" i="200"/>
  <c r="I35" i="200"/>
  <c r="I51" i="200"/>
  <c r="J66" i="200"/>
  <c r="J8" i="200"/>
  <c r="J17" i="200"/>
  <c r="M51" i="200"/>
  <c r="J62" i="200"/>
  <c r="K8" i="200"/>
  <c r="K17" i="200"/>
  <c r="M63" i="200"/>
  <c r="M68" i="200" s="1"/>
  <c r="J14" i="200"/>
  <c r="K15" i="200"/>
  <c r="L15" i="200" s="1"/>
  <c r="J20" i="200"/>
  <c r="J26" i="200"/>
  <c r="L26" i="200" s="1"/>
  <c r="J44" i="200"/>
  <c r="L44" i="200" s="1"/>
  <c r="K14" i="200"/>
  <c r="K20" i="200"/>
  <c r="K11" i="199"/>
  <c r="J11" i="199"/>
  <c r="K19" i="199"/>
  <c r="J19" i="199"/>
  <c r="L19" i="199" s="1"/>
  <c r="K54" i="199"/>
  <c r="J54" i="199"/>
  <c r="K12" i="199"/>
  <c r="J12" i="199"/>
  <c r="L12" i="199" s="1"/>
  <c r="L16" i="199"/>
  <c r="K16" i="199"/>
  <c r="J16" i="199"/>
  <c r="K20" i="199"/>
  <c r="J20" i="199"/>
  <c r="K34" i="199"/>
  <c r="J34" i="199"/>
  <c r="L34" i="199" s="1"/>
  <c r="K66" i="199"/>
  <c r="J66" i="199"/>
  <c r="J65" i="199"/>
  <c r="K65" i="199"/>
  <c r="L65" i="199" s="1"/>
  <c r="J13" i="199"/>
  <c r="K13" i="199"/>
  <c r="L13" i="199" s="1"/>
  <c r="J17" i="199"/>
  <c r="L17" i="199"/>
  <c r="K17" i="199"/>
  <c r="J69" i="199"/>
  <c r="K69" i="199"/>
  <c r="L69" i="199" s="1"/>
  <c r="K15" i="199"/>
  <c r="J15" i="199"/>
  <c r="J8" i="199"/>
  <c r="K8" i="199"/>
  <c r="J14" i="199"/>
  <c r="L14" i="199" s="1"/>
  <c r="K14" i="199"/>
  <c r="J18" i="199"/>
  <c r="K18" i="199"/>
  <c r="L18" i="199" s="1"/>
  <c r="K70" i="199"/>
  <c r="J70" i="199"/>
  <c r="L70" i="199" s="1"/>
  <c r="J22" i="199"/>
  <c r="L22" i="199" s="1"/>
  <c r="J47" i="199"/>
  <c r="L47" i="199" s="1"/>
  <c r="J56" i="199"/>
  <c r="L56" i="199" s="1"/>
  <c r="J68" i="199"/>
  <c r="L68" i="199" s="1"/>
  <c r="J21" i="199"/>
  <c r="J26" i="199"/>
  <c r="J35" i="199"/>
  <c r="L35" i="199" s="1"/>
  <c r="J46" i="199"/>
  <c r="K21" i="199"/>
  <c r="L21" i="199" s="1"/>
  <c r="K26" i="199"/>
  <c r="K35" i="199"/>
  <c r="K46" i="199"/>
  <c r="L46" i="199" s="1"/>
  <c r="J24" i="199"/>
  <c r="L24" i="199" s="1"/>
  <c r="J32" i="199"/>
  <c r="L32" i="199" s="1"/>
  <c r="K15" i="198"/>
  <c r="J15" i="198"/>
  <c r="L15" i="198"/>
  <c r="K16" i="198"/>
  <c r="J16" i="198"/>
  <c r="L16" i="198" s="1"/>
  <c r="I38" i="198"/>
  <c r="I29" i="198"/>
  <c r="M29" i="198"/>
  <c r="K34" i="198"/>
  <c r="J34" i="198"/>
  <c r="L34" i="198" s="1"/>
  <c r="K49" i="198"/>
  <c r="J49" i="198"/>
  <c r="K11" i="198"/>
  <c r="J11" i="198"/>
  <c r="J37" i="198"/>
  <c r="K37" i="198"/>
  <c r="K70" i="198"/>
  <c r="J70" i="198"/>
  <c r="K44" i="198"/>
  <c r="J44" i="198"/>
  <c r="K20" i="198"/>
  <c r="L20" i="198" s="1"/>
  <c r="J20" i="198"/>
  <c r="K28" i="198"/>
  <c r="J28" i="198"/>
  <c r="K13" i="198"/>
  <c r="J13" i="198"/>
  <c r="K17" i="198"/>
  <c r="J17" i="198"/>
  <c r="L17" i="198" s="1"/>
  <c r="K40" i="198"/>
  <c r="J40" i="198"/>
  <c r="K19" i="198"/>
  <c r="J19" i="198"/>
  <c r="K32" i="198"/>
  <c r="J32" i="198"/>
  <c r="L32" i="198" s="1"/>
  <c r="K12" i="198"/>
  <c r="J12" i="198"/>
  <c r="K24" i="198"/>
  <c r="J24" i="198"/>
  <c r="K54" i="198"/>
  <c r="J54" i="198"/>
  <c r="K66" i="198"/>
  <c r="J66" i="198"/>
  <c r="J8" i="198"/>
  <c r="K8" i="198"/>
  <c r="J14" i="198"/>
  <c r="K14" i="198"/>
  <c r="K18" i="198"/>
  <c r="J18" i="198"/>
  <c r="K43" i="198"/>
  <c r="J43" i="198"/>
  <c r="K57" i="198"/>
  <c r="J57" i="198"/>
  <c r="L57" i="198" s="1"/>
  <c r="K31" i="198"/>
  <c r="L31" i="198" s="1"/>
  <c r="K65" i="198"/>
  <c r="L65" i="198" s="1"/>
  <c r="K69" i="198"/>
  <c r="J22" i="198"/>
  <c r="J47" i="198"/>
  <c r="J56" i="198"/>
  <c r="J64" i="198"/>
  <c r="J68" i="198"/>
  <c r="L68" i="198" s="1"/>
  <c r="L69" i="198"/>
  <c r="K23" i="198"/>
  <c r="L23" i="198" s="1"/>
  <c r="K64" i="198"/>
  <c r="K68" i="198"/>
  <c r="K22" i="198"/>
  <c r="K47" i="198"/>
  <c r="L47" i="198" s="1"/>
  <c r="J21" i="198"/>
  <c r="J26" i="198"/>
  <c r="J35" i="198"/>
  <c r="L35" i="198" s="1"/>
  <c r="M40" i="198"/>
  <c r="J46" i="198"/>
  <c r="M49" i="198"/>
  <c r="J55" i="198"/>
  <c r="L56" i="198"/>
  <c r="M57" i="198"/>
  <c r="J67" i="198"/>
  <c r="K21" i="198"/>
  <c r="K26" i="198"/>
  <c r="K35" i="198"/>
  <c r="K46" i="198"/>
  <c r="K55" i="198"/>
  <c r="K67" i="198"/>
  <c r="M28" i="198"/>
  <c r="M37" i="198"/>
  <c r="H41" i="198"/>
  <c r="H50" i="198"/>
  <c r="K34" i="201" l="1"/>
  <c r="J65" i="200"/>
  <c r="L65" i="200" s="1"/>
  <c r="K64" i="200"/>
  <c r="L64" i="200" s="1"/>
  <c r="L12" i="200"/>
  <c r="L11" i="200"/>
  <c r="K53" i="200"/>
  <c r="L53" i="200" s="1"/>
  <c r="L20" i="200"/>
  <c r="L37" i="200"/>
  <c r="L19" i="200"/>
  <c r="L18" i="200"/>
  <c r="L43" i="200"/>
  <c r="J60" i="200"/>
  <c r="L60" i="200" s="1"/>
  <c r="L52" i="200"/>
  <c r="L17" i="200"/>
  <c r="L31" i="200"/>
  <c r="L38" i="200"/>
  <c r="L28" i="200"/>
  <c r="L14" i="200"/>
  <c r="B9" i="192"/>
  <c r="L13" i="200"/>
  <c r="L16" i="200"/>
  <c r="L23" i="200"/>
  <c r="J61" i="200"/>
  <c r="L29" i="200"/>
  <c r="L21" i="200"/>
  <c r="L25" i="200"/>
  <c r="L62" i="200"/>
  <c r="L10" i="200"/>
  <c r="L8" i="200"/>
  <c r="L66" i="200"/>
  <c r="L63" i="200"/>
  <c r="K64" i="201"/>
  <c r="L64" i="201" s="1"/>
  <c r="L43" i="201"/>
  <c r="L32" i="201"/>
  <c r="L16" i="201"/>
  <c r="L8" i="201"/>
  <c r="L26" i="201"/>
  <c r="J66" i="201"/>
  <c r="L66" i="201" s="1"/>
  <c r="L44" i="201"/>
  <c r="L29" i="201"/>
  <c r="K62" i="201"/>
  <c r="L62" i="201" s="1"/>
  <c r="L14" i="201"/>
  <c r="L38" i="201"/>
  <c r="L11" i="201"/>
  <c r="J65" i="201"/>
  <c r="L65" i="201" s="1"/>
  <c r="L19" i="201"/>
  <c r="L17" i="201"/>
  <c r="L61" i="201"/>
  <c r="L20" i="201"/>
  <c r="L10" i="201"/>
  <c r="L14" i="198"/>
  <c r="L55" i="198"/>
  <c r="L46" i="198"/>
  <c r="L22" i="198"/>
  <c r="L18" i="198"/>
  <c r="L54" i="198"/>
  <c r="L19" i="198"/>
  <c r="L28" i="198"/>
  <c r="L24" i="198"/>
  <c r="L67" i="198"/>
  <c r="L26" i="198"/>
  <c r="L21" i="198"/>
  <c r="L13" i="198"/>
  <c r="L70" i="198"/>
  <c r="L49" i="198"/>
  <c r="E17" i="192"/>
  <c r="L37" i="198"/>
  <c r="L40" i="198"/>
  <c r="L66" i="198"/>
  <c r="L12" i="198"/>
  <c r="L11" i="198"/>
  <c r="L15" i="199"/>
  <c r="L20" i="199"/>
  <c r="I55" i="199"/>
  <c r="L23" i="199"/>
  <c r="L11" i="199"/>
  <c r="L57" i="199"/>
  <c r="L8" i="199"/>
  <c r="F6" i="203"/>
  <c r="B5" i="197"/>
  <c r="H5" i="203"/>
  <c r="J34" i="201"/>
  <c r="I35" i="201"/>
  <c r="K35" i="201" s="1"/>
  <c r="C22" i="192"/>
  <c r="H21" i="203"/>
  <c r="H10" i="203"/>
  <c r="H20" i="203"/>
  <c r="H23" i="203"/>
  <c r="H11" i="203"/>
  <c r="H24" i="203"/>
  <c r="H22" i="203"/>
  <c r="H18" i="203"/>
  <c r="H13" i="203"/>
  <c r="L21" i="201"/>
  <c r="L25" i="201"/>
  <c r="L53" i="201"/>
  <c r="L15" i="201"/>
  <c r="L12" i="201"/>
  <c r="L18" i="201"/>
  <c r="L52" i="201"/>
  <c r="G6" i="203"/>
  <c r="M35" i="201"/>
  <c r="H16" i="203"/>
  <c r="L26" i="199"/>
  <c r="L23" i="201"/>
  <c r="H18" i="202"/>
  <c r="H6" i="202"/>
  <c r="G8" i="203"/>
  <c r="F8" i="203"/>
  <c r="G13" i="202"/>
  <c r="F13" i="202"/>
  <c r="H13" i="202" s="1"/>
  <c r="G8" i="202"/>
  <c r="D4" i="197" s="1"/>
  <c r="F8" i="202"/>
  <c r="C4" i="197" s="1"/>
  <c r="G12" i="202"/>
  <c r="H12" i="202" s="1"/>
  <c r="F12" i="202"/>
  <c r="L54" i="199"/>
  <c r="L34" i="200"/>
  <c r="L43" i="198"/>
  <c r="L44" i="198"/>
  <c r="K51" i="201"/>
  <c r="J51" i="201"/>
  <c r="K35" i="200"/>
  <c r="J35" i="200"/>
  <c r="L61" i="200"/>
  <c r="K51" i="200"/>
  <c r="J51" i="200"/>
  <c r="L66" i="199"/>
  <c r="L8" i="198"/>
  <c r="K29" i="198"/>
  <c r="J29" i="198"/>
  <c r="K38" i="198"/>
  <c r="J38" i="198"/>
  <c r="L38" i="198" s="1"/>
  <c r="I50" i="198"/>
  <c r="M50" i="198"/>
  <c r="L64" i="198"/>
  <c r="L72" i="198" s="1"/>
  <c r="I41" i="198"/>
  <c r="B5" i="192" s="1"/>
  <c r="M41" i="198"/>
  <c r="L34" i="201" l="1"/>
  <c r="E21" i="192"/>
  <c r="L35" i="200"/>
  <c r="L68" i="200"/>
  <c r="C9" i="192"/>
  <c r="D9" i="192"/>
  <c r="L51" i="200"/>
  <c r="K55" i="199"/>
  <c r="J55" i="199"/>
  <c r="J35" i="201"/>
  <c r="L54" i="201" s="1"/>
  <c r="L69" i="201" s="1"/>
  <c r="H8" i="203"/>
  <c r="H6" i="203"/>
  <c r="L51" i="201"/>
  <c r="E4" i="197"/>
  <c r="C11" i="197" s="1"/>
  <c r="E25" i="202"/>
  <c r="H8" i="202"/>
  <c r="H25" i="202" s="1"/>
  <c r="F4" i="197" s="1"/>
  <c r="H4" i="197" s="1"/>
  <c r="L29" i="198"/>
  <c r="J50" i="198"/>
  <c r="K50" i="198"/>
  <c r="L50" i="198" s="1"/>
  <c r="J41" i="198"/>
  <c r="C5" i="192" s="1"/>
  <c r="K41" i="198"/>
  <c r="I54" i="201" l="1"/>
  <c r="I69" i="201" s="1"/>
  <c r="L54" i="200"/>
  <c r="L69" i="200" s="1"/>
  <c r="F9" i="192" s="1"/>
  <c r="E9" i="192"/>
  <c r="I69" i="200"/>
  <c r="D21" i="192"/>
  <c r="F21" i="192" s="1"/>
  <c r="L41" i="198"/>
  <c r="D5" i="192"/>
  <c r="E5" i="192" s="1"/>
  <c r="L55" i="199"/>
  <c r="M74" i="198"/>
  <c r="G5" i="192"/>
  <c r="L58" i="198"/>
  <c r="D22" i="192" l="1"/>
  <c r="D17" i="192"/>
  <c r="F17" i="192" s="1"/>
  <c r="L73" i="198"/>
  <c r="M75" i="198" s="1"/>
  <c r="F5" i="192"/>
  <c r="H5" i="192" s="1"/>
  <c r="E24" i="169"/>
  <c r="G24" i="169" s="1"/>
  <c r="E30" i="173"/>
  <c r="B30" i="173"/>
  <c r="D30" i="173" s="1"/>
  <c r="B28" i="173"/>
  <c r="E27" i="173"/>
  <c r="B27" i="173"/>
  <c r="E26" i="173"/>
  <c r="B26" i="173"/>
  <c r="E25" i="173"/>
  <c r="B25" i="173"/>
  <c r="B24" i="173"/>
  <c r="F30" i="173"/>
  <c r="G30" i="173" l="1"/>
  <c r="F24" i="169"/>
  <c r="D11" i="139"/>
  <c r="D12" i="139"/>
  <c r="D13" i="139"/>
  <c r="D14" i="139"/>
  <c r="D15" i="139"/>
  <c r="D16" i="139"/>
  <c r="D17" i="139"/>
  <c r="D10" i="139"/>
  <c r="G23" i="104" l="1"/>
  <c r="C13" i="196"/>
  <c r="C15" i="196" s="1"/>
  <c r="H60" i="201" s="1"/>
  <c r="H50" i="104"/>
  <c r="H44" i="104"/>
  <c r="H41" i="104"/>
  <c r="H38" i="104"/>
  <c r="H29" i="104"/>
  <c r="M29" i="104" s="1"/>
  <c r="H35" i="139"/>
  <c r="H63" i="201" l="1"/>
  <c r="M60" i="201"/>
  <c r="I60" i="201"/>
  <c r="M50" i="104"/>
  <c r="M49" i="104"/>
  <c r="G50" i="104"/>
  <c r="I50" i="104" s="1"/>
  <c r="G49" i="104"/>
  <c r="I49" i="104" s="1"/>
  <c r="B12" i="196"/>
  <c r="B9" i="196"/>
  <c r="B10" i="196"/>
  <c r="C26" i="173" l="1"/>
  <c r="B66" i="173" s="1"/>
  <c r="C25" i="173"/>
  <c r="B65" i="173" s="1"/>
  <c r="C28" i="173"/>
  <c r="B68" i="173" s="1"/>
  <c r="M63" i="201"/>
  <c r="M68" i="201" s="1"/>
  <c r="I63" i="201"/>
  <c r="J60" i="201"/>
  <c r="K60" i="201"/>
  <c r="J50" i="104"/>
  <c r="J49" i="104"/>
  <c r="K49" i="104"/>
  <c r="K50" i="104"/>
  <c r="M49" i="199" l="1"/>
  <c r="I49" i="199"/>
  <c r="F25" i="173"/>
  <c r="G25" i="173" s="1"/>
  <c r="D25" i="173"/>
  <c r="L60" i="201"/>
  <c r="F28" i="173"/>
  <c r="G28" i="173" s="1"/>
  <c r="D28" i="173"/>
  <c r="I37" i="199"/>
  <c r="M37" i="199"/>
  <c r="M40" i="199"/>
  <c r="I40" i="199"/>
  <c r="F26" i="173"/>
  <c r="G26" i="173" s="1"/>
  <c r="D26" i="173"/>
  <c r="J63" i="201"/>
  <c r="K63" i="201"/>
  <c r="B10" i="192"/>
  <c r="L50" i="104"/>
  <c r="L49" i="104"/>
  <c r="B8" i="196"/>
  <c r="B11" i="196"/>
  <c r="G56" i="173" l="1"/>
  <c r="G65" i="173"/>
  <c r="J40" i="199"/>
  <c r="K40" i="199"/>
  <c r="I50" i="199"/>
  <c r="M50" i="199"/>
  <c r="I38" i="199"/>
  <c r="M38" i="199"/>
  <c r="I41" i="199"/>
  <c r="M41" i="199"/>
  <c r="C27" i="173"/>
  <c r="B67" i="173" s="1"/>
  <c r="G67" i="173" s="1"/>
  <c r="J37" i="199"/>
  <c r="K37" i="199"/>
  <c r="J49" i="199"/>
  <c r="K49" i="199"/>
  <c r="C24" i="173"/>
  <c r="B64" i="173" s="1"/>
  <c r="B13" i="196"/>
  <c r="G58" i="173"/>
  <c r="L63" i="201"/>
  <c r="F10" i="192" s="1"/>
  <c r="C10" i="192"/>
  <c r="D10" i="192"/>
  <c r="D23" i="169"/>
  <c r="E23" i="169" s="1"/>
  <c r="E14" i="169"/>
  <c r="D5" i="169"/>
  <c r="E5" i="169" s="1"/>
  <c r="G66" i="139"/>
  <c r="G65" i="139"/>
  <c r="G64" i="139"/>
  <c r="G63" i="139"/>
  <c r="G62" i="139"/>
  <c r="G61" i="139"/>
  <c r="G60" i="139"/>
  <c r="G53" i="139"/>
  <c r="G52" i="139"/>
  <c r="G51" i="139"/>
  <c r="M44" i="139"/>
  <c r="G44" i="139"/>
  <c r="I44" i="139" s="1"/>
  <c r="M43" i="139"/>
  <c r="G43" i="139"/>
  <c r="I43" i="139" s="1"/>
  <c r="G38" i="139"/>
  <c r="M37" i="139"/>
  <c r="G37" i="139"/>
  <c r="M35" i="139"/>
  <c r="G35" i="139"/>
  <c r="I35" i="139" s="1"/>
  <c r="M34" i="139"/>
  <c r="G34" i="139"/>
  <c r="I34" i="139" s="1"/>
  <c r="G32" i="139"/>
  <c r="E32" i="139"/>
  <c r="M32" i="139" s="1"/>
  <c r="G31" i="139"/>
  <c r="E31" i="139"/>
  <c r="M29" i="139"/>
  <c r="G29" i="139"/>
  <c r="I29" i="139" s="1"/>
  <c r="M28" i="139"/>
  <c r="G28" i="139"/>
  <c r="I28" i="139" s="1"/>
  <c r="M26" i="139"/>
  <c r="G26" i="139"/>
  <c r="M25" i="139"/>
  <c r="G25" i="139"/>
  <c r="I25" i="139" s="1"/>
  <c r="G23" i="139"/>
  <c r="M21" i="139"/>
  <c r="G21" i="139"/>
  <c r="I21" i="139" s="1"/>
  <c r="M20" i="139"/>
  <c r="G20" i="139"/>
  <c r="I20" i="139" s="1"/>
  <c r="M19" i="139"/>
  <c r="G19" i="139"/>
  <c r="I19" i="139" s="1"/>
  <c r="G18" i="139"/>
  <c r="G17" i="139"/>
  <c r="I17" i="139" s="1"/>
  <c r="M17" i="139"/>
  <c r="G16" i="139"/>
  <c r="I16" i="139" s="1"/>
  <c r="M16" i="139"/>
  <c r="G15" i="139"/>
  <c r="I15" i="139" s="1"/>
  <c r="M15" i="139"/>
  <c r="G14" i="139"/>
  <c r="I14" i="139" s="1"/>
  <c r="M14" i="139"/>
  <c r="G13" i="139"/>
  <c r="G12" i="139"/>
  <c r="G11" i="139"/>
  <c r="G10" i="139"/>
  <c r="G8" i="139"/>
  <c r="G70" i="104"/>
  <c r="G69" i="104"/>
  <c r="G68" i="104"/>
  <c r="G67" i="104"/>
  <c r="G66" i="104"/>
  <c r="G65" i="104"/>
  <c r="G64" i="104"/>
  <c r="G57" i="104"/>
  <c r="M56" i="104"/>
  <c r="G56" i="104"/>
  <c r="I56" i="104" s="1"/>
  <c r="M55" i="104"/>
  <c r="G55" i="104"/>
  <c r="I55" i="104" s="1"/>
  <c r="M54" i="104"/>
  <c r="G54" i="104"/>
  <c r="I54" i="104" s="1"/>
  <c r="M47" i="104"/>
  <c r="G47" i="104"/>
  <c r="I47" i="104" s="1"/>
  <c r="M46" i="104"/>
  <c r="G46" i="104"/>
  <c r="I46" i="104" s="1"/>
  <c r="M44" i="104"/>
  <c r="G44" i="104"/>
  <c r="I44" i="104" s="1"/>
  <c r="M43" i="104"/>
  <c r="G43" i="104"/>
  <c r="I43" i="104" s="1"/>
  <c r="M41" i="104"/>
  <c r="G41" i="104"/>
  <c r="I41" i="104" s="1"/>
  <c r="G40" i="104"/>
  <c r="I40" i="104" s="1"/>
  <c r="M40" i="104"/>
  <c r="M38" i="104"/>
  <c r="G38" i="104"/>
  <c r="I38" i="104" s="1"/>
  <c r="M37" i="104"/>
  <c r="G37" i="104"/>
  <c r="I37" i="104" s="1"/>
  <c r="G35" i="104"/>
  <c r="I35" i="104" s="1"/>
  <c r="E35" i="104"/>
  <c r="M35" i="104" s="1"/>
  <c r="G34" i="104"/>
  <c r="I34" i="104" s="1"/>
  <c r="E34" i="104"/>
  <c r="M34" i="104" s="1"/>
  <c r="M32" i="104"/>
  <c r="G32" i="104"/>
  <c r="I32" i="104" s="1"/>
  <c r="M31" i="104"/>
  <c r="G31" i="104"/>
  <c r="I31" i="104" s="1"/>
  <c r="G29" i="104"/>
  <c r="I29" i="104" s="1"/>
  <c r="M28" i="104"/>
  <c r="G28" i="104"/>
  <c r="I28" i="104" s="1"/>
  <c r="M26" i="104"/>
  <c r="G26" i="104"/>
  <c r="I26" i="104" s="1"/>
  <c r="G24" i="104"/>
  <c r="M23" i="104"/>
  <c r="I23" i="104"/>
  <c r="M22" i="104"/>
  <c r="G22" i="104"/>
  <c r="I22" i="104" s="1"/>
  <c r="G21" i="104"/>
  <c r="G20" i="104"/>
  <c r="G19" i="104"/>
  <c r="G18" i="104"/>
  <c r="G17" i="104"/>
  <c r="G16" i="104"/>
  <c r="I16" i="104" s="1"/>
  <c r="M16" i="104"/>
  <c r="G15" i="104"/>
  <c r="I15" i="104" s="1"/>
  <c r="M15" i="104"/>
  <c r="G14" i="104"/>
  <c r="I14" i="104" s="1"/>
  <c r="M14" i="104"/>
  <c r="G13" i="104"/>
  <c r="I13" i="104" s="1"/>
  <c r="M13" i="104"/>
  <c r="M12" i="104"/>
  <c r="G12" i="104"/>
  <c r="I12" i="104" s="1"/>
  <c r="M11" i="104"/>
  <c r="G11" i="104"/>
  <c r="I11" i="104" s="1"/>
  <c r="E22" i="192" l="1"/>
  <c r="F22" i="192" s="1"/>
  <c r="H22" i="192" s="1"/>
  <c r="L37" i="199"/>
  <c r="L40" i="199"/>
  <c r="L49" i="199"/>
  <c r="J41" i="199"/>
  <c r="K41" i="199"/>
  <c r="G68" i="173"/>
  <c r="G59" i="173"/>
  <c r="G48" i="173"/>
  <c r="K50" i="199"/>
  <c r="J50" i="199"/>
  <c r="G50" i="173"/>
  <c r="C12" i="203"/>
  <c r="B15" i="196"/>
  <c r="H64" i="199" s="1"/>
  <c r="F27" i="173"/>
  <c r="G27" i="173" s="1"/>
  <c r="D27" i="173"/>
  <c r="F24" i="173"/>
  <c r="G24" i="173" s="1"/>
  <c r="D24" i="173"/>
  <c r="M43" i="199"/>
  <c r="I43" i="199"/>
  <c r="K38" i="199"/>
  <c r="J38" i="199"/>
  <c r="L38" i="199" s="1"/>
  <c r="I28" i="199"/>
  <c r="M28" i="199"/>
  <c r="G47" i="173"/>
  <c r="G57" i="173"/>
  <c r="G66" i="173"/>
  <c r="E10" i="192"/>
  <c r="G14" i="169"/>
  <c r="K17" i="139"/>
  <c r="K21" i="139"/>
  <c r="J14" i="139"/>
  <c r="J25" i="139"/>
  <c r="J12" i="104"/>
  <c r="J41" i="104"/>
  <c r="K47" i="104"/>
  <c r="I18" i="139"/>
  <c r="I37" i="139"/>
  <c r="J37" i="139" s="1"/>
  <c r="G5" i="169"/>
  <c r="M31" i="139"/>
  <c r="F5" i="169"/>
  <c r="F14" i="169"/>
  <c r="I10" i="139"/>
  <c r="I12" i="139"/>
  <c r="M13" i="139"/>
  <c r="M12" i="139"/>
  <c r="D10" i="169"/>
  <c r="E10" i="169" s="1"/>
  <c r="I13" i="139"/>
  <c r="M11" i="139"/>
  <c r="M10" i="139"/>
  <c r="I11" i="139"/>
  <c r="K28" i="139"/>
  <c r="J28" i="139"/>
  <c r="L28" i="139" s="1"/>
  <c r="K35" i="139"/>
  <c r="J35" i="139"/>
  <c r="J15" i="139"/>
  <c r="K15" i="139"/>
  <c r="J20" i="139"/>
  <c r="K20" i="139"/>
  <c r="J34" i="139"/>
  <c r="K34" i="139"/>
  <c r="J19" i="139"/>
  <c r="K19" i="139"/>
  <c r="J16" i="139"/>
  <c r="K16" i="139"/>
  <c r="K43" i="139"/>
  <c r="J43" i="139"/>
  <c r="J29" i="139"/>
  <c r="I31" i="139"/>
  <c r="J44" i="139"/>
  <c r="D17" i="169"/>
  <c r="E17" i="169" s="1"/>
  <c r="D12" i="169"/>
  <c r="E12" i="169" s="1"/>
  <c r="M65" i="139"/>
  <c r="M63" i="139"/>
  <c r="M62" i="139"/>
  <c r="K29" i="139"/>
  <c r="K44" i="139"/>
  <c r="J15" i="104"/>
  <c r="K15" i="104"/>
  <c r="K23" i="104"/>
  <c r="J23" i="104"/>
  <c r="J26" i="104"/>
  <c r="K26" i="104"/>
  <c r="J55" i="104"/>
  <c r="K55" i="104"/>
  <c r="K11" i="104"/>
  <c r="J11" i="104"/>
  <c r="K22" i="104"/>
  <c r="J22" i="104"/>
  <c r="K34" i="104"/>
  <c r="J34" i="104"/>
  <c r="L34" i="104" s="1"/>
  <c r="K40" i="104"/>
  <c r="J40" i="104"/>
  <c r="K46" i="104"/>
  <c r="J46" i="104"/>
  <c r="J54" i="104"/>
  <c r="K54" i="104"/>
  <c r="J56" i="104"/>
  <c r="K56" i="104"/>
  <c r="K14" i="104"/>
  <c r="J14" i="104"/>
  <c r="K16" i="104"/>
  <c r="J16" i="104"/>
  <c r="K31" i="104"/>
  <c r="J31" i="104"/>
  <c r="K37" i="104"/>
  <c r="J37" i="104"/>
  <c r="L37" i="104" s="1"/>
  <c r="K12" i="104"/>
  <c r="L12" i="104" s="1"/>
  <c r="D21" i="104"/>
  <c r="K28" i="104"/>
  <c r="J13" i="104"/>
  <c r="J28" i="104"/>
  <c r="J43" i="104"/>
  <c r="K13" i="104"/>
  <c r="K43" i="104"/>
  <c r="J47" i="104"/>
  <c r="J44" i="104"/>
  <c r="K44" i="104"/>
  <c r="J32" i="104"/>
  <c r="K32" i="104"/>
  <c r="J38" i="104"/>
  <c r="K38" i="104"/>
  <c r="K41" i="104"/>
  <c r="J35" i="104"/>
  <c r="K35" i="104"/>
  <c r="J29" i="104"/>
  <c r="K29" i="104"/>
  <c r="K25" i="139"/>
  <c r="F23" i="169"/>
  <c r="G23" i="169"/>
  <c r="I38" i="139"/>
  <c r="M38" i="139"/>
  <c r="I32" i="139"/>
  <c r="I26" i="139"/>
  <c r="J21" i="139"/>
  <c r="K14" i="139"/>
  <c r="L14" i="139" s="1"/>
  <c r="J17" i="139"/>
  <c r="L21" i="139" l="1"/>
  <c r="L17" i="139"/>
  <c r="L29" i="139"/>
  <c r="G22" i="192"/>
  <c r="L41" i="199"/>
  <c r="L50" i="199"/>
  <c r="H67" i="199"/>
  <c r="M64" i="199"/>
  <c r="I64" i="199"/>
  <c r="I44" i="199"/>
  <c r="M44" i="199"/>
  <c r="G54" i="173"/>
  <c r="G45" i="173"/>
  <c r="K43" i="199"/>
  <c r="J43" i="199"/>
  <c r="D12" i="203"/>
  <c r="E12" i="203" s="1"/>
  <c r="M29" i="199"/>
  <c r="C18" i="192"/>
  <c r="C23" i="192" s="1"/>
  <c r="C24" i="192" s="1"/>
  <c r="I29" i="199"/>
  <c r="J28" i="199"/>
  <c r="K28" i="199"/>
  <c r="D32" i="173"/>
  <c r="L15" i="104"/>
  <c r="D18" i="201"/>
  <c r="M18" i="201" s="1"/>
  <c r="M70" i="201" s="1"/>
  <c r="M71" i="201" s="1"/>
  <c r="D18" i="200"/>
  <c r="M18" i="200" s="1"/>
  <c r="M70" i="200" s="1"/>
  <c r="D18" i="139"/>
  <c r="M18" i="139" s="1"/>
  <c r="H5" i="169"/>
  <c r="F12" i="169"/>
  <c r="H12" i="169" s="1"/>
  <c r="F17" i="169"/>
  <c r="L15" i="139"/>
  <c r="L16" i="139"/>
  <c r="L47" i="104"/>
  <c r="L41" i="104"/>
  <c r="L13" i="104"/>
  <c r="L25" i="139"/>
  <c r="L44" i="139"/>
  <c r="L34" i="139"/>
  <c r="L43" i="139"/>
  <c r="L19" i="139"/>
  <c r="L35" i="139"/>
  <c r="L20" i="139"/>
  <c r="L28" i="104"/>
  <c r="L14" i="104"/>
  <c r="L38" i="104"/>
  <c r="L43" i="104"/>
  <c r="L31" i="104"/>
  <c r="L22" i="104"/>
  <c r="L23" i="104"/>
  <c r="L16" i="104"/>
  <c r="L46" i="104"/>
  <c r="L11" i="104"/>
  <c r="L44" i="104"/>
  <c r="L40" i="104"/>
  <c r="L54" i="104"/>
  <c r="L55" i="104"/>
  <c r="L35" i="104"/>
  <c r="L56" i="104"/>
  <c r="L26" i="104"/>
  <c r="L32" i="104"/>
  <c r="L29" i="104"/>
  <c r="K10" i="139"/>
  <c r="K37" i="139"/>
  <c r="L37" i="139" s="1"/>
  <c r="K13" i="139"/>
  <c r="J12" i="139"/>
  <c r="J18" i="139"/>
  <c r="K11" i="139"/>
  <c r="K18" i="139"/>
  <c r="J10" i="139"/>
  <c r="K12" i="139"/>
  <c r="G12" i="169"/>
  <c r="J11" i="139"/>
  <c r="J13" i="139"/>
  <c r="G17" i="169"/>
  <c r="M60" i="139"/>
  <c r="I60" i="139"/>
  <c r="M61" i="139"/>
  <c r="I61" i="139"/>
  <c r="K31" i="139"/>
  <c r="J31" i="139"/>
  <c r="M64" i="139"/>
  <c r="I64" i="139"/>
  <c r="I65" i="139"/>
  <c r="I63" i="139"/>
  <c r="I62" i="139"/>
  <c r="G10" i="169"/>
  <c r="F10" i="169"/>
  <c r="K26" i="139"/>
  <c r="J26" i="139"/>
  <c r="K32" i="139"/>
  <c r="J32" i="139"/>
  <c r="J38" i="139"/>
  <c r="K38" i="139"/>
  <c r="L43" i="199" l="1"/>
  <c r="J64" i="199"/>
  <c r="K64" i="199"/>
  <c r="G55" i="173"/>
  <c r="G64" i="173"/>
  <c r="G69" i="173" s="1"/>
  <c r="G46" i="173"/>
  <c r="I67" i="199"/>
  <c r="M67" i="199"/>
  <c r="M72" i="199" s="1"/>
  <c r="K29" i="199"/>
  <c r="J29" i="199"/>
  <c r="B14" i="197"/>
  <c r="B13" i="197"/>
  <c r="G49" i="173"/>
  <c r="F12" i="203"/>
  <c r="C5" i="197" s="1"/>
  <c r="G12" i="203"/>
  <c r="D5" i="197" s="1"/>
  <c r="L28" i="199"/>
  <c r="K44" i="199"/>
  <c r="J44" i="199"/>
  <c r="G9" i="192"/>
  <c r="H9" i="192" s="1"/>
  <c r="M71" i="200"/>
  <c r="H10" i="192"/>
  <c r="L12" i="139"/>
  <c r="L18" i="139"/>
  <c r="L11" i="139"/>
  <c r="L32" i="139"/>
  <c r="L10" i="139"/>
  <c r="L38" i="139"/>
  <c r="L31" i="139"/>
  <c r="L13" i="139"/>
  <c r="L26" i="139"/>
  <c r="D9" i="169"/>
  <c r="E9" i="169" s="1"/>
  <c r="I8" i="139"/>
  <c r="M8" i="139"/>
  <c r="K61" i="139"/>
  <c r="J61" i="139"/>
  <c r="K60" i="139"/>
  <c r="J60" i="139"/>
  <c r="J62" i="139"/>
  <c r="K62" i="139"/>
  <c r="L62" i="139" s="1"/>
  <c r="K64" i="139"/>
  <c r="J64" i="139"/>
  <c r="K63" i="139"/>
  <c r="J63" i="139"/>
  <c r="K65" i="139"/>
  <c r="J65" i="139"/>
  <c r="L44" i="199" l="1"/>
  <c r="I58" i="199"/>
  <c r="I73" i="199" s="1"/>
  <c r="E5" i="197"/>
  <c r="C12" i="197" s="1"/>
  <c r="L64" i="199"/>
  <c r="E25" i="203"/>
  <c r="G51" i="173"/>
  <c r="G60" i="173"/>
  <c r="H12" i="203"/>
  <c r="H25" i="203" s="1"/>
  <c r="F5" i="197" s="1"/>
  <c r="H5" i="197" s="1"/>
  <c r="L29" i="199"/>
  <c r="L58" i="199" s="1"/>
  <c r="L73" i="199" s="1"/>
  <c r="M75" i="199" s="1"/>
  <c r="B6" i="192"/>
  <c r="K67" i="199"/>
  <c r="D6" i="192" s="1"/>
  <c r="J67" i="199"/>
  <c r="L60" i="139"/>
  <c r="L65" i="139"/>
  <c r="L61" i="139"/>
  <c r="L63" i="139"/>
  <c r="L64" i="139"/>
  <c r="I23" i="139"/>
  <c r="M23" i="139"/>
  <c r="D8" i="169"/>
  <c r="E8" i="169" s="1"/>
  <c r="D13" i="169"/>
  <c r="E13" i="169" s="1"/>
  <c r="I18" i="104"/>
  <c r="M20" i="104"/>
  <c r="M19" i="104"/>
  <c r="I19" i="104"/>
  <c r="F9" i="169"/>
  <c r="G9" i="169"/>
  <c r="M66" i="139"/>
  <c r="M68" i="139" s="1"/>
  <c r="I66" i="139"/>
  <c r="M53" i="139"/>
  <c r="I53" i="139"/>
  <c r="M52" i="139"/>
  <c r="I52" i="139"/>
  <c r="D16" i="169"/>
  <c r="E16" i="169" s="1"/>
  <c r="M51" i="139"/>
  <c r="I51" i="139"/>
  <c r="J8" i="139"/>
  <c r="K8" i="139"/>
  <c r="D18" i="192" l="1"/>
  <c r="B8" i="192"/>
  <c r="L67" i="199"/>
  <c r="L72" i="199" s="1"/>
  <c r="C6" i="192"/>
  <c r="E6" i="192" s="1"/>
  <c r="E12" i="192" s="1"/>
  <c r="F8" i="169"/>
  <c r="H8" i="169" s="1"/>
  <c r="L8" i="139"/>
  <c r="K23" i="139"/>
  <c r="J23" i="139"/>
  <c r="M70" i="139"/>
  <c r="M18" i="104"/>
  <c r="G8" i="169"/>
  <c r="I64" i="104"/>
  <c r="M64" i="104"/>
  <c r="I20" i="104"/>
  <c r="F16" i="169"/>
  <c r="H16" i="169" s="1"/>
  <c r="G16" i="169"/>
  <c r="M65" i="104"/>
  <c r="I65" i="104"/>
  <c r="K66" i="139"/>
  <c r="J66" i="139"/>
  <c r="K51" i="139"/>
  <c r="J51" i="139"/>
  <c r="K18" i="104"/>
  <c r="J18" i="104"/>
  <c r="M69" i="104"/>
  <c r="I69" i="104"/>
  <c r="J52" i="139"/>
  <c r="K52" i="139"/>
  <c r="G13" i="169"/>
  <c r="F13" i="169"/>
  <c r="H13" i="169" s="1"/>
  <c r="M66" i="104"/>
  <c r="I66" i="104"/>
  <c r="K19" i="104"/>
  <c r="J19" i="104"/>
  <c r="M68" i="104"/>
  <c r="I68" i="104"/>
  <c r="D6" i="169"/>
  <c r="E6" i="169" s="1"/>
  <c r="D18" i="169"/>
  <c r="E18" i="169" s="1"/>
  <c r="I21" i="104"/>
  <c r="M21" i="104"/>
  <c r="M17" i="104"/>
  <c r="I17" i="104"/>
  <c r="K53" i="139"/>
  <c r="J53" i="139"/>
  <c r="M67" i="104"/>
  <c r="I67" i="104"/>
  <c r="M24" i="104"/>
  <c r="I24" i="104"/>
  <c r="G8" i="192" l="1"/>
  <c r="M71" i="139"/>
  <c r="E20" i="192"/>
  <c r="D8" i="192"/>
  <c r="C8" i="192"/>
  <c r="E18" i="192"/>
  <c r="F18" i="192" s="1"/>
  <c r="F6" i="192"/>
  <c r="L19" i="104"/>
  <c r="B3" i="197"/>
  <c r="L18" i="104"/>
  <c r="L66" i="139"/>
  <c r="L68" i="139" s="1"/>
  <c r="L51" i="139"/>
  <c r="L53" i="139"/>
  <c r="L52" i="139"/>
  <c r="L23" i="139"/>
  <c r="D20" i="192"/>
  <c r="K20" i="104"/>
  <c r="K64" i="104"/>
  <c r="J64" i="104"/>
  <c r="J20" i="104"/>
  <c r="K21" i="104"/>
  <c r="J21" i="104"/>
  <c r="J68" i="104"/>
  <c r="K68" i="104"/>
  <c r="J66" i="104"/>
  <c r="K66" i="104"/>
  <c r="K24" i="104"/>
  <c r="J24" i="104"/>
  <c r="G18" i="169"/>
  <c r="F18" i="169"/>
  <c r="H18" i="169" s="1"/>
  <c r="J65" i="104"/>
  <c r="K65" i="104"/>
  <c r="J67" i="104"/>
  <c r="K67" i="104"/>
  <c r="F6" i="169"/>
  <c r="G6" i="169"/>
  <c r="D3" i="197" s="1"/>
  <c r="K17" i="104"/>
  <c r="J17" i="104"/>
  <c r="D11" i="169"/>
  <c r="E11" i="169" s="1"/>
  <c r="J69" i="104"/>
  <c r="K69" i="104"/>
  <c r="F11" i="192" l="1"/>
  <c r="F12" i="192" s="1"/>
  <c r="H6" i="192"/>
  <c r="F20" i="192"/>
  <c r="E8" i="192"/>
  <c r="G18" i="192"/>
  <c r="H18" i="192"/>
  <c r="B7" i="197"/>
  <c r="B6" i="197"/>
  <c r="C3" i="197"/>
  <c r="D7" i="197"/>
  <c r="D6" i="197"/>
  <c r="E3" i="197"/>
  <c r="H6" i="169"/>
  <c r="L24" i="104"/>
  <c r="L64" i="104"/>
  <c r="L17" i="104"/>
  <c r="L67" i="104"/>
  <c r="L20" i="104"/>
  <c r="L69" i="104"/>
  <c r="L68" i="104"/>
  <c r="L65" i="104"/>
  <c r="L21" i="104"/>
  <c r="L66" i="104"/>
  <c r="L54" i="139"/>
  <c r="M8" i="104"/>
  <c r="I8" i="104"/>
  <c r="G11" i="169"/>
  <c r="F11" i="169"/>
  <c r="D21" i="169"/>
  <c r="E21" i="169" s="1"/>
  <c r="D22" i="169"/>
  <c r="E22" i="169" s="1"/>
  <c r="M70" i="104"/>
  <c r="M72" i="104" s="1"/>
  <c r="I70" i="104"/>
  <c r="C7" i="197" l="1"/>
  <c r="C6" i="197"/>
  <c r="C10" i="197"/>
  <c r="E7" i="197"/>
  <c r="E6" i="197"/>
  <c r="F8" i="192"/>
  <c r="H8" i="192" s="1"/>
  <c r="G21" i="169"/>
  <c r="F21" i="169"/>
  <c r="K70" i="104"/>
  <c r="J70" i="104"/>
  <c r="K8" i="104"/>
  <c r="J8" i="104"/>
  <c r="F22" i="169"/>
  <c r="G22" i="169"/>
  <c r="M57" i="104"/>
  <c r="I57" i="104"/>
  <c r="B4" i="192" s="1"/>
  <c r="B11" i="192" s="1"/>
  <c r="B12" i="192" s="1"/>
  <c r="D20" i="169"/>
  <c r="E20" i="169" s="1"/>
  <c r="G4" i="192" l="1"/>
  <c r="G11" i="192" s="1"/>
  <c r="G12" i="192" s="1"/>
  <c r="C14" i="197"/>
  <c r="C13" i="197"/>
  <c r="L70" i="104"/>
  <c r="L72" i="104" s="1"/>
  <c r="E16" i="192"/>
  <c r="E23" i="192" s="1"/>
  <c r="E24" i="192" s="1"/>
  <c r="L8" i="104"/>
  <c r="F20" i="169"/>
  <c r="E25" i="169" s="1"/>
  <c r="G20" i="169"/>
  <c r="K57" i="104"/>
  <c r="D4" i="192" s="1"/>
  <c r="D11" i="192" s="1"/>
  <c r="D12" i="192" s="1"/>
  <c r="J57" i="104"/>
  <c r="C4" i="192" s="1"/>
  <c r="E4" i="192" l="1"/>
  <c r="C11" i="192"/>
  <c r="C12" i="192" s="1"/>
  <c r="L57" i="104"/>
  <c r="L58" i="104" s="1"/>
  <c r="H25" i="169"/>
  <c r="F3" i="197" s="1"/>
  <c r="D16" i="192" l="1"/>
  <c r="F4" i="192"/>
  <c r="F7" i="197"/>
  <c r="H3" i="197"/>
  <c r="F6" i="197"/>
  <c r="F16" i="192" l="1"/>
  <c r="F23" i="192" s="1"/>
  <c r="F24" i="192" s="1"/>
  <c r="D23" i="192"/>
  <c r="D24" i="192" s="1"/>
  <c r="H4" i="192"/>
  <c r="H7" i="197"/>
  <c r="H6" i="197"/>
  <c r="H11" i="192" l="1"/>
  <c r="H12" i="192" s="1"/>
  <c r="C25" i="192" s="1"/>
  <c r="C26" i="192"/>
  <c r="C27" i="192"/>
  <c r="H24" i="192"/>
  <c r="G24" i="192"/>
</calcChain>
</file>

<file path=xl/sharedStrings.xml><?xml version="1.0" encoding="utf-8"?>
<sst xmlns="http://schemas.openxmlformats.org/spreadsheetml/2006/main" count="999" uniqueCount="349">
  <si>
    <t>No new process gas units</t>
  </si>
  <si>
    <t>Existing Boilers -- number of boilers with monitor</t>
  </si>
  <si>
    <t>New Boilers -- number of boilers with monitor</t>
  </si>
  <si>
    <t>EPA hours per occurrence per year (C=AxB)</t>
  </si>
  <si>
    <t>Large Liquid</t>
  </si>
  <si>
    <t>Criteria for Monitor Counts:</t>
  </si>
  <si>
    <t>1) Solid or Liquid fuel</t>
  </si>
  <si>
    <t>2) Design Capacity &gt;10</t>
  </si>
  <si>
    <t>3a) Bag Leak Detection -TCI &gt;0, HCL Control Selected not "DIFF", FF-TCI &gt;0; or</t>
  </si>
  <si>
    <t>3) Opacity -TCI &gt;0</t>
  </si>
  <si>
    <t>4) HCL Control Selected not "Scrubber"</t>
  </si>
  <si>
    <t>3) HCL Control Selected = "Scrubber"</t>
  </si>
  <si>
    <t>4) WS Monitoring -TCI &gt;0</t>
  </si>
  <si>
    <t>3) FF-TCI = "ACI"</t>
  </si>
  <si>
    <t>4) ACI Carbon Rate (TCI) &gt;0</t>
  </si>
  <si>
    <t>Large Solid</t>
  </si>
  <si>
    <t>Opacity vs. Bag Leak Detection vs. Wet Scrubber vs. ACI</t>
  </si>
  <si>
    <t>BLD</t>
  </si>
  <si>
    <t>Opacity</t>
  </si>
  <si>
    <t>Wet Scrubber</t>
  </si>
  <si>
    <t>Small Solid</t>
  </si>
  <si>
    <t>Small Liquid</t>
  </si>
  <si>
    <t>Small Gas</t>
  </si>
  <si>
    <t>(A)</t>
  </si>
  <si>
    <t>(B)</t>
  </si>
  <si>
    <t>(C)</t>
  </si>
  <si>
    <t>(F)</t>
  </si>
  <si>
    <t>(E)</t>
  </si>
  <si>
    <t>Large Gas (Gas 1 - NG only)</t>
  </si>
  <si>
    <t>Large Gas (Gas 1 - Other)</t>
  </si>
  <si>
    <t>Large Gas (Gas 2)</t>
  </si>
  <si>
    <t>Number of Responses</t>
  </si>
  <si>
    <t>Existing Large Solid Units</t>
  </si>
  <si>
    <t>New Large Solid Units</t>
  </si>
  <si>
    <t>ACI</t>
  </si>
  <si>
    <t>2)  Records of Startup, Shutdown, Malfunction</t>
  </si>
  <si>
    <t>2) Notification of Compliance Status</t>
  </si>
  <si>
    <t>3) Initial Report on results of Energy Audit</t>
  </si>
  <si>
    <t>Burden Item</t>
  </si>
  <si>
    <t>1. Applications</t>
  </si>
  <si>
    <t>2. Surveys and Studies</t>
  </si>
  <si>
    <t>3. Reporting Requirements</t>
  </si>
  <si>
    <t xml:space="preserve">    B.  Required Activities</t>
  </si>
  <si>
    <t xml:space="preserve">    C.  Create Information </t>
  </si>
  <si>
    <t xml:space="preserve">    D.  Gather Information</t>
  </si>
  <si>
    <t xml:space="preserve">    E.  Report Preparation</t>
  </si>
  <si>
    <t>Included in 3a</t>
  </si>
  <si>
    <t xml:space="preserve">     E.  Personnel Training</t>
  </si>
  <si>
    <t xml:space="preserve">     F.  Time for Audits</t>
  </si>
  <si>
    <t>4.  Recordkeeping Requirements</t>
  </si>
  <si>
    <t>1) Initial Notification that Source is Subject</t>
  </si>
  <si>
    <t>Technical</t>
  </si>
  <si>
    <t>Clerical</t>
  </si>
  <si>
    <t>Total</t>
  </si>
  <si>
    <t>4) Semi-annual Compliance Report</t>
  </si>
  <si>
    <t>3) Semi-annual Compliance Report</t>
  </si>
  <si>
    <t>O2</t>
  </si>
  <si>
    <t>no control costs for small units</t>
  </si>
  <si>
    <t>no control costs for gas 1 units</t>
  </si>
  <si>
    <t>O2 monitor costs</t>
  </si>
  <si>
    <t>Initial</t>
  </si>
  <si>
    <t>Annual</t>
  </si>
  <si>
    <t>DIFF</t>
  </si>
  <si>
    <t>Also, not limited use</t>
  </si>
  <si>
    <t>no new liquid units</t>
  </si>
  <si>
    <t>Monitors</t>
  </si>
  <si>
    <t>4) EXCLUDE units &gt;=250 that install PM CEMS</t>
  </si>
  <si>
    <t>5) EXCLUDE units &gt;=250 that install PM CEMS</t>
  </si>
  <si>
    <t>3a) DIFF Monitoring -TCI &gt;0, HCL Control Selected = "DIFF", DIFF TCI &gt;0</t>
  </si>
  <si>
    <t>ARS - agree, new solid units are biomass and therefore will not have PM CEMS.</t>
  </si>
  <si>
    <t>More ACI for liquid (due to increase in Hg limit)</t>
  </si>
  <si>
    <t>More BLD for liquid (due to increase in Hg limit)</t>
  </si>
  <si>
    <t>More opacity monitors (~50 more)</t>
  </si>
  <si>
    <t>Fewer PM CPMS  (~80 fewer)</t>
  </si>
  <si>
    <t>PM CPMS</t>
  </si>
  <si>
    <t>Existing Large Solid Fuel Units</t>
  </si>
  <si>
    <t>New Large Solid Fuel Units</t>
  </si>
  <si>
    <t>Reporting Hours</t>
  </si>
  <si>
    <t>Recordkeeping Hours</t>
  </si>
  <si>
    <t>Total Costs</t>
  </si>
  <si>
    <t>Year 1</t>
  </si>
  <si>
    <t>Year 2</t>
  </si>
  <si>
    <t>Year 3</t>
  </si>
  <si>
    <t>3 days * ($201 hotel + $93 meals/incidentals) + ($600 round trip) = $1482 per trip</t>
  </si>
  <si>
    <t>Total Labor Hours</t>
  </si>
  <si>
    <t>Average</t>
  </si>
  <si>
    <t>Number of Respondents</t>
  </si>
  <si>
    <t>CO CEMS</t>
  </si>
  <si>
    <t>Existing Large Solid</t>
  </si>
  <si>
    <t>New Large Solid</t>
  </si>
  <si>
    <t>B.  Required Activities</t>
  </si>
  <si>
    <t xml:space="preserve">C.  Create Information </t>
  </si>
  <si>
    <t>D.  Gather Information</t>
  </si>
  <si>
    <t>E.  Report Preparation</t>
  </si>
  <si>
    <t>B.  Implement Activities</t>
  </si>
  <si>
    <t>C.  Develop Record System</t>
  </si>
  <si>
    <t>D.  Record Information</t>
  </si>
  <si>
    <t>E.  Personnel Training</t>
  </si>
  <si>
    <t>F.  Time for Audits</t>
  </si>
  <si>
    <t>PM (only sources greater than 250 mmBtu/hr)</t>
  </si>
  <si>
    <t>Bag Leak Detection System Operation (sources that have fabric filters)</t>
  </si>
  <si>
    <t>Carbon Injection Monitoring System (all sources that use ACI to control Hg)</t>
  </si>
  <si>
    <t>a) initial</t>
  </si>
  <si>
    <t>b) annual</t>
  </si>
  <si>
    <t>a) Commerical</t>
  </si>
  <si>
    <t>b) Industrial</t>
  </si>
  <si>
    <t>DIFF Monitor</t>
  </si>
  <si>
    <t xml:space="preserve">Subtotal for Reporting Requirements  </t>
  </si>
  <si>
    <t>Subtotal for Recordkeeping Requirements</t>
  </si>
  <si>
    <t>Assumptions:</t>
  </si>
  <si>
    <t>Year</t>
  </si>
  <si>
    <t>Technical Hours</t>
  </si>
  <si>
    <t>Management Hours</t>
  </si>
  <si>
    <t>Clerical Hours</t>
  </si>
  <si>
    <t>Labor Costs</t>
  </si>
  <si>
    <t>Total Hours</t>
  </si>
  <si>
    <t>Hours per Response</t>
  </si>
  <si>
    <t>Hours Per Respondent</t>
  </si>
  <si>
    <t>-</t>
  </si>
  <si>
    <t>Average annual additional costs per respondent:</t>
  </si>
  <si>
    <t>Average annual additional hours per respondent:</t>
  </si>
  <si>
    <t>Average annual additional hours per response:</t>
  </si>
  <si>
    <t>Labor Rates:</t>
  </si>
  <si>
    <t>Management</t>
  </si>
  <si>
    <t>(C) 
Stack Testing and Fuel Analysis Cost Per Occurrence</t>
  </si>
  <si>
    <t>(D) 
Other Non-Labor Costs Per Occurrence</t>
  </si>
  <si>
    <r>
      <t xml:space="preserve">Total Labor Burden and Cost (rounded) </t>
    </r>
    <r>
      <rPr>
        <b/>
        <vertAlign val="superscript"/>
        <sz val="10"/>
        <rFont val="Times New Roman"/>
        <family val="1"/>
      </rPr>
      <t>d</t>
    </r>
  </si>
  <si>
    <r>
      <t xml:space="preserve">Total Capital and O&amp;M Cost (rounded) </t>
    </r>
    <r>
      <rPr>
        <b/>
        <vertAlign val="superscript"/>
        <sz val="10"/>
        <rFont val="Times New Roman"/>
        <family val="1"/>
      </rPr>
      <t>d</t>
    </r>
  </si>
  <si>
    <r>
      <t xml:space="preserve">Grand Total (rounded) </t>
    </r>
    <r>
      <rPr>
        <b/>
        <vertAlign val="superscript"/>
        <sz val="10"/>
        <rFont val="Times New Roman"/>
        <family val="1"/>
      </rPr>
      <t>d</t>
    </r>
  </si>
  <si>
    <t>(E) 
Number of Occurrences Per Respondent Per Year</t>
  </si>
  <si>
    <t>(B) 
Certified Energy Audit Cost per Occurrence</t>
  </si>
  <si>
    <t>Scrubber System</t>
  </si>
  <si>
    <t>Bag Leak Detection System</t>
  </si>
  <si>
    <t>Capital/Startup vs. Operation and Maintenance (O&amp;M) Costs</t>
  </si>
  <si>
    <t>Number of Units</t>
  </si>
  <si>
    <t>Total Capital/ Startup Cost 
(B x C)</t>
  </si>
  <si>
    <t>(D)</t>
  </si>
  <si>
    <t>(G)</t>
  </si>
  <si>
    <t>3. Required activities</t>
  </si>
  <si>
    <t>6. Reporting requirements</t>
  </si>
  <si>
    <t>EPA hours per occurrence</t>
  </si>
  <si>
    <t>Technical hours per year</t>
  </si>
  <si>
    <t>Clerical hours per year (G=Ex0.1)</t>
  </si>
  <si>
    <t>(H)</t>
  </si>
  <si>
    <t>Non-Labor Costs</t>
  </si>
  <si>
    <t>Manage-ment hours per year (F=Ex0.05)</t>
  </si>
  <si>
    <t>Boiler Type &amp;
Year</t>
  </si>
  <si>
    <t>YEAR 3</t>
  </si>
  <si>
    <t>YEAR 1</t>
  </si>
  <si>
    <t>YEAR 2</t>
  </si>
  <si>
    <t>Boiler Type &amp;
CPMS</t>
  </si>
  <si>
    <t xml:space="preserve">Capital/Startup Cost </t>
  </si>
  <si>
    <t>5. Notification requirements</t>
  </si>
  <si>
    <t>1)  Conduct Energy Audit</t>
  </si>
  <si>
    <t>2)  Initial Stack Test and Report (for PM)</t>
  </si>
  <si>
    <t>3)  Initial Stack Test and Report (for Hg)</t>
  </si>
  <si>
    <t>4)  Initial Stack Test and Report (for HCl)</t>
  </si>
  <si>
    <t>5)  Initial Stack Test and Report (for CO)</t>
  </si>
  <si>
    <t>6)  Annual Stack Test and Report (for PM)</t>
  </si>
  <si>
    <t>7)  Annual Stack Test and Report (for Hg)</t>
  </si>
  <si>
    <t>8)  Annual Stack Test and Report (for HCl)</t>
  </si>
  <si>
    <t>9)  Annual Stack Test and Report (for CO)</t>
  </si>
  <si>
    <t>10)  Repeat Stack Test and Report if Switch Fuels (for Hg and HCl)</t>
  </si>
  <si>
    <t>11)  Initial Fuel Analysis for Mercury and HCL Content</t>
  </si>
  <si>
    <t>12)  Monthly Fuel Analysis for Mercury and HCL Content</t>
  </si>
  <si>
    <t>13) Annual Tune-up</t>
  </si>
  <si>
    <t>14)  Continuous Parameter Monitoring</t>
  </si>
  <si>
    <t>1)  Records of Operating Parameter Values</t>
  </si>
  <si>
    <t>3)  Records of Stack Tests</t>
  </si>
  <si>
    <t>4)  Records of Monitoring Device Calibrations</t>
  </si>
  <si>
    <t>5) Records of All Compliance Reports Submitted</t>
  </si>
  <si>
    <t>6) Records of Monthly Fuel Use</t>
  </si>
  <si>
    <t>1)  Initial Stack Test and Report (for PM)</t>
  </si>
  <si>
    <t>2)  Initial Stack Test and Report (for Hg)</t>
  </si>
  <si>
    <t>3)  Initial Stack Test and Report (for HCl)</t>
  </si>
  <si>
    <t>4)  Initial Stack Test and Report (for CO)</t>
  </si>
  <si>
    <t>5)  Annual Stack Test and Report (for PM)</t>
  </si>
  <si>
    <t>6)  Annual Stack Test and Report (for Hg)</t>
  </si>
  <si>
    <t>7)  Annual Stack Test and Report (for HCl)</t>
  </si>
  <si>
    <t>8)  Annual Stack Test and Report (for CO)</t>
  </si>
  <si>
    <t>9)  Repeat Stack Test and Report if Switch Fuels (for Hg and HCl)</t>
  </si>
  <si>
    <t>10)  Initial Fuel Analysis for Mercury and HCL Content</t>
  </si>
  <si>
    <t>11)  Monthly Fuel Analysis for Mercury and HCL Content</t>
  </si>
  <si>
    <t>12) Annual Tune-up</t>
  </si>
  <si>
    <t>13)  Continuous Parameter Monitoring</t>
  </si>
  <si>
    <t>Total Annual Responses, In Year One</t>
  </si>
  <si>
    <t>Information Collection Activity</t>
  </si>
  <si>
    <t>Number of Existing Respondents That Keep Records But Do Not Submit Reports</t>
  </si>
  <si>
    <t>Total Annual Responses, In Year Two</t>
  </si>
  <si>
    <t>Total Annual Responses, In Year Three</t>
  </si>
  <si>
    <t>Total Annual Responses</t>
  </si>
  <si>
    <t>Total Annual Responses
E=(BxC)+D</t>
  </si>
  <si>
    <t>Reporting: CPMS: Opacity: Annual</t>
  </si>
  <si>
    <t>Reporting: CPMS: Scrubber: Annual</t>
  </si>
  <si>
    <t>Reporting: CPMS: Bag Leak Detection: Annual</t>
  </si>
  <si>
    <t>Reporting: CPMS: DIFF Monitor: Annual</t>
  </si>
  <si>
    <t>Reporting: CPMS: CO CEMS: Annual</t>
  </si>
  <si>
    <t>Existing Sources</t>
  </si>
  <si>
    <t>New Sources</t>
  </si>
  <si>
    <r>
      <t xml:space="preserve">Number of Respondents </t>
    </r>
    <r>
      <rPr>
        <vertAlign val="superscript"/>
        <sz val="10"/>
        <rFont val="Times New Roman"/>
        <family val="1"/>
      </rPr>
      <t>a</t>
    </r>
    <r>
      <rPr>
        <sz val="10"/>
        <rFont val="Times New Roman"/>
        <family val="1"/>
      </rPr>
      <t xml:space="preserve">
</t>
    </r>
  </si>
  <si>
    <r>
      <t xml:space="preserve">Number of Responses </t>
    </r>
    <r>
      <rPr>
        <vertAlign val="superscript"/>
        <sz val="10"/>
        <rFont val="Times New Roman"/>
        <family val="1"/>
      </rPr>
      <t>b</t>
    </r>
    <r>
      <rPr>
        <sz val="10"/>
        <rFont val="Times New Roman"/>
        <family val="1"/>
      </rPr>
      <t xml:space="preserve">
</t>
    </r>
  </si>
  <si>
    <r>
      <t>b</t>
    </r>
    <r>
      <rPr>
        <sz val="10"/>
        <rFont val="Times New Roman"/>
        <family val="1"/>
      </rPr>
      <t xml:space="preserve"> Facilities have three years to come into compliance after the proposed amendments are promulgated. EPA assumes that all facilities will comply in year three. Therefore, all additional responses as a result of these amendments are assumed to occur in year three.</t>
    </r>
  </si>
  <si>
    <t>b  This ICR uses the following labor rates: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</si>
  <si>
    <t># of facilities with units in one of the impacted subcategories in the first 3 years of compliance</t>
  </si>
  <si>
    <t># of units with additional monitoring, includes the list from complaince data plus model boilers to account for units where we do not have data for existing sources. For new sources includes an extra unit with scrubber, recognizing potential growth in new units. The 3rd new unit is estimated to only require an increase in sorbent injection rate to meet the HCl limit.</t>
  </si>
  <si>
    <t>Units that don't require new monitors but may need to adjust monitoring plan to account for new limits</t>
  </si>
  <si>
    <t>Update Site-specific monitoring plan (all)</t>
  </si>
  <si>
    <t>Total for monitoring changes</t>
  </si>
  <si>
    <t>Table 1: Annual Respondent Burden and Cost for Existing Large Solid Fuel Units – NESHAP for Industrial, Commercial, and Institutional Boilers and Process Heaters (40 CFR Part 63, Subpart DDDDD) (Amendments)</t>
  </si>
  <si>
    <t>Table 2: Annual Respondent Burden and Cost for Existing Large Solid Fuel Units – NESHAP for Industrial, Commercial, and Institutional Boilers and Process Heaters (40 CFR Part 63, Subpart DDDDD) (Amendments)</t>
  </si>
  <si>
    <t>Table 3: Annual Respondent Burden and Cost for Existing Large Solid Fuel Units – NESHAP for Industrial, Commercial, and Institutional Boilers and Process Heaters (40 CFR Part 63, Subpart DDDDD) (Amendments)</t>
  </si>
  <si>
    <t>Table 4: Annual Respondent Burden and Cost for New Large Solid Fuel Units – NESHAP for Industrial, Commercial, and Institutional Boilers and Process Heaters (40 CFR Part 63, Subpart DDDDD) (Amendments)</t>
  </si>
  <si>
    <t>Table 5: Annual Respondent Burden and Cost for New Large Solid Fuel Units – NESHAP for Industrial, Commercial, and Institutional Boilers and Process Heaters (40 CFR Part 63, Subpart DDDDD) (Amendments)</t>
  </si>
  <si>
    <t>Table 6: Annual Respondent Burden and Cost for New Large Solid Fuel Units – NESHAP for Industrial, Commercial, and Institutional Boilers and Process Heaters (40 CFR Part 63, Subpart DDDDD) (Amendments)</t>
  </si>
  <si>
    <t>Table 7: Summary of Annual Respondent Burden and Cost – NESHAP for Industrial, Commercial, and Institutional Boilers and Process Heaters (40 CFR Part 63, Subpart DDDDD) (Amendments)</t>
  </si>
  <si>
    <t>Table 8: Average Annual EPA Burden and Cost – NESHAP for Industrial, Commercial, and Institutional Boilers and Process Heaters (40 CFR Part 63, Subpart DDDDD) (Amendments)</t>
  </si>
  <si>
    <t>Table 9: Average Annual EPA Burden and Cost – NESHAP for Industrial, Commercial, and Institutional Boilers and Process Heaters (40 CFR Part 63, Subpart DDDDD) (Amendments)</t>
  </si>
  <si>
    <t>Table 10: Average Annual EPA Burden and Cost – NESHAP for Industrial, Commercial, and Institutional Boilers and Process Heaters (40 CFR Part 63, Subpart DDDDD) (Amendments)</t>
  </si>
  <si>
    <t xml:space="preserve">Table 11 - Summary of Annual Agency Burden and Cost - NESHAP for Industrial, Commercial, and Institutional Boilers and Process Heaters  (40 CFR Part 63, Subpart DDDDD) (Amendments)  </t>
  </si>
  <si>
    <t>a  This table shows only the additional burden to sources affected by the proposed amendments. All other new and recurring costs for these types of boilers are shown in the previous ICR Renewal (EPA ICR Number 2028.09, OMB Control Number 2060-0551). Since the EPA is proposing a 3-year compliance timeframe no burden is estimated in year 1 or 2.</t>
  </si>
  <si>
    <t xml:space="preserve">Total Labor Burden and Cost (rounded) </t>
  </si>
  <si>
    <t xml:space="preserve">Total Capital and O&amp;M Cost (rounded) </t>
  </si>
  <si>
    <t xml:space="preserve">Grand Total (rounded) </t>
  </si>
  <si>
    <r>
      <t xml:space="preserve">Total Labor Burden and Cost (rounded) </t>
    </r>
    <r>
      <rPr>
        <b/>
        <vertAlign val="superscript"/>
        <sz val="10"/>
        <rFont val="Times New Roman"/>
        <family val="1"/>
      </rPr>
      <t>g</t>
    </r>
  </si>
  <si>
    <r>
      <t xml:space="preserve">Grand Total (rounded) </t>
    </r>
    <r>
      <rPr>
        <b/>
        <vertAlign val="superscript"/>
        <sz val="10"/>
        <rFont val="Times New Roman"/>
        <family val="1"/>
      </rPr>
      <t>g</t>
    </r>
  </si>
  <si>
    <t>Reporting: Update Site-specific monitoring plan</t>
  </si>
  <si>
    <r>
      <t>a</t>
    </r>
    <r>
      <rPr>
        <sz val="10"/>
        <rFont val="Times New Roman"/>
        <family val="1"/>
      </rPr>
      <t xml:space="preserve">  EPA estimates that, as a result of the proposed amendments, 26 continuous parameter monitoring systems (CPMS) on existing pollution control devices will be required to be installed. EPA also estimates that, as a result of the proposed amendments, 2 new sources will be required to install CPMS on scrubbers. Additionally, EPA estimates that 25 existing sources and 3 new sources will update site-specific monitoring plans as a result of the proposed changes to the emission limits. </t>
    </r>
  </si>
  <si>
    <t>NA</t>
  </si>
  <si>
    <t>Scrubber System Monitoring and Operation(for units with wet scrubbers)</t>
  </si>
  <si>
    <t>Number of occurrences per year</t>
  </si>
  <si>
    <t>a  This cost is based on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</si>
  <si>
    <r>
      <t xml:space="preserve">Costs per year, $ </t>
    </r>
    <r>
      <rPr>
        <vertAlign val="superscript"/>
        <sz val="10"/>
        <rFont val="Times New Roman"/>
        <family val="1"/>
      </rPr>
      <t>a</t>
    </r>
  </si>
  <si>
    <r>
      <t xml:space="preserve">2. Enter and update information into agency recordkeeping system </t>
    </r>
    <r>
      <rPr>
        <vertAlign val="superscript"/>
        <sz val="10"/>
        <rFont val="Times New Roman"/>
        <family val="1"/>
      </rPr>
      <t>b</t>
    </r>
  </si>
  <si>
    <r>
      <t xml:space="preserve">B. Review and approve fuel monitoring plan </t>
    </r>
    <r>
      <rPr>
        <vertAlign val="superscript"/>
        <sz val="10"/>
        <rFont val="Times New Roman"/>
        <family val="1"/>
      </rPr>
      <t>b</t>
    </r>
  </si>
  <si>
    <r>
      <t xml:space="preserve">C. Observe initial stack/performance test </t>
    </r>
    <r>
      <rPr>
        <vertAlign val="superscript"/>
        <sz val="10"/>
        <rFont val="Times New Roman"/>
        <family val="1"/>
      </rPr>
      <t>b</t>
    </r>
  </si>
  <si>
    <r>
      <t xml:space="preserve">D. Observe repeat performance test </t>
    </r>
    <r>
      <rPr>
        <vertAlign val="superscript"/>
        <sz val="10"/>
        <rFont val="Times New Roman"/>
        <family val="1"/>
      </rPr>
      <t>b</t>
    </r>
  </si>
  <si>
    <r>
      <t xml:space="preserve">4. Excess Emissions Enforcement Activities and Inspections </t>
    </r>
    <r>
      <rPr>
        <vertAlign val="superscript"/>
        <sz val="10"/>
        <rFont val="Times New Roman"/>
        <family val="1"/>
      </rPr>
      <t>b</t>
    </r>
  </si>
  <si>
    <r>
      <t xml:space="preserve">A. Review initial notification that sources are subject to the standard </t>
    </r>
    <r>
      <rPr>
        <vertAlign val="superscript"/>
        <sz val="10"/>
        <rFont val="Times New Roman"/>
        <family val="1"/>
      </rPr>
      <t>b</t>
    </r>
  </si>
  <si>
    <r>
      <t xml:space="preserve">B. Review notification of initial performance tests and review test plan </t>
    </r>
    <r>
      <rPr>
        <vertAlign val="superscript"/>
        <sz val="10"/>
        <rFont val="Times New Roman"/>
        <family val="1"/>
      </rPr>
      <t>b</t>
    </r>
  </si>
  <si>
    <r>
      <t xml:space="preserve">C. Review notification of compliance status </t>
    </r>
    <r>
      <rPr>
        <vertAlign val="superscript"/>
        <sz val="10"/>
        <rFont val="Times New Roman"/>
        <family val="1"/>
      </rPr>
      <t>b</t>
    </r>
  </si>
  <si>
    <r>
      <t xml:space="preserve">A. Review semiannual compliance report </t>
    </r>
    <r>
      <rPr>
        <vertAlign val="superscript"/>
        <sz val="10"/>
        <rFont val="Times New Roman"/>
        <family val="1"/>
      </rPr>
      <t>b</t>
    </r>
  </si>
  <si>
    <r>
      <t xml:space="preserve">B. Review annual compliance report </t>
    </r>
    <r>
      <rPr>
        <vertAlign val="superscript"/>
        <sz val="10"/>
        <rFont val="Times New Roman"/>
        <family val="1"/>
      </rPr>
      <t>b</t>
    </r>
  </si>
  <si>
    <r>
      <t xml:space="preserve">C. Review biennial compliance report </t>
    </r>
    <r>
      <rPr>
        <vertAlign val="superscript"/>
        <sz val="10"/>
        <rFont val="Times New Roman"/>
        <family val="1"/>
      </rPr>
      <t>b</t>
    </r>
  </si>
  <si>
    <r>
      <t xml:space="preserve">D.  Review initial report on results of energy audit </t>
    </r>
    <r>
      <rPr>
        <vertAlign val="superscript"/>
        <sz val="10"/>
        <rFont val="Times New Roman"/>
        <family val="1"/>
      </rPr>
      <t>b</t>
    </r>
  </si>
  <si>
    <r>
      <t xml:space="preserve">7. Travel Expenses for Tests Attended </t>
    </r>
    <r>
      <rPr>
        <vertAlign val="superscript"/>
        <sz val="10"/>
        <rFont val="Times New Roman"/>
        <family val="1"/>
      </rPr>
      <t>b</t>
    </r>
  </si>
  <si>
    <r>
      <t xml:space="preserve">A. Review and approve monitoring plan </t>
    </r>
    <r>
      <rPr>
        <vertAlign val="superscript"/>
        <sz val="10"/>
        <rFont val="Times New Roman"/>
        <family val="1"/>
      </rPr>
      <t>c</t>
    </r>
  </si>
  <si>
    <r>
      <t xml:space="preserve">TOTAL (rounded) </t>
    </r>
    <r>
      <rPr>
        <b/>
        <vertAlign val="superscript"/>
        <sz val="10"/>
        <rFont val="Times New Roman"/>
        <family val="1"/>
      </rPr>
      <t>e</t>
    </r>
  </si>
  <si>
    <r>
      <t xml:space="preserve">E. Review operating parameters </t>
    </r>
    <r>
      <rPr>
        <vertAlign val="superscript"/>
        <sz val="10"/>
        <rFont val="Times New Roman"/>
        <family val="1"/>
      </rPr>
      <t>d</t>
    </r>
  </si>
  <si>
    <r>
      <t xml:space="preserve">F. Review continuous parameter monitoring </t>
    </r>
    <r>
      <rPr>
        <vertAlign val="superscript"/>
        <sz val="10"/>
        <rFont val="Times New Roman"/>
        <family val="1"/>
      </rPr>
      <t>d</t>
    </r>
  </si>
  <si>
    <t xml:space="preserve">b  This line item is not changed by proposed amendments and is accounted for in the previous ICR Renewal (EPA ICR Number 2028.09, OMB Control Number 2060-0551). </t>
  </si>
  <si>
    <t xml:space="preserve">c  Based on compliance data, we estimate that 25 facilities with existing solid fuel units and 3 facilities with new solid fuel units will be impacted by the proposal and may be required to modify monitoring plans. This burden was assigned to year 3 of the compliance period given that sources have 3 years to demonstrate compliance.  </t>
  </si>
  <si>
    <t xml:space="preserve">d  Based on compliance data, we estimate that 26 existing solid fuel units and 3 new solid fuel units will have additional operating parameters and continuous parameter monitoring results to be reviewed based on the changes to the emission limits. This burden was assigned to year 3 of the compliance period given that sources have 3 years to demonstrate compliance.  </t>
  </si>
  <si>
    <t>e  Totals have been rounded to 3 significant figures. Figures may not add exactly due to rounding.</t>
  </si>
  <si>
    <t>(A) 
Respondent Hours per Occurrence (Technical hours)</t>
  </si>
  <si>
    <t>(F) 
Technical Hours per Respondent Per Year
(A X E)</t>
  </si>
  <si>
    <t xml:space="preserve">(G) 
Number of Respondents Per Year </t>
  </si>
  <si>
    <t>(H) 
Technical Hours per Year 
(F X G)</t>
  </si>
  <si>
    <t>(I)
Clerical Hours per Year  
(H X 0.1)</t>
  </si>
  <si>
    <t>(J)
Management Hours per Year 
(H X .05)</t>
  </si>
  <si>
    <r>
      <t xml:space="preserve">(K)  
Total Labor Costs Per Year </t>
    </r>
    <r>
      <rPr>
        <vertAlign val="superscript"/>
        <sz val="10"/>
        <rFont val="Times New Roman"/>
        <family val="1"/>
      </rPr>
      <t>a</t>
    </r>
  </si>
  <si>
    <t>a This cost is based on the following labor rates: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</si>
  <si>
    <t>a  This cost is based on the following labor rates: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</si>
  <si>
    <t xml:space="preserve">e  As as a results of some of the CO emission limit changes, EPA anticipates 8 sources will opt to comply with the CO CEMS-based emission limit instead of the stack test limit and as a result these units will need to intall and operate CO CEMS.  The ICR renewals have assumed that units would comply with stack test CO limits to date since they have the option of either. This was not previously costed out. </t>
  </si>
  <si>
    <t>f  We estimate that 36 existing large solid fuel units will have to change the records associated with operating parameter values. This includes the 26 units that install new monitors as well as 10 additional units that may need to make minor changes to the record system to reflect the new emission limits.</t>
  </si>
  <si>
    <t>g  Totals have been rounded to 3 significant figures. Figures may not add exactly due to rounding.</t>
  </si>
  <si>
    <r>
      <t xml:space="preserve">CO CEMS </t>
    </r>
    <r>
      <rPr>
        <vertAlign val="superscript"/>
        <sz val="10"/>
        <rFont val="Times New Roman"/>
        <family val="1"/>
      </rPr>
      <t>d, e</t>
    </r>
  </si>
  <si>
    <r>
      <t xml:space="preserve">4)  Records of Monitoring Device Calibrations </t>
    </r>
    <r>
      <rPr>
        <vertAlign val="superscript"/>
        <sz val="10"/>
        <rFont val="Times New Roman"/>
        <family val="1"/>
      </rPr>
      <t>f</t>
    </r>
  </si>
  <si>
    <r>
      <t xml:space="preserve">1)  Records of Operating Parameter Values </t>
    </r>
    <r>
      <rPr>
        <vertAlign val="superscript"/>
        <sz val="10"/>
        <rFont val="Times New Roman"/>
        <family val="1"/>
      </rPr>
      <t>f</t>
    </r>
  </si>
  <si>
    <r>
      <t xml:space="preserve">DIFF Monitor </t>
    </r>
    <r>
      <rPr>
        <vertAlign val="superscript"/>
        <sz val="10"/>
        <rFont val="Times New Roman"/>
        <family val="1"/>
      </rPr>
      <t>d</t>
    </r>
  </si>
  <si>
    <r>
      <t xml:space="preserve">Bag Leak Detection System Operation (sources that have fabric filters) </t>
    </r>
    <r>
      <rPr>
        <vertAlign val="superscript"/>
        <sz val="10"/>
        <rFont val="Times New Roman"/>
        <family val="1"/>
      </rPr>
      <t>d</t>
    </r>
  </si>
  <si>
    <r>
      <t xml:space="preserve">Scrubber System Monitoring and Operation(for units with wet scrubbers) </t>
    </r>
    <r>
      <rPr>
        <vertAlign val="superscript"/>
        <sz val="10"/>
        <rFont val="Times New Roman"/>
        <family val="1"/>
      </rPr>
      <t>d</t>
    </r>
  </si>
  <si>
    <r>
      <t xml:space="preserve">Opacity </t>
    </r>
    <r>
      <rPr>
        <vertAlign val="superscript"/>
        <sz val="10"/>
        <rFont val="Times New Roman"/>
        <family val="1"/>
      </rPr>
      <t>d</t>
    </r>
  </si>
  <si>
    <r>
      <t xml:space="preserve">Update Site-specific monitoring plan (all) </t>
    </r>
    <r>
      <rPr>
        <vertAlign val="superscript"/>
        <sz val="10"/>
        <rFont val="Times New Roman"/>
        <family val="1"/>
      </rPr>
      <t>c</t>
    </r>
  </si>
  <si>
    <t xml:space="preserve">c  Based on compliance data, we estimate that 25 facilities with existing solid fuel units will be impacted by the proposal and may be required to modify monitoring plans. This burden was assigned to year 3 of the compliance period given that sources have 3 years to demonstrate compliance.  </t>
  </si>
  <si>
    <r>
      <t xml:space="preserve">1)  Conduct Energy Audit </t>
    </r>
    <r>
      <rPr>
        <vertAlign val="superscript"/>
        <sz val="10"/>
        <rFont val="Times New Roman"/>
        <family val="1"/>
      </rPr>
      <t>b</t>
    </r>
  </si>
  <si>
    <r>
      <t xml:space="preserve">2)  Initial Stack Test and Report (for PM) </t>
    </r>
    <r>
      <rPr>
        <vertAlign val="superscript"/>
        <sz val="10"/>
        <rFont val="Times New Roman"/>
        <family val="1"/>
      </rPr>
      <t>b</t>
    </r>
  </si>
  <si>
    <r>
      <t xml:space="preserve">3)  Initial Stack Test and Report (for Hg) </t>
    </r>
    <r>
      <rPr>
        <vertAlign val="superscript"/>
        <sz val="10"/>
        <rFont val="Times New Roman"/>
        <family val="1"/>
      </rPr>
      <t>b</t>
    </r>
  </si>
  <si>
    <r>
      <t xml:space="preserve">4)  Initial Stack Test and Report (for HCl) </t>
    </r>
    <r>
      <rPr>
        <vertAlign val="superscript"/>
        <sz val="10"/>
        <rFont val="Times New Roman"/>
        <family val="1"/>
      </rPr>
      <t>b</t>
    </r>
  </si>
  <si>
    <r>
      <t xml:space="preserve">5)  Initial Stack Test and Report (for CO) </t>
    </r>
    <r>
      <rPr>
        <vertAlign val="superscript"/>
        <sz val="10"/>
        <rFont val="Times New Roman"/>
        <family val="1"/>
      </rPr>
      <t>b</t>
    </r>
  </si>
  <si>
    <r>
      <t xml:space="preserve">6)  Annual Stack Test and Report (for PM) </t>
    </r>
    <r>
      <rPr>
        <vertAlign val="superscript"/>
        <sz val="10"/>
        <rFont val="Times New Roman"/>
        <family val="1"/>
      </rPr>
      <t>b</t>
    </r>
  </si>
  <si>
    <r>
      <t xml:space="preserve">7)  Annual Stack Test and Report (for Hg) </t>
    </r>
    <r>
      <rPr>
        <vertAlign val="superscript"/>
        <sz val="10"/>
        <rFont val="Times New Roman"/>
        <family val="1"/>
      </rPr>
      <t>b</t>
    </r>
  </si>
  <si>
    <r>
      <t xml:space="preserve">8)  Annual Stack Test and Report (for HCl) </t>
    </r>
    <r>
      <rPr>
        <vertAlign val="superscript"/>
        <sz val="10"/>
        <rFont val="Times New Roman"/>
        <family val="1"/>
      </rPr>
      <t>b</t>
    </r>
  </si>
  <si>
    <r>
      <t xml:space="preserve">9)  Annual Stack Test and Report (for CO) </t>
    </r>
    <r>
      <rPr>
        <vertAlign val="superscript"/>
        <sz val="10"/>
        <rFont val="Times New Roman"/>
        <family val="1"/>
      </rPr>
      <t>b</t>
    </r>
  </si>
  <si>
    <r>
      <t xml:space="preserve">10)  Repeat Stack Test and Report if Switch Fuels (for Hg and HCl) </t>
    </r>
    <r>
      <rPr>
        <vertAlign val="superscript"/>
        <sz val="10"/>
        <rFont val="Times New Roman"/>
        <family val="1"/>
      </rPr>
      <t>b</t>
    </r>
  </si>
  <si>
    <r>
      <t xml:space="preserve">11)  Initial Fuel Analysis for Mercury and HCL Content </t>
    </r>
    <r>
      <rPr>
        <vertAlign val="superscript"/>
        <sz val="10"/>
        <rFont val="Times New Roman"/>
        <family val="1"/>
      </rPr>
      <t>b</t>
    </r>
  </si>
  <si>
    <r>
      <t xml:space="preserve">12)  Monthly Fuel Analysis for Mercury and HCL Content </t>
    </r>
    <r>
      <rPr>
        <vertAlign val="superscript"/>
        <sz val="10"/>
        <rFont val="Times New Roman"/>
        <family val="1"/>
      </rPr>
      <t>b</t>
    </r>
  </si>
  <si>
    <r>
      <t xml:space="preserve">13) Annual Tune-up </t>
    </r>
    <r>
      <rPr>
        <vertAlign val="superscript"/>
        <sz val="10"/>
        <rFont val="Times New Roman"/>
        <family val="1"/>
      </rPr>
      <t>b</t>
    </r>
  </si>
  <si>
    <r>
      <t xml:space="preserve">PM (only sources greater than 250 mmBtu/hr) </t>
    </r>
    <r>
      <rPr>
        <vertAlign val="superscript"/>
        <sz val="10"/>
        <rFont val="Times New Roman"/>
        <family val="1"/>
      </rPr>
      <t>b</t>
    </r>
  </si>
  <si>
    <r>
      <t xml:space="preserve">O2 </t>
    </r>
    <r>
      <rPr>
        <vertAlign val="superscript"/>
        <sz val="10"/>
        <rFont val="Times New Roman"/>
        <family val="1"/>
      </rPr>
      <t>b</t>
    </r>
  </si>
  <si>
    <r>
      <t xml:space="preserve">Carbon Injection Monitoring System (all sources that use ACI to control Hg) </t>
    </r>
    <r>
      <rPr>
        <vertAlign val="superscript"/>
        <sz val="10"/>
        <rFont val="Times New Roman"/>
        <family val="1"/>
      </rPr>
      <t>b</t>
    </r>
  </si>
  <si>
    <r>
      <t xml:space="preserve">1) Initial Notification that Source is Subject </t>
    </r>
    <r>
      <rPr>
        <vertAlign val="superscript"/>
        <sz val="10"/>
        <rFont val="Times New Roman"/>
        <family val="1"/>
      </rPr>
      <t>b</t>
    </r>
  </si>
  <si>
    <r>
      <t xml:space="preserve">2) Notification of Compliance Status </t>
    </r>
    <r>
      <rPr>
        <vertAlign val="superscript"/>
        <sz val="10"/>
        <rFont val="Times New Roman"/>
        <family val="1"/>
      </rPr>
      <t>b</t>
    </r>
    <r>
      <rPr>
        <sz val="10"/>
        <rFont val="Times New Roman"/>
        <family val="1"/>
      </rPr>
      <t xml:space="preserve"> </t>
    </r>
  </si>
  <si>
    <r>
      <t xml:space="preserve">3) Initial Report on results of Energy Audit </t>
    </r>
    <r>
      <rPr>
        <vertAlign val="superscript"/>
        <sz val="10"/>
        <rFont val="Times New Roman"/>
        <family val="1"/>
      </rPr>
      <t>b</t>
    </r>
  </si>
  <si>
    <r>
      <t xml:space="preserve">4) Semi-annual Compliance Report </t>
    </r>
    <r>
      <rPr>
        <vertAlign val="superscript"/>
        <sz val="10"/>
        <rFont val="Times New Roman"/>
        <family val="1"/>
      </rPr>
      <t>b</t>
    </r>
  </si>
  <si>
    <r>
      <t xml:space="preserve">2)  Records of Startup, Shutdown, Malfunction </t>
    </r>
    <r>
      <rPr>
        <vertAlign val="superscript"/>
        <sz val="10"/>
        <rFont val="Times New Roman"/>
        <family val="1"/>
      </rPr>
      <t>b</t>
    </r>
  </si>
  <si>
    <r>
      <t xml:space="preserve">3)  Records of Stack Tests </t>
    </r>
    <r>
      <rPr>
        <vertAlign val="superscript"/>
        <sz val="10"/>
        <rFont val="Times New Roman"/>
        <family val="1"/>
      </rPr>
      <t>b</t>
    </r>
  </si>
  <si>
    <r>
      <t xml:space="preserve">5) Records of All Compliance Reports Submitted </t>
    </r>
    <r>
      <rPr>
        <vertAlign val="superscript"/>
        <sz val="10"/>
        <rFont val="Times New Roman"/>
        <family val="1"/>
      </rPr>
      <t>b</t>
    </r>
  </si>
  <si>
    <r>
      <t xml:space="preserve">6) Records of Monthly Fuel Use </t>
    </r>
    <r>
      <rPr>
        <vertAlign val="superscript"/>
        <sz val="10"/>
        <rFont val="Times New Roman"/>
        <family val="1"/>
      </rPr>
      <t>b</t>
    </r>
  </si>
  <si>
    <r>
      <t xml:space="preserve">E.  Personnel Training </t>
    </r>
    <r>
      <rPr>
        <vertAlign val="superscript"/>
        <sz val="10"/>
        <rFont val="Times New Roman"/>
        <family val="1"/>
      </rPr>
      <t>b</t>
    </r>
  </si>
  <si>
    <r>
      <t xml:space="preserve">(G) 
Number of Respondents Per Year </t>
    </r>
    <r>
      <rPr>
        <vertAlign val="superscript"/>
        <sz val="10"/>
        <rFont val="Times New Roman"/>
        <family val="1"/>
      </rPr>
      <t>a</t>
    </r>
  </si>
  <si>
    <r>
      <t xml:space="preserve">(K)  
Total Labor Costs Per Year </t>
    </r>
    <r>
      <rPr>
        <vertAlign val="superscript"/>
        <sz val="10"/>
        <rFont val="Times New Roman"/>
        <family val="1"/>
      </rPr>
      <t>b</t>
    </r>
  </si>
  <si>
    <t>Scrubber System Monitoring and Operation (for units with wet scrubbers)</t>
  </si>
  <si>
    <r>
      <t xml:space="preserve">Total Labor Burden and Cost (rounded) </t>
    </r>
    <r>
      <rPr>
        <b/>
        <vertAlign val="superscript"/>
        <sz val="10"/>
        <rFont val="Times New Roman"/>
        <family val="1"/>
      </rPr>
      <t>f</t>
    </r>
  </si>
  <si>
    <r>
      <t xml:space="preserve">Total Capital and O&amp;M Cost (rounded) </t>
    </r>
    <r>
      <rPr>
        <b/>
        <vertAlign val="superscript"/>
        <sz val="10"/>
        <rFont val="Times New Roman"/>
        <family val="1"/>
      </rPr>
      <t>f</t>
    </r>
  </si>
  <si>
    <r>
      <t xml:space="preserve">Grand Total (rounded) </t>
    </r>
    <r>
      <rPr>
        <b/>
        <vertAlign val="superscript"/>
        <sz val="10"/>
        <rFont val="Times New Roman"/>
        <family val="1"/>
      </rPr>
      <t>f</t>
    </r>
  </si>
  <si>
    <r>
      <t xml:space="preserve">4)  Records of Monitoring Device Calibrations </t>
    </r>
    <r>
      <rPr>
        <vertAlign val="superscript"/>
        <sz val="10"/>
        <rFont val="Times New Roman"/>
        <family val="1"/>
      </rPr>
      <t>e</t>
    </r>
  </si>
  <si>
    <r>
      <t xml:space="preserve">1)  Records of Operating Parameter Values </t>
    </r>
    <r>
      <rPr>
        <vertAlign val="superscript"/>
        <sz val="10"/>
        <rFont val="Times New Roman"/>
        <family val="1"/>
      </rPr>
      <t>e</t>
    </r>
  </si>
  <si>
    <t>e  We estimate that 3 existing large solid fuel units will have to change the records associated with operating parameter values. This includes the 2 units that install new monitors as well as an additional unit that may need to make minor changes to the record system to reflect the new emission limits.</t>
  </si>
  <si>
    <t>f   Totals have been rounded to 3 significant figures. Figures may not add exactly due to rounding.</t>
  </si>
  <si>
    <r>
      <t xml:space="preserve">Scrubber System Monitoring and Operation (for units with wet scrubbers) </t>
    </r>
    <r>
      <rPr>
        <vertAlign val="superscript"/>
        <sz val="10"/>
        <rFont val="Times New Roman"/>
        <family val="1"/>
      </rPr>
      <t>d</t>
    </r>
  </si>
  <si>
    <t xml:space="preserve">c  Based on compliance data, we estimate that 3 facilities with new solid fuel units will be impacted by the proposal and may be required to modify monitoring plans. This burden was assigned to year 3 of the compliance period given that sources have 3 years to demonstrate compliance.  </t>
  </si>
  <si>
    <r>
      <t xml:space="preserve">2) Notification of Compliance Status </t>
    </r>
    <r>
      <rPr>
        <vertAlign val="superscript"/>
        <sz val="10"/>
        <rFont val="Times New Roman"/>
        <family val="1"/>
      </rPr>
      <t>b</t>
    </r>
  </si>
  <si>
    <r>
      <t xml:space="preserve">3) Semi-annual Compliance Report </t>
    </r>
    <r>
      <rPr>
        <vertAlign val="superscript"/>
        <sz val="10"/>
        <rFont val="Times New Roman"/>
        <family val="1"/>
      </rPr>
      <t>b</t>
    </r>
  </si>
  <si>
    <r>
      <t xml:space="preserve">     E.  Personnel Training </t>
    </r>
    <r>
      <rPr>
        <vertAlign val="superscript"/>
        <sz val="10"/>
        <rFont val="Times New Roman"/>
        <family val="1"/>
      </rPr>
      <t>b</t>
    </r>
  </si>
  <si>
    <r>
      <t xml:space="preserve">Bag Leak Detection System Operation (sources that have fabric filters) </t>
    </r>
    <r>
      <rPr>
        <vertAlign val="superscript"/>
        <sz val="10"/>
        <rFont val="Times New Roman"/>
        <family val="1"/>
      </rPr>
      <t>b</t>
    </r>
  </si>
  <si>
    <r>
      <t xml:space="preserve">Opacity </t>
    </r>
    <r>
      <rPr>
        <vertAlign val="superscript"/>
        <sz val="10"/>
        <rFont val="Times New Roman"/>
        <family val="1"/>
      </rPr>
      <t>b</t>
    </r>
  </si>
  <si>
    <r>
      <t xml:space="preserve">12) Annual Tune-up </t>
    </r>
    <r>
      <rPr>
        <vertAlign val="superscript"/>
        <sz val="10"/>
        <rFont val="Times New Roman"/>
        <family val="1"/>
      </rPr>
      <t>b</t>
    </r>
  </si>
  <si>
    <r>
      <t xml:space="preserve">11)  Monthly Fuel Analysis for Mercury and HCL Content </t>
    </r>
    <r>
      <rPr>
        <vertAlign val="superscript"/>
        <sz val="10"/>
        <rFont val="Times New Roman"/>
        <family val="1"/>
      </rPr>
      <t>b</t>
    </r>
  </si>
  <si>
    <r>
      <t xml:space="preserve">10)  Initial Fuel Analysis for Mercury and HCL Content </t>
    </r>
    <r>
      <rPr>
        <vertAlign val="superscript"/>
        <sz val="10"/>
        <rFont val="Times New Roman"/>
        <family val="1"/>
      </rPr>
      <t>b</t>
    </r>
  </si>
  <si>
    <r>
      <t xml:space="preserve">9)  Repeat Stack Test and Report if Switch Fuels (for Hg and HCl) </t>
    </r>
    <r>
      <rPr>
        <vertAlign val="superscript"/>
        <sz val="10"/>
        <rFont val="Times New Roman"/>
        <family val="1"/>
      </rPr>
      <t>b</t>
    </r>
  </si>
  <si>
    <r>
      <t xml:space="preserve">8)  Annual Stack Test and Report (for CO) </t>
    </r>
    <r>
      <rPr>
        <vertAlign val="superscript"/>
        <sz val="10"/>
        <rFont val="Times New Roman"/>
        <family val="1"/>
      </rPr>
      <t>b</t>
    </r>
  </si>
  <si>
    <r>
      <t xml:space="preserve">7)  Annual Stack Test and Report (for HCl) </t>
    </r>
    <r>
      <rPr>
        <vertAlign val="superscript"/>
        <sz val="10"/>
        <rFont val="Times New Roman"/>
        <family val="1"/>
      </rPr>
      <t>b</t>
    </r>
  </si>
  <si>
    <r>
      <t xml:space="preserve">6)  Annual Stack Test and Report (for Hg) </t>
    </r>
    <r>
      <rPr>
        <vertAlign val="superscript"/>
        <sz val="10"/>
        <rFont val="Times New Roman"/>
        <family val="1"/>
      </rPr>
      <t>b</t>
    </r>
  </si>
  <si>
    <r>
      <t xml:space="preserve">5)  Annual Stack Test and Report (for PM) </t>
    </r>
    <r>
      <rPr>
        <vertAlign val="superscript"/>
        <sz val="10"/>
        <rFont val="Times New Roman"/>
        <family val="1"/>
      </rPr>
      <t>b</t>
    </r>
  </si>
  <si>
    <r>
      <t xml:space="preserve">4)  Initial Stack Test and Report (for CO) </t>
    </r>
    <r>
      <rPr>
        <vertAlign val="superscript"/>
        <sz val="10"/>
        <rFont val="Times New Roman"/>
        <family val="1"/>
      </rPr>
      <t>b</t>
    </r>
  </si>
  <si>
    <r>
      <t xml:space="preserve">3)  Initial Stack Test and Report (for HCl) </t>
    </r>
    <r>
      <rPr>
        <vertAlign val="superscript"/>
        <sz val="10"/>
        <rFont val="Times New Roman"/>
        <family val="1"/>
      </rPr>
      <t>b</t>
    </r>
  </si>
  <si>
    <r>
      <t xml:space="preserve">2)  Initial Stack Test and Report (for Hg) </t>
    </r>
    <r>
      <rPr>
        <vertAlign val="superscript"/>
        <sz val="10"/>
        <rFont val="Times New Roman"/>
        <family val="1"/>
      </rPr>
      <t>b</t>
    </r>
  </si>
  <si>
    <r>
      <t xml:space="preserve">1)  Initial Stack Test and Report (for PM) </t>
    </r>
    <r>
      <rPr>
        <vertAlign val="superscript"/>
        <sz val="10"/>
        <rFont val="Times New Roman"/>
        <family val="1"/>
      </rPr>
      <t>b</t>
    </r>
  </si>
  <si>
    <r>
      <t xml:space="preserve">DIFF Monitor </t>
    </r>
    <r>
      <rPr>
        <vertAlign val="superscript"/>
        <sz val="10"/>
        <rFont val="Times New Roman"/>
        <family val="1"/>
      </rPr>
      <t>b</t>
    </r>
  </si>
  <si>
    <r>
      <t xml:space="preserve">CO CEMS </t>
    </r>
    <r>
      <rPr>
        <vertAlign val="superscript"/>
        <sz val="10"/>
        <rFont val="Times New Roman"/>
        <family val="1"/>
      </rPr>
      <t>b</t>
    </r>
  </si>
  <si>
    <t>d  Totals have been rounded to 3 significant figures. Figures may not add exactly due to rounding.</t>
  </si>
  <si>
    <t>Total  Annualized Capital Cost + Annual O&amp;M Costs 
(E x F)</t>
  </si>
  <si>
    <r>
      <t xml:space="preserve"> Annualized Capital Cost + Annual O&amp;M Costs for One Unit </t>
    </r>
    <r>
      <rPr>
        <vertAlign val="superscript"/>
        <sz val="10"/>
        <rFont val="Times New Roman"/>
        <family val="1"/>
      </rPr>
      <t>a</t>
    </r>
  </si>
  <si>
    <r>
      <t>b</t>
    </r>
    <r>
      <rPr>
        <sz val="10"/>
        <rFont val="Times New Roman"/>
        <family val="1"/>
      </rPr>
      <t xml:space="preserve"> Totals have been rounded to 3 significant figures. Figures may not add exactly due to rounding.</t>
    </r>
  </si>
  <si>
    <r>
      <rPr>
        <vertAlign val="superscript"/>
        <sz val="10"/>
        <rFont val="Times New Roman"/>
        <family val="1"/>
      </rPr>
      <t>a</t>
    </r>
    <r>
      <rPr>
        <sz val="10"/>
        <rFont val="Times New Roman"/>
        <family val="1"/>
      </rPr>
      <t xml:space="preserve">  This figure represents the annualized capital cost of the new equipment plus the annual O&amp;M costs of the new equipment. For a detailed explanation of the annualized cost, see: " XXXXXX" in EPA Docket ID Number EPA-HQ-OAR-2002-0058.</t>
    </r>
  </si>
  <si>
    <r>
      <t xml:space="preserve">Total (Rounded) </t>
    </r>
    <r>
      <rPr>
        <b/>
        <vertAlign val="superscript"/>
        <sz val="10"/>
        <rFont val="Times New Roman"/>
        <family val="1"/>
      </rPr>
      <t>b</t>
    </r>
  </si>
  <si>
    <t>Non-Labor (Annualized Capital/Startup Cost + Annual O&amp;M Cost) Costs</t>
  </si>
  <si>
    <t>(L) 
Total Non-Labor Costs Per Year 
[(B+C+D)xExG]</t>
  </si>
  <si>
    <r>
      <t xml:space="preserve">A.  Familiarization with Regulatory Requirements </t>
    </r>
    <r>
      <rPr>
        <vertAlign val="superscript"/>
        <sz val="10"/>
        <rFont val="Times New Roman"/>
        <family val="1"/>
      </rPr>
      <t>c</t>
    </r>
  </si>
  <si>
    <t>A.  Familiarization with Regulatory Requirements</t>
  </si>
  <si>
    <r>
      <t xml:space="preserve">    A.  Familiarization with Regulatory   Requirements </t>
    </r>
    <r>
      <rPr>
        <vertAlign val="superscript"/>
        <sz val="10"/>
        <rFont val="Times New Roman"/>
        <family val="1"/>
      </rPr>
      <t>c</t>
    </r>
  </si>
  <si>
    <t xml:space="preserve">    A.  Familiarization with Regulatory Requirements</t>
  </si>
  <si>
    <t>A. Familiarization with Regulatory Requirements</t>
  </si>
  <si>
    <r>
      <t xml:space="preserve">1. Familiarization with regulatory requirements </t>
    </r>
    <r>
      <rPr>
        <vertAlign val="superscript"/>
        <sz val="10"/>
        <rFont val="Times New Roman"/>
        <family val="1"/>
      </rPr>
      <t>b</t>
    </r>
  </si>
  <si>
    <t>c  We assume that respondents impacted by the proposal will familiarize themselves with the rule in year one and implement the rule in year three.  Based on compliance data, we estimate that 25 facilities with existing solid fuel units will be impacted by the proposal.</t>
  </si>
  <si>
    <t>c  We assume that respondents impacted by the proposal will familiarize themselves with the rule in year one and implement the rule in year three.  Based on compliance data, we estimate that 3 facilities with new solid fuel units will be impacted by the proposal.</t>
  </si>
  <si>
    <r>
      <t xml:space="preserve">Total Annualized Capital and O&amp;M Cost (rounded) </t>
    </r>
    <r>
      <rPr>
        <b/>
        <vertAlign val="superscript"/>
        <sz val="10"/>
        <rFont val="Times New Roman"/>
        <family val="1"/>
      </rPr>
      <t>g</t>
    </r>
  </si>
  <si>
    <t xml:space="preserve">d  Based on compliance data, we estimate that 2 additional wet scrubber monitors to be installed, operated, calibrated, and maintained at new large solid fuel units as a result of additional controls installed to meet the revised emission limits. The initial costs (capital costs of equipment) and annual costs (annualized capital cost + annual O&amp;M costs) for each monitor are consistent with the costs updated in the impacts analysis for the proposed amendments. </t>
  </si>
  <si>
    <t xml:space="preserve">d  Based on compliance data, we estimate that 26 additional monitors to be installed, operated, calibrated, and maintained at existing large solid fuel units as a result of additional controls installed to meet the revised emission limits. This includes 6 opacity monitors, 1 monitor for the dry injection rate and bag leak detection (DIFF), 8 bag leak detection monitors, 3 wet scrubber monitors, 8 CO CEMS monitors. The initial costs (capital costs of equipment) and annual costs (annualized capital cost + annual O&amp;M costs) for each monitor are consistent with the costs updated in the impacts analysis for the proposed amendments.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</si>
</sst>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0.0"/>
    <numFmt numFmtId="167" formatCode="General_)"/>
  </numFmts>
  <fonts count="21"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b/>
      <sz val="10"/>
      <name val="Arial"/>
      <family val="2"/>
    </font>
    <font>
      <sz val="10"/>
      <name val="Times New Roman"/>
      <family val="1"/>
    </font>
    <font>
      <sz val="10"/>
      <name val="Arial"/>
      <family val="2"/>
    </font>
    <font>
      <b/>
      <sz val="12"/>
      <name val="Times New Roman"/>
      <family val="1"/>
    </font>
    <font>
      <sz val="11"/>
      <name val="Calibri"/>
      <family val="2"/>
      <scheme val="minor"/>
    </font>
    <font>
      <sz val="10"/>
      <color rgb="FFFF0000"/>
      <name val="Times New Roman"/>
      <family val="1"/>
    </font>
    <font>
      <b/>
      <sz val="10"/>
      <name val="Times New Roman"/>
      <family val="1"/>
    </font>
    <font>
      <sz val="10"/>
      <color rgb="FF000000"/>
      <name val="Times New Roman"/>
      <family val="1"/>
    </font>
    <font>
      <b/>
      <sz val="10"/>
      <color rgb="FFFF0000"/>
      <name val="Times New Roman"/>
      <family val="1"/>
    </font>
    <font>
      <b/>
      <vertAlign val="superscript"/>
      <sz val="10"/>
      <name val="Times New Roman"/>
      <family val="1"/>
    </font>
    <font>
      <b/>
      <sz val="10"/>
      <color indexed="10"/>
      <name val="Times New Roman"/>
      <family val="1"/>
    </font>
    <font>
      <b/>
      <i/>
      <sz val="10"/>
      <name val="Times New Roman"/>
      <family val="1"/>
    </font>
    <font>
      <vertAlign val="superscript"/>
      <sz val="10"/>
      <name val="Times New Roman"/>
      <family val="1"/>
    </font>
    <font>
      <sz val="10"/>
      <color theme="1"/>
      <name val="Times New Roman"/>
      <family val="1"/>
    </font>
    <font>
      <sz val="11"/>
      <color rgb="FF9C0006"/>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rgb="FFFFC7CE"/>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16">
    <xf numFmtId="0" fontId="0"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0" fontId="8"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43" fontId="3" fillId="0" borderId="0" applyFont="0" applyFill="0" applyBorder="0" applyAlignment="0" applyProtection="0"/>
    <xf numFmtId="0" fontId="1" fillId="0" borderId="0"/>
    <xf numFmtId="0" fontId="3" fillId="0" borderId="0"/>
    <xf numFmtId="44" fontId="3" fillId="0" borderId="0" applyFont="0" applyFill="0" applyBorder="0" applyAlignment="0" applyProtection="0"/>
    <xf numFmtId="0" fontId="3" fillId="0" borderId="0"/>
    <xf numFmtId="0" fontId="20" fillId="10" borderId="0" applyNumberFormat="0" applyBorder="0" applyAlignment="0" applyProtection="0"/>
  </cellStyleXfs>
  <cellXfs count="268">
    <xf numFmtId="0" fontId="0" fillId="0" borderId="0" xfId="0"/>
    <xf numFmtId="0" fontId="6" fillId="0" borderId="0" xfId="0" applyFont="1"/>
    <xf numFmtId="0" fontId="6" fillId="0" borderId="0" xfId="0" applyFont="1" applyFill="1"/>
    <xf numFmtId="0" fontId="3" fillId="0" borderId="1" xfId="0" applyFont="1" applyFill="1" applyBorder="1"/>
    <xf numFmtId="0" fontId="0" fillId="0" borderId="0" xfId="0" applyBorder="1"/>
    <xf numFmtId="0" fontId="3" fillId="0" borderId="0" xfId="0" applyFont="1" applyFill="1"/>
    <xf numFmtId="0" fontId="3" fillId="0" borderId="0" xfId="0" applyFont="1"/>
    <xf numFmtId="0" fontId="6" fillId="4" borderId="1" xfId="0" applyFont="1" applyFill="1" applyBorder="1" applyAlignment="1">
      <alignment horizontal="center"/>
    </xf>
    <xf numFmtId="0" fontId="6" fillId="3" borderId="1" xfId="0" applyFont="1" applyFill="1" applyBorder="1" applyAlignment="1">
      <alignment horizontal="center"/>
    </xf>
    <xf numFmtId="0" fontId="6" fillId="5" borderId="1" xfId="0" applyFont="1" applyFill="1" applyBorder="1" applyAlignment="1">
      <alignment horizontal="center"/>
    </xf>
    <xf numFmtId="0" fontId="6" fillId="6" borderId="1" xfId="0" applyFont="1" applyFill="1" applyBorder="1" applyAlignment="1">
      <alignment horizontal="center"/>
    </xf>
    <xf numFmtId="0" fontId="6" fillId="7" borderId="1" xfId="0" applyFont="1" applyFill="1" applyBorder="1" applyAlignment="1">
      <alignment horizontal="center"/>
    </xf>
    <xf numFmtId="0" fontId="6" fillId="9" borderId="1" xfId="4" applyFont="1" applyFill="1" applyBorder="1" applyAlignment="1">
      <alignment horizontal="center"/>
    </xf>
    <xf numFmtId="0" fontId="6" fillId="8" borderId="1" xfId="4" applyFont="1" applyFill="1" applyBorder="1" applyAlignment="1">
      <alignment horizontal="center"/>
    </xf>
    <xf numFmtId="0" fontId="3" fillId="9" borderId="1" xfId="4" applyFont="1" applyFill="1" applyBorder="1" applyAlignment="1">
      <alignment horizontal="center"/>
    </xf>
    <xf numFmtId="0" fontId="3" fillId="4" borderId="1" xfId="4" applyFont="1" applyFill="1" applyBorder="1" applyAlignment="1">
      <alignment horizontal="center"/>
    </xf>
    <xf numFmtId="0" fontId="7" fillId="0" borderId="1" xfId="0" applyFont="1" applyBorder="1" applyAlignment="1">
      <alignment horizontal="center" vertical="center" wrapText="1"/>
    </xf>
    <xf numFmtId="0" fontId="7" fillId="0" borderId="0" xfId="0" applyFont="1"/>
    <xf numFmtId="0" fontId="0" fillId="0" borderId="0" xfId="0" applyFont="1"/>
    <xf numFmtId="0" fontId="0" fillId="2" borderId="1" xfId="0" applyFont="1" applyFill="1" applyBorder="1"/>
    <xf numFmtId="0" fontId="0" fillId="0" borderId="1" xfId="0" applyFont="1" applyFill="1" applyBorder="1"/>
    <xf numFmtId="0" fontId="0" fillId="0" borderId="0" xfId="0" applyFont="1" applyAlignment="1">
      <alignment horizontal="center"/>
    </xf>
    <xf numFmtId="0" fontId="0" fillId="0" borderId="0" xfId="0" applyFont="1" applyFill="1" applyAlignment="1">
      <alignment horizontal="center"/>
    </xf>
    <xf numFmtId="0" fontId="0" fillId="2" borderId="1" xfId="0" applyFont="1" applyFill="1" applyBorder="1" applyAlignment="1">
      <alignment horizontal="center"/>
    </xf>
    <xf numFmtId="0" fontId="3" fillId="4" borderId="1" xfId="9" applyFont="1" applyFill="1" applyBorder="1" applyAlignment="1">
      <alignment horizontal="center"/>
    </xf>
    <xf numFmtId="0" fontId="3" fillId="3" borderId="1" xfId="9" applyFont="1" applyFill="1" applyBorder="1" applyAlignment="1">
      <alignment horizontal="center"/>
    </xf>
    <xf numFmtId="0" fontId="3" fillId="5" borderId="1" xfId="9" applyFont="1" applyFill="1" applyBorder="1" applyAlignment="1">
      <alignment horizontal="center"/>
    </xf>
    <xf numFmtId="0" fontId="3" fillId="6" borderId="1" xfId="9" applyFont="1" applyFill="1" applyBorder="1" applyAlignment="1">
      <alignment horizontal="center"/>
    </xf>
    <xf numFmtId="0" fontId="3" fillId="7" borderId="1" xfId="9" applyFont="1" applyFill="1" applyBorder="1" applyAlignment="1">
      <alignment horizontal="center"/>
    </xf>
    <xf numFmtId="0" fontId="0" fillId="0" borderId="0" xfId="0" applyFont="1" applyFill="1"/>
    <xf numFmtId="0" fontId="10" fillId="0" borderId="0" xfId="3" applyFont="1"/>
    <xf numFmtId="0" fontId="3" fillId="3" borderId="1" xfId="4" applyFont="1" applyFill="1" applyBorder="1" applyAlignment="1">
      <alignment horizontal="center"/>
    </xf>
    <xf numFmtId="0" fontId="3" fillId="5" borderId="1" xfId="4" applyFont="1" applyFill="1" applyBorder="1" applyAlignment="1">
      <alignment horizontal="center"/>
    </xf>
    <xf numFmtId="0" fontId="3" fillId="6" borderId="1" xfId="4" applyFont="1" applyFill="1" applyBorder="1" applyAlignment="1">
      <alignment horizontal="center"/>
    </xf>
    <xf numFmtId="0" fontId="3" fillId="7" borderId="1" xfId="4" applyFont="1" applyFill="1" applyBorder="1" applyAlignment="1">
      <alignment horizontal="center"/>
    </xf>
    <xf numFmtId="0" fontId="3" fillId="8" borderId="1" xfId="4" applyFont="1" applyFill="1" applyBorder="1" applyAlignment="1">
      <alignment horizontal="center"/>
    </xf>
    <xf numFmtId="0" fontId="3" fillId="0" borderId="0" xfId="4" applyFont="1" applyFill="1"/>
    <xf numFmtId="0" fontId="0" fillId="7" borderId="1" xfId="0" applyFont="1" applyFill="1" applyBorder="1"/>
    <xf numFmtId="0" fontId="0" fillId="0" borderId="1" xfId="0" applyFont="1" applyBorder="1"/>
    <xf numFmtId="3" fontId="7" fillId="0" borderId="0" xfId="0" applyNumberFormat="1" applyFont="1"/>
    <xf numFmtId="0" fontId="11" fillId="0" borderId="0" xfId="0" applyFont="1"/>
    <xf numFmtId="0" fontId="7" fillId="0" borderId="1" xfId="0" applyFont="1" applyFill="1" applyBorder="1" applyAlignment="1">
      <alignment horizontal="center" vertical="center" wrapText="1"/>
    </xf>
    <xf numFmtId="165" fontId="7" fillId="0" borderId="1" xfId="2" applyNumberFormat="1" applyFont="1" applyFill="1" applyBorder="1" applyAlignment="1">
      <alignment horizontal="right" vertical="center" wrapText="1"/>
    </xf>
    <xf numFmtId="0" fontId="7" fillId="0" borderId="0" xfId="0" applyFont="1" applyAlignment="1">
      <alignment wrapText="1"/>
    </xf>
    <xf numFmtId="0" fontId="7" fillId="0" borderId="0" xfId="0" applyFont="1" applyFill="1" applyBorder="1" applyAlignment="1">
      <alignment wrapText="1"/>
    </xf>
    <xf numFmtId="3" fontId="7" fillId="0" borderId="1" xfId="0" applyNumberFormat="1" applyFont="1" applyFill="1" applyBorder="1" applyAlignment="1">
      <alignment horizontal="center"/>
    </xf>
    <xf numFmtId="0" fontId="7" fillId="0" borderId="1" xfId="0" applyFont="1" applyBorder="1"/>
    <xf numFmtId="164" fontId="7" fillId="0" borderId="0" xfId="0" applyNumberFormat="1" applyFont="1"/>
    <xf numFmtId="0" fontId="14" fillId="0" borderId="0" xfId="0" applyFont="1"/>
    <xf numFmtId="0" fontId="7" fillId="0" borderId="0" xfId="0" applyFont="1" applyFill="1" applyBorder="1" applyAlignment="1">
      <alignment horizontal="center" vertical="center" wrapText="1"/>
    </xf>
    <xf numFmtId="165" fontId="7" fillId="0" borderId="0" xfId="2" applyNumberFormat="1" applyFont="1" applyFill="1" applyBorder="1" applyAlignment="1">
      <alignment horizontal="right" vertical="center" wrapText="1"/>
    </xf>
    <xf numFmtId="0" fontId="7" fillId="0" borderId="1" xfId="0" applyFont="1" applyBorder="1" applyAlignment="1">
      <alignment horizontal="left" vertical="center" wrapText="1"/>
    </xf>
    <xf numFmtId="0" fontId="7" fillId="0" borderId="0" xfId="0" applyFont="1" applyBorder="1"/>
    <xf numFmtId="0" fontId="3" fillId="0" borderId="0" xfId="0" applyFont="1" applyBorder="1"/>
    <xf numFmtId="0" fontId="0" fillId="0" borderId="0" xfId="0" applyBorder="1" applyAlignment="1">
      <alignment wrapText="1"/>
    </xf>
    <xf numFmtId="0" fontId="3" fillId="0" borderId="0" xfId="0" applyFont="1" applyBorder="1" applyAlignment="1">
      <alignment wrapText="1"/>
    </xf>
    <xf numFmtId="0" fontId="12" fillId="0" borderId="1" xfId="0" applyFont="1" applyBorder="1" applyAlignment="1">
      <alignment vertical="center"/>
    </xf>
    <xf numFmtId="0" fontId="7" fillId="0" borderId="0" xfId="0" applyFont="1" applyFill="1"/>
    <xf numFmtId="0" fontId="7" fillId="0" borderId="0" xfId="0" applyFont="1" applyFill="1" applyBorder="1" applyAlignment="1">
      <alignment horizontal="center" wrapText="1"/>
    </xf>
    <xf numFmtId="3" fontId="7" fillId="0" borderId="0" xfId="0" applyNumberFormat="1" applyFont="1" applyFill="1" applyBorder="1" applyAlignment="1">
      <alignment horizontal="center" wrapText="1"/>
    </xf>
    <xf numFmtId="0" fontId="7" fillId="0" borderId="0" xfId="0" applyFont="1" applyFill="1" applyAlignment="1">
      <alignment wrapText="1"/>
    </xf>
    <xf numFmtId="0" fontId="7" fillId="0" borderId="0" xfId="0" applyFont="1" applyFill="1" applyBorder="1"/>
    <xf numFmtId="0" fontId="7" fillId="0" borderId="0" xfId="0" applyFont="1" applyFill="1" applyBorder="1" applyAlignment="1">
      <alignment horizontal="center"/>
    </xf>
    <xf numFmtId="0" fontId="11" fillId="0" borderId="0" xfId="0" applyFont="1" applyFill="1"/>
    <xf numFmtId="3" fontId="7" fillId="0" borderId="0" xfId="0" applyNumberFormat="1" applyFont="1" applyFill="1"/>
    <xf numFmtId="0" fontId="11" fillId="0" borderId="0" xfId="0" applyFont="1" applyFill="1" applyBorder="1"/>
    <xf numFmtId="0" fontId="7" fillId="0" borderId="0" xfId="0" applyFont="1" applyFill="1" applyBorder="1" applyAlignment="1">
      <alignment horizontal="right"/>
    </xf>
    <xf numFmtId="0" fontId="12" fillId="0" borderId="0" xfId="0" applyFont="1" applyFill="1" applyBorder="1" applyAlignment="1">
      <alignment horizontal="center"/>
    </xf>
    <xf numFmtId="165" fontId="12" fillId="0" borderId="0" xfId="0" applyNumberFormat="1" applyFont="1" applyFill="1" applyBorder="1" applyAlignment="1">
      <alignment horizontal="center"/>
    </xf>
    <xf numFmtId="3" fontId="12" fillId="0" borderId="0" xfId="0" applyNumberFormat="1" applyFont="1" applyFill="1" applyBorder="1" applyAlignment="1">
      <alignment horizontal="center"/>
    </xf>
    <xf numFmtId="165" fontId="12" fillId="0" borderId="0" xfId="0" applyNumberFormat="1" applyFont="1" applyFill="1" applyBorder="1" applyAlignment="1">
      <alignment horizontal="right"/>
    </xf>
    <xf numFmtId="165" fontId="12" fillId="0" borderId="0" xfId="0" applyNumberFormat="1" applyFont="1" applyFill="1"/>
    <xf numFmtId="0" fontId="12" fillId="0" borderId="0" xfId="0" applyFont="1" applyFill="1"/>
    <xf numFmtId="0" fontId="14" fillId="0" borderId="0" xfId="0" applyFont="1" applyFill="1"/>
    <xf numFmtId="0" fontId="17" fillId="0" borderId="0" xfId="0" applyFont="1" applyFill="1" applyBorder="1"/>
    <xf numFmtId="0" fontId="12" fillId="0" borderId="0" xfId="0" applyFont="1" applyFill="1" applyBorder="1"/>
    <xf numFmtId="1" fontId="12" fillId="0" borderId="0" xfId="0" applyNumberFormat="1" applyFont="1" applyFill="1" applyBorder="1" applyAlignment="1">
      <alignment horizontal="center"/>
    </xf>
    <xf numFmtId="0" fontId="7" fillId="0" borderId="0" xfId="0" applyFont="1" applyFill="1" applyAlignment="1">
      <alignment horizontal="center"/>
    </xf>
    <xf numFmtId="1" fontId="7" fillId="0" borderId="0" xfId="0" applyNumberFormat="1" applyFont="1" applyFill="1" applyAlignment="1">
      <alignment horizontal="center"/>
    </xf>
    <xf numFmtId="3" fontId="7" fillId="0" borderId="0" xfId="0" applyNumberFormat="1" applyFont="1" applyFill="1" applyAlignment="1">
      <alignment horizontal="center"/>
    </xf>
    <xf numFmtId="164" fontId="7" fillId="0" borderId="0" xfId="0" applyNumberFormat="1" applyFont="1" applyFill="1"/>
    <xf numFmtId="0" fontId="7" fillId="0" borderId="0" xfId="0" applyFont="1" applyFill="1" applyBorder="1" applyAlignment="1"/>
    <xf numFmtId="3" fontId="12" fillId="0" borderId="0" xfId="0" applyNumberFormat="1" applyFont="1" applyFill="1" applyBorder="1" applyAlignment="1"/>
    <xf numFmtId="0" fontId="12" fillId="0" borderId="0" xfId="0" applyFont="1" applyFill="1" applyBorder="1" applyAlignment="1"/>
    <xf numFmtId="0" fontId="7" fillId="0" borderId="0" xfId="0" applyFont="1" applyFill="1" applyBorder="1" applyAlignment="1">
      <alignment horizontal="left" vertical="top" wrapText="1"/>
    </xf>
    <xf numFmtId="0" fontId="7" fillId="0" borderId="0" xfId="0" applyFont="1" applyFill="1" applyAlignment="1">
      <alignment vertical="top"/>
    </xf>
    <xf numFmtId="0" fontId="7" fillId="0" borderId="0" xfId="0" applyFont="1" applyFill="1" applyAlignment="1">
      <alignment horizontal="left" vertical="top" wrapText="1"/>
    </xf>
    <xf numFmtId="3" fontId="7" fillId="0" borderId="3" xfId="0" applyNumberFormat="1" applyFont="1" applyBorder="1" applyAlignment="1">
      <alignment horizontal="center"/>
    </xf>
    <xf numFmtId="3" fontId="7" fillId="0" borderId="1" xfId="0" applyNumberFormat="1" applyFont="1" applyBorder="1" applyAlignment="1">
      <alignment horizontal="center"/>
    </xf>
    <xf numFmtId="165" fontId="7" fillId="0" borderId="3" xfId="0" applyNumberFormat="1" applyFont="1" applyBorder="1" applyAlignment="1">
      <alignment horizontal="center"/>
    </xf>
    <xf numFmtId="165" fontId="7" fillId="0" borderId="1" xfId="0" applyNumberFormat="1" applyFont="1" applyBorder="1" applyAlignment="1">
      <alignment horizontal="center"/>
    </xf>
    <xf numFmtId="3" fontId="7" fillId="0" borderId="10" xfId="0" applyNumberFormat="1" applyFont="1" applyBorder="1" applyAlignment="1">
      <alignment horizontal="center"/>
    </xf>
    <xf numFmtId="165" fontId="7" fillId="0" borderId="10" xfId="0" applyNumberFormat="1" applyFont="1" applyBorder="1" applyAlignment="1">
      <alignment horizontal="center"/>
    </xf>
    <xf numFmtId="0" fontId="13" fillId="0" borderId="0" xfId="0" applyFont="1"/>
    <xf numFmtId="166" fontId="7" fillId="0" borderId="11" xfId="0" applyNumberFormat="1" applyFont="1" applyBorder="1" applyAlignment="1">
      <alignment horizontal="center"/>
    </xf>
    <xf numFmtId="166" fontId="7" fillId="0" borderId="1" xfId="0" applyNumberFormat="1" applyFont="1" applyBorder="1" applyAlignment="1">
      <alignment horizontal="center"/>
    </xf>
    <xf numFmtId="0" fontId="12" fillId="0" borderId="0" xfId="0" applyFont="1" applyFill="1" applyAlignment="1">
      <alignment horizontal="left" vertical="top"/>
    </xf>
    <xf numFmtId="0" fontId="7" fillId="0" borderId="0" xfId="0" applyFont="1" applyFill="1" applyAlignment="1">
      <alignment horizontal="center" wrapText="1"/>
    </xf>
    <xf numFmtId="0" fontId="7" fillId="0" borderId="0" xfId="0" applyFont="1" applyFill="1" applyAlignment="1"/>
    <xf numFmtId="0" fontId="7" fillId="0" borderId="0" xfId="0" applyFont="1" applyFill="1" applyAlignment="1">
      <alignment vertical="top" wrapText="1"/>
    </xf>
    <xf numFmtId="0" fontId="7" fillId="0" borderId="1" xfId="0" applyFont="1" applyFill="1" applyBorder="1" applyAlignment="1">
      <alignment horizontal="center" wrapText="1"/>
    </xf>
    <xf numFmtId="1" fontId="7" fillId="0" borderId="1" xfId="0" applyNumberFormat="1" applyFont="1" applyFill="1" applyBorder="1" applyAlignment="1">
      <alignment horizontal="center" wrapText="1"/>
    </xf>
    <xf numFmtId="3" fontId="7" fillId="0" borderId="1" xfId="0" applyNumberFormat="1" applyFont="1" applyFill="1" applyBorder="1" applyAlignment="1">
      <alignment horizontal="center" wrapText="1"/>
    </xf>
    <xf numFmtId="0" fontId="7" fillId="0" borderId="1" xfId="0" applyFont="1" applyFill="1" applyBorder="1"/>
    <xf numFmtId="0" fontId="7" fillId="0" borderId="1" xfId="0" applyFont="1" applyFill="1" applyBorder="1" applyAlignment="1">
      <alignment horizontal="center"/>
    </xf>
    <xf numFmtId="165" fontId="7" fillId="0" borderId="1" xfId="0" applyNumberFormat="1" applyFont="1" applyFill="1" applyBorder="1" applyAlignment="1">
      <alignment horizontal="center"/>
    </xf>
    <xf numFmtId="0" fontId="7" fillId="0" borderId="1" xfId="0" applyFont="1" applyFill="1" applyBorder="1" applyAlignment="1">
      <alignment horizontal="left" wrapText="1" indent="1"/>
    </xf>
    <xf numFmtId="3" fontId="7" fillId="0" borderId="1" xfId="1" applyNumberFormat="1" applyFont="1" applyFill="1" applyBorder="1" applyAlignment="1">
      <alignment horizontal="center"/>
    </xf>
    <xf numFmtId="0" fontId="7" fillId="0" borderId="1" xfId="0" applyFont="1" applyFill="1" applyBorder="1" applyAlignment="1">
      <alignment horizontal="left" indent="1"/>
    </xf>
    <xf numFmtId="0" fontId="7" fillId="0" borderId="1" xfId="0" applyFont="1" applyFill="1" applyBorder="1" applyAlignment="1">
      <alignment horizontal="left" wrapText="1" indent="2"/>
    </xf>
    <xf numFmtId="165" fontId="16" fillId="0" borderId="1" xfId="0" applyNumberFormat="1" applyFont="1" applyFill="1" applyBorder="1" applyAlignment="1">
      <alignment horizontal="center"/>
    </xf>
    <xf numFmtId="0" fontId="7" fillId="0" borderId="1" xfId="0" applyFont="1" applyFill="1" applyBorder="1" applyAlignment="1">
      <alignment horizontal="left" indent="4"/>
    </xf>
    <xf numFmtId="0" fontId="7" fillId="0" borderId="1" xfId="0" applyFont="1" applyFill="1" applyBorder="1" applyAlignment="1">
      <alignment horizontal="left" indent="2"/>
    </xf>
    <xf numFmtId="0" fontId="7" fillId="0" borderId="1" xfId="0" applyFont="1" applyFill="1" applyBorder="1" applyAlignment="1">
      <alignment horizontal="left" wrapText="1" indent="3"/>
    </xf>
    <xf numFmtId="0" fontId="7" fillId="0" borderId="1" xfId="0" applyFont="1" applyFill="1" applyBorder="1" applyAlignment="1">
      <alignment horizontal="left" indent="3"/>
    </xf>
    <xf numFmtId="166" fontId="7" fillId="0" borderId="1" xfId="0" applyNumberFormat="1" applyFont="1" applyFill="1" applyBorder="1" applyAlignment="1">
      <alignment horizontal="center"/>
    </xf>
    <xf numFmtId="3" fontId="12" fillId="0" borderId="1" xfId="1" applyNumberFormat="1" applyFont="1" applyFill="1" applyBorder="1" applyAlignment="1">
      <alignment horizontal="center"/>
    </xf>
    <xf numFmtId="0" fontId="17" fillId="0" borderId="1" xfId="0" applyFont="1" applyFill="1" applyBorder="1" applyAlignment="1"/>
    <xf numFmtId="0" fontId="12" fillId="0" borderId="1" xfId="0" applyFont="1" applyFill="1" applyBorder="1" applyAlignment="1">
      <alignment horizontal="center"/>
    </xf>
    <xf numFmtId="165" fontId="12" fillId="0" borderId="1" xfId="0" applyNumberFormat="1" applyFont="1" applyFill="1" applyBorder="1" applyAlignment="1">
      <alignment horizontal="center"/>
    </xf>
    <xf numFmtId="165" fontId="17" fillId="0" borderId="1" xfId="0" applyNumberFormat="1" applyFont="1" applyFill="1" applyBorder="1" applyAlignment="1">
      <alignment horizontal="center"/>
    </xf>
    <xf numFmtId="0" fontId="7" fillId="0" borderId="1" xfId="0" applyFont="1" applyFill="1" applyBorder="1" applyAlignment="1">
      <alignment horizontal="left"/>
    </xf>
    <xf numFmtId="0" fontId="17" fillId="0" borderId="1" xfId="0" applyFont="1" applyFill="1" applyBorder="1"/>
    <xf numFmtId="3" fontId="12" fillId="0" borderId="1" xfId="0" applyNumberFormat="1" applyFont="1" applyFill="1" applyBorder="1" applyAlignment="1">
      <alignment horizontal="center"/>
    </xf>
    <xf numFmtId="0" fontId="12" fillId="0" borderId="1" xfId="0" applyFont="1" applyFill="1" applyBorder="1"/>
    <xf numFmtId="0" fontId="12" fillId="0" borderId="0" xfId="0" applyFont="1" applyFill="1" applyAlignment="1">
      <alignment vertical="top"/>
    </xf>
    <xf numFmtId="0" fontId="7" fillId="0" borderId="1" xfId="0" applyFont="1" applyFill="1" applyBorder="1" applyAlignment="1">
      <alignment wrapText="1"/>
    </xf>
    <xf numFmtId="0" fontId="7" fillId="0" borderId="1" xfId="0" applyFont="1" applyBorder="1" applyAlignment="1">
      <alignment horizontal="left" vertical="center" wrapText="1" indent="2"/>
    </xf>
    <xf numFmtId="1" fontId="7" fillId="0" borderId="1" xfId="2" applyNumberFormat="1" applyFont="1" applyFill="1" applyBorder="1" applyAlignment="1">
      <alignment horizontal="center" vertical="center" wrapText="1"/>
    </xf>
    <xf numFmtId="165" fontId="7" fillId="0" borderId="1" xfId="2" applyNumberFormat="1" applyFont="1" applyFill="1" applyBorder="1" applyAlignment="1">
      <alignment horizontal="center" vertical="center" wrapText="1"/>
    </xf>
    <xf numFmtId="165" fontId="12" fillId="0" borderId="1" xfId="2" applyNumberFormat="1" applyFont="1" applyFill="1" applyBorder="1" applyAlignment="1">
      <alignment horizontal="center" vertical="center" wrapText="1"/>
    </xf>
    <xf numFmtId="0" fontId="12" fillId="0" borderId="0" xfId="0" applyFont="1" applyFill="1" applyAlignment="1"/>
    <xf numFmtId="0" fontId="7" fillId="0" borderId="0" xfId="0" applyFont="1" applyFill="1" applyBorder="1" applyAlignment="1">
      <alignment horizontal="center" textRotation="90"/>
    </xf>
    <xf numFmtId="0" fontId="7" fillId="0" borderId="1" xfId="0" applyFont="1" applyFill="1" applyBorder="1" applyAlignment="1">
      <alignment horizontal="left" vertical="top" wrapText="1"/>
    </xf>
    <xf numFmtId="164" fontId="7" fillId="0" borderId="1" xfId="0" applyNumberFormat="1" applyFont="1" applyFill="1" applyBorder="1" applyAlignment="1">
      <alignment horizontal="center" wrapText="1"/>
    </xf>
    <xf numFmtId="49" fontId="7" fillId="0" borderId="1" xfId="0" applyNumberFormat="1" applyFont="1" applyFill="1" applyBorder="1" applyAlignment="1">
      <alignment horizontal="left" vertical="top" wrapText="1"/>
    </xf>
    <xf numFmtId="166" fontId="7" fillId="0" borderId="1" xfId="0" applyNumberFormat="1" applyFont="1" applyFill="1" applyBorder="1" applyAlignment="1">
      <alignment horizontal="center" wrapText="1"/>
    </xf>
    <xf numFmtId="3" fontId="7" fillId="0" borderId="1" xfId="0" applyNumberFormat="1" applyFont="1" applyFill="1" applyBorder="1" applyAlignment="1">
      <alignment horizontal="left" vertical="top" wrapText="1"/>
    </xf>
    <xf numFmtId="3" fontId="7" fillId="0" borderId="1" xfId="0" applyNumberFormat="1" applyFont="1" applyFill="1" applyBorder="1" applyAlignment="1">
      <alignment horizontal="left" vertical="top" wrapText="1" indent="1"/>
    </xf>
    <xf numFmtId="165" fontId="7" fillId="0" borderId="1" xfId="0" applyNumberFormat="1" applyFont="1" applyFill="1" applyBorder="1" applyAlignment="1">
      <alignment horizontal="center" wrapText="1"/>
    </xf>
    <xf numFmtId="49" fontId="7" fillId="0" borderId="1" xfId="0" applyNumberFormat="1" applyFont="1" applyFill="1" applyBorder="1" applyAlignment="1">
      <alignment horizontal="left" vertical="top" wrapText="1" indent="1"/>
    </xf>
    <xf numFmtId="3" fontId="12" fillId="0" borderId="1" xfId="0" applyNumberFormat="1" applyFont="1" applyFill="1" applyBorder="1"/>
    <xf numFmtId="165" fontId="12" fillId="0" borderId="1" xfId="0" applyNumberFormat="1" applyFont="1" applyFill="1" applyBorder="1" applyAlignment="1">
      <alignment horizontal="center" wrapText="1"/>
    </xf>
    <xf numFmtId="3" fontId="7" fillId="0" borderId="0" xfId="0" applyNumberFormat="1" applyFont="1" applyFill="1" applyAlignment="1">
      <alignment horizontal="center" wrapText="1"/>
    </xf>
    <xf numFmtId="3" fontId="7" fillId="0" borderId="0" xfId="0" quotePrefix="1" applyNumberFormat="1" applyFont="1" applyFill="1" applyAlignment="1">
      <alignment horizontal="center" wrapText="1"/>
    </xf>
    <xf numFmtId="165" fontId="7" fillId="0" borderId="0" xfId="0" applyNumberFormat="1" applyFont="1" applyFill="1" applyAlignment="1">
      <alignment horizontal="center" wrapText="1"/>
    </xf>
    <xf numFmtId="1" fontId="7" fillId="0" borderId="11" xfId="0" applyNumberFormat="1" applyFont="1" applyBorder="1" applyAlignment="1">
      <alignment horizontal="center"/>
    </xf>
    <xf numFmtId="167" fontId="7" fillId="0" borderId="10" xfId="0" applyNumberFormat="1" applyFont="1" applyBorder="1" applyAlignment="1">
      <alignment horizontal="center" vertical="center"/>
    </xf>
    <xf numFmtId="167" fontId="7" fillId="0" borderId="10" xfId="0" applyNumberFormat="1" applyFont="1" applyBorder="1" applyAlignment="1">
      <alignment horizontal="center" vertical="center" wrapText="1"/>
    </xf>
    <xf numFmtId="167" fontId="7" fillId="0" borderId="3" xfId="0" applyNumberFormat="1" applyFont="1" applyBorder="1" applyAlignment="1">
      <alignment horizontal="center"/>
    </xf>
    <xf numFmtId="167" fontId="7" fillId="0" borderId="1" xfId="0" applyNumberFormat="1" applyFont="1" applyBorder="1" applyAlignment="1">
      <alignment horizontal="center"/>
    </xf>
    <xf numFmtId="167" fontId="7" fillId="0" borderId="10" xfId="0" applyNumberFormat="1" applyFont="1" applyBorder="1" applyAlignment="1">
      <alignment horizontal="center"/>
    </xf>
    <xf numFmtId="166" fontId="7" fillId="0" borderId="8" xfId="0" applyNumberFormat="1" applyFont="1" applyBorder="1" applyAlignment="1">
      <alignment horizontal="center"/>
    </xf>
    <xf numFmtId="167" fontId="7" fillId="0" borderId="6" xfId="0" applyNumberFormat="1" applyFont="1" applyBorder="1" applyAlignment="1">
      <alignment horizontal="center"/>
    </xf>
    <xf numFmtId="3" fontId="7" fillId="0" borderId="6" xfId="0" applyNumberFormat="1" applyFont="1" applyBorder="1" applyAlignment="1">
      <alignment horizontal="center"/>
    </xf>
    <xf numFmtId="165" fontId="7" fillId="0" borderId="6" xfId="0" applyNumberFormat="1" applyFont="1" applyBorder="1" applyAlignment="1">
      <alignment horizontal="center"/>
    </xf>
    <xf numFmtId="167" fontId="7" fillId="0" borderId="12" xfId="0" applyNumberFormat="1" applyFont="1" applyBorder="1" applyAlignment="1">
      <alignment horizontal="center" wrapText="1"/>
    </xf>
    <xf numFmtId="167" fontId="7" fillId="0" borderId="13" xfId="0" applyNumberFormat="1" applyFont="1" applyBorder="1" applyAlignment="1">
      <alignment horizontal="center" wrapText="1"/>
    </xf>
    <xf numFmtId="0" fontId="13" fillId="0" borderId="4" xfId="0" applyFont="1" applyBorder="1"/>
    <xf numFmtId="0" fontId="13" fillId="0" borderId="9" xfId="0" applyFont="1" applyBorder="1"/>
    <xf numFmtId="0" fontId="13" fillId="0" borderId="2" xfId="0" applyFont="1" applyBorder="1"/>
    <xf numFmtId="167" fontId="7" fillId="0" borderId="11" xfId="0" applyNumberFormat="1" applyFont="1" applyBorder="1" applyAlignment="1">
      <alignment horizontal="center" vertical="center" wrapText="1"/>
    </xf>
    <xf numFmtId="167" fontId="7" fillId="0" borderId="11" xfId="0" applyNumberFormat="1" applyFont="1" applyBorder="1" applyAlignment="1">
      <alignment horizontal="left" vertical="top"/>
    </xf>
    <xf numFmtId="167" fontId="7" fillId="0" borderId="11" xfId="0" applyNumberFormat="1" applyFont="1" applyBorder="1" applyAlignment="1">
      <alignment horizontal="left"/>
    </xf>
    <xf numFmtId="167" fontId="7" fillId="0" borderId="11" xfId="0" applyNumberFormat="1" applyFont="1" applyBorder="1" applyAlignment="1">
      <alignment horizontal="center" wrapText="1"/>
    </xf>
    <xf numFmtId="167" fontId="7" fillId="0" borderId="14" xfId="0" applyNumberFormat="1" applyFont="1" applyBorder="1" applyAlignment="1">
      <alignment horizontal="center" wrapText="1"/>
    </xf>
    <xf numFmtId="165" fontId="13" fillId="0" borderId="1" xfId="0" applyNumberFormat="1" applyFont="1" applyBorder="1" applyAlignment="1">
      <alignment horizontal="center"/>
    </xf>
    <xf numFmtId="1" fontId="7" fillId="0" borderId="3" xfId="0" applyNumberFormat="1" applyFont="1" applyBorder="1" applyAlignment="1">
      <alignment horizontal="center"/>
    </xf>
    <xf numFmtId="1" fontId="7" fillId="0" borderId="10" xfId="0" applyNumberFormat="1" applyFont="1" applyBorder="1" applyAlignment="1">
      <alignment horizontal="center"/>
    </xf>
    <xf numFmtId="1" fontId="7" fillId="0" borderId="8" xfId="0" applyNumberFormat="1" applyFont="1" applyBorder="1" applyAlignment="1">
      <alignment horizontal="center"/>
    </xf>
    <xf numFmtId="0" fontId="12" fillId="0" borderId="1" xfId="0" applyFont="1" applyBorder="1" applyAlignment="1">
      <alignment horizontal="left" vertical="center" wrapText="1" indent="1"/>
    </xf>
    <xf numFmtId="167" fontId="7" fillId="0" borderId="1" xfId="0" applyNumberFormat="1" applyFont="1" applyBorder="1" applyAlignment="1">
      <alignment horizontal="left" vertical="top"/>
    </xf>
    <xf numFmtId="167" fontId="7" fillId="0" borderId="1" xfId="0" applyNumberFormat="1" applyFont="1" applyBorder="1" applyAlignment="1">
      <alignment horizontal="left"/>
    </xf>
    <xf numFmtId="165" fontId="7" fillId="0" borderId="0" xfId="0" applyNumberFormat="1" applyFont="1"/>
    <xf numFmtId="0" fontId="7" fillId="0" borderId="1" xfId="0" applyFont="1" applyBorder="1" applyAlignment="1">
      <alignment horizontal="center" vertical="center"/>
    </xf>
    <xf numFmtId="0" fontId="12" fillId="0" borderId="7"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3" fillId="0" borderId="0"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horizontal="center"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12" fillId="0" borderId="1" xfId="0" applyFont="1" applyBorder="1" applyAlignment="1">
      <alignment horizontal="center" vertical="center" wrapText="1"/>
    </xf>
    <xf numFmtId="0" fontId="7" fillId="0" borderId="3" xfId="0"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18" fillId="0" borderId="0" xfId="0" applyFont="1" applyBorder="1" applyAlignment="1">
      <alignment vertical="center" wrapText="1"/>
    </xf>
    <xf numFmtId="164" fontId="19" fillId="0" borderId="1" xfId="0" applyNumberFormat="1" applyFont="1" applyBorder="1"/>
    <xf numFmtId="0" fontId="7" fillId="0" borderId="0" xfId="0" applyFont="1" applyFill="1" applyAlignment="1">
      <alignment horizontal="left" vertical="top" wrapText="1"/>
    </xf>
    <xf numFmtId="0" fontId="12" fillId="0" borderId="0" xfId="0" applyFont="1" applyFill="1" applyAlignment="1">
      <alignment horizontal="left" vertical="top" wrapText="1"/>
    </xf>
    <xf numFmtId="0" fontId="7" fillId="0" borderId="0" xfId="0" applyFont="1" applyFill="1" applyBorder="1" applyAlignment="1">
      <alignment horizontal="left" vertical="top" wrapText="1"/>
    </xf>
    <xf numFmtId="3" fontId="12" fillId="0" borderId="0" xfId="0" applyNumberFormat="1" applyFont="1" applyFill="1" applyBorder="1" applyAlignment="1">
      <alignment horizontal="left"/>
    </xf>
    <xf numFmtId="3" fontId="7" fillId="0" borderId="0" xfId="0" applyNumberFormat="1" applyFont="1" applyFill="1" applyAlignment="1">
      <alignment horizontal="left"/>
    </xf>
    <xf numFmtId="0" fontId="6" fillId="0" borderId="0" xfId="0" applyFont="1" applyBorder="1" applyAlignment="1">
      <alignment wrapText="1"/>
    </xf>
    <xf numFmtId="0" fontId="3" fillId="0" borderId="0" xfId="0" applyFont="1" applyFill="1" applyBorder="1"/>
    <xf numFmtId="0" fontId="13" fillId="0" borderId="0" xfId="0" applyFont="1" applyBorder="1"/>
    <xf numFmtId="0" fontId="13" fillId="0" borderId="0" xfId="0" applyFont="1" applyBorder="1" applyAlignment="1">
      <alignment horizontal="center"/>
    </xf>
    <xf numFmtId="167" fontId="7" fillId="11" borderId="10" xfId="15" applyNumberFormat="1" applyFont="1" applyFill="1" applyBorder="1" applyAlignment="1">
      <alignment horizontal="center" vertical="center" wrapText="1"/>
    </xf>
    <xf numFmtId="167" fontId="7" fillId="11" borderId="11" xfId="15" applyNumberFormat="1" applyFont="1" applyFill="1" applyBorder="1" applyAlignment="1">
      <alignment horizontal="center" vertical="center" wrapText="1"/>
    </xf>
    <xf numFmtId="165" fontId="7" fillId="11" borderId="3" xfId="15" applyNumberFormat="1" applyFont="1" applyFill="1" applyBorder="1" applyAlignment="1">
      <alignment horizontal="center"/>
    </xf>
    <xf numFmtId="165" fontId="7" fillId="11" borderId="1" xfId="15" applyNumberFormat="1" applyFont="1" applyFill="1" applyBorder="1" applyAlignment="1">
      <alignment horizontal="center"/>
    </xf>
    <xf numFmtId="165" fontId="7" fillId="11" borderId="6" xfId="15" applyNumberFormat="1" applyFont="1" applyFill="1" applyBorder="1" applyAlignment="1">
      <alignment horizontal="center"/>
    </xf>
    <xf numFmtId="0" fontId="7" fillId="11" borderId="9" xfId="15" applyFont="1" applyFill="1" applyBorder="1"/>
    <xf numFmtId="167" fontId="7" fillId="11" borderId="12" xfId="15" applyNumberFormat="1" applyFont="1" applyFill="1" applyBorder="1" applyAlignment="1">
      <alignment horizontal="center" wrapText="1"/>
    </xf>
    <xf numFmtId="167" fontId="7" fillId="11" borderId="11" xfId="15" applyNumberFormat="1" applyFont="1" applyFill="1" applyBorder="1" applyAlignment="1">
      <alignment horizontal="center" wrapText="1"/>
    </xf>
    <xf numFmtId="166" fontId="7" fillId="11" borderId="3" xfId="15" applyNumberFormat="1" applyFont="1" applyFill="1" applyBorder="1" applyAlignment="1">
      <alignment horizontal="center"/>
    </xf>
    <xf numFmtId="3" fontId="7" fillId="11" borderId="1" xfId="15" applyNumberFormat="1" applyFont="1" applyFill="1" applyBorder="1" applyAlignment="1">
      <alignment horizontal="center"/>
    </xf>
    <xf numFmtId="3" fontId="7" fillId="11" borderId="6" xfId="15" applyNumberFormat="1" applyFont="1" applyFill="1" applyBorder="1" applyAlignment="1">
      <alignment horizontal="center"/>
    </xf>
    <xf numFmtId="3" fontId="7" fillId="11" borderId="10" xfId="15" applyNumberFormat="1" applyFont="1" applyFill="1" applyBorder="1" applyAlignment="1">
      <alignment horizontal="center"/>
    </xf>
    <xf numFmtId="166" fontId="7" fillId="11" borderId="1" xfId="15" applyNumberFormat="1" applyFont="1" applyFill="1" applyBorder="1" applyAlignment="1">
      <alignment horizontal="center"/>
    </xf>
    <xf numFmtId="0" fontId="12"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2"/>
    </xf>
    <xf numFmtId="165" fontId="7" fillId="0" borderId="1" xfId="0" applyNumberFormat="1" applyFont="1" applyFill="1" applyBorder="1"/>
    <xf numFmtId="0" fontId="0" fillId="0" borderId="0" xfId="0" applyFill="1"/>
    <xf numFmtId="0" fontId="6" fillId="0" borderId="1" xfId="0" applyFont="1" applyFill="1" applyBorder="1" applyAlignment="1">
      <alignment wrapText="1"/>
    </xf>
    <xf numFmtId="0" fontId="0" fillId="0" borderId="1" xfId="0" applyFill="1" applyBorder="1"/>
    <xf numFmtId="0" fontId="3" fillId="0" borderId="16" xfId="0" applyFont="1" applyFill="1" applyBorder="1" applyAlignment="1">
      <alignment wrapText="1"/>
    </xf>
    <xf numFmtId="0" fontId="3" fillId="0" borderId="16" xfId="0" applyFont="1" applyFill="1" applyBorder="1"/>
    <xf numFmtId="0" fontId="3" fillId="0" borderId="0" xfId="0" applyFont="1" applyFill="1" applyAlignment="1">
      <alignment wrapText="1"/>
    </xf>
    <xf numFmtId="0" fontId="0" fillId="0" borderId="0" xfId="0" applyFill="1" applyBorder="1"/>
    <xf numFmtId="0" fontId="12" fillId="0" borderId="0" xfId="0" applyFont="1" applyFill="1" applyBorder="1" applyAlignment="1">
      <alignment horizontal="left" vertical="top"/>
    </xf>
    <xf numFmtId="164" fontId="11" fillId="0" borderId="0" xfId="0" applyNumberFormat="1" applyFont="1" applyFill="1"/>
    <xf numFmtId="3" fontId="7" fillId="0" borderId="3" xfId="0" applyNumberFormat="1" applyFont="1" applyFill="1" applyBorder="1" applyAlignment="1">
      <alignment horizontal="center"/>
    </xf>
    <xf numFmtId="3" fontId="7" fillId="0" borderId="3" xfId="0" quotePrefix="1" applyNumberFormat="1" applyFont="1" applyFill="1" applyBorder="1" applyAlignment="1">
      <alignment horizontal="center"/>
    </xf>
    <xf numFmtId="3" fontId="7" fillId="0" borderId="6" xfId="0" applyNumberFormat="1" applyFont="1" applyFill="1" applyBorder="1" applyAlignment="1">
      <alignment horizontal="center"/>
    </xf>
    <xf numFmtId="3" fontId="7" fillId="0" borderId="1" xfId="0" quotePrefix="1" applyNumberFormat="1" applyFont="1" applyFill="1" applyBorder="1" applyAlignment="1">
      <alignment horizontal="center"/>
    </xf>
    <xf numFmtId="3" fontId="7" fillId="0" borderId="10" xfId="0" applyNumberFormat="1" applyFont="1" applyFill="1" applyBorder="1" applyAlignment="1">
      <alignment horizontal="center"/>
    </xf>
    <xf numFmtId="0" fontId="18" fillId="0" borderId="0" xfId="0" applyFont="1" applyAlignment="1">
      <alignment vertical="center"/>
    </xf>
    <xf numFmtId="0" fontId="12" fillId="0" borderId="1" xfId="0" applyFont="1" applyBorder="1" applyAlignment="1">
      <alignment horizontal="left" vertical="top" wrapText="1"/>
    </xf>
    <xf numFmtId="3" fontId="7" fillId="12" borderId="1" xfId="0" applyNumberFormat="1" applyFont="1" applyFill="1" applyBorder="1" applyAlignment="1">
      <alignment horizontal="center" wrapText="1"/>
    </xf>
    <xf numFmtId="0" fontId="7" fillId="0" borderId="1" xfId="0" applyFont="1" applyFill="1" applyBorder="1" applyAlignment="1">
      <alignment horizontal="left" wrapText="1"/>
    </xf>
    <xf numFmtId="165" fontId="7" fillId="0" borderId="6" xfId="15" applyNumberFormat="1" applyFont="1" applyFill="1" applyBorder="1" applyAlignment="1">
      <alignment horizontal="center"/>
    </xf>
    <xf numFmtId="165" fontId="7" fillId="0" borderId="10" xfId="15" applyNumberFormat="1" applyFont="1" applyFill="1" applyBorder="1" applyAlignment="1">
      <alignment horizontal="center"/>
    </xf>
    <xf numFmtId="0" fontId="7" fillId="0" borderId="0" xfId="0" applyFont="1" applyFill="1" applyAlignment="1">
      <alignment horizontal="left" vertical="top" wrapText="1"/>
    </xf>
    <xf numFmtId="0" fontId="9" fillId="0" borderId="0" xfId="0" applyFont="1" applyFill="1" applyAlignment="1">
      <alignment horizontal="left" vertical="top" wrapText="1"/>
    </xf>
    <xf numFmtId="0" fontId="7" fillId="0" borderId="1" xfId="0" applyFont="1" applyBorder="1" applyAlignment="1">
      <alignment horizontal="center" vertical="top"/>
    </xf>
    <xf numFmtId="3" fontId="17" fillId="0" borderId="1" xfId="0" applyNumberFormat="1" applyFont="1" applyFill="1" applyBorder="1" applyAlignment="1">
      <alignment horizontal="center"/>
    </xf>
    <xf numFmtId="3" fontId="12" fillId="0" borderId="1" xfId="0" applyNumberFormat="1" applyFont="1" applyFill="1" applyBorder="1" applyAlignment="1">
      <alignment horizontal="center"/>
    </xf>
    <xf numFmtId="0" fontId="7" fillId="0" borderId="0" xfId="0" applyFont="1" applyFill="1" applyAlignment="1">
      <alignment horizontal="left" vertical="top"/>
    </xf>
    <xf numFmtId="0" fontId="12" fillId="0" borderId="0" xfId="0" applyFont="1" applyFill="1" applyAlignment="1">
      <alignment horizontal="left" vertical="top" wrapText="1"/>
    </xf>
    <xf numFmtId="0" fontId="7" fillId="0" borderId="0" xfId="0" applyFont="1" applyFill="1" applyBorder="1" applyAlignment="1">
      <alignment horizontal="left" wrapText="1"/>
    </xf>
    <xf numFmtId="0" fontId="7" fillId="0" borderId="0" xfId="0" applyFont="1" applyFill="1" applyBorder="1" applyAlignment="1">
      <alignment horizontal="left" vertical="top" wrapText="1"/>
    </xf>
    <xf numFmtId="0" fontId="17" fillId="0" borderId="1" xfId="0" applyFont="1" applyFill="1" applyBorder="1" applyAlignment="1">
      <alignment horizontal="center"/>
    </xf>
    <xf numFmtId="0" fontId="7" fillId="0" borderId="0" xfId="0" applyFont="1" applyFill="1" applyAlignment="1">
      <alignment horizontal="left" wrapText="1"/>
    </xf>
    <xf numFmtId="0" fontId="9" fillId="0" borderId="5" xfId="0" applyFont="1" applyBorder="1" applyAlignment="1">
      <alignment horizontal="left" vertical="top"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2" xfId="0" applyFont="1" applyFill="1" applyBorder="1" applyAlignment="1">
      <alignment horizontal="center" vertical="top" wrapText="1"/>
    </xf>
    <xf numFmtId="3" fontId="12" fillId="0" borderId="1" xfId="0" applyNumberFormat="1" applyFont="1" applyFill="1" applyBorder="1" applyAlignment="1">
      <alignment horizontal="center" wrapText="1"/>
    </xf>
    <xf numFmtId="167" fontId="9" fillId="0" borderId="0" xfId="0" applyNumberFormat="1" applyFont="1" applyAlignment="1">
      <alignment horizontal="left" vertical="top" wrapText="1"/>
    </xf>
    <xf numFmtId="0" fontId="7" fillId="0" borderId="17" xfId="0" applyFont="1" applyBorder="1" applyAlignment="1">
      <alignment horizontal="left" vertical="top" wrapText="1"/>
    </xf>
    <xf numFmtId="0" fontId="12" fillId="0" borderId="0"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8" fillId="0" borderId="0" xfId="0" applyFont="1" applyBorder="1" applyAlignment="1">
      <alignment horizontal="left" vertical="top"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0" xfId="0" applyFont="1" applyBorder="1" applyAlignment="1">
      <alignment horizontal="center" vertical="center" wrapText="1"/>
    </xf>
    <xf numFmtId="0" fontId="3" fillId="0" borderId="0" xfId="0" applyFont="1" applyBorder="1" applyAlignment="1">
      <alignment horizontal="left" wrapText="1"/>
    </xf>
    <xf numFmtId="0" fontId="0" fillId="0" borderId="0" xfId="0" applyBorder="1" applyAlignment="1">
      <alignment horizontal="center"/>
    </xf>
    <xf numFmtId="0" fontId="3" fillId="0" borderId="0" xfId="0" applyFont="1" applyFill="1" applyAlignment="1">
      <alignment horizontal="left" wrapText="1"/>
    </xf>
    <xf numFmtId="0" fontId="3" fillId="0" borderId="5" xfId="0" applyFont="1" applyFill="1" applyBorder="1" applyAlignment="1">
      <alignment horizontal="left" vertical="top" wrapText="1"/>
    </xf>
  </cellXfs>
  <cellStyles count="16">
    <cellStyle name="Bad" xfId="15" builtinId="27"/>
    <cellStyle name="Comma" xfId="1" builtinId="3"/>
    <cellStyle name="Comma 2" xfId="5" xr:uid="{00000000-0005-0000-0000-000001000000}"/>
    <cellStyle name="Comma 3" xfId="10" xr:uid="{00000000-0005-0000-0000-000002000000}"/>
    <cellStyle name="Currency" xfId="2" builtinId="4"/>
    <cellStyle name="Currency 2" xfId="6" xr:uid="{00000000-0005-0000-0000-000004000000}"/>
    <cellStyle name="Currency 3" xfId="13" xr:uid="{00000000-0005-0000-0000-000005000000}"/>
    <cellStyle name="Normal" xfId="0" builtinId="0"/>
    <cellStyle name="Normal 2" xfId="4" xr:uid="{00000000-0005-0000-0000-000008000000}"/>
    <cellStyle name="Normal 2 2" xfId="14" xr:uid="{00000000-0005-0000-0000-000009000000}"/>
    <cellStyle name="Normal 2 3" xfId="12" xr:uid="{00000000-0005-0000-0000-00000A000000}"/>
    <cellStyle name="Normal 3" xfId="3" xr:uid="{00000000-0005-0000-0000-00000B000000}"/>
    <cellStyle name="Normal 3 2" xfId="11" xr:uid="{00000000-0005-0000-0000-00000C000000}"/>
    <cellStyle name="Normal 4" xfId="9" xr:uid="{00000000-0005-0000-0000-00000D000000}"/>
    <cellStyle name="Normal 5" xfId="8" xr:uid="{00000000-0005-0000-0000-00000E000000}"/>
    <cellStyle name="Percent 2" xfId="7"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81"/>
  <sheetViews>
    <sheetView topLeftCell="A40" zoomScale="85" zoomScaleNormal="85" workbookViewId="0">
      <selection activeCell="M59" sqref="M59"/>
    </sheetView>
  </sheetViews>
  <sheetFormatPr defaultColWidth="9.140625" defaultRowHeight="12.75" x14ac:dyDescent="0.2"/>
  <cols>
    <col min="1" max="1" width="45" style="57" customWidth="1"/>
    <col min="2" max="7" width="14" style="77" customWidth="1"/>
    <col min="8" max="8" width="14" style="78" customWidth="1"/>
    <col min="9" max="12" width="14" style="77" customWidth="1"/>
    <col min="13" max="13" width="14" style="79" customWidth="1"/>
    <col min="14" max="14" width="2.85546875" style="79" customWidth="1"/>
    <col min="15" max="15" width="11.28515625" style="77" bestFit="1" customWidth="1"/>
    <col min="16" max="16" width="11.28515625" style="57" customWidth="1"/>
    <col min="17" max="17" width="11.28515625" style="57" bestFit="1" customWidth="1"/>
    <col min="18" max="18" width="7.7109375" style="57" bestFit="1" customWidth="1"/>
    <col min="19" max="19" width="31.7109375" style="57" customWidth="1"/>
    <col min="20" max="20" width="9.140625" style="57" customWidth="1"/>
    <col min="21" max="21" width="25" style="57" customWidth="1"/>
    <col min="22" max="16384" width="9.140625" style="57"/>
  </cols>
  <sheetData>
    <row r="1" spans="1:17" ht="26.25" customHeight="1" x14ac:dyDescent="0.2">
      <c r="A1" s="235" t="s">
        <v>208</v>
      </c>
      <c r="B1" s="235"/>
      <c r="C1" s="235"/>
      <c r="D1" s="235"/>
      <c r="E1" s="235"/>
      <c r="F1" s="235"/>
      <c r="G1" s="235"/>
      <c r="H1" s="235"/>
      <c r="I1" s="235"/>
      <c r="J1" s="235"/>
      <c r="K1" s="235"/>
      <c r="L1" s="235"/>
      <c r="M1" s="235"/>
      <c r="N1" s="125"/>
      <c r="O1" s="125"/>
    </row>
    <row r="2" spans="1:17" x14ac:dyDescent="0.2">
      <c r="A2" s="83" t="s">
        <v>80</v>
      </c>
      <c r="B2" s="83"/>
      <c r="C2" s="83"/>
      <c r="D2" s="83"/>
      <c r="E2" s="83"/>
      <c r="F2" s="83"/>
      <c r="G2" s="83"/>
      <c r="H2" s="83"/>
      <c r="I2" s="83"/>
      <c r="J2" s="83"/>
      <c r="K2" s="83"/>
      <c r="L2" s="83"/>
      <c r="M2" s="83"/>
      <c r="N2" s="83"/>
      <c r="O2" s="83"/>
    </row>
    <row r="3" spans="1:17" x14ac:dyDescent="0.2">
      <c r="A3" s="83"/>
      <c r="B3" s="83"/>
      <c r="C3" s="83"/>
      <c r="D3" s="83"/>
      <c r="E3" s="83"/>
      <c r="F3" s="83"/>
      <c r="G3" s="83"/>
      <c r="H3" s="83"/>
      <c r="I3" s="83"/>
      <c r="J3" s="83"/>
      <c r="K3" s="83"/>
      <c r="L3" s="83"/>
      <c r="M3" s="83"/>
      <c r="N3" s="83"/>
      <c r="O3" s="83"/>
    </row>
    <row r="4" spans="1:17" s="60" customFormat="1" ht="76.5" x14ac:dyDescent="0.2">
      <c r="A4" s="100" t="s">
        <v>38</v>
      </c>
      <c r="B4" s="100" t="s">
        <v>253</v>
      </c>
      <c r="C4" s="100" t="s">
        <v>130</v>
      </c>
      <c r="D4" s="100" t="s">
        <v>124</v>
      </c>
      <c r="E4" s="100" t="s">
        <v>125</v>
      </c>
      <c r="F4" s="100" t="s">
        <v>129</v>
      </c>
      <c r="G4" s="100" t="s">
        <v>254</v>
      </c>
      <c r="H4" s="101" t="s">
        <v>299</v>
      </c>
      <c r="I4" s="102" t="s">
        <v>256</v>
      </c>
      <c r="J4" s="102" t="s">
        <v>257</v>
      </c>
      <c r="K4" s="102" t="s">
        <v>258</v>
      </c>
      <c r="L4" s="100" t="s">
        <v>300</v>
      </c>
      <c r="M4" s="230" t="s">
        <v>337</v>
      </c>
      <c r="N4" s="44"/>
    </row>
    <row r="5" spans="1:17" x14ac:dyDescent="0.2">
      <c r="A5" s="103" t="s">
        <v>39</v>
      </c>
      <c r="B5" s="104" t="s">
        <v>227</v>
      </c>
      <c r="C5" s="105"/>
      <c r="D5" s="105"/>
      <c r="E5" s="105"/>
      <c r="F5" s="104"/>
      <c r="G5" s="104"/>
      <c r="H5" s="45"/>
      <c r="I5" s="45"/>
      <c r="J5" s="45"/>
      <c r="K5" s="45"/>
      <c r="L5" s="105"/>
      <c r="M5" s="105"/>
      <c r="N5" s="61"/>
      <c r="O5" s="236" t="s">
        <v>122</v>
      </c>
      <c r="P5" s="236"/>
    </row>
    <row r="6" spans="1:17" x14ac:dyDescent="0.2">
      <c r="A6" s="103" t="s">
        <v>40</v>
      </c>
      <c r="B6" s="104" t="s">
        <v>227</v>
      </c>
      <c r="C6" s="105"/>
      <c r="D6" s="105"/>
      <c r="E6" s="105"/>
      <c r="F6" s="104"/>
      <c r="G6" s="104"/>
      <c r="H6" s="45"/>
      <c r="I6" s="45"/>
      <c r="J6" s="45"/>
      <c r="K6" s="45"/>
      <c r="L6" s="105"/>
      <c r="M6" s="105"/>
      <c r="N6" s="61"/>
      <c r="O6" s="46" t="s">
        <v>123</v>
      </c>
      <c r="P6" s="188">
        <v>141.06</v>
      </c>
    </row>
    <row r="7" spans="1:17" x14ac:dyDescent="0.2">
      <c r="A7" s="103" t="s">
        <v>41</v>
      </c>
      <c r="B7" s="104"/>
      <c r="C7" s="105"/>
      <c r="D7" s="105"/>
      <c r="E7" s="105"/>
      <c r="F7" s="104"/>
      <c r="G7" s="104"/>
      <c r="H7" s="45"/>
      <c r="I7" s="45"/>
      <c r="J7" s="45"/>
      <c r="K7" s="45"/>
      <c r="L7" s="105"/>
      <c r="M7" s="105"/>
      <c r="N7" s="61"/>
      <c r="O7" s="46" t="s">
        <v>51</v>
      </c>
      <c r="P7" s="188">
        <v>120.27</v>
      </c>
    </row>
    <row r="8" spans="1:17" ht="15.75" x14ac:dyDescent="0.2">
      <c r="A8" s="106" t="s">
        <v>338</v>
      </c>
      <c r="B8" s="104">
        <v>10</v>
      </c>
      <c r="C8" s="105">
        <v>0</v>
      </c>
      <c r="D8" s="105">
        <v>0</v>
      </c>
      <c r="E8" s="105">
        <v>0</v>
      </c>
      <c r="F8" s="104">
        <v>1</v>
      </c>
      <c r="G8" s="104">
        <f>B8*F8</f>
        <v>10</v>
      </c>
      <c r="H8" s="107">
        <f>'2019 Changes'!B3</f>
        <v>25</v>
      </c>
      <c r="I8" s="45">
        <f>G8*H8</f>
        <v>250</v>
      </c>
      <c r="J8" s="45">
        <f>I8*0.1</f>
        <v>25</v>
      </c>
      <c r="K8" s="107">
        <f>I8*0.05</f>
        <v>12.5</v>
      </c>
      <c r="L8" s="105">
        <f>(I8*$P$7)+(J8*$P$8)+(K8*$P$6)</f>
        <v>33297.5</v>
      </c>
      <c r="M8" s="105">
        <f>(C8+D8+E8)*F8*H8</f>
        <v>0</v>
      </c>
      <c r="N8" s="61"/>
      <c r="O8" s="46" t="s">
        <v>52</v>
      </c>
      <c r="P8" s="188">
        <v>58.67</v>
      </c>
    </row>
    <row r="9" spans="1:17" x14ac:dyDescent="0.2">
      <c r="A9" s="108" t="s">
        <v>90</v>
      </c>
      <c r="B9" s="104"/>
      <c r="C9" s="105"/>
      <c r="D9" s="105"/>
      <c r="E9" s="105"/>
      <c r="F9" s="104"/>
      <c r="G9" s="104"/>
      <c r="H9" s="45"/>
      <c r="I9" s="45"/>
      <c r="J9" s="45"/>
      <c r="K9" s="45"/>
      <c r="L9" s="105"/>
      <c r="M9" s="105"/>
      <c r="N9" s="61"/>
      <c r="O9" s="57"/>
      <c r="Q9" s="64"/>
    </row>
    <row r="10" spans="1:17" x14ac:dyDescent="0.2">
      <c r="A10" s="109" t="s">
        <v>153</v>
      </c>
      <c r="B10" s="104"/>
      <c r="C10" s="110"/>
      <c r="D10" s="105"/>
      <c r="E10" s="105"/>
      <c r="F10" s="104"/>
      <c r="G10" s="104"/>
      <c r="H10" s="107"/>
      <c r="I10" s="45"/>
      <c r="J10" s="45"/>
      <c r="K10" s="45"/>
      <c r="L10" s="105"/>
      <c r="M10" s="105"/>
      <c r="N10" s="61"/>
      <c r="O10" s="57"/>
    </row>
    <row r="11" spans="1:17" x14ac:dyDescent="0.2">
      <c r="A11" s="111" t="s">
        <v>104</v>
      </c>
      <c r="B11" s="104">
        <v>20</v>
      </c>
      <c r="C11" s="105">
        <v>854</v>
      </c>
      <c r="D11" s="105">
        <v>0</v>
      </c>
      <c r="E11" s="105">
        <v>0</v>
      </c>
      <c r="F11" s="104">
        <v>1</v>
      </c>
      <c r="G11" s="104">
        <f t="shared" ref="G11:G24" si="0">B11*F11</f>
        <v>20</v>
      </c>
      <c r="H11" s="107">
        <v>0</v>
      </c>
      <c r="I11" s="45">
        <f>G11*H11</f>
        <v>0</v>
      </c>
      <c r="J11" s="45">
        <f>I11*0.1</f>
        <v>0</v>
      </c>
      <c r="K11" s="45">
        <f>I11*0.05</f>
        <v>0</v>
      </c>
      <c r="L11" s="105">
        <f t="shared" ref="L11:L24" si="1">(I11*$P$7)+(J11*$P$8)+(K11*$P$6)</f>
        <v>0</v>
      </c>
      <c r="M11" s="105">
        <f>(C11+D11+E11)*F11*H11</f>
        <v>0</v>
      </c>
      <c r="N11" s="61"/>
      <c r="O11" s="57"/>
    </row>
    <row r="12" spans="1:17" x14ac:dyDescent="0.2">
      <c r="A12" s="111" t="s">
        <v>105</v>
      </c>
      <c r="B12" s="104">
        <v>20</v>
      </c>
      <c r="C12" s="105">
        <v>18292</v>
      </c>
      <c r="D12" s="105">
        <v>0</v>
      </c>
      <c r="E12" s="105">
        <v>0</v>
      </c>
      <c r="F12" s="104">
        <v>1</v>
      </c>
      <c r="G12" s="104">
        <f t="shared" si="0"/>
        <v>20</v>
      </c>
      <c r="H12" s="107">
        <v>0</v>
      </c>
      <c r="I12" s="45">
        <f>G12*H12</f>
        <v>0</v>
      </c>
      <c r="J12" s="45">
        <f>I12*0.1</f>
        <v>0</v>
      </c>
      <c r="K12" s="45">
        <f>I12*0.05</f>
        <v>0</v>
      </c>
      <c r="L12" s="105">
        <f t="shared" si="1"/>
        <v>0</v>
      </c>
      <c r="M12" s="105">
        <f>(C12+D12+E12)*F12*H12</f>
        <v>0</v>
      </c>
      <c r="N12" s="61"/>
      <c r="O12" s="57"/>
    </row>
    <row r="13" spans="1:17" x14ac:dyDescent="0.2">
      <c r="A13" s="109" t="s">
        <v>154</v>
      </c>
      <c r="B13" s="104">
        <v>12</v>
      </c>
      <c r="C13" s="105">
        <v>0</v>
      </c>
      <c r="D13" s="105">
        <v>5000</v>
      </c>
      <c r="E13" s="105">
        <v>0</v>
      </c>
      <c r="F13" s="104">
        <v>1</v>
      </c>
      <c r="G13" s="104">
        <f t="shared" si="0"/>
        <v>12</v>
      </c>
      <c r="H13" s="107">
        <v>0</v>
      </c>
      <c r="I13" s="45">
        <f t="shared" ref="I13:I23" si="2">G13*H13</f>
        <v>0</v>
      </c>
      <c r="J13" s="45">
        <f t="shared" ref="J13:J23" si="3">I13*0.1</f>
        <v>0</v>
      </c>
      <c r="K13" s="45">
        <f t="shared" ref="K13:K23" si="4">I13*0.05</f>
        <v>0</v>
      </c>
      <c r="L13" s="105">
        <f t="shared" si="1"/>
        <v>0</v>
      </c>
      <c r="M13" s="105">
        <f t="shared" ref="M13:M24" si="5">(C13+D13+E13)*F13*H13</f>
        <v>0</v>
      </c>
      <c r="N13" s="65"/>
      <c r="O13" s="57"/>
    </row>
    <row r="14" spans="1:17" x14ac:dyDescent="0.2">
      <c r="A14" s="109" t="s">
        <v>155</v>
      </c>
      <c r="B14" s="104">
        <v>12</v>
      </c>
      <c r="C14" s="105">
        <v>0</v>
      </c>
      <c r="D14" s="105">
        <v>8000</v>
      </c>
      <c r="E14" s="105">
        <v>0</v>
      </c>
      <c r="F14" s="104">
        <v>1</v>
      </c>
      <c r="G14" s="104">
        <f t="shared" si="0"/>
        <v>12</v>
      </c>
      <c r="H14" s="107">
        <v>0</v>
      </c>
      <c r="I14" s="45">
        <f t="shared" si="2"/>
        <v>0</v>
      </c>
      <c r="J14" s="45">
        <f t="shared" si="3"/>
        <v>0</v>
      </c>
      <c r="K14" s="45">
        <f t="shared" si="4"/>
        <v>0</v>
      </c>
      <c r="L14" s="105">
        <f t="shared" si="1"/>
        <v>0</v>
      </c>
      <c r="M14" s="105">
        <f t="shared" si="5"/>
        <v>0</v>
      </c>
      <c r="N14" s="61"/>
      <c r="O14" s="57"/>
    </row>
    <row r="15" spans="1:17" x14ac:dyDescent="0.2">
      <c r="A15" s="109" t="s">
        <v>156</v>
      </c>
      <c r="B15" s="104">
        <v>12</v>
      </c>
      <c r="C15" s="105">
        <v>0</v>
      </c>
      <c r="D15" s="105">
        <v>8000</v>
      </c>
      <c r="E15" s="105">
        <v>0</v>
      </c>
      <c r="F15" s="104">
        <v>1</v>
      </c>
      <c r="G15" s="104">
        <f t="shared" si="0"/>
        <v>12</v>
      </c>
      <c r="H15" s="107">
        <v>0</v>
      </c>
      <c r="I15" s="45">
        <f t="shared" si="2"/>
        <v>0</v>
      </c>
      <c r="J15" s="45">
        <f t="shared" si="3"/>
        <v>0</v>
      </c>
      <c r="K15" s="45">
        <f t="shared" si="4"/>
        <v>0</v>
      </c>
      <c r="L15" s="105">
        <f t="shared" si="1"/>
        <v>0</v>
      </c>
      <c r="M15" s="105">
        <f t="shared" si="5"/>
        <v>0</v>
      </c>
      <c r="N15" s="61"/>
      <c r="O15" s="57"/>
    </row>
    <row r="16" spans="1:17" x14ac:dyDescent="0.2">
      <c r="A16" s="109" t="s">
        <v>157</v>
      </c>
      <c r="B16" s="104">
        <v>12</v>
      </c>
      <c r="C16" s="105">
        <v>0</v>
      </c>
      <c r="D16" s="105">
        <v>7000</v>
      </c>
      <c r="E16" s="105">
        <v>0</v>
      </c>
      <c r="F16" s="104">
        <v>1</v>
      </c>
      <c r="G16" s="104">
        <f t="shared" si="0"/>
        <v>12</v>
      </c>
      <c r="H16" s="107">
        <v>0</v>
      </c>
      <c r="I16" s="45">
        <f t="shared" si="2"/>
        <v>0</v>
      </c>
      <c r="J16" s="45">
        <f t="shared" si="3"/>
        <v>0</v>
      </c>
      <c r="K16" s="45">
        <f t="shared" si="4"/>
        <v>0</v>
      </c>
      <c r="L16" s="105">
        <f t="shared" si="1"/>
        <v>0</v>
      </c>
      <c r="M16" s="105">
        <f t="shared" si="5"/>
        <v>0</v>
      </c>
      <c r="N16" s="61"/>
      <c r="O16" s="57"/>
    </row>
    <row r="17" spans="1:15" x14ac:dyDescent="0.2">
      <c r="A17" s="109" t="s">
        <v>158</v>
      </c>
      <c r="B17" s="104">
        <v>12</v>
      </c>
      <c r="C17" s="105">
        <v>0</v>
      </c>
      <c r="D17" s="105">
        <v>5000</v>
      </c>
      <c r="E17" s="105">
        <v>0</v>
      </c>
      <c r="F17" s="104">
        <v>1</v>
      </c>
      <c r="G17" s="104">
        <f t="shared" si="0"/>
        <v>12</v>
      </c>
      <c r="H17" s="107">
        <v>0</v>
      </c>
      <c r="I17" s="45">
        <f t="shared" si="2"/>
        <v>0</v>
      </c>
      <c r="J17" s="45">
        <f t="shared" si="3"/>
        <v>0</v>
      </c>
      <c r="K17" s="45">
        <f t="shared" si="4"/>
        <v>0</v>
      </c>
      <c r="L17" s="105">
        <f t="shared" si="1"/>
        <v>0</v>
      </c>
      <c r="M17" s="105">
        <f t="shared" si="5"/>
        <v>0</v>
      </c>
      <c r="N17" s="61"/>
      <c r="O17" s="57"/>
    </row>
    <row r="18" spans="1:15" x14ac:dyDescent="0.2">
      <c r="A18" s="109" t="s">
        <v>159</v>
      </c>
      <c r="B18" s="104">
        <v>12</v>
      </c>
      <c r="C18" s="105">
        <v>0</v>
      </c>
      <c r="D18" s="105">
        <v>8000</v>
      </c>
      <c r="E18" s="105">
        <v>0</v>
      </c>
      <c r="F18" s="104">
        <v>1</v>
      </c>
      <c r="G18" s="104">
        <f t="shared" si="0"/>
        <v>12</v>
      </c>
      <c r="H18" s="107">
        <v>0</v>
      </c>
      <c r="I18" s="45">
        <f t="shared" si="2"/>
        <v>0</v>
      </c>
      <c r="J18" s="45">
        <f t="shared" si="3"/>
        <v>0</v>
      </c>
      <c r="K18" s="45">
        <f t="shared" si="4"/>
        <v>0</v>
      </c>
      <c r="L18" s="105">
        <f t="shared" si="1"/>
        <v>0</v>
      </c>
      <c r="M18" s="105">
        <f t="shared" si="5"/>
        <v>0</v>
      </c>
      <c r="N18" s="61"/>
      <c r="O18" s="57"/>
    </row>
    <row r="19" spans="1:15" x14ac:dyDescent="0.2">
      <c r="A19" s="109" t="s">
        <v>160</v>
      </c>
      <c r="B19" s="104">
        <v>12</v>
      </c>
      <c r="C19" s="105">
        <v>0</v>
      </c>
      <c r="D19" s="105">
        <v>8000</v>
      </c>
      <c r="E19" s="105">
        <v>0</v>
      </c>
      <c r="F19" s="104">
        <v>1</v>
      </c>
      <c r="G19" s="104">
        <f t="shared" si="0"/>
        <v>12</v>
      </c>
      <c r="H19" s="107">
        <v>0</v>
      </c>
      <c r="I19" s="45">
        <f t="shared" si="2"/>
        <v>0</v>
      </c>
      <c r="J19" s="45">
        <f t="shared" si="3"/>
        <v>0</v>
      </c>
      <c r="K19" s="45">
        <f t="shared" si="4"/>
        <v>0</v>
      </c>
      <c r="L19" s="105">
        <f t="shared" si="1"/>
        <v>0</v>
      </c>
      <c r="M19" s="105">
        <f t="shared" si="5"/>
        <v>0</v>
      </c>
      <c r="N19" s="61"/>
      <c r="O19" s="57"/>
    </row>
    <row r="20" spans="1:15" x14ac:dyDescent="0.2">
      <c r="A20" s="109" t="s">
        <v>161</v>
      </c>
      <c r="B20" s="104">
        <v>12</v>
      </c>
      <c r="C20" s="105">
        <v>0</v>
      </c>
      <c r="D20" s="105">
        <v>7000</v>
      </c>
      <c r="E20" s="105">
        <v>0</v>
      </c>
      <c r="F20" s="104">
        <v>1</v>
      </c>
      <c r="G20" s="104">
        <f t="shared" si="0"/>
        <v>12</v>
      </c>
      <c r="H20" s="107">
        <v>0</v>
      </c>
      <c r="I20" s="45">
        <f t="shared" si="2"/>
        <v>0</v>
      </c>
      <c r="J20" s="45">
        <f t="shared" si="3"/>
        <v>0</v>
      </c>
      <c r="K20" s="45">
        <f t="shared" si="4"/>
        <v>0</v>
      </c>
      <c r="L20" s="105">
        <f t="shared" si="1"/>
        <v>0</v>
      </c>
      <c r="M20" s="105">
        <f t="shared" si="5"/>
        <v>0</v>
      </c>
      <c r="N20" s="61"/>
      <c r="O20" s="57"/>
    </row>
    <row r="21" spans="1:15" ht="25.5" x14ac:dyDescent="0.2">
      <c r="A21" s="109" t="s">
        <v>162</v>
      </c>
      <c r="B21" s="104">
        <v>24</v>
      </c>
      <c r="C21" s="105">
        <v>0</v>
      </c>
      <c r="D21" s="105">
        <f>$D$14+$D$15</f>
        <v>16000</v>
      </c>
      <c r="E21" s="105">
        <v>0</v>
      </c>
      <c r="F21" s="104">
        <v>1</v>
      </c>
      <c r="G21" s="104">
        <f t="shared" si="0"/>
        <v>24</v>
      </c>
      <c r="H21" s="107">
        <v>0</v>
      </c>
      <c r="I21" s="45">
        <f>G21*H21</f>
        <v>0</v>
      </c>
      <c r="J21" s="45">
        <f>I21*0.1</f>
        <v>0</v>
      </c>
      <c r="K21" s="45">
        <f>I21*0.05</f>
        <v>0</v>
      </c>
      <c r="L21" s="105">
        <f t="shared" si="1"/>
        <v>0</v>
      </c>
      <c r="M21" s="105">
        <f>(C21+D21+E21)*F21*H21</f>
        <v>0</v>
      </c>
      <c r="N21" s="61"/>
      <c r="O21" s="57"/>
    </row>
    <row r="22" spans="1:15" ht="29.25" customHeight="1" x14ac:dyDescent="0.2">
      <c r="A22" s="109" t="s">
        <v>163</v>
      </c>
      <c r="B22" s="104">
        <v>5</v>
      </c>
      <c r="C22" s="105">
        <v>0</v>
      </c>
      <c r="D22" s="105">
        <v>400</v>
      </c>
      <c r="E22" s="105">
        <v>0</v>
      </c>
      <c r="F22" s="104">
        <v>1</v>
      </c>
      <c r="G22" s="104">
        <f t="shared" si="0"/>
        <v>5</v>
      </c>
      <c r="H22" s="107">
        <v>0</v>
      </c>
      <c r="I22" s="45">
        <f t="shared" si="2"/>
        <v>0</v>
      </c>
      <c r="J22" s="45">
        <f t="shared" si="3"/>
        <v>0</v>
      </c>
      <c r="K22" s="45">
        <f t="shared" si="4"/>
        <v>0</v>
      </c>
      <c r="L22" s="105">
        <f t="shared" si="1"/>
        <v>0</v>
      </c>
      <c r="M22" s="105">
        <f t="shared" si="5"/>
        <v>0</v>
      </c>
      <c r="N22" s="61"/>
      <c r="O22" s="57"/>
    </row>
    <row r="23" spans="1:15" ht="25.5" x14ac:dyDescent="0.2">
      <c r="A23" s="109" t="s">
        <v>164</v>
      </c>
      <c r="B23" s="104">
        <v>5</v>
      </c>
      <c r="C23" s="105">
        <v>0</v>
      </c>
      <c r="D23" s="105">
        <v>400</v>
      </c>
      <c r="E23" s="105">
        <v>0</v>
      </c>
      <c r="F23" s="104">
        <v>12</v>
      </c>
      <c r="G23" s="104">
        <f t="shared" si="0"/>
        <v>60</v>
      </c>
      <c r="H23" s="107">
        <v>0</v>
      </c>
      <c r="I23" s="45">
        <f t="shared" si="2"/>
        <v>0</v>
      </c>
      <c r="J23" s="45">
        <f t="shared" si="3"/>
        <v>0</v>
      </c>
      <c r="K23" s="45">
        <f t="shared" si="4"/>
        <v>0</v>
      </c>
      <c r="L23" s="105">
        <f t="shared" si="1"/>
        <v>0</v>
      </c>
      <c r="M23" s="105">
        <f t="shared" si="5"/>
        <v>0</v>
      </c>
      <c r="N23" s="61"/>
      <c r="O23" s="57"/>
    </row>
    <row r="24" spans="1:15" x14ac:dyDescent="0.2">
      <c r="A24" s="112" t="s">
        <v>165</v>
      </c>
      <c r="B24" s="104">
        <v>12</v>
      </c>
      <c r="C24" s="105">
        <v>0</v>
      </c>
      <c r="D24" s="105">
        <v>2875</v>
      </c>
      <c r="E24" s="105">
        <v>0</v>
      </c>
      <c r="F24" s="104">
        <v>1</v>
      </c>
      <c r="G24" s="104">
        <f t="shared" si="0"/>
        <v>12</v>
      </c>
      <c r="H24" s="107">
        <v>0</v>
      </c>
      <c r="I24" s="107">
        <f>G24*H24</f>
        <v>0</v>
      </c>
      <c r="J24" s="107">
        <f>I24*0.1</f>
        <v>0</v>
      </c>
      <c r="K24" s="107">
        <f>I24*0.05</f>
        <v>0</v>
      </c>
      <c r="L24" s="105">
        <f t="shared" si="1"/>
        <v>0</v>
      </c>
      <c r="M24" s="105">
        <f t="shared" si="5"/>
        <v>0</v>
      </c>
      <c r="N24" s="65"/>
      <c r="O24" s="57"/>
    </row>
    <row r="25" spans="1:15" x14ac:dyDescent="0.2">
      <c r="A25" s="109" t="s">
        <v>166</v>
      </c>
      <c r="B25" s="104"/>
      <c r="C25" s="105"/>
      <c r="D25" s="105"/>
      <c r="E25" s="105"/>
      <c r="F25" s="104"/>
      <c r="G25" s="104"/>
      <c r="H25" s="45"/>
      <c r="I25" s="45"/>
      <c r="J25" s="45"/>
      <c r="K25" s="45"/>
      <c r="L25" s="105"/>
      <c r="M25" s="105"/>
      <c r="N25" s="61"/>
      <c r="O25" s="57"/>
    </row>
    <row r="26" spans="1:15" ht="15.75" customHeight="1" x14ac:dyDescent="0.2">
      <c r="A26" s="113" t="s">
        <v>206</v>
      </c>
      <c r="B26" s="104">
        <v>40</v>
      </c>
      <c r="C26" s="105">
        <v>0</v>
      </c>
      <c r="D26" s="105"/>
      <c r="E26" s="105">
        <v>0</v>
      </c>
      <c r="F26" s="104">
        <v>1</v>
      </c>
      <c r="G26" s="104">
        <f>B26*F26</f>
        <v>40</v>
      </c>
      <c r="H26" s="107">
        <v>0</v>
      </c>
      <c r="I26" s="45">
        <f>G26*H26</f>
        <v>0</v>
      </c>
      <c r="J26" s="45">
        <f>I26*0.1</f>
        <v>0</v>
      </c>
      <c r="K26" s="45">
        <f>I26*0.05</f>
        <v>0</v>
      </c>
      <c r="L26" s="105">
        <f>(I26*$P$7)+(J26*$P$8)+(K26*$P$6)</f>
        <v>0</v>
      </c>
      <c r="M26" s="105">
        <f>(C26+D26+E26)*F26*H26</f>
        <v>0</v>
      </c>
      <c r="N26" s="61"/>
      <c r="O26" s="57"/>
    </row>
    <row r="27" spans="1:15" x14ac:dyDescent="0.2">
      <c r="A27" s="114" t="s">
        <v>18</v>
      </c>
      <c r="B27" s="104"/>
      <c r="C27" s="105"/>
      <c r="D27" s="105"/>
      <c r="E27" s="105"/>
      <c r="F27" s="104"/>
      <c r="G27" s="104"/>
      <c r="H27" s="45"/>
      <c r="I27" s="45"/>
      <c r="J27" s="45"/>
      <c r="K27" s="45"/>
      <c r="L27" s="105"/>
      <c r="M27" s="105"/>
      <c r="N27" s="61"/>
      <c r="O27" s="57"/>
    </row>
    <row r="28" spans="1:15" x14ac:dyDescent="0.2">
      <c r="A28" s="111" t="s">
        <v>102</v>
      </c>
      <c r="B28" s="104">
        <v>10</v>
      </c>
      <c r="C28" s="105">
        <v>0</v>
      </c>
      <c r="D28" s="105">
        <v>0</v>
      </c>
      <c r="E28" s="105">
        <v>25812</v>
      </c>
      <c r="F28" s="104">
        <v>1</v>
      </c>
      <c r="G28" s="104">
        <f>B28*F28</f>
        <v>10</v>
      </c>
      <c r="H28" s="107">
        <v>0</v>
      </c>
      <c r="I28" s="45">
        <f>G28*H28</f>
        <v>0</v>
      </c>
      <c r="J28" s="45">
        <f>I28*0.1</f>
        <v>0</v>
      </c>
      <c r="K28" s="45">
        <f>I28*0.05</f>
        <v>0</v>
      </c>
      <c r="L28" s="105">
        <f>(I28*$P$7)+(J28*$P$8)+(K28*$P$6)</f>
        <v>0</v>
      </c>
      <c r="M28" s="105">
        <f>(C28+D28+E28)*F28*H28</f>
        <v>0</v>
      </c>
      <c r="N28" s="61"/>
      <c r="O28" s="57"/>
    </row>
    <row r="29" spans="1:15" x14ac:dyDescent="0.2">
      <c r="A29" s="111" t="s">
        <v>103</v>
      </c>
      <c r="B29" s="104">
        <v>10</v>
      </c>
      <c r="C29" s="105">
        <v>0</v>
      </c>
      <c r="D29" s="105">
        <v>0</v>
      </c>
      <c r="E29" s="105">
        <f>'Capital vs. O&amp;M'!E6</f>
        <v>9855</v>
      </c>
      <c r="F29" s="104">
        <v>1</v>
      </c>
      <c r="G29" s="104">
        <f>B29*F29</f>
        <v>10</v>
      </c>
      <c r="H29" s="107">
        <f>H28</f>
        <v>0</v>
      </c>
      <c r="I29" s="45">
        <f>G29*H29</f>
        <v>0</v>
      </c>
      <c r="J29" s="45">
        <f>I29*0.1</f>
        <v>0</v>
      </c>
      <c r="K29" s="45">
        <f>I29*0.05</f>
        <v>0</v>
      </c>
      <c r="L29" s="105">
        <f>(I29*$P$7)+(J29*$P$8)+(K29*$P$6)</f>
        <v>0</v>
      </c>
      <c r="M29" s="105">
        <f>(C29+D29+E29)*F29*H29</f>
        <v>0</v>
      </c>
      <c r="N29" s="61"/>
      <c r="O29" s="57"/>
    </row>
    <row r="30" spans="1:15" x14ac:dyDescent="0.2">
      <c r="A30" s="114" t="s">
        <v>99</v>
      </c>
      <c r="B30" s="104"/>
      <c r="C30" s="105"/>
      <c r="D30" s="105"/>
      <c r="E30" s="105"/>
      <c r="F30" s="104"/>
      <c r="G30" s="104"/>
      <c r="H30" s="45"/>
      <c r="I30" s="45"/>
      <c r="J30" s="45"/>
      <c r="K30" s="45"/>
      <c r="L30" s="105"/>
      <c r="M30" s="105"/>
      <c r="N30" s="61"/>
      <c r="O30" s="57"/>
    </row>
    <row r="31" spans="1:15" x14ac:dyDescent="0.2">
      <c r="A31" s="111" t="s">
        <v>102</v>
      </c>
      <c r="B31" s="104">
        <v>10</v>
      </c>
      <c r="C31" s="105">
        <v>0</v>
      </c>
      <c r="D31" s="105">
        <v>0</v>
      </c>
      <c r="E31" s="105">
        <v>158000</v>
      </c>
      <c r="F31" s="104">
        <v>1</v>
      </c>
      <c r="G31" s="104">
        <f>B31*F31</f>
        <v>10</v>
      </c>
      <c r="H31" s="107">
        <v>0</v>
      </c>
      <c r="I31" s="45">
        <f>G31*H31</f>
        <v>0</v>
      </c>
      <c r="J31" s="45">
        <f>I31*0.1</f>
        <v>0</v>
      </c>
      <c r="K31" s="45">
        <f>I31*0.05</f>
        <v>0</v>
      </c>
      <c r="L31" s="105">
        <f t="shared" ref="L31:L32" si="6">(I31*$P$7)+(J31*$P$8)+(K31*$P$6)</f>
        <v>0</v>
      </c>
      <c r="M31" s="105">
        <f>(C31+D31+E31)*F31*H31</f>
        <v>0</v>
      </c>
      <c r="N31" s="65"/>
      <c r="O31" s="57"/>
    </row>
    <row r="32" spans="1:15" x14ac:dyDescent="0.2">
      <c r="A32" s="111" t="s">
        <v>103</v>
      </c>
      <c r="B32" s="104">
        <v>10</v>
      </c>
      <c r="C32" s="105">
        <v>0</v>
      </c>
      <c r="D32" s="105">
        <v>0</v>
      </c>
      <c r="E32" s="105">
        <v>56100</v>
      </c>
      <c r="F32" s="104">
        <v>1</v>
      </c>
      <c r="G32" s="104">
        <f>B32*F32</f>
        <v>10</v>
      </c>
      <c r="H32" s="107">
        <v>0</v>
      </c>
      <c r="I32" s="45">
        <f>G32*H32</f>
        <v>0</v>
      </c>
      <c r="J32" s="45">
        <f>I32*0.1</f>
        <v>0</v>
      </c>
      <c r="K32" s="45">
        <f>I32*0.05</f>
        <v>0</v>
      </c>
      <c r="L32" s="105">
        <f t="shared" si="6"/>
        <v>0</v>
      </c>
      <c r="M32" s="105">
        <f>(C32+D32+E32)*F32*H32</f>
        <v>0</v>
      </c>
      <c r="N32" s="65"/>
      <c r="O32" s="57"/>
    </row>
    <row r="33" spans="1:15" x14ac:dyDescent="0.2">
      <c r="A33" s="114" t="s">
        <v>56</v>
      </c>
      <c r="B33" s="104"/>
      <c r="C33" s="105"/>
      <c r="D33" s="105"/>
      <c r="E33" s="105"/>
      <c r="F33" s="104"/>
      <c r="G33" s="104"/>
      <c r="H33" s="107"/>
      <c r="I33" s="45"/>
      <c r="J33" s="115"/>
      <c r="K33" s="115"/>
      <c r="L33" s="105"/>
      <c r="M33" s="105"/>
      <c r="N33" s="61"/>
      <c r="O33" s="57"/>
    </row>
    <row r="34" spans="1:15" x14ac:dyDescent="0.2">
      <c r="A34" s="111" t="s">
        <v>102</v>
      </c>
      <c r="B34" s="104">
        <v>10</v>
      </c>
      <c r="C34" s="105">
        <v>0</v>
      </c>
      <c r="D34" s="105">
        <v>0</v>
      </c>
      <c r="E34" s="105">
        <f>Monitors!$F$32</f>
        <v>8523</v>
      </c>
      <c r="F34" s="104">
        <v>1</v>
      </c>
      <c r="G34" s="104">
        <f>B34*F34</f>
        <v>10</v>
      </c>
      <c r="H34" s="107">
        <v>0</v>
      </c>
      <c r="I34" s="45">
        <f>G34*H34</f>
        <v>0</v>
      </c>
      <c r="J34" s="45">
        <f>I34*0.1</f>
        <v>0</v>
      </c>
      <c r="K34" s="45">
        <f>I34*0.05</f>
        <v>0</v>
      </c>
      <c r="L34" s="105">
        <f t="shared" ref="L34:L35" si="7">(I34*$P$7)+(J34*$P$8)+(K34*$P$6)</f>
        <v>0</v>
      </c>
      <c r="M34" s="105">
        <f>(C34+D34+E34)*F34*H34</f>
        <v>0</v>
      </c>
      <c r="N34" s="61"/>
      <c r="O34" s="57"/>
    </row>
    <row r="35" spans="1:15" x14ac:dyDescent="0.2">
      <c r="A35" s="111" t="s">
        <v>103</v>
      </c>
      <c r="B35" s="104">
        <v>10</v>
      </c>
      <c r="C35" s="105">
        <v>0</v>
      </c>
      <c r="D35" s="105">
        <v>0</v>
      </c>
      <c r="E35" s="105">
        <f>Monitors!$G$32</f>
        <v>1436</v>
      </c>
      <c r="F35" s="104">
        <v>1</v>
      </c>
      <c r="G35" s="104">
        <f>B35*F35</f>
        <v>10</v>
      </c>
      <c r="H35" s="107">
        <v>0</v>
      </c>
      <c r="I35" s="45">
        <f>G35*H35</f>
        <v>0</v>
      </c>
      <c r="J35" s="45">
        <f>I35*0.1</f>
        <v>0</v>
      </c>
      <c r="K35" s="45">
        <f>I35*0.05</f>
        <v>0</v>
      </c>
      <c r="L35" s="105">
        <f t="shared" si="7"/>
        <v>0</v>
      </c>
      <c r="M35" s="105">
        <f>(C35+D35+E35)*F35*H35</f>
        <v>0</v>
      </c>
      <c r="N35" s="61"/>
      <c r="O35" s="57"/>
    </row>
    <row r="36" spans="1:15" ht="25.5" x14ac:dyDescent="0.2">
      <c r="A36" s="113" t="s">
        <v>228</v>
      </c>
      <c r="B36" s="104"/>
      <c r="C36" s="105"/>
      <c r="D36" s="105"/>
      <c r="E36" s="110"/>
      <c r="F36" s="104"/>
      <c r="G36" s="104"/>
      <c r="H36" s="116"/>
      <c r="I36" s="45"/>
      <c r="J36" s="45"/>
      <c r="K36" s="45"/>
      <c r="L36" s="105"/>
      <c r="M36" s="105"/>
      <c r="N36" s="61"/>
      <c r="O36" s="57"/>
    </row>
    <row r="37" spans="1:15" x14ac:dyDescent="0.2">
      <c r="A37" s="111" t="s">
        <v>102</v>
      </c>
      <c r="B37" s="104">
        <v>10</v>
      </c>
      <c r="C37" s="105">
        <v>0</v>
      </c>
      <c r="D37" s="105">
        <v>0</v>
      </c>
      <c r="E37" s="105">
        <v>25054</v>
      </c>
      <c r="F37" s="104">
        <v>1</v>
      </c>
      <c r="G37" s="104">
        <f>B37*F37</f>
        <v>10</v>
      </c>
      <c r="H37" s="107">
        <v>0</v>
      </c>
      <c r="I37" s="45">
        <f>G37*H37</f>
        <v>0</v>
      </c>
      <c r="J37" s="45">
        <f>I37*0.1</f>
        <v>0</v>
      </c>
      <c r="K37" s="45">
        <f>I37*0.05</f>
        <v>0</v>
      </c>
      <c r="L37" s="105">
        <f t="shared" ref="L37:L38" si="8">(I37*$P$7)+(J37*$P$8)+(K37*$P$6)</f>
        <v>0</v>
      </c>
      <c r="M37" s="105">
        <f>(C37+D37+E37)*F37*H37</f>
        <v>0</v>
      </c>
      <c r="N37" s="61"/>
      <c r="O37" s="57"/>
    </row>
    <row r="38" spans="1:15" x14ac:dyDescent="0.2">
      <c r="A38" s="111" t="s">
        <v>103</v>
      </c>
      <c r="B38" s="104">
        <v>10</v>
      </c>
      <c r="C38" s="105">
        <v>0</v>
      </c>
      <c r="D38" s="105">
        <v>0</v>
      </c>
      <c r="E38" s="105">
        <v>5774</v>
      </c>
      <c r="F38" s="104">
        <v>1</v>
      </c>
      <c r="G38" s="104">
        <f>B38*F38</f>
        <v>10</v>
      </c>
      <c r="H38" s="107">
        <f>H37</f>
        <v>0</v>
      </c>
      <c r="I38" s="45">
        <f>G38*H38</f>
        <v>0</v>
      </c>
      <c r="J38" s="45">
        <f>I38*0.1</f>
        <v>0</v>
      </c>
      <c r="K38" s="45">
        <f>I38*0.05</f>
        <v>0</v>
      </c>
      <c r="L38" s="105">
        <f t="shared" si="8"/>
        <v>0</v>
      </c>
      <c r="M38" s="105">
        <f>(C38+D38+E38)*F38*H38</f>
        <v>0</v>
      </c>
      <c r="N38" s="61"/>
      <c r="O38" s="57"/>
    </row>
    <row r="39" spans="1:15" ht="25.5" x14ac:dyDescent="0.2">
      <c r="A39" s="113" t="s">
        <v>100</v>
      </c>
      <c r="B39" s="104"/>
      <c r="C39" s="105"/>
      <c r="D39" s="105"/>
      <c r="E39" s="105"/>
      <c r="F39" s="104"/>
      <c r="G39" s="104"/>
      <c r="H39" s="107"/>
      <c r="I39" s="45"/>
      <c r="J39" s="45"/>
      <c r="K39" s="45"/>
      <c r="L39" s="105"/>
      <c r="M39" s="103"/>
      <c r="N39" s="61"/>
      <c r="O39" s="57"/>
    </row>
    <row r="40" spans="1:15" x14ac:dyDescent="0.2">
      <c r="A40" s="111" t="s">
        <v>102</v>
      </c>
      <c r="B40" s="104">
        <v>10</v>
      </c>
      <c r="C40" s="105">
        <v>0</v>
      </c>
      <c r="D40" s="105">
        <v>0</v>
      </c>
      <c r="E40" s="105">
        <v>26300</v>
      </c>
      <c r="F40" s="104">
        <v>1</v>
      </c>
      <c r="G40" s="104">
        <f>B40*F40</f>
        <v>10</v>
      </c>
      <c r="H40" s="107">
        <v>0</v>
      </c>
      <c r="I40" s="45">
        <f>G40*H40</f>
        <v>0</v>
      </c>
      <c r="J40" s="45">
        <f>I40*0.1</f>
        <v>0</v>
      </c>
      <c r="K40" s="45">
        <f>I40*0.05</f>
        <v>0</v>
      </c>
      <c r="L40" s="105">
        <f t="shared" ref="L40:L41" si="9">(I40*$P$7)+(J40*$P$8)+(K40*$P$6)</f>
        <v>0</v>
      </c>
      <c r="M40" s="105">
        <f>(C40+D40+E40)*F40*H40</f>
        <v>0</v>
      </c>
      <c r="N40" s="61"/>
      <c r="O40" s="57"/>
    </row>
    <row r="41" spans="1:15" x14ac:dyDescent="0.2">
      <c r="A41" s="111" t="s">
        <v>103</v>
      </c>
      <c r="B41" s="104">
        <v>10</v>
      </c>
      <c r="C41" s="105">
        <v>0</v>
      </c>
      <c r="D41" s="105">
        <v>0</v>
      </c>
      <c r="E41" s="105">
        <v>10000</v>
      </c>
      <c r="F41" s="104">
        <v>1</v>
      </c>
      <c r="G41" s="104">
        <f>B41*F41</f>
        <v>10</v>
      </c>
      <c r="H41" s="107">
        <f>H40</f>
        <v>0</v>
      </c>
      <c r="I41" s="45">
        <f>G41*H41</f>
        <v>0</v>
      </c>
      <c r="J41" s="45">
        <f>I41*0.1</f>
        <v>0</v>
      </c>
      <c r="K41" s="45">
        <f>I41*0.05</f>
        <v>0</v>
      </c>
      <c r="L41" s="105">
        <f t="shared" si="9"/>
        <v>0</v>
      </c>
      <c r="M41" s="105">
        <f>(C41+D41+E41)*F41*H41</f>
        <v>0</v>
      </c>
      <c r="N41" s="61"/>
      <c r="O41" s="57"/>
    </row>
    <row r="42" spans="1:15" x14ac:dyDescent="0.2">
      <c r="A42" s="113" t="s">
        <v>106</v>
      </c>
      <c r="B42" s="104"/>
      <c r="C42" s="105"/>
      <c r="D42" s="105"/>
      <c r="E42" s="105"/>
      <c r="F42" s="104"/>
      <c r="G42" s="104"/>
      <c r="H42" s="107"/>
      <c r="I42" s="45"/>
      <c r="J42" s="45"/>
      <c r="K42" s="45"/>
      <c r="L42" s="105"/>
      <c r="M42" s="103"/>
      <c r="N42" s="61"/>
      <c r="O42" s="57"/>
    </row>
    <row r="43" spans="1:15" x14ac:dyDescent="0.2">
      <c r="A43" s="111" t="s">
        <v>102</v>
      </c>
      <c r="B43" s="104">
        <v>10</v>
      </c>
      <c r="C43" s="105">
        <v>0</v>
      </c>
      <c r="D43" s="105">
        <v>0</v>
      </c>
      <c r="E43" s="105">
        <v>44858</v>
      </c>
      <c r="F43" s="104">
        <v>1</v>
      </c>
      <c r="G43" s="104">
        <f>B43*F43</f>
        <v>10</v>
      </c>
      <c r="H43" s="107">
        <v>0</v>
      </c>
      <c r="I43" s="45">
        <f>G43*H43</f>
        <v>0</v>
      </c>
      <c r="J43" s="45">
        <f>I43*0.1</f>
        <v>0</v>
      </c>
      <c r="K43" s="45">
        <f>I43*0.05</f>
        <v>0</v>
      </c>
      <c r="L43" s="105">
        <f t="shared" ref="L43:L44" si="10">(I43*$P$7)+(J43*$P$8)+(K43*$P$6)</f>
        <v>0</v>
      </c>
      <c r="M43" s="105">
        <f>(C43+D43+E43)*F43*H43</f>
        <v>0</v>
      </c>
      <c r="N43" s="61"/>
      <c r="O43" s="57"/>
    </row>
    <row r="44" spans="1:15" x14ac:dyDescent="0.2">
      <c r="A44" s="111" t="s">
        <v>103</v>
      </c>
      <c r="B44" s="104">
        <v>10</v>
      </c>
      <c r="C44" s="105">
        <v>0</v>
      </c>
      <c r="D44" s="105">
        <v>0</v>
      </c>
      <c r="E44" s="105">
        <v>31500</v>
      </c>
      <c r="F44" s="104">
        <v>1</v>
      </c>
      <c r="G44" s="104">
        <f>B44*F44</f>
        <v>10</v>
      </c>
      <c r="H44" s="107">
        <f>H43</f>
        <v>0</v>
      </c>
      <c r="I44" s="45">
        <f>G44*H44</f>
        <v>0</v>
      </c>
      <c r="J44" s="45">
        <f>I44*0.1</f>
        <v>0</v>
      </c>
      <c r="K44" s="45">
        <f>I44*0.05</f>
        <v>0</v>
      </c>
      <c r="L44" s="105">
        <f t="shared" si="10"/>
        <v>0</v>
      </c>
      <c r="M44" s="105">
        <f>(C44+D44+E44)*F44*H44</f>
        <v>0</v>
      </c>
      <c r="N44" s="61"/>
      <c r="O44" s="57"/>
    </row>
    <row r="45" spans="1:15" ht="25.5" x14ac:dyDescent="0.2">
      <c r="A45" s="113" t="s">
        <v>101</v>
      </c>
      <c r="B45" s="104"/>
      <c r="C45" s="105"/>
      <c r="D45" s="105"/>
      <c r="E45" s="105"/>
      <c r="F45" s="104"/>
      <c r="G45" s="104"/>
      <c r="H45" s="116"/>
      <c r="I45" s="45"/>
      <c r="J45" s="45"/>
      <c r="K45" s="45"/>
      <c r="L45" s="105"/>
      <c r="M45" s="105"/>
      <c r="N45" s="61"/>
      <c r="O45" s="57"/>
    </row>
    <row r="46" spans="1:15" x14ac:dyDescent="0.2">
      <c r="A46" s="111" t="s">
        <v>102</v>
      </c>
      <c r="B46" s="104">
        <v>10</v>
      </c>
      <c r="C46" s="105">
        <v>0</v>
      </c>
      <c r="D46" s="105">
        <v>0</v>
      </c>
      <c r="E46" s="105">
        <v>115000</v>
      </c>
      <c r="F46" s="104">
        <v>1</v>
      </c>
      <c r="G46" s="104">
        <f>B46*F46</f>
        <v>10</v>
      </c>
      <c r="H46" s="107">
        <v>0</v>
      </c>
      <c r="I46" s="45">
        <f>G46*H46</f>
        <v>0</v>
      </c>
      <c r="J46" s="45">
        <f>I46*0.1</f>
        <v>0</v>
      </c>
      <c r="K46" s="45">
        <f>I46*0.05</f>
        <v>0</v>
      </c>
      <c r="L46" s="105">
        <f t="shared" ref="L46:L47" si="11">(I46*$P$7)+(J46*$P$8)+(K46*$P$6)</f>
        <v>0</v>
      </c>
      <c r="M46" s="105">
        <f>(C46+D46+E46)*F46*H46</f>
        <v>0</v>
      </c>
      <c r="N46" s="61"/>
      <c r="O46" s="57"/>
    </row>
    <row r="47" spans="1:15" x14ac:dyDescent="0.2">
      <c r="A47" s="111" t="s">
        <v>103</v>
      </c>
      <c r="B47" s="104">
        <v>10</v>
      </c>
      <c r="C47" s="105">
        <v>0</v>
      </c>
      <c r="D47" s="105">
        <v>0</v>
      </c>
      <c r="E47" s="105">
        <v>9700</v>
      </c>
      <c r="F47" s="104">
        <v>1</v>
      </c>
      <c r="G47" s="104">
        <f>B47*F47</f>
        <v>10</v>
      </c>
      <c r="H47" s="107">
        <v>0</v>
      </c>
      <c r="I47" s="45">
        <f>G47*H47</f>
        <v>0</v>
      </c>
      <c r="J47" s="45">
        <f>I47*0.1</f>
        <v>0</v>
      </c>
      <c r="K47" s="45">
        <f>I47*0.05</f>
        <v>0</v>
      </c>
      <c r="L47" s="105">
        <f t="shared" si="11"/>
        <v>0</v>
      </c>
      <c r="M47" s="105">
        <f>(C47+D47+E47)*F47*H47</f>
        <v>0</v>
      </c>
      <c r="N47" s="61"/>
      <c r="O47" s="57"/>
    </row>
    <row r="48" spans="1:15" x14ac:dyDescent="0.2">
      <c r="A48" s="114" t="s">
        <v>87</v>
      </c>
      <c r="B48" s="104"/>
      <c r="C48" s="105"/>
      <c r="D48" s="105"/>
      <c r="E48" s="105"/>
      <c r="F48" s="104"/>
      <c r="G48" s="104"/>
      <c r="H48" s="107"/>
      <c r="I48" s="45"/>
      <c r="J48" s="45"/>
      <c r="K48" s="115"/>
      <c r="L48" s="105"/>
      <c r="M48" s="105"/>
      <c r="N48" s="61"/>
      <c r="O48" s="57"/>
    </row>
    <row r="49" spans="1:15" x14ac:dyDescent="0.2">
      <c r="A49" s="111" t="s">
        <v>102</v>
      </c>
      <c r="B49" s="104">
        <v>10</v>
      </c>
      <c r="C49" s="105">
        <v>0</v>
      </c>
      <c r="D49" s="105">
        <v>0</v>
      </c>
      <c r="E49" s="105">
        <v>153700</v>
      </c>
      <c r="F49" s="104">
        <v>1</v>
      </c>
      <c r="G49" s="104">
        <f>B49*F49</f>
        <v>10</v>
      </c>
      <c r="H49" s="107">
        <v>0</v>
      </c>
      <c r="I49" s="45">
        <f>G49*H49</f>
        <v>0</v>
      </c>
      <c r="J49" s="45">
        <f>I49*0.1</f>
        <v>0</v>
      </c>
      <c r="K49" s="45">
        <f>I49*0.05</f>
        <v>0</v>
      </c>
      <c r="L49" s="105">
        <f t="shared" ref="L49:L50" si="12">(I49*$P$7)+(J49*$P$8)+(K49*$P$6)</f>
        <v>0</v>
      </c>
      <c r="M49" s="105">
        <f>(C49+D49+E49)*F49*H49</f>
        <v>0</v>
      </c>
      <c r="N49" s="61"/>
      <c r="O49" s="57"/>
    </row>
    <row r="50" spans="1:15" x14ac:dyDescent="0.2">
      <c r="A50" s="111" t="s">
        <v>103</v>
      </c>
      <c r="B50" s="104">
        <v>10</v>
      </c>
      <c r="C50" s="105">
        <v>0</v>
      </c>
      <c r="D50" s="105">
        <v>0</v>
      </c>
      <c r="E50" s="105">
        <f>'Capital vs. O&amp;M'!E10</f>
        <v>42600</v>
      </c>
      <c r="F50" s="104">
        <v>1</v>
      </c>
      <c r="G50" s="104">
        <f>B50*F50</f>
        <v>10</v>
      </c>
      <c r="H50" s="107">
        <f>H49</f>
        <v>0</v>
      </c>
      <c r="I50" s="45">
        <f>G50*H50</f>
        <v>0</v>
      </c>
      <c r="J50" s="45">
        <f>I50*0.1</f>
        <v>0</v>
      </c>
      <c r="K50" s="45">
        <f>I50*0.05</f>
        <v>0</v>
      </c>
      <c r="L50" s="105">
        <f t="shared" si="12"/>
        <v>0</v>
      </c>
      <c r="M50" s="105">
        <f>(C50+D50+E50)*F50*H50</f>
        <v>0</v>
      </c>
      <c r="N50" s="61"/>
      <c r="O50" s="57"/>
    </row>
    <row r="51" spans="1:15" x14ac:dyDescent="0.2">
      <c r="A51" s="108" t="s">
        <v>91</v>
      </c>
      <c r="B51" s="104" t="s">
        <v>227</v>
      </c>
      <c r="C51" s="105"/>
      <c r="D51" s="105"/>
      <c r="E51" s="105"/>
      <c r="F51" s="104"/>
      <c r="G51" s="104"/>
      <c r="H51" s="45"/>
      <c r="I51" s="45"/>
      <c r="J51" s="45"/>
      <c r="K51" s="45"/>
      <c r="L51" s="105"/>
      <c r="M51" s="105"/>
      <c r="N51" s="61"/>
      <c r="O51" s="57"/>
    </row>
    <row r="52" spans="1:15" x14ac:dyDescent="0.2">
      <c r="A52" s="108" t="s">
        <v>92</v>
      </c>
      <c r="B52" s="104" t="s">
        <v>227</v>
      </c>
      <c r="C52" s="105"/>
      <c r="D52" s="105"/>
      <c r="E52" s="105"/>
      <c r="F52" s="104"/>
      <c r="G52" s="104"/>
      <c r="H52" s="45"/>
      <c r="I52" s="45"/>
      <c r="J52" s="45"/>
      <c r="K52" s="45"/>
      <c r="L52" s="105"/>
      <c r="M52" s="105"/>
      <c r="N52" s="61"/>
      <c r="O52" s="57"/>
    </row>
    <row r="53" spans="1:15" x14ac:dyDescent="0.2">
      <c r="A53" s="108" t="s">
        <v>93</v>
      </c>
      <c r="B53" s="104"/>
      <c r="C53" s="105"/>
      <c r="D53" s="105"/>
      <c r="E53" s="105"/>
      <c r="F53" s="104"/>
      <c r="G53" s="104"/>
      <c r="H53" s="45"/>
      <c r="I53" s="45"/>
      <c r="J53" s="45"/>
      <c r="K53" s="45"/>
      <c r="L53" s="105"/>
      <c r="M53" s="105"/>
      <c r="N53" s="61"/>
      <c r="O53" s="57"/>
    </row>
    <row r="54" spans="1:15" x14ac:dyDescent="0.2">
      <c r="A54" s="109" t="s">
        <v>50</v>
      </c>
      <c r="B54" s="104">
        <v>2</v>
      </c>
      <c r="C54" s="105">
        <v>0</v>
      </c>
      <c r="D54" s="105">
        <v>0</v>
      </c>
      <c r="E54" s="105">
        <v>0</v>
      </c>
      <c r="F54" s="104">
        <v>1</v>
      </c>
      <c r="G54" s="104">
        <f>B54*F54</f>
        <v>2</v>
      </c>
      <c r="H54" s="107">
        <v>0</v>
      </c>
      <c r="I54" s="45">
        <f>G54*H54</f>
        <v>0</v>
      </c>
      <c r="J54" s="45">
        <f>I54*0.1</f>
        <v>0</v>
      </c>
      <c r="K54" s="45">
        <f>I54*0.05</f>
        <v>0</v>
      </c>
      <c r="L54" s="105">
        <f t="shared" ref="L54:L57" si="13">(I54*$P$7)+(J54*$P$8)+(K54*$P$6)</f>
        <v>0</v>
      </c>
      <c r="M54" s="105">
        <f>(C54+D54+E54)*F54*H54</f>
        <v>0</v>
      </c>
      <c r="N54" s="61"/>
      <c r="O54" s="57"/>
    </row>
    <row r="55" spans="1:15" x14ac:dyDescent="0.2">
      <c r="A55" s="109" t="s">
        <v>36</v>
      </c>
      <c r="B55" s="104">
        <v>8</v>
      </c>
      <c r="C55" s="105">
        <v>0</v>
      </c>
      <c r="D55" s="105">
        <v>0</v>
      </c>
      <c r="E55" s="105">
        <v>0</v>
      </c>
      <c r="F55" s="104">
        <v>1</v>
      </c>
      <c r="G55" s="104">
        <f>B55*F55</f>
        <v>8</v>
      </c>
      <c r="H55" s="107">
        <v>0</v>
      </c>
      <c r="I55" s="45">
        <f>G55*H55</f>
        <v>0</v>
      </c>
      <c r="J55" s="45">
        <f>I55*0.1</f>
        <v>0</v>
      </c>
      <c r="K55" s="45">
        <f>I55*0.05</f>
        <v>0</v>
      </c>
      <c r="L55" s="105">
        <f t="shared" si="13"/>
        <v>0</v>
      </c>
      <c r="M55" s="105">
        <f>(C55+D55+E55)*F55*H55</f>
        <v>0</v>
      </c>
      <c r="N55" s="61"/>
      <c r="O55" s="57"/>
    </row>
    <row r="56" spans="1:15" x14ac:dyDescent="0.2">
      <c r="A56" s="109" t="s">
        <v>37</v>
      </c>
      <c r="B56" s="104">
        <v>5</v>
      </c>
      <c r="C56" s="105">
        <v>0</v>
      </c>
      <c r="D56" s="105">
        <v>0</v>
      </c>
      <c r="E56" s="105">
        <v>0</v>
      </c>
      <c r="F56" s="104">
        <v>1</v>
      </c>
      <c r="G56" s="104">
        <f>B56*F56</f>
        <v>5</v>
      </c>
      <c r="H56" s="107">
        <v>0</v>
      </c>
      <c r="I56" s="45">
        <f>G56*H56</f>
        <v>0</v>
      </c>
      <c r="J56" s="45">
        <f>I56*0.1</f>
        <v>0</v>
      </c>
      <c r="K56" s="45">
        <f>I56*0.05</f>
        <v>0</v>
      </c>
      <c r="L56" s="105">
        <f t="shared" si="13"/>
        <v>0</v>
      </c>
      <c r="M56" s="105">
        <f>(C56+D56+E56)*F56*H56</f>
        <v>0</v>
      </c>
      <c r="N56" s="61"/>
      <c r="O56" s="57"/>
    </row>
    <row r="57" spans="1:15" x14ac:dyDescent="0.2">
      <c r="A57" s="112" t="s">
        <v>54</v>
      </c>
      <c r="B57" s="104">
        <v>20</v>
      </c>
      <c r="C57" s="105">
        <v>0</v>
      </c>
      <c r="D57" s="105">
        <v>0</v>
      </c>
      <c r="E57" s="105">
        <v>0</v>
      </c>
      <c r="F57" s="104">
        <v>2</v>
      </c>
      <c r="G57" s="104">
        <f>B57*F57</f>
        <v>40</v>
      </c>
      <c r="H57" s="107">
        <v>0</v>
      </c>
      <c r="I57" s="45">
        <f>G57*H57</f>
        <v>0</v>
      </c>
      <c r="J57" s="45">
        <f>I57*0.1</f>
        <v>0</v>
      </c>
      <c r="K57" s="45">
        <f>I57*0.05</f>
        <v>0</v>
      </c>
      <c r="L57" s="105">
        <f t="shared" si="13"/>
        <v>0</v>
      </c>
      <c r="M57" s="105">
        <f>(C57+D57+E57)*F57*H57</f>
        <v>0</v>
      </c>
      <c r="N57" s="66"/>
      <c r="O57" s="57"/>
    </row>
    <row r="58" spans="1:15" s="72" customFormat="1" ht="13.5" x14ac:dyDescent="0.25">
      <c r="A58" s="117" t="s">
        <v>107</v>
      </c>
      <c r="B58" s="118"/>
      <c r="C58" s="119"/>
      <c r="D58" s="119"/>
      <c r="E58" s="119"/>
      <c r="F58" s="118"/>
      <c r="G58" s="118"/>
      <c r="H58" s="116"/>
      <c r="I58" s="237">
        <f>SUM(I8:K57)</f>
        <v>287.5</v>
      </c>
      <c r="J58" s="237"/>
      <c r="K58" s="237"/>
      <c r="L58" s="120">
        <f>SUM(L8:L57)</f>
        <v>33297.5</v>
      </c>
      <c r="M58" s="120">
        <f>SUM(M29,M32,M35,M38,M41,M44,M47,M50)</f>
        <v>0</v>
      </c>
      <c r="N58" s="70"/>
      <c r="O58" s="71"/>
    </row>
    <row r="59" spans="1:15" x14ac:dyDescent="0.2">
      <c r="A59" s="103" t="s">
        <v>49</v>
      </c>
      <c r="B59" s="104"/>
      <c r="C59" s="105"/>
      <c r="D59" s="105"/>
      <c r="E59" s="105"/>
      <c r="F59" s="104"/>
      <c r="G59" s="104"/>
      <c r="H59" s="45"/>
      <c r="I59" s="45"/>
      <c r="J59" s="45"/>
      <c r="K59" s="45"/>
      <c r="L59" s="105"/>
      <c r="M59" s="105"/>
      <c r="N59" s="61"/>
      <c r="O59" s="57"/>
    </row>
    <row r="60" spans="1:15" x14ac:dyDescent="0.2">
      <c r="A60" s="106" t="s">
        <v>339</v>
      </c>
      <c r="B60" s="121" t="s">
        <v>46</v>
      </c>
      <c r="C60" s="105"/>
      <c r="D60" s="105"/>
      <c r="E60" s="105"/>
      <c r="F60" s="104"/>
      <c r="G60" s="104"/>
      <c r="H60" s="45"/>
      <c r="I60" s="45"/>
      <c r="J60" s="45"/>
      <c r="K60" s="45"/>
      <c r="L60" s="105"/>
      <c r="M60" s="105"/>
      <c r="N60" s="61"/>
      <c r="O60" s="57"/>
    </row>
    <row r="61" spans="1:15" x14ac:dyDescent="0.2">
      <c r="A61" s="108" t="s">
        <v>94</v>
      </c>
      <c r="B61" s="104" t="s">
        <v>227</v>
      </c>
      <c r="C61" s="105"/>
      <c r="D61" s="105"/>
      <c r="E61" s="105"/>
      <c r="F61" s="104"/>
      <c r="G61" s="104"/>
      <c r="H61" s="45"/>
      <c r="I61" s="45"/>
      <c r="J61" s="45"/>
      <c r="K61" s="45"/>
      <c r="L61" s="105"/>
      <c r="M61" s="105"/>
      <c r="N61" s="61"/>
      <c r="O61" s="57"/>
    </row>
    <row r="62" spans="1:15" x14ac:dyDescent="0.2">
      <c r="A62" s="108" t="s">
        <v>95</v>
      </c>
      <c r="B62" s="104" t="s">
        <v>227</v>
      </c>
      <c r="C62" s="105"/>
      <c r="D62" s="105"/>
      <c r="E62" s="105"/>
      <c r="F62" s="104"/>
      <c r="G62" s="104"/>
      <c r="H62" s="45"/>
      <c r="I62" s="45"/>
      <c r="J62" s="45"/>
      <c r="K62" s="45"/>
      <c r="L62" s="105"/>
      <c r="M62" s="105"/>
      <c r="N62" s="61"/>
      <c r="O62" s="57"/>
    </row>
    <row r="63" spans="1:15" x14ac:dyDescent="0.2">
      <c r="A63" s="108" t="s">
        <v>96</v>
      </c>
      <c r="B63" s="104"/>
      <c r="C63" s="105"/>
      <c r="D63" s="105"/>
      <c r="E63" s="105"/>
      <c r="F63" s="104"/>
      <c r="G63" s="104"/>
      <c r="H63" s="45"/>
      <c r="I63" s="45"/>
      <c r="J63" s="45"/>
      <c r="K63" s="45"/>
      <c r="L63" s="105"/>
      <c r="M63" s="105"/>
      <c r="N63" s="61"/>
      <c r="O63" s="57"/>
    </row>
    <row r="64" spans="1:15" x14ac:dyDescent="0.2">
      <c r="A64" s="112" t="s">
        <v>167</v>
      </c>
      <c r="B64" s="104">
        <v>20</v>
      </c>
      <c r="C64" s="105">
        <v>0</v>
      </c>
      <c r="D64" s="105">
        <v>0</v>
      </c>
      <c r="E64" s="105">
        <v>0</v>
      </c>
      <c r="F64" s="104">
        <v>1</v>
      </c>
      <c r="G64" s="104">
        <f t="shared" ref="G64:G70" si="14">B64*F64</f>
        <v>20</v>
      </c>
      <c r="H64" s="107">
        <v>0</v>
      </c>
      <c r="I64" s="45">
        <f t="shared" ref="I64:I69" si="15">G64*H64</f>
        <v>0</v>
      </c>
      <c r="J64" s="45">
        <f t="shared" ref="J64:J69" si="16">I64*0.1</f>
        <v>0</v>
      </c>
      <c r="K64" s="45">
        <f t="shared" ref="K64:K69" si="17">I64*0.05</f>
        <v>0</v>
      </c>
      <c r="L64" s="105">
        <f t="shared" ref="L64:L70" si="18">(I64*$P$7)+(J64*$P$8)+(K64*$P$6)</f>
        <v>0</v>
      </c>
      <c r="M64" s="105">
        <f t="shared" ref="M64:M69" si="19">(C64+D64+E64)*F64*H64</f>
        <v>0</v>
      </c>
      <c r="N64" s="61"/>
      <c r="O64" s="57"/>
    </row>
    <row r="65" spans="1:20" x14ac:dyDescent="0.2">
      <c r="A65" s="109" t="s">
        <v>35</v>
      </c>
      <c r="B65" s="104">
        <v>15</v>
      </c>
      <c r="C65" s="105">
        <v>0</v>
      </c>
      <c r="D65" s="105">
        <v>0</v>
      </c>
      <c r="E65" s="105">
        <v>0</v>
      </c>
      <c r="F65" s="104">
        <v>1</v>
      </c>
      <c r="G65" s="104">
        <f t="shared" si="14"/>
        <v>15</v>
      </c>
      <c r="H65" s="107">
        <v>0</v>
      </c>
      <c r="I65" s="45">
        <f t="shared" si="15"/>
        <v>0</v>
      </c>
      <c r="J65" s="45">
        <f t="shared" si="16"/>
        <v>0</v>
      </c>
      <c r="K65" s="45">
        <f t="shared" si="17"/>
        <v>0</v>
      </c>
      <c r="L65" s="105">
        <f t="shared" si="18"/>
        <v>0</v>
      </c>
      <c r="M65" s="105">
        <f t="shared" si="19"/>
        <v>0</v>
      </c>
      <c r="N65" s="61"/>
      <c r="O65" s="57"/>
    </row>
    <row r="66" spans="1:20" x14ac:dyDescent="0.2">
      <c r="A66" s="112" t="s">
        <v>168</v>
      </c>
      <c r="B66" s="104">
        <v>2</v>
      </c>
      <c r="C66" s="105">
        <v>0</v>
      </c>
      <c r="D66" s="105">
        <v>0</v>
      </c>
      <c r="E66" s="105">
        <v>0</v>
      </c>
      <c r="F66" s="104">
        <v>1</v>
      </c>
      <c r="G66" s="104">
        <f t="shared" si="14"/>
        <v>2</v>
      </c>
      <c r="H66" s="107">
        <v>0</v>
      </c>
      <c r="I66" s="45">
        <f t="shared" si="15"/>
        <v>0</v>
      </c>
      <c r="J66" s="45">
        <f t="shared" si="16"/>
        <v>0</v>
      </c>
      <c r="K66" s="45">
        <f t="shared" si="17"/>
        <v>0</v>
      </c>
      <c r="L66" s="105">
        <f t="shared" si="18"/>
        <v>0</v>
      </c>
      <c r="M66" s="105">
        <f t="shared" si="19"/>
        <v>0</v>
      </c>
      <c r="N66" s="61"/>
      <c r="O66" s="57"/>
    </row>
    <row r="67" spans="1:20" x14ac:dyDescent="0.2">
      <c r="A67" s="109" t="s">
        <v>169</v>
      </c>
      <c r="B67" s="104">
        <v>2</v>
      </c>
      <c r="C67" s="105">
        <v>0</v>
      </c>
      <c r="D67" s="105">
        <v>0</v>
      </c>
      <c r="E67" s="105">
        <v>0</v>
      </c>
      <c r="F67" s="104">
        <v>1</v>
      </c>
      <c r="G67" s="104">
        <f t="shared" si="14"/>
        <v>2</v>
      </c>
      <c r="H67" s="107">
        <v>0</v>
      </c>
      <c r="I67" s="45">
        <f t="shared" si="15"/>
        <v>0</v>
      </c>
      <c r="J67" s="45">
        <f t="shared" si="16"/>
        <v>0</v>
      </c>
      <c r="K67" s="45">
        <f t="shared" si="17"/>
        <v>0</v>
      </c>
      <c r="L67" s="105">
        <f t="shared" si="18"/>
        <v>0</v>
      </c>
      <c r="M67" s="105">
        <f t="shared" si="19"/>
        <v>0</v>
      </c>
      <c r="N67" s="61"/>
      <c r="O67" s="57"/>
    </row>
    <row r="68" spans="1:20" x14ac:dyDescent="0.2">
      <c r="A68" s="109" t="s">
        <v>170</v>
      </c>
      <c r="B68" s="104">
        <v>2</v>
      </c>
      <c r="C68" s="105">
        <v>0</v>
      </c>
      <c r="D68" s="105">
        <v>0</v>
      </c>
      <c r="E68" s="105">
        <v>0</v>
      </c>
      <c r="F68" s="104">
        <v>2</v>
      </c>
      <c r="G68" s="104">
        <f t="shared" si="14"/>
        <v>4</v>
      </c>
      <c r="H68" s="107">
        <v>0</v>
      </c>
      <c r="I68" s="45">
        <f t="shared" si="15"/>
        <v>0</v>
      </c>
      <c r="J68" s="45">
        <f t="shared" si="16"/>
        <v>0</v>
      </c>
      <c r="K68" s="45">
        <f t="shared" si="17"/>
        <v>0</v>
      </c>
      <c r="L68" s="105">
        <f t="shared" si="18"/>
        <v>0</v>
      </c>
      <c r="M68" s="105">
        <f t="shared" si="19"/>
        <v>0</v>
      </c>
      <c r="N68" s="61"/>
      <c r="O68" s="57"/>
    </row>
    <row r="69" spans="1:20" x14ac:dyDescent="0.2">
      <c r="A69" s="109" t="s">
        <v>171</v>
      </c>
      <c r="B69" s="104">
        <v>0.5</v>
      </c>
      <c r="C69" s="105">
        <v>0</v>
      </c>
      <c r="D69" s="105">
        <v>0</v>
      </c>
      <c r="E69" s="105">
        <v>0</v>
      </c>
      <c r="F69" s="104">
        <v>12</v>
      </c>
      <c r="G69" s="104">
        <f t="shared" si="14"/>
        <v>6</v>
      </c>
      <c r="H69" s="107">
        <v>0</v>
      </c>
      <c r="I69" s="45">
        <f t="shared" si="15"/>
        <v>0</v>
      </c>
      <c r="J69" s="45">
        <f t="shared" si="16"/>
        <v>0</v>
      </c>
      <c r="K69" s="45">
        <f t="shared" si="17"/>
        <v>0</v>
      </c>
      <c r="L69" s="105">
        <f t="shared" si="18"/>
        <v>0</v>
      </c>
      <c r="M69" s="105">
        <f t="shared" si="19"/>
        <v>0</v>
      </c>
      <c r="N69" s="61"/>
      <c r="O69" s="57"/>
    </row>
    <row r="70" spans="1:20" x14ac:dyDescent="0.2">
      <c r="A70" s="108" t="s">
        <v>97</v>
      </c>
      <c r="B70" s="104">
        <v>40</v>
      </c>
      <c r="C70" s="105">
        <v>0</v>
      </c>
      <c r="D70" s="105">
        <v>0</v>
      </c>
      <c r="E70" s="105">
        <v>0</v>
      </c>
      <c r="F70" s="104">
        <v>1</v>
      </c>
      <c r="G70" s="104">
        <f t="shared" si="14"/>
        <v>40</v>
      </c>
      <c r="H70" s="107">
        <v>0</v>
      </c>
      <c r="I70" s="45">
        <f>G70*H70</f>
        <v>0</v>
      </c>
      <c r="J70" s="45">
        <f>I70*0.1</f>
        <v>0</v>
      </c>
      <c r="K70" s="45">
        <f>I70*0.05</f>
        <v>0</v>
      </c>
      <c r="L70" s="105">
        <f t="shared" si="18"/>
        <v>0</v>
      </c>
      <c r="M70" s="105">
        <f>(C70+D70+E70)*F70*H70</f>
        <v>0</v>
      </c>
      <c r="N70" s="61"/>
      <c r="O70" s="57"/>
    </row>
    <row r="71" spans="1:20" x14ac:dyDescent="0.2">
      <c r="A71" s="108" t="s">
        <v>98</v>
      </c>
      <c r="B71" s="104" t="s">
        <v>227</v>
      </c>
      <c r="C71" s="105"/>
      <c r="D71" s="105"/>
      <c r="E71" s="105"/>
      <c r="F71" s="104"/>
      <c r="G71" s="104"/>
      <c r="H71" s="45"/>
      <c r="I71" s="45"/>
      <c r="J71" s="45"/>
      <c r="K71" s="45"/>
      <c r="L71" s="105"/>
      <c r="M71" s="105"/>
      <c r="N71" s="61"/>
      <c r="O71" s="57"/>
    </row>
    <row r="72" spans="1:20" s="72" customFormat="1" ht="13.5" x14ac:dyDescent="0.25">
      <c r="A72" s="122" t="s">
        <v>108</v>
      </c>
      <c r="B72" s="118"/>
      <c r="C72" s="119"/>
      <c r="D72" s="119"/>
      <c r="E72" s="119"/>
      <c r="F72" s="118"/>
      <c r="G72" s="118"/>
      <c r="H72" s="123"/>
      <c r="I72" s="237">
        <f>SUM(I64:K70)</f>
        <v>0</v>
      </c>
      <c r="J72" s="237"/>
      <c r="K72" s="237"/>
      <c r="L72" s="120">
        <f>SUM(L60:L71)</f>
        <v>0</v>
      </c>
      <c r="M72" s="120">
        <f>SUM(M60:M71)</f>
        <v>0</v>
      </c>
      <c r="N72" s="68"/>
    </row>
    <row r="73" spans="1:20" s="72" customFormat="1" ht="15.75" x14ac:dyDescent="0.2">
      <c r="A73" s="56" t="s">
        <v>126</v>
      </c>
      <c r="B73" s="118"/>
      <c r="C73" s="119"/>
      <c r="D73" s="119"/>
      <c r="E73" s="119"/>
      <c r="F73" s="118"/>
      <c r="G73" s="118"/>
      <c r="H73" s="123"/>
      <c r="I73" s="238">
        <f>I58+I72</f>
        <v>287.5</v>
      </c>
      <c r="J73" s="238"/>
      <c r="K73" s="238"/>
      <c r="L73" s="119">
        <f>ROUND(L58+L72,-1)</f>
        <v>33300</v>
      </c>
      <c r="M73" s="124"/>
      <c r="N73" s="68"/>
    </row>
    <row r="74" spans="1:20" s="72" customFormat="1" ht="15.75" x14ac:dyDescent="0.2">
      <c r="A74" s="56" t="s">
        <v>127</v>
      </c>
      <c r="B74" s="118"/>
      <c r="C74" s="119"/>
      <c r="D74" s="119"/>
      <c r="E74" s="119"/>
      <c r="F74" s="118"/>
      <c r="G74" s="118"/>
      <c r="H74" s="123"/>
      <c r="I74" s="123"/>
      <c r="J74" s="123"/>
      <c r="K74" s="123"/>
      <c r="L74" s="119"/>
      <c r="M74" s="119">
        <f>M58+M72</f>
        <v>0</v>
      </c>
      <c r="N74" s="68"/>
    </row>
    <row r="75" spans="1:20" s="72" customFormat="1" ht="15.75" x14ac:dyDescent="0.2">
      <c r="A75" s="56" t="s">
        <v>128</v>
      </c>
      <c r="B75" s="118"/>
      <c r="C75" s="119"/>
      <c r="D75" s="119"/>
      <c r="E75" s="119"/>
      <c r="F75" s="118"/>
      <c r="G75" s="118"/>
      <c r="H75" s="123"/>
      <c r="I75" s="123"/>
      <c r="J75" s="123"/>
      <c r="K75" s="123"/>
      <c r="L75" s="119"/>
      <c r="M75" s="119">
        <f>ROUND(L73+M74,-2)</f>
        <v>33300</v>
      </c>
      <c r="N75" s="68"/>
    </row>
    <row r="76" spans="1:20" s="72" customFormat="1" ht="13.5" x14ac:dyDescent="0.25">
      <c r="A76" s="74"/>
      <c r="B76" s="67"/>
      <c r="C76" s="68"/>
      <c r="D76" s="68"/>
      <c r="E76" s="68"/>
      <c r="F76" s="67"/>
      <c r="G76" s="67"/>
      <c r="H76" s="69"/>
      <c r="I76" s="69"/>
      <c r="J76" s="69"/>
      <c r="K76" s="69"/>
      <c r="L76" s="68"/>
      <c r="M76" s="68"/>
      <c r="N76" s="69"/>
      <c r="O76" s="67"/>
      <c r="P76" s="68"/>
    </row>
    <row r="77" spans="1:20" s="72" customFormat="1" x14ac:dyDescent="0.2">
      <c r="A77" s="75" t="s">
        <v>109</v>
      </c>
      <c r="B77" s="67"/>
      <c r="C77" s="68"/>
      <c r="D77" s="68"/>
      <c r="E77" s="68"/>
      <c r="F77" s="67"/>
      <c r="G77" s="67"/>
      <c r="H77" s="69"/>
      <c r="I77" s="69"/>
      <c r="J77" s="69"/>
      <c r="K77" s="69"/>
      <c r="L77" s="68"/>
      <c r="M77" s="68"/>
      <c r="N77" s="69"/>
      <c r="O77" s="67"/>
      <c r="P77" s="68"/>
    </row>
    <row r="78" spans="1:20" ht="32.25" customHeight="1" x14ac:dyDescent="0.2">
      <c r="A78" s="234" t="s">
        <v>219</v>
      </c>
      <c r="B78" s="234"/>
      <c r="C78" s="234"/>
      <c r="D78" s="234"/>
      <c r="E78" s="234"/>
      <c r="F78" s="234"/>
      <c r="G78" s="234"/>
      <c r="H78" s="234"/>
      <c r="I78" s="234"/>
      <c r="J78" s="234"/>
      <c r="K78" s="234"/>
      <c r="L78" s="234"/>
      <c r="M78" s="234"/>
      <c r="N78" s="99"/>
    </row>
    <row r="79" spans="1:20" ht="30.75" customHeight="1" x14ac:dyDescent="0.2">
      <c r="A79" s="234" t="s">
        <v>202</v>
      </c>
      <c r="B79" s="234"/>
      <c r="C79" s="234"/>
      <c r="D79" s="234"/>
      <c r="E79" s="234"/>
      <c r="F79" s="234"/>
      <c r="G79" s="234"/>
      <c r="H79" s="234"/>
      <c r="I79" s="234"/>
      <c r="J79" s="234"/>
      <c r="K79" s="234"/>
      <c r="L79" s="234"/>
      <c r="M79" s="234"/>
      <c r="N79" s="99"/>
      <c r="T79" s="98"/>
    </row>
    <row r="80" spans="1:20" ht="12.75" customHeight="1" x14ac:dyDescent="0.2">
      <c r="A80" s="234" t="s">
        <v>344</v>
      </c>
      <c r="B80" s="234"/>
      <c r="C80" s="234"/>
      <c r="D80" s="234"/>
      <c r="E80" s="234"/>
      <c r="F80" s="234"/>
      <c r="G80" s="234"/>
      <c r="H80" s="234"/>
      <c r="I80" s="234"/>
      <c r="J80" s="234"/>
      <c r="K80" s="234"/>
      <c r="L80" s="234"/>
      <c r="M80" s="234"/>
      <c r="N80" s="143"/>
    </row>
    <row r="81" spans="1:1" x14ac:dyDescent="0.2">
      <c r="A81" s="57" t="s">
        <v>330</v>
      </c>
    </row>
  </sheetData>
  <mergeCells count="8">
    <mergeCell ref="A80:M80"/>
    <mergeCell ref="A78:M78"/>
    <mergeCell ref="A1:M1"/>
    <mergeCell ref="O5:P5"/>
    <mergeCell ref="A79:M79"/>
    <mergeCell ref="I58:K58"/>
    <mergeCell ref="I72:K72"/>
    <mergeCell ref="I73:K73"/>
  </mergeCells>
  <phoneticPr fontId="5" type="noConversion"/>
  <pageMargins left="0.25" right="0.25" top="0.5" bottom="0.5" header="0.5" footer="0.5"/>
  <pageSetup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D0DE-904C-4571-BC49-03E92CF70BC4}">
  <sheetPr>
    <pageSetUpPr fitToPage="1"/>
  </sheetPr>
  <dimension ref="A1:M45"/>
  <sheetViews>
    <sheetView zoomScaleNormal="100" workbookViewId="0">
      <selection activeCell="N13" sqref="N13"/>
    </sheetView>
  </sheetViews>
  <sheetFormatPr defaultColWidth="9.140625" defaultRowHeight="12.75" x14ac:dyDescent="0.2"/>
  <cols>
    <col min="1" max="1" width="35.140625" style="57" customWidth="1"/>
    <col min="2" max="2" width="12" style="97" customWidth="1"/>
    <col min="3" max="3" width="13" style="97" customWidth="1"/>
    <col min="4" max="4" width="14.42578125" style="97" customWidth="1"/>
    <col min="5" max="5" width="10.5703125" style="97" customWidth="1"/>
    <col min="6" max="6" width="11" style="97" customWidth="1"/>
    <col min="7" max="7" width="14" style="97" customWidth="1"/>
    <col min="8" max="8" width="13" style="143" customWidth="1"/>
    <col min="9" max="9" width="4.7109375" style="77" customWidth="1"/>
    <col min="10" max="10" width="11" style="57" bestFit="1" customWidth="1"/>
    <col min="11" max="11" width="8.140625" style="57" customWidth="1"/>
    <col min="12" max="12" width="9.140625" style="57"/>
    <col min="13" max="13" width="9.140625" style="63"/>
    <col min="14" max="16384" width="9.140625" style="57"/>
  </cols>
  <sheetData>
    <row r="1" spans="1:13" ht="36.75" customHeight="1" x14ac:dyDescent="0.2">
      <c r="A1" s="235" t="s">
        <v>217</v>
      </c>
      <c r="B1" s="235"/>
      <c r="C1" s="235"/>
      <c r="D1" s="235"/>
      <c r="E1" s="235"/>
      <c r="F1" s="235"/>
      <c r="G1" s="235"/>
      <c r="H1" s="235"/>
      <c r="I1" s="131"/>
    </row>
    <row r="2" spans="1:13" ht="12" customHeight="1" x14ac:dyDescent="0.2">
      <c r="A2" s="131" t="s">
        <v>82</v>
      </c>
      <c r="B2" s="131"/>
      <c r="C2" s="131"/>
      <c r="D2" s="131"/>
      <c r="E2" s="131"/>
      <c r="F2" s="131"/>
      <c r="G2" s="131"/>
      <c r="H2" s="131"/>
      <c r="I2" s="131"/>
    </row>
    <row r="3" spans="1:13" ht="33.75" customHeight="1" x14ac:dyDescent="0.2">
      <c r="A3" s="246" t="s">
        <v>38</v>
      </c>
      <c r="B3" s="100" t="s">
        <v>23</v>
      </c>
      <c r="C3" s="100" t="s">
        <v>24</v>
      </c>
      <c r="D3" s="100" t="s">
        <v>25</v>
      </c>
      <c r="E3" s="100" t="s">
        <v>27</v>
      </c>
      <c r="F3" s="100" t="s">
        <v>26</v>
      </c>
      <c r="G3" s="102" t="s">
        <v>137</v>
      </c>
      <c r="H3" s="102" t="s">
        <v>143</v>
      </c>
      <c r="I3" s="44"/>
    </row>
    <row r="4" spans="1:13" s="72" customFormat="1" ht="51" x14ac:dyDescent="0.2">
      <c r="A4" s="246"/>
      <c r="B4" s="100" t="s">
        <v>140</v>
      </c>
      <c r="C4" s="100" t="s">
        <v>229</v>
      </c>
      <c r="D4" s="100" t="s">
        <v>3</v>
      </c>
      <c r="E4" s="100" t="s">
        <v>141</v>
      </c>
      <c r="F4" s="100" t="s">
        <v>145</v>
      </c>
      <c r="G4" s="100" t="s">
        <v>142</v>
      </c>
      <c r="H4" s="102" t="s">
        <v>231</v>
      </c>
      <c r="I4" s="132"/>
      <c r="J4" s="73"/>
      <c r="M4" s="73"/>
    </row>
    <row r="5" spans="1:13" ht="34.5" customHeight="1" x14ac:dyDescent="0.2">
      <c r="A5" s="133" t="s">
        <v>343</v>
      </c>
      <c r="B5" s="100">
        <v>10</v>
      </c>
      <c r="C5" s="100">
        <v>1</v>
      </c>
      <c r="D5" s="102">
        <f>B5*C5</f>
        <v>10</v>
      </c>
      <c r="E5" s="102">
        <f>D5</f>
        <v>10</v>
      </c>
      <c r="F5" s="102">
        <f>E5*0.05</f>
        <v>0.5</v>
      </c>
      <c r="G5" s="102">
        <f>E5*0.1</f>
        <v>1</v>
      </c>
      <c r="H5" s="134">
        <f>(E5*$K$7)+(F5*$K$6)+(G5*$K$8)</f>
        <v>554.46</v>
      </c>
      <c r="I5" s="62"/>
      <c r="J5" s="236" t="s">
        <v>122</v>
      </c>
      <c r="K5" s="236"/>
    </row>
    <row r="6" spans="1:13" ht="27" customHeight="1" x14ac:dyDescent="0.2">
      <c r="A6" s="135" t="s">
        <v>232</v>
      </c>
      <c r="B6" s="100">
        <v>2</v>
      </c>
      <c r="C6" s="102">
        <f>'TBL6-YR3'!H51</f>
        <v>0</v>
      </c>
      <c r="D6" s="102">
        <f>B6*C6</f>
        <v>0</v>
      </c>
      <c r="E6" s="102">
        <f>D6</f>
        <v>0</v>
      </c>
      <c r="F6" s="102">
        <f>E6*0.05</f>
        <v>0</v>
      </c>
      <c r="G6" s="102">
        <f>E6*0.1</f>
        <v>0</v>
      </c>
      <c r="H6" s="139">
        <f>(E6*$K$7)+(F6*$K$6)+(G6*$K$8)</f>
        <v>0</v>
      </c>
      <c r="I6" s="62"/>
      <c r="J6" s="46" t="s">
        <v>123</v>
      </c>
      <c r="K6" s="188">
        <v>66.62</v>
      </c>
    </row>
    <row r="7" spans="1:13" ht="15" customHeight="1" x14ac:dyDescent="0.2">
      <c r="A7" s="137" t="s">
        <v>138</v>
      </c>
      <c r="B7" s="100"/>
      <c r="C7" s="100"/>
      <c r="D7" s="102"/>
      <c r="E7" s="102"/>
      <c r="F7" s="102"/>
      <c r="G7" s="102"/>
      <c r="H7" s="139">
        <f t="shared" ref="H7:H24" si="0">(E7*$K$7)+(F7*$K$6)+(G7*$K$8)</f>
        <v>0</v>
      </c>
      <c r="I7" s="62"/>
      <c r="J7" s="46" t="s">
        <v>51</v>
      </c>
      <c r="K7" s="188">
        <v>49.44</v>
      </c>
    </row>
    <row r="8" spans="1:13" ht="15" customHeight="1" x14ac:dyDescent="0.2">
      <c r="A8" s="138" t="s">
        <v>245</v>
      </c>
      <c r="B8" s="100">
        <v>20</v>
      </c>
      <c r="C8" s="102">
        <f>'2019 Changes'!B3+'2019 Changes'!C3</f>
        <v>28</v>
      </c>
      <c r="D8" s="102">
        <f t="shared" ref="D8:D13" si="1">B8*C8</f>
        <v>560</v>
      </c>
      <c r="E8" s="102">
        <f t="shared" ref="E8:E14" si="2">D8</f>
        <v>560</v>
      </c>
      <c r="F8" s="102">
        <f t="shared" ref="F8:F14" si="3">E8*0.05</f>
        <v>28</v>
      </c>
      <c r="G8" s="102">
        <f t="shared" ref="G8:G14" si="4">E8*0.1</f>
        <v>56</v>
      </c>
      <c r="H8" s="134">
        <f t="shared" si="0"/>
        <v>31049.759999999998</v>
      </c>
      <c r="I8" s="62"/>
      <c r="J8" s="46" t="s">
        <v>52</v>
      </c>
      <c r="K8" s="188">
        <v>26.75</v>
      </c>
    </row>
    <row r="9" spans="1:13" ht="28.5" customHeight="1" x14ac:dyDescent="0.2">
      <c r="A9" s="138" t="s">
        <v>233</v>
      </c>
      <c r="B9" s="100">
        <v>20</v>
      </c>
      <c r="C9" s="102">
        <v>0</v>
      </c>
      <c r="D9" s="102">
        <f t="shared" si="1"/>
        <v>0</v>
      </c>
      <c r="E9" s="102">
        <f t="shared" si="2"/>
        <v>0</v>
      </c>
      <c r="F9" s="102">
        <f t="shared" si="3"/>
        <v>0</v>
      </c>
      <c r="G9" s="102">
        <f t="shared" si="4"/>
        <v>0</v>
      </c>
      <c r="H9" s="139">
        <f t="shared" si="0"/>
        <v>0</v>
      </c>
      <c r="I9" s="62"/>
      <c r="J9" s="63"/>
    </row>
    <row r="10" spans="1:13" ht="15" customHeight="1" x14ac:dyDescent="0.2">
      <c r="A10" s="138" t="s">
        <v>234</v>
      </c>
      <c r="B10" s="100">
        <v>40</v>
      </c>
      <c r="C10" s="102">
        <v>0</v>
      </c>
      <c r="D10" s="102">
        <f t="shared" si="1"/>
        <v>0</v>
      </c>
      <c r="E10" s="102">
        <f t="shared" si="2"/>
        <v>0</v>
      </c>
      <c r="F10" s="102">
        <f t="shared" si="3"/>
        <v>0</v>
      </c>
      <c r="G10" s="102">
        <f t="shared" si="4"/>
        <v>0</v>
      </c>
      <c r="H10" s="139">
        <f t="shared" si="0"/>
        <v>0</v>
      </c>
      <c r="I10" s="62"/>
      <c r="J10" s="63"/>
    </row>
    <row r="11" spans="1:13" ht="15" customHeight="1" x14ac:dyDescent="0.2">
      <c r="A11" s="138" t="s">
        <v>235</v>
      </c>
      <c r="B11" s="100">
        <v>40</v>
      </c>
      <c r="C11" s="102">
        <v>0</v>
      </c>
      <c r="D11" s="102">
        <f t="shared" si="1"/>
        <v>0</v>
      </c>
      <c r="E11" s="102">
        <f t="shared" si="2"/>
        <v>0</v>
      </c>
      <c r="F11" s="102">
        <f t="shared" si="3"/>
        <v>0</v>
      </c>
      <c r="G11" s="102">
        <f t="shared" si="4"/>
        <v>0</v>
      </c>
      <c r="H11" s="139">
        <f t="shared" si="0"/>
        <v>0</v>
      </c>
      <c r="I11" s="62"/>
      <c r="J11" s="63"/>
    </row>
    <row r="12" spans="1:13" ht="15" customHeight="1" x14ac:dyDescent="0.2">
      <c r="A12" s="138" t="s">
        <v>247</v>
      </c>
      <c r="B12" s="100">
        <v>2</v>
      </c>
      <c r="C12" s="102">
        <f>'2019 Changes'!B13+'2019 Changes'!C13</f>
        <v>28</v>
      </c>
      <c r="D12" s="102">
        <f t="shared" si="1"/>
        <v>56</v>
      </c>
      <c r="E12" s="102">
        <f t="shared" si="2"/>
        <v>56</v>
      </c>
      <c r="F12" s="136">
        <f t="shared" si="3"/>
        <v>2.8000000000000003</v>
      </c>
      <c r="G12" s="136">
        <f t="shared" si="4"/>
        <v>5.6000000000000005</v>
      </c>
      <c r="H12" s="134">
        <f t="shared" si="0"/>
        <v>3104.9760000000001</v>
      </c>
      <c r="I12" s="62"/>
      <c r="J12" s="63"/>
    </row>
    <row r="13" spans="1:13" ht="28.5" customHeight="1" x14ac:dyDescent="0.2">
      <c r="A13" s="138" t="s">
        <v>248</v>
      </c>
      <c r="B13" s="100">
        <v>2</v>
      </c>
      <c r="C13" s="102">
        <f>C8</f>
        <v>28</v>
      </c>
      <c r="D13" s="102">
        <f t="shared" si="1"/>
        <v>56</v>
      </c>
      <c r="E13" s="102">
        <f t="shared" si="2"/>
        <v>56</v>
      </c>
      <c r="F13" s="136">
        <f t="shared" si="3"/>
        <v>2.8000000000000003</v>
      </c>
      <c r="G13" s="136">
        <f t="shared" si="4"/>
        <v>5.6000000000000005</v>
      </c>
      <c r="H13" s="134">
        <f t="shared" si="0"/>
        <v>3104.9760000000001</v>
      </c>
      <c r="I13" s="62"/>
      <c r="J13" s="63"/>
    </row>
    <row r="14" spans="1:13" ht="27.75" customHeight="1" x14ac:dyDescent="0.2">
      <c r="A14" s="137" t="s">
        <v>236</v>
      </c>
      <c r="B14" s="100">
        <v>24</v>
      </c>
      <c r="C14" s="102">
        <v>0</v>
      </c>
      <c r="D14" s="102">
        <v>0</v>
      </c>
      <c r="E14" s="102">
        <f t="shared" si="2"/>
        <v>0</v>
      </c>
      <c r="F14" s="102">
        <f t="shared" si="3"/>
        <v>0</v>
      </c>
      <c r="G14" s="102">
        <f t="shared" si="4"/>
        <v>0</v>
      </c>
      <c r="H14" s="139">
        <f t="shared" si="0"/>
        <v>0</v>
      </c>
      <c r="I14" s="62"/>
      <c r="J14" s="63"/>
    </row>
    <row r="15" spans="1:13" ht="15.75" customHeight="1" x14ac:dyDescent="0.2">
      <c r="A15" s="137" t="s">
        <v>152</v>
      </c>
      <c r="B15" s="100"/>
      <c r="C15" s="102"/>
      <c r="D15" s="102"/>
      <c r="E15" s="102"/>
      <c r="F15" s="102"/>
      <c r="G15" s="102"/>
      <c r="H15" s="139"/>
      <c r="I15" s="62"/>
      <c r="J15" s="63"/>
    </row>
    <row r="16" spans="1:13" ht="27" customHeight="1" x14ac:dyDescent="0.2">
      <c r="A16" s="140" t="s">
        <v>237</v>
      </c>
      <c r="B16" s="100">
        <v>2</v>
      </c>
      <c r="C16" s="102">
        <f>C6</f>
        <v>0</v>
      </c>
      <c r="D16" s="102">
        <f t="shared" ref="D16:D23" si="5">B16*C16</f>
        <v>0</v>
      </c>
      <c r="E16" s="102">
        <f>D16</f>
        <v>0</v>
      </c>
      <c r="F16" s="102">
        <f t="shared" ref="F16:F24" si="6">E16*0.05</f>
        <v>0</v>
      </c>
      <c r="G16" s="102">
        <f t="shared" ref="G16:G23" si="7">E16*0.1</f>
        <v>0</v>
      </c>
      <c r="H16" s="139">
        <f t="shared" si="0"/>
        <v>0</v>
      </c>
      <c r="I16" s="62"/>
      <c r="J16" s="63"/>
    </row>
    <row r="17" spans="1:10" ht="27" customHeight="1" x14ac:dyDescent="0.2">
      <c r="A17" s="140" t="s">
        <v>238</v>
      </c>
      <c r="B17" s="100">
        <v>20</v>
      </c>
      <c r="C17" s="102">
        <v>0</v>
      </c>
      <c r="D17" s="102">
        <f t="shared" si="5"/>
        <v>0</v>
      </c>
      <c r="E17" s="102">
        <f>D17</f>
        <v>0</v>
      </c>
      <c r="F17" s="102">
        <f t="shared" si="6"/>
        <v>0</v>
      </c>
      <c r="G17" s="102">
        <f t="shared" si="7"/>
        <v>0</v>
      </c>
      <c r="H17" s="139">
        <f t="shared" si="0"/>
        <v>0</v>
      </c>
      <c r="I17" s="62"/>
      <c r="J17" s="63"/>
    </row>
    <row r="18" spans="1:10" ht="31.5" customHeight="1" x14ac:dyDescent="0.2">
      <c r="A18" s="138" t="s">
        <v>239</v>
      </c>
      <c r="B18" s="100">
        <v>2</v>
      </c>
      <c r="C18" s="102">
        <v>0</v>
      </c>
      <c r="D18" s="102">
        <f t="shared" si="5"/>
        <v>0</v>
      </c>
      <c r="E18" s="102">
        <f>D18</f>
        <v>0</v>
      </c>
      <c r="F18" s="102">
        <f t="shared" si="6"/>
        <v>0</v>
      </c>
      <c r="G18" s="102">
        <f t="shared" si="7"/>
        <v>0</v>
      </c>
      <c r="H18" s="139">
        <f t="shared" si="0"/>
        <v>0</v>
      </c>
      <c r="I18" s="62"/>
      <c r="J18" s="63"/>
    </row>
    <row r="19" spans="1:10" ht="15" customHeight="1" x14ac:dyDescent="0.2">
      <c r="A19" s="137" t="s">
        <v>139</v>
      </c>
      <c r="B19" s="100"/>
      <c r="C19" s="102"/>
      <c r="D19" s="102"/>
      <c r="E19" s="102"/>
      <c r="F19" s="102"/>
      <c r="G19" s="102"/>
      <c r="H19" s="139">
        <f t="shared" si="0"/>
        <v>0</v>
      </c>
      <c r="I19" s="62"/>
      <c r="J19" s="63"/>
    </row>
    <row r="20" spans="1:10" ht="15" customHeight="1" x14ac:dyDescent="0.2">
      <c r="A20" s="138" t="s">
        <v>240</v>
      </c>
      <c r="B20" s="100">
        <v>4</v>
      </c>
      <c r="C20" s="102">
        <v>0</v>
      </c>
      <c r="D20" s="102">
        <f t="shared" si="5"/>
        <v>0</v>
      </c>
      <c r="E20" s="102">
        <f>D20</f>
        <v>0</v>
      </c>
      <c r="F20" s="102">
        <f t="shared" si="6"/>
        <v>0</v>
      </c>
      <c r="G20" s="102">
        <f t="shared" si="7"/>
        <v>0</v>
      </c>
      <c r="H20" s="139">
        <f t="shared" si="0"/>
        <v>0</v>
      </c>
      <c r="I20" s="62"/>
      <c r="J20" s="63"/>
    </row>
    <row r="21" spans="1:10" ht="17.25" customHeight="1" x14ac:dyDescent="0.2">
      <c r="A21" s="138" t="s">
        <v>241</v>
      </c>
      <c r="B21" s="100">
        <v>2</v>
      </c>
      <c r="C21" s="102">
        <v>0</v>
      </c>
      <c r="D21" s="102">
        <f t="shared" si="5"/>
        <v>0</v>
      </c>
      <c r="E21" s="102">
        <f>D21</f>
        <v>0</v>
      </c>
      <c r="F21" s="102">
        <f t="shared" si="6"/>
        <v>0</v>
      </c>
      <c r="G21" s="102">
        <f t="shared" si="7"/>
        <v>0</v>
      </c>
      <c r="H21" s="139">
        <f t="shared" si="0"/>
        <v>0</v>
      </c>
      <c r="I21" s="62"/>
      <c r="J21" s="63"/>
    </row>
    <row r="22" spans="1:10" ht="15" customHeight="1" x14ac:dyDescent="0.2">
      <c r="A22" s="138" t="s">
        <v>242</v>
      </c>
      <c r="B22" s="100">
        <v>1</v>
      </c>
      <c r="C22" s="102">
        <v>0</v>
      </c>
      <c r="D22" s="102">
        <f t="shared" si="5"/>
        <v>0</v>
      </c>
      <c r="E22" s="102">
        <f>D22</f>
        <v>0</v>
      </c>
      <c r="F22" s="102">
        <f t="shared" si="6"/>
        <v>0</v>
      </c>
      <c r="G22" s="102">
        <f t="shared" si="7"/>
        <v>0</v>
      </c>
      <c r="H22" s="139">
        <f t="shared" si="0"/>
        <v>0</v>
      </c>
      <c r="I22" s="62"/>
      <c r="J22" s="63"/>
    </row>
    <row r="23" spans="1:10" ht="27.75" customHeight="1" x14ac:dyDescent="0.2">
      <c r="A23" s="138" t="s">
        <v>243</v>
      </c>
      <c r="B23" s="100">
        <v>2</v>
      </c>
      <c r="C23" s="102">
        <v>0</v>
      </c>
      <c r="D23" s="102">
        <f t="shared" si="5"/>
        <v>0</v>
      </c>
      <c r="E23" s="102">
        <f>D23</f>
        <v>0</v>
      </c>
      <c r="F23" s="102">
        <f t="shared" si="6"/>
        <v>0</v>
      </c>
      <c r="G23" s="102">
        <f t="shared" si="7"/>
        <v>0</v>
      </c>
      <c r="H23" s="139">
        <f t="shared" si="0"/>
        <v>0</v>
      </c>
      <c r="I23" s="62"/>
      <c r="J23" s="63"/>
    </row>
    <row r="24" spans="1:10" ht="27.75" customHeight="1" x14ac:dyDescent="0.2">
      <c r="A24" s="133" t="s">
        <v>244</v>
      </c>
      <c r="B24" s="247" t="s">
        <v>83</v>
      </c>
      <c r="C24" s="248"/>
      <c r="D24" s="249"/>
      <c r="E24" s="102">
        <f>0</f>
        <v>0</v>
      </c>
      <c r="F24" s="102">
        <f t="shared" si="6"/>
        <v>0</v>
      </c>
      <c r="G24" s="102">
        <f>E24*0.1</f>
        <v>0</v>
      </c>
      <c r="H24" s="139">
        <f t="shared" si="0"/>
        <v>0</v>
      </c>
      <c r="I24" s="62"/>
    </row>
    <row r="25" spans="1:10" ht="18.75" customHeight="1" x14ac:dyDescent="0.2">
      <c r="A25" s="141" t="s">
        <v>246</v>
      </c>
      <c r="B25" s="100"/>
      <c r="C25" s="100"/>
      <c r="D25" s="100"/>
      <c r="E25" s="250">
        <f>(SUM(E5:E23))+(SUM(F5:F23))+(SUM(G5:G23))</f>
        <v>784.30000000000007</v>
      </c>
      <c r="F25" s="250"/>
      <c r="G25" s="250"/>
      <c r="H25" s="142">
        <f>ROUND(SUM(H5:H24),-2)</f>
        <v>37800</v>
      </c>
      <c r="I25" s="62"/>
    </row>
    <row r="26" spans="1:10" ht="11.25" customHeight="1" x14ac:dyDescent="0.2">
      <c r="A26" s="61"/>
      <c r="B26" s="61"/>
      <c r="C26" s="61"/>
      <c r="D26" s="61"/>
      <c r="E26" s="58"/>
      <c r="F26" s="58"/>
      <c r="G26" s="58"/>
      <c r="H26" s="59"/>
      <c r="I26" s="62"/>
    </row>
    <row r="27" spans="1:10" ht="14.25" customHeight="1" x14ac:dyDescent="0.2">
      <c r="A27" s="75" t="s">
        <v>109</v>
      </c>
      <c r="B27" s="61"/>
      <c r="C27" s="61"/>
      <c r="D27" s="61"/>
      <c r="E27" s="58"/>
      <c r="F27" s="58"/>
      <c r="G27" s="58"/>
      <c r="H27" s="59"/>
      <c r="I27" s="62"/>
    </row>
    <row r="28" spans="1:10" ht="45.75" customHeight="1" x14ac:dyDescent="0.2">
      <c r="A28" s="234" t="s">
        <v>230</v>
      </c>
      <c r="B28" s="234"/>
      <c r="C28" s="234"/>
      <c r="D28" s="234"/>
      <c r="E28" s="234"/>
      <c r="F28" s="234"/>
      <c r="G28" s="234"/>
      <c r="H28" s="234"/>
      <c r="I28" s="44"/>
    </row>
    <row r="29" spans="1:10" ht="28.5" customHeight="1" x14ac:dyDescent="0.2">
      <c r="A29" s="242" t="s">
        <v>249</v>
      </c>
      <c r="B29" s="242"/>
      <c r="C29" s="242"/>
      <c r="D29" s="242"/>
      <c r="E29" s="242"/>
      <c r="F29" s="242"/>
      <c r="G29" s="242"/>
      <c r="H29" s="242"/>
      <c r="I29" s="44"/>
    </row>
    <row r="30" spans="1:10" ht="41.25" customHeight="1" x14ac:dyDescent="0.2">
      <c r="A30" s="242" t="s">
        <v>250</v>
      </c>
      <c r="B30" s="242"/>
      <c r="C30" s="242"/>
      <c r="D30" s="242"/>
      <c r="E30" s="242"/>
      <c r="F30" s="242"/>
      <c r="G30" s="242"/>
      <c r="H30" s="242"/>
      <c r="I30" s="62"/>
    </row>
    <row r="31" spans="1:10" ht="41.25" customHeight="1" x14ac:dyDescent="0.2">
      <c r="A31" s="242" t="s">
        <v>251</v>
      </c>
      <c r="B31" s="242"/>
      <c r="C31" s="242"/>
      <c r="D31" s="242"/>
      <c r="E31" s="242"/>
      <c r="F31" s="242"/>
      <c r="G31" s="242"/>
      <c r="H31" s="242"/>
      <c r="I31" s="62"/>
    </row>
    <row r="32" spans="1:10" ht="22.5" customHeight="1" x14ac:dyDescent="0.2">
      <c r="A32" s="239" t="s">
        <v>252</v>
      </c>
      <c r="B32" s="239"/>
      <c r="C32" s="239"/>
      <c r="D32" s="239"/>
      <c r="E32" s="239"/>
      <c r="F32" s="239"/>
      <c r="G32" s="239"/>
      <c r="H32" s="239"/>
      <c r="J32" s="63"/>
    </row>
    <row r="33" spans="1:9" ht="22.5" customHeight="1" x14ac:dyDescent="0.2">
      <c r="A33" s="98"/>
      <c r="B33" s="57"/>
      <c r="C33" s="57"/>
      <c r="D33" s="57"/>
    </row>
    <row r="34" spans="1:9" ht="22.5" customHeight="1" x14ac:dyDescent="0.2">
      <c r="A34" s="98"/>
      <c r="B34" s="60"/>
      <c r="C34" s="60"/>
      <c r="D34" s="60"/>
      <c r="E34" s="60"/>
      <c r="F34" s="60"/>
      <c r="G34" s="60"/>
      <c r="H34" s="60"/>
      <c r="I34" s="60"/>
    </row>
    <row r="35" spans="1:9" ht="22.5" customHeight="1" x14ac:dyDescent="0.2">
      <c r="A35" s="98"/>
      <c r="B35" s="57"/>
      <c r="C35" s="57"/>
      <c r="D35" s="57"/>
    </row>
    <row r="36" spans="1:9" ht="22.5" customHeight="1" x14ac:dyDescent="0.2">
      <c r="A36" s="98"/>
      <c r="B36" s="57"/>
      <c r="C36" s="57"/>
      <c r="D36" s="57"/>
    </row>
    <row r="37" spans="1:9" ht="22.5" customHeight="1" x14ac:dyDescent="0.2">
      <c r="A37" s="98"/>
      <c r="B37" s="60"/>
      <c r="C37" s="60"/>
      <c r="D37" s="60"/>
      <c r="E37" s="60"/>
      <c r="F37" s="60"/>
      <c r="G37" s="60"/>
      <c r="H37" s="60"/>
      <c r="I37" s="60"/>
    </row>
    <row r="38" spans="1:9" ht="22.5" customHeight="1" x14ac:dyDescent="0.2">
      <c r="A38" s="81"/>
    </row>
    <row r="39" spans="1:9" ht="22.5" customHeight="1" x14ac:dyDescent="0.2">
      <c r="A39" s="98"/>
      <c r="B39" s="60"/>
      <c r="C39" s="60"/>
      <c r="D39" s="60"/>
      <c r="E39" s="60"/>
      <c r="F39" s="60"/>
      <c r="G39" s="60"/>
      <c r="H39" s="60"/>
      <c r="I39" s="60"/>
    </row>
    <row r="40" spans="1:9" ht="22.5" customHeight="1" x14ac:dyDescent="0.2">
      <c r="A40" s="81"/>
    </row>
    <row r="41" spans="1:9" ht="22.5" customHeight="1" x14ac:dyDescent="0.2">
      <c r="A41" s="81"/>
      <c r="C41" s="59"/>
      <c r="D41" s="144"/>
      <c r="E41" s="143"/>
      <c r="G41" s="145"/>
    </row>
    <row r="42" spans="1:9" ht="22.5" customHeight="1" x14ac:dyDescent="0.2">
      <c r="A42" s="81"/>
      <c r="D42" s="143"/>
      <c r="E42" s="143"/>
    </row>
    <row r="43" spans="1:9" x14ac:dyDescent="0.2">
      <c r="D43" s="144"/>
      <c r="E43" s="143"/>
    </row>
    <row r="44" spans="1:9" x14ac:dyDescent="0.2">
      <c r="D44" s="143"/>
    </row>
    <row r="45" spans="1:9" x14ac:dyDescent="0.2">
      <c r="E45" s="143"/>
    </row>
  </sheetData>
  <mergeCells count="10">
    <mergeCell ref="A1:H1"/>
    <mergeCell ref="A3:A4"/>
    <mergeCell ref="A30:H30"/>
    <mergeCell ref="A29:H29"/>
    <mergeCell ref="A31:H31"/>
    <mergeCell ref="J5:K5"/>
    <mergeCell ref="B24:D24"/>
    <mergeCell ref="E25:G25"/>
    <mergeCell ref="A28:H28"/>
    <mergeCell ref="A32:H32"/>
  </mergeCells>
  <printOptions horizontalCentered="1"/>
  <pageMargins left="0.5" right="0.5" top="0.5" bottom="0.5" header="0.5" footer="0.5"/>
  <pageSetup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11DB-2665-4A6A-BA1A-73E6AF8E04D8}">
  <dimension ref="A1:H17"/>
  <sheetViews>
    <sheetView workbookViewId="0">
      <selection sqref="A1:H1"/>
    </sheetView>
  </sheetViews>
  <sheetFormatPr defaultRowHeight="12.75" x14ac:dyDescent="0.2"/>
  <cols>
    <col min="1" max="1" width="11.140625" customWidth="1"/>
    <col min="2" max="8" width="11.42578125" customWidth="1"/>
  </cols>
  <sheetData>
    <row r="1" spans="1:8" ht="57" customHeight="1" x14ac:dyDescent="0.2">
      <c r="A1" s="251" t="s">
        <v>218</v>
      </c>
      <c r="B1" s="251"/>
      <c r="C1" s="251"/>
      <c r="D1" s="251"/>
      <c r="E1" s="251"/>
      <c r="F1" s="251"/>
      <c r="G1" s="251"/>
      <c r="H1" s="251"/>
    </row>
    <row r="2" spans="1:8" ht="26.25" thickBot="1" x14ac:dyDescent="0.25">
      <c r="A2" s="147" t="s">
        <v>110</v>
      </c>
      <c r="B2" s="148" t="s">
        <v>111</v>
      </c>
      <c r="C2" s="148" t="s">
        <v>112</v>
      </c>
      <c r="D2" s="148" t="s">
        <v>113</v>
      </c>
      <c r="E2" s="148" t="s">
        <v>115</v>
      </c>
      <c r="F2" s="148" t="s">
        <v>114</v>
      </c>
      <c r="G2" s="148" t="s">
        <v>144</v>
      </c>
      <c r="H2" s="148" t="s">
        <v>79</v>
      </c>
    </row>
    <row r="3" spans="1:8" ht="13.5" thickTop="1" x14ac:dyDescent="0.2">
      <c r="A3" s="149">
        <v>1</v>
      </c>
      <c r="B3" s="87">
        <f>SUM('TBL8-YR1'!E5:E24)</f>
        <v>0</v>
      </c>
      <c r="C3" s="87">
        <f>SUM('TBL8-YR1'!F5:F24)</f>
        <v>0</v>
      </c>
      <c r="D3" s="87">
        <f>SUM('TBL8-YR1'!G5:G24)</f>
        <v>0</v>
      </c>
      <c r="E3" s="87">
        <f>SUM(B3:D3)</f>
        <v>0</v>
      </c>
      <c r="F3" s="89">
        <f>'TBL8-YR1'!H25</f>
        <v>0</v>
      </c>
      <c r="G3" s="89">
        <v>0</v>
      </c>
      <c r="H3" s="89">
        <f>+F3+G3</f>
        <v>0</v>
      </c>
    </row>
    <row r="4" spans="1:8" x14ac:dyDescent="0.2">
      <c r="A4" s="150">
        <v>2</v>
      </c>
      <c r="B4" s="88">
        <f>SUM('TBL9-YR2'!E5:E24)</f>
        <v>0</v>
      </c>
      <c r="C4" s="88">
        <f>SUM('TBL9-YR2'!F5:F24)</f>
        <v>0</v>
      </c>
      <c r="D4" s="88">
        <f>SUM('TBL9-YR2'!G5:G24)</f>
        <v>0</v>
      </c>
      <c r="E4" s="87">
        <f t="shared" ref="E4" si="0">SUM(B4:D4)</f>
        <v>0</v>
      </c>
      <c r="F4" s="90">
        <f>'TBL9-YR2'!H25</f>
        <v>0</v>
      </c>
      <c r="G4" s="90">
        <v>0</v>
      </c>
      <c r="H4" s="89">
        <f>+F4+G4</f>
        <v>0</v>
      </c>
    </row>
    <row r="5" spans="1:8" ht="13.5" thickBot="1" x14ac:dyDescent="0.25">
      <c r="A5" s="151">
        <v>3</v>
      </c>
      <c r="B5" s="91">
        <f>SUM('TBL10-YR3'!E5:E24)</f>
        <v>682</v>
      </c>
      <c r="C5" s="91">
        <f>SUM('TBL10-YR3'!F5:F24)</f>
        <v>34.1</v>
      </c>
      <c r="D5" s="91">
        <f>SUM('TBL10-YR3'!G5:G24)</f>
        <v>68.2</v>
      </c>
      <c r="E5" s="91">
        <f>SUM(B5:D5)</f>
        <v>784.30000000000007</v>
      </c>
      <c r="F5" s="92">
        <f>'TBL10-YR3'!H25</f>
        <v>37800</v>
      </c>
      <c r="G5" s="92">
        <v>0</v>
      </c>
      <c r="H5" s="92">
        <f>F5+G5</f>
        <v>37800</v>
      </c>
    </row>
    <row r="6" spans="1:8" ht="13.5" thickTop="1" x14ac:dyDescent="0.2">
      <c r="A6" s="149" t="s">
        <v>53</v>
      </c>
      <c r="B6" s="87">
        <f>SUM(B3:B5)</f>
        <v>682</v>
      </c>
      <c r="C6" s="87">
        <f>SUM(C3:C5)</f>
        <v>34.1</v>
      </c>
      <c r="D6" s="87">
        <f t="shared" ref="D6:G6" si="1">SUM(D3:D5)</f>
        <v>68.2</v>
      </c>
      <c r="E6" s="87">
        <f>SUM(E3:E5)</f>
        <v>784.30000000000007</v>
      </c>
      <c r="F6" s="89">
        <f>ROUND(SUM(F3:F5),-1)</f>
        <v>37800</v>
      </c>
      <c r="G6" s="89">
        <f t="shared" si="1"/>
        <v>0</v>
      </c>
      <c r="H6" s="89">
        <f>ROUND(SUM(H3:H5),-1)</f>
        <v>37800</v>
      </c>
    </row>
    <row r="7" spans="1:8" x14ac:dyDescent="0.2">
      <c r="A7" s="150" t="s">
        <v>85</v>
      </c>
      <c r="B7" s="88">
        <f>AVERAGE(B3:B5)</f>
        <v>227.33333333333334</v>
      </c>
      <c r="C7" s="95">
        <f>AVERAGE(C3:C5)</f>
        <v>11.366666666666667</v>
      </c>
      <c r="D7" s="88">
        <f>AVERAGE(D3:D5)</f>
        <v>22.733333333333334</v>
      </c>
      <c r="E7" s="88">
        <f>AVERAGE(E3:E5)</f>
        <v>261.43333333333334</v>
      </c>
      <c r="F7" s="90">
        <f>ROUND(AVERAGE(F3:F5),-1)</f>
        <v>12600</v>
      </c>
      <c r="G7" s="90">
        <f>AVERAGE(G3:G5)</f>
        <v>0</v>
      </c>
      <c r="H7" s="90">
        <f>ROUND(AVERAGE(H3:H5),-1)</f>
        <v>12600</v>
      </c>
    </row>
    <row r="8" spans="1:8" x14ac:dyDescent="0.2">
      <c r="A8" s="93"/>
      <c r="B8" s="93"/>
      <c r="C8" s="93"/>
      <c r="D8" s="93"/>
      <c r="E8" s="93"/>
      <c r="F8" s="93"/>
      <c r="G8" s="93"/>
      <c r="H8" s="93"/>
    </row>
    <row r="9" spans="1:8" ht="26.25" thickBot="1" x14ac:dyDescent="0.25">
      <c r="A9" s="147" t="s">
        <v>110</v>
      </c>
      <c r="B9" s="148" t="s">
        <v>31</v>
      </c>
      <c r="C9" s="148" t="str">
        <f>E2</f>
        <v>Total Hours</v>
      </c>
      <c r="D9" s="93"/>
      <c r="E9" s="93"/>
      <c r="F9" s="93"/>
      <c r="G9" s="93"/>
      <c r="H9" s="93"/>
    </row>
    <row r="10" spans="1:8" ht="13.5" thickTop="1" x14ac:dyDescent="0.2">
      <c r="A10" s="149">
        <v>1</v>
      </c>
      <c r="B10" s="87">
        <v>0</v>
      </c>
      <c r="C10" s="167">
        <f>E3</f>
        <v>0</v>
      </c>
      <c r="D10" s="93"/>
      <c r="E10" s="93"/>
      <c r="F10" s="93"/>
      <c r="G10" s="93"/>
      <c r="H10" s="93"/>
    </row>
    <row r="11" spans="1:8" x14ac:dyDescent="0.2">
      <c r="A11" s="150">
        <v>2</v>
      </c>
      <c r="B11" s="88">
        <v>0</v>
      </c>
      <c r="C11" s="167">
        <f>E4</f>
        <v>0</v>
      </c>
      <c r="D11" s="93"/>
      <c r="E11" s="93"/>
      <c r="F11" s="93"/>
      <c r="G11" s="93"/>
      <c r="H11" s="93"/>
    </row>
    <row r="12" spans="1:8" ht="13.5" thickBot="1" x14ac:dyDescent="0.25">
      <c r="A12" s="151">
        <v>3</v>
      </c>
      <c r="B12" s="91">
        <f>'TBL10-YR3'!C5+'TBL10-YR3'!C8+'TBL10-YR3'!C12+'TBL10-YR3'!C13</f>
        <v>85</v>
      </c>
      <c r="C12" s="168">
        <f>E5</f>
        <v>784.30000000000007</v>
      </c>
      <c r="D12" s="93"/>
      <c r="E12" s="93"/>
      <c r="F12" s="93"/>
      <c r="G12" s="93"/>
      <c r="H12" s="93"/>
    </row>
    <row r="13" spans="1:8" ht="13.5" thickTop="1" x14ac:dyDescent="0.2">
      <c r="A13" s="149" t="s">
        <v>53</v>
      </c>
      <c r="B13" s="146">
        <f t="shared" ref="B13" si="2">SUM(B10:B12)</f>
        <v>85</v>
      </c>
      <c r="C13" s="169">
        <f>SUM(C10:C12)</f>
        <v>784.30000000000007</v>
      </c>
      <c r="D13" s="93"/>
      <c r="E13" s="93"/>
      <c r="F13" s="93"/>
      <c r="G13" s="93"/>
      <c r="H13" s="93"/>
    </row>
    <row r="14" spans="1:8" x14ac:dyDescent="0.2">
      <c r="A14" s="150" t="s">
        <v>85</v>
      </c>
      <c r="B14" s="88">
        <f>AVERAGE(B10:B12)</f>
        <v>28.333333333333332</v>
      </c>
      <c r="C14" s="88">
        <f>AVERAGE(C10:C12)</f>
        <v>261.43333333333334</v>
      </c>
      <c r="D14" s="93"/>
      <c r="E14" s="93"/>
      <c r="F14" s="93"/>
      <c r="G14" s="93"/>
      <c r="H14" s="93"/>
    </row>
    <row r="15" spans="1:8" x14ac:dyDescent="0.2">
      <c r="A15" s="93"/>
      <c r="B15" s="93"/>
      <c r="C15" s="93"/>
      <c r="D15" s="93"/>
      <c r="E15" s="93"/>
      <c r="F15" s="93"/>
      <c r="G15" s="93"/>
      <c r="H15" s="93"/>
    </row>
    <row r="16" spans="1:8" x14ac:dyDescent="0.2">
      <c r="A16" s="196"/>
      <c r="B16" s="196"/>
      <c r="C16" s="4"/>
      <c r="D16" s="197"/>
      <c r="E16" s="196"/>
      <c r="F16" s="196"/>
      <c r="G16" s="93"/>
      <c r="H16" s="93"/>
    </row>
    <row r="17" spans="1:6" x14ac:dyDescent="0.2">
      <c r="A17" s="4"/>
      <c r="B17" s="4"/>
      <c r="C17" s="4"/>
      <c r="D17" s="4"/>
      <c r="E17" s="4"/>
      <c r="F17" s="4"/>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63"/>
  <sheetViews>
    <sheetView workbookViewId="0">
      <selection activeCell="H24" sqref="H24"/>
    </sheetView>
  </sheetViews>
  <sheetFormatPr defaultColWidth="9.140625" defaultRowHeight="12.75" x14ac:dyDescent="0.2"/>
  <cols>
    <col min="1" max="1" width="24.42578125" style="18" customWidth="1"/>
    <col min="2" max="3" width="9.140625" style="18"/>
    <col min="4" max="4" width="13.5703125" style="18" bestFit="1" customWidth="1"/>
    <col min="5" max="7" width="9.140625" style="18"/>
    <col min="8" max="8" width="9.85546875" style="18" customWidth="1"/>
    <col min="9" max="18" width="9.140625" style="18"/>
    <col min="19" max="19" width="9" style="18" customWidth="1"/>
    <col min="20" max="20" width="9.140625" style="18"/>
    <col min="21" max="21" width="9.5703125" style="18" bestFit="1" customWidth="1"/>
    <col min="22" max="16384" width="9.140625" style="18"/>
  </cols>
  <sheetData>
    <row r="1" spans="1:20" x14ac:dyDescent="0.2">
      <c r="A1" s="1" t="s">
        <v>1</v>
      </c>
      <c r="L1" s="1" t="s">
        <v>5</v>
      </c>
      <c r="O1" s="18" t="s">
        <v>63</v>
      </c>
    </row>
    <row r="2" spans="1:20" x14ac:dyDescent="0.2">
      <c r="L2" s="1" t="s">
        <v>17</v>
      </c>
      <c r="T2" s="1" t="s">
        <v>62</v>
      </c>
    </row>
    <row r="3" spans="1:20" x14ac:dyDescent="0.2">
      <c r="A3" s="19" t="s">
        <v>16</v>
      </c>
      <c r="B3" s="19"/>
      <c r="C3" s="19"/>
      <c r="D3" s="19"/>
      <c r="E3" s="19"/>
      <c r="F3" s="19"/>
      <c r="G3" s="19"/>
      <c r="H3" s="19"/>
      <c r="I3" s="29"/>
      <c r="J3" s="29"/>
      <c r="K3" s="29"/>
      <c r="L3" s="18" t="s">
        <v>6</v>
      </c>
      <c r="T3" s="6" t="s">
        <v>6</v>
      </c>
    </row>
    <row r="4" spans="1:20" ht="15" x14ac:dyDescent="0.25">
      <c r="A4" s="20"/>
      <c r="B4" s="7" t="s">
        <v>17</v>
      </c>
      <c r="C4" s="8" t="s">
        <v>18</v>
      </c>
      <c r="D4" s="9" t="s">
        <v>19</v>
      </c>
      <c r="E4" s="10" t="s">
        <v>34</v>
      </c>
      <c r="F4" s="11" t="s">
        <v>56</v>
      </c>
      <c r="G4" s="12" t="s">
        <v>62</v>
      </c>
      <c r="H4" s="13" t="s">
        <v>74</v>
      </c>
      <c r="I4" s="29"/>
      <c r="J4" s="29"/>
      <c r="K4" s="29"/>
      <c r="L4" s="29" t="s">
        <v>7</v>
      </c>
      <c r="S4" s="30"/>
      <c r="T4" s="5" t="s">
        <v>7</v>
      </c>
    </row>
    <row r="5" spans="1:20" x14ac:dyDescent="0.2">
      <c r="A5" s="20" t="s">
        <v>20</v>
      </c>
      <c r="B5" s="15">
        <v>0</v>
      </c>
      <c r="C5" s="31">
        <v>0</v>
      </c>
      <c r="D5" s="32">
        <v>0</v>
      </c>
      <c r="E5" s="33">
        <v>0</v>
      </c>
      <c r="F5" s="34">
        <v>0</v>
      </c>
      <c r="G5" s="14">
        <v>0</v>
      </c>
      <c r="H5" s="35">
        <v>0</v>
      </c>
      <c r="I5" s="29" t="s">
        <v>57</v>
      </c>
      <c r="J5" s="29"/>
      <c r="K5" s="29"/>
      <c r="L5" s="29" t="s">
        <v>8</v>
      </c>
      <c r="S5" s="36"/>
      <c r="T5" s="5" t="s">
        <v>68</v>
      </c>
    </row>
    <row r="6" spans="1:20" x14ac:dyDescent="0.2">
      <c r="A6" s="20" t="s">
        <v>15</v>
      </c>
      <c r="B6" s="15">
        <v>35</v>
      </c>
      <c r="C6" s="31">
        <v>502</v>
      </c>
      <c r="D6" s="32">
        <v>401</v>
      </c>
      <c r="E6" s="33">
        <v>30</v>
      </c>
      <c r="F6" s="34">
        <v>1088</v>
      </c>
      <c r="G6" s="14">
        <v>76</v>
      </c>
      <c r="H6" s="35">
        <v>207</v>
      </c>
      <c r="I6" s="29"/>
      <c r="J6" s="29"/>
      <c r="K6" s="29"/>
      <c r="L6" s="5" t="s">
        <v>66</v>
      </c>
    </row>
    <row r="7" spans="1:20" x14ac:dyDescent="0.2">
      <c r="A7" s="20" t="s">
        <v>21</v>
      </c>
      <c r="B7" s="15">
        <v>0</v>
      </c>
      <c r="C7" s="31">
        <v>0</v>
      </c>
      <c r="D7" s="32">
        <v>0</v>
      </c>
      <c r="E7" s="33">
        <v>0</v>
      </c>
      <c r="F7" s="34">
        <v>0</v>
      </c>
      <c r="G7" s="14">
        <v>0</v>
      </c>
      <c r="H7" s="35">
        <v>0</v>
      </c>
      <c r="I7" s="29" t="s">
        <v>57</v>
      </c>
      <c r="J7" s="29"/>
      <c r="K7" s="29"/>
      <c r="S7" s="36"/>
      <c r="T7" s="5"/>
    </row>
    <row r="8" spans="1:20" x14ac:dyDescent="0.2">
      <c r="A8" s="20" t="s">
        <v>4</v>
      </c>
      <c r="B8" s="15">
        <v>262</v>
      </c>
      <c r="C8" s="31">
        <v>30</v>
      </c>
      <c r="D8" s="32">
        <v>271</v>
      </c>
      <c r="E8" s="33">
        <v>8</v>
      </c>
      <c r="F8" s="34">
        <v>316</v>
      </c>
      <c r="G8" s="14">
        <v>28</v>
      </c>
      <c r="H8" s="35">
        <v>21</v>
      </c>
      <c r="I8" s="29"/>
      <c r="J8" s="29"/>
      <c r="K8" s="29"/>
      <c r="L8" s="2" t="s">
        <v>18</v>
      </c>
      <c r="S8" s="36"/>
    </row>
    <row r="9" spans="1:20" x14ac:dyDescent="0.2">
      <c r="A9" s="20" t="s">
        <v>22</v>
      </c>
      <c r="B9" s="15">
        <v>0</v>
      </c>
      <c r="C9" s="31">
        <v>0</v>
      </c>
      <c r="D9" s="32">
        <v>0</v>
      </c>
      <c r="E9" s="33">
        <v>0</v>
      </c>
      <c r="F9" s="34">
        <v>0</v>
      </c>
      <c r="G9" s="14">
        <v>0</v>
      </c>
      <c r="H9" s="35">
        <v>0</v>
      </c>
      <c r="I9" s="29" t="s">
        <v>58</v>
      </c>
      <c r="J9" s="29"/>
      <c r="K9" s="29"/>
      <c r="L9" s="18" t="s">
        <v>6</v>
      </c>
      <c r="S9" s="36"/>
    </row>
    <row r="10" spans="1:20" x14ac:dyDescent="0.2">
      <c r="A10" s="20" t="s">
        <v>28</v>
      </c>
      <c r="B10" s="15">
        <v>0</v>
      </c>
      <c r="C10" s="31">
        <v>0</v>
      </c>
      <c r="D10" s="32">
        <v>0</v>
      </c>
      <c r="E10" s="33">
        <v>0</v>
      </c>
      <c r="F10" s="34">
        <v>0</v>
      </c>
      <c r="G10" s="14">
        <v>0</v>
      </c>
      <c r="H10" s="35">
        <v>0</v>
      </c>
      <c r="I10" s="29" t="s">
        <v>58</v>
      </c>
      <c r="J10" s="29"/>
      <c r="K10" s="29"/>
      <c r="L10" s="29" t="s">
        <v>7</v>
      </c>
      <c r="S10" s="36"/>
    </row>
    <row r="11" spans="1:20" x14ac:dyDescent="0.2">
      <c r="A11" s="20" t="s">
        <v>29</v>
      </c>
      <c r="B11" s="15">
        <v>0</v>
      </c>
      <c r="C11" s="31">
        <v>0</v>
      </c>
      <c r="D11" s="32">
        <v>0</v>
      </c>
      <c r="E11" s="33">
        <v>0</v>
      </c>
      <c r="F11" s="34">
        <v>0</v>
      </c>
      <c r="G11" s="14">
        <v>0</v>
      </c>
      <c r="H11" s="35">
        <v>0</v>
      </c>
      <c r="I11" s="29" t="s">
        <v>58</v>
      </c>
      <c r="J11" s="29"/>
      <c r="K11" s="29"/>
      <c r="L11" s="29" t="s">
        <v>9</v>
      </c>
      <c r="S11" s="36"/>
    </row>
    <row r="12" spans="1:20" x14ac:dyDescent="0.2">
      <c r="A12" s="20" t="s">
        <v>30</v>
      </c>
      <c r="B12" s="15">
        <v>0</v>
      </c>
      <c r="C12" s="31">
        <v>0</v>
      </c>
      <c r="D12" s="32">
        <v>6</v>
      </c>
      <c r="E12" s="33">
        <v>0</v>
      </c>
      <c r="F12" s="34">
        <v>78</v>
      </c>
      <c r="G12" s="14">
        <v>0</v>
      </c>
      <c r="H12" s="35">
        <v>0</v>
      </c>
      <c r="I12" s="29"/>
      <c r="J12" s="29"/>
      <c r="K12" s="29"/>
      <c r="L12" s="29" t="s">
        <v>10</v>
      </c>
      <c r="S12" s="36"/>
    </row>
    <row r="13" spans="1:20" x14ac:dyDescent="0.2">
      <c r="B13" s="21"/>
      <c r="C13" s="21"/>
      <c r="D13" s="21"/>
      <c r="E13" s="21"/>
      <c r="F13" s="22"/>
      <c r="G13" s="21"/>
      <c r="H13" s="21"/>
      <c r="I13" s="29"/>
      <c r="J13" s="29"/>
      <c r="K13" s="29"/>
      <c r="L13" s="5" t="s">
        <v>67</v>
      </c>
    </row>
    <row r="14" spans="1:20" x14ac:dyDescent="0.2">
      <c r="B14" s="21"/>
      <c r="C14" s="21"/>
      <c r="D14" s="21"/>
      <c r="E14" s="21"/>
      <c r="F14" s="22"/>
      <c r="G14" s="21"/>
      <c r="H14" s="21"/>
      <c r="I14" s="29"/>
      <c r="J14" s="29"/>
      <c r="K14" s="29"/>
      <c r="L14" s="2" t="s">
        <v>19</v>
      </c>
    </row>
    <row r="15" spans="1:20" x14ac:dyDescent="0.2">
      <c r="B15" s="21"/>
      <c r="C15" s="21"/>
      <c r="D15" s="21"/>
      <c r="E15" s="21"/>
      <c r="F15" s="22"/>
      <c r="G15" s="21"/>
      <c r="H15" s="21"/>
      <c r="I15" s="29"/>
      <c r="J15" s="29"/>
      <c r="K15" s="29"/>
      <c r="L15" s="18" t="s">
        <v>6</v>
      </c>
    </row>
    <row r="16" spans="1:20" x14ac:dyDescent="0.2">
      <c r="A16" s="1" t="s">
        <v>2</v>
      </c>
      <c r="B16" s="21"/>
      <c r="C16" s="21"/>
      <c r="D16" s="21"/>
      <c r="E16" s="21"/>
      <c r="F16" s="22"/>
      <c r="G16" s="21"/>
      <c r="H16" s="21"/>
      <c r="I16" s="29"/>
      <c r="J16" s="29"/>
      <c r="K16" s="29"/>
      <c r="L16" s="29" t="s">
        <v>7</v>
      </c>
    </row>
    <row r="17" spans="1:15" x14ac:dyDescent="0.2">
      <c r="B17" s="21"/>
      <c r="C17" s="21"/>
      <c r="D17" s="21"/>
      <c r="E17" s="21"/>
      <c r="F17" s="22"/>
      <c r="G17" s="21"/>
      <c r="H17" s="21"/>
      <c r="I17" s="29"/>
      <c r="J17" s="29"/>
      <c r="K17" s="29"/>
      <c r="L17" s="29" t="s">
        <v>11</v>
      </c>
    </row>
    <row r="18" spans="1:15" x14ac:dyDescent="0.2">
      <c r="A18" s="19" t="s">
        <v>16</v>
      </c>
      <c r="B18" s="23"/>
      <c r="C18" s="23"/>
      <c r="D18" s="23"/>
      <c r="E18" s="23"/>
      <c r="F18" s="23"/>
      <c r="G18" s="23"/>
      <c r="H18" s="23"/>
      <c r="I18" s="29"/>
      <c r="J18" s="29"/>
      <c r="K18" s="29"/>
      <c r="L18" s="29" t="s">
        <v>12</v>
      </c>
    </row>
    <row r="19" spans="1:15" x14ac:dyDescent="0.2">
      <c r="A19" s="20"/>
      <c r="B19" s="7" t="s">
        <v>17</v>
      </c>
      <c r="C19" s="8" t="s">
        <v>18</v>
      </c>
      <c r="D19" s="9" t="s">
        <v>19</v>
      </c>
      <c r="E19" s="10" t="s">
        <v>34</v>
      </c>
      <c r="F19" s="11" t="s">
        <v>56</v>
      </c>
      <c r="G19" s="12" t="s">
        <v>62</v>
      </c>
      <c r="H19" s="13" t="s">
        <v>74</v>
      </c>
      <c r="I19" s="29"/>
      <c r="J19" s="29"/>
      <c r="K19" s="29"/>
      <c r="L19" s="2" t="s">
        <v>34</v>
      </c>
    </row>
    <row r="20" spans="1:15" x14ac:dyDescent="0.2">
      <c r="A20" s="20" t="s">
        <v>20</v>
      </c>
      <c r="B20" s="24">
        <v>0</v>
      </c>
      <c r="C20" s="25">
        <v>0</v>
      </c>
      <c r="D20" s="26">
        <v>0</v>
      </c>
      <c r="E20" s="27">
        <v>0</v>
      </c>
      <c r="F20" s="28">
        <v>0</v>
      </c>
      <c r="G20" s="14">
        <v>0</v>
      </c>
      <c r="H20" s="35">
        <v>0</v>
      </c>
      <c r="I20" s="29" t="s">
        <v>57</v>
      </c>
      <c r="J20" s="29"/>
      <c r="K20" s="29"/>
      <c r="L20" s="18" t="s">
        <v>6</v>
      </c>
    </row>
    <row r="21" spans="1:15" x14ac:dyDescent="0.2">
      <c r="A21" s="20" t="s">
        <v>15</v>
      </c>
      <c r="B21" s="24">
        <v>78</v>
      </c>
      <c r="C21" s="25">
        <v>78</v>
      </c>
      <c r="D21" s="26">
        <v>0</v>
      </c>
      <c r="E21" s="27">
        <v>0</v>
      </c>
      <c r="F21" s="28">
        <v>78</v>
      </c>
      <c r="G21" s="14">
        <v>0</v>
      </c>
      <c r="H21" s="35">
        <v>0</v>
      </c>
      <c r="I21" s="5" t="s">
        <v>69</v>
      </c>
      <c r="J21" s="29"/>
      <c r="K21" s="29"/>
      <c r="L21" s="29" t="s">
        <v>7</v>
      </c>
    </row>
    <row r="22" spans="1:15" x14ac:dyDescent="0.2">
      <c r="A22" s="20" t="s">
        <v>21</v>
      </c>
      <c r="B22" s="24">
        <v>0</v>
      </c>
      <c r="C22" s="25">
        <v>0</v>
      </c>
      <c r="D22" s="26">
        <v>0</v>
      </c>
      <c r="E22" s="27">
        <v>0</v>
      </c>
      <c r="F22" s="28">
        <v>0</v>
      </c>
      <c r="G22" s="14">
        <v>0</v>
      </c>
      <c r="H22" s="35">
        <v>0</v>
      </c>
      <c r="I22" s="5" t="s">
        <v>64</v>
      </c>
      <c r="J22" s="29"/>
      <c r="K22" s="29"/>
      <c r="L22" s="29" t="s">
        <v>13</v>
      </c>
    </row>
    <row r="23" spans="1:15" x14ac:dyDescent="0.2">
      <c r="A23" s="20" t="s">
        <v>4</v>
      </c>
      <c r="B23" s="24">
        <v>0</v>
      </c>
      <c r="C23" s="25">
        <v>0</v>
      </c>
      <c r="D23" s="26">
        <v>0</v>
      </c>
      <c r="E23" s="27">
        <v>0</v>
      </c>
      <c r="F23" s="28">
        <v>0</v>
      </c>
      <c r="G23" s="14">
        <v>0</v>
      </c>
      <c r="H23" s="35">
        <v>0</v>
      </c>
      <c r="I23" s="5" t="s">
        <v>64</v>
      </c>
      <c r="J23" s="29"/>
      <c r="K23" s="29"/>
      <c r="L23" s="29" t="s">
        <v>14</v>
      </c>
    </row>
    <row r="24" spans="1:15" x14ac:dyDescent="0.2">
      <c r="A24" s="20" t="s">
        <v>22</v>
      </c>
      <c r="B24" s="24">
        <v>0</v>
      </c>
      <c r="C24" s="25">
        <v>0</v>
      </c>
      <c r="D24" s="26">
        <v>0</v>
      </c>
      <c r="E24" s="27">
        <v>0</v>
      </c>
      <c r="F24" s="28">
        <v>0</v>
      </c>
      <c r="G24" s="14">
        <v>0</v>
      </c>
      <c r="H24" s="35">
        <v>0</v>
      </c>
      <c r="I24" s="29" t="s">
        <v>58</v>
      </c>
      <c r="J24" s="29"/>
      <c r="K24" s="29"/>
      <c r="L24" s="29"/>
    </row>
    <row r="25" spans="1:15" x14ac:dyDescent="0.2">
      <c r="A25" s="20" t="s">
        <v>28</v>
      </c>
      <c r="B25" s="24">
        <v>0</v>
      </c>
      <c r="C25" s="25">
        <v>0</v>
      </c>
      <c r="D25" s="26">
        <v>0</v>
      </c>
      <c r="E25" s="27">
        <v>0</v>
      </c>
      <c r="F25" s="28">
        <v>0</v>
      </c>
      <c r="G25" s="14">
        <v>0</v>
      </c>
      <c r="H25" s="35">
        <v>0</v>
      </c>
      <c r="I25" s="29" t="s">
        <v>58</v>
      </c>
      <c r="J25" s="29"/>
      <c r="K25" s="29"/>
      <c r="L25" s="29"/>
    </row>
    <row r="26" spans="1:15" x14ac:dyDescent="0.2">
      <c r="A26" s="20" t="s">
        <v>29</v>
      </c>
      <c r="B26" s="24">
        <v>0</v>
      </c>
      <c r="C26" s="25">
        <v>0</v>
      </c>
      <c r="D26" s="26">
        <v>0</v>
      </c>
      <c r="E26" s="27">
        <v>0</v>
      </c>
      <c r="F26" s="28">
        <v>0</v>
      </c>
      <c r="G26" s="14">
        <v>0</v>
      </c>
      <c r="H26" s="35">
        <v>0</v>
      </c>
      <c r="I26" s="29" t="s">
        <v>58</v>
      </c>
      <c r="J26" s="29"/>
      <c r="K26" s="29"/>
      <c r="L26" s="29"/>
    </row>
    <row r="27" spans="1:15" x14ac:dyDescent="0.2">
      <c r="A27" s="20" t="s">
        <v>30</v>
      </c>
      <c r="B27" s="24">
        <v>0</v>
      </c>
      <c r="C27" s="25">
        <v>0</v>
      </c>
      <c r="D27" s="26">
        <v>0</v>
      </c>
      <c r="E27" s="27">
        <v>0</v>
      </c>
      <c r="F27" s="28">
        <v>0</v>
      </c>
      <c r="G27" s="14">
        <v>0</v>
      </c>
      <c r="H27" s="35">
        <v>0</v>
      </c>
      <c r="I27" s="29" t="s">
        <v>0</v>
      </c>
      <c r="J27" s="29"/>
      <c r="K27" s="29"/>
      <c r="L27" s="29"/>
    </row>
    <row r="28" spans="1:15" x14ac:dyDescent="0.2">
      <c r="F28" s="29"/>
      <c r="G28" s="29"/>
      <c r="H28" s="29"/>
      <c r="I28" s="29"/>
      <c r="J28" s="29"/>
    </row>
    <row r="29" spans="1:15" x14ac:dyDescent="0.2">
      <c r="F29" s="29"/>
      <c r="G29" s="29"/>
      <c r="H29" s="29"/>
      <c r="I29" s="29"/>
      <c r="J29" s="29"/>
      <c r="O29" t="s">
        <v>72</v>
      </c>
    </row>
    <row r="30" spans="1:15" x14ac:dyDescent="0.2">
      <c r="F30" s="37" t="s">
        <v>59</v>
      </c>
      <c r="G30" s="37"/>
      <c r="H30" s="29"/>
      <c r="I30" s="29"/>
      <c r="J30" s="29"/>
      <c r="O30" t="s">
        <v>73</v>
      </c>
    </row>
    <row r="31" spans="1:15" x14ac:dyDescent="0.2">
      <c r="F31" s="38" t="s">
        <v>60</v>
      </c>
      <c r="G31" s="38" t="s">
        <v>61</v>
      </c>
      <c r="O31" t="s">
        <v>70</v>
      </c>
    </row>
    <row r="32" spans="1:15" x14ac:dyDescent="0.2">
      <c r="F32" s="38">
        <v>8523</v>
      </c>
      <c r="G32" s="38">
        <v>1436</v>
      </c>
      <c r="O32" t="s">
        <v>71</v>
      </c>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row r="50" spans="1:8" x14ac:dyDescent="0.2">
      <c r="A50"/>
      <c r="B50"/>
      <c r="C50"/>
      <c r="D50"/>
      <c r="E50"/>
      <c r="F50"/>
      <c r="G50"/>
      <c r="H50"/>
    </row>
    <row r="51" spans="1:8" x14ac:dyDescent="0.2">
      <c r="A51"/>
      <c r="B51"/>
      <c r="C51"/>
      <c r="D51"/>
      <c r="E51"/>
      <c r="F51"/>
      <c r="G51"/>
      <c r="H51"/>
    </row>
    <row r="52" spans="1:8" x14ac:dyDescent="0.2">
      <c r="A52"/>
      <c r="B52"/>
      <c r="C52"/>
      <c r="D52"/>
      <c r="E52"/>
      <c r="F52"/>
      <c r="G52"/>
      <c r="H52"/>
    </row>
    <row r="53" spans="1:8" x14ac:dyDescent="0.2">
      <c r="A53"/>
      <c r="B53"/>
      <c r="C53"/>
      <c r="D53"/>
      <c r="E53"/>
      <c r="F53"/>
      <c r="G53"/>
      <c r="H53"/>
    </row>
    <row r="54" spans="1:8" x14ac:dyDescent="0.2">
      <c r="A54"/>
      <c r="B54"/>
      <c r="C54"/>
      <c r="D54"/>
      <c r="E54"/>
      <c r="F54"/>
      <c r="G54"/>
      <c r="H54"/>
    </row>
    <row r="55" spans="1:8" x14ac:dyDescent="0.2">
      <c r="A55"/>
      <c r="B55"/>
      <c r="C55"/>
      <c r="D55"/>
      <c r="E55"/>
      <c r="F55"/>
      <c r="G55"/>
      <c r="H55"/>
    </row>
    <row r="56" spans="1:8" x14ac:dyDescent="0.2">
      <c r="A56"/>
      <c r="B56"/>
      <c r="C56"/>
      <c r="D56"/>
      <c r="E56"/>
      <c r="F56"/>
      <c r="G56"/>
      <c r="H56"/>
    </row>
    <row r="57" spans="1:8" x14ac:dyDescent="0.2">
      <c r="A57"/>
      <c r="B57"/>
      <c r="C57"/>
      <c r="D57"/>
      <c r="E57"/>
      <c r="F57"/>
      <c r="G57"/>
      <c r="H57"/>
    </row>
    <row r="58" spans="1:8" x14ac:dyDescent="0.2">
      <c r="A58"/>
      <c r="B58"/>
      <c r="C58"/>
      <c r="D58"/>
      <c r="E58"/>
      <c r="F58"/>
      <c r="G58"/>
      <c r="H58"/>
    </row>
    <row r="59" spans="1:8" x14ac:dyDescent="0.2">
      <c r="A59"/>
      <c r="B59"/>
      <c r="C59"/>
      <c r="D59"/>
      <c r="E59"/>
      <c r="F59"/>
      <c r="G59"/>
      <c r="H59"/>
    </row>
    <row r="60" spans="1:8" x14ac:dyDescent="0.2">
      <c r="A60"/>
      <c r="B60"/>
      <c r="C60"/>
      <c r="D60"/>
      <c r="E60"/>
      <c r="F60"/>
      <c r="G60"/>
      <c r="H60"/>
    </row>
    <row r="61" spans="1:8" x14ac:dyDescent="0.2">
      <c r="A61"/>
      <c r="B61"/>
      <c r="C61"/>
      <c r="D61"/>
      <c r="E61"/>
      <c r="F61"/>
      <c r="G61"/>
      <c r="H61"/>
    </row>
    <row r="62" spans="1:8" x14ac:dyDescent="0.2">
      <c r="A62"/>
      <c r="B62"/>
      <c r="C62"/>
      <c r="D62"/>
      <c r="E62"/>
      <c r="F62"/>
      <c r="G62"/>
      <c r="H62"/>
    </row>
    <row r="63" spans="1:8" x14ac:dyDescent="0.2">
      <c r="A63"/>
      <c r="B63"/>
      <c r="C63"/>
      <c r="D63"/>
      <c r="E63"/>
      <c r="F63"/>
      <c r="G63"/>
      <c r="H63"/>
    </row>
  </sheetData>
  <phoneticPr fontId="5"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73"/>
  <sheetViews>
    <sheetView zoomScale="85" zoomScaleNormal="85" workbookViewId="0">
      <selection activeCell="J12" sqref="J12"/>
    </sheetView>
  </sheetViews>
  <sheetFormatPr defaultColWidth="9.140625" defaultRowHeight="12.75" x14ac:dyDescent="0.2"/>
  <cols>
    <col min="1" max="1" width="31.140625" style="17" customWidth="1"/>
    <col min="2" max="2" width="13.85546875" style="17" customWidth="1"/>
    <col min="3" max="3" width="14.140625" style="17" customWidth="1"/>
    <col min="4" max="4" width="14.42578125" style="17" customWidth="1"/>
    <col min="5" max="5" width="13.42578125" style="17" customWidth="1"/>
    <col min="6" max="6" width="12.7109375" style="17" customWidth="1"/>
    <col min="7" max="7" width="14.5703125" style="17" customWidth="1"/>
    <col min="8" max="8" width="16.85546875" style="17" customWidth="1"/>
    <col min="9" max="9" width="19.85546875" style="17" customWidth="1"/>
    <col min="10" max="10" width="17.42578125" style="17" customWidth="1"/>
    <col min="11" max="11" width="16.5703125" style="17" customWidth="1"/>
    <col min="12" max="12" width="19.140625" style="17" customWidth="1"/>
    <col min="13" max="13" width="9.140625" style="17"/>
    <col min="14" max="14" width="13" style="17" bestFit="1" customWidth="1"/>
    <col min="15" max="15" width="15.42578125" style="17" customWidth="1"/>
    <col min="16" max="16" width="18.85546875" style="17" bestFit="1" customWidth="1"/>
    <col min="17" max="17" width="15.140625" style="17" customWidth="1"/>
    <col min="18" max="18" width="11.85546875" style="17" customWidth="1"/>
    <col min="19" max="16384" width="9.140625" style="17"/>
  </cols>
  <sheetData>
    <row r="1" spans="1:15" s="43" customFormat="1" ht="18" customHeight="1" x14ac:dyDescent="0.2">
      <c r="A1" s="254" t="s">
        <v>133</v>
      </c>
      <c r="B1" s="254"/>
      <c r="C1" s="254"/>
      <c r="D1" s="254"/>
      <c r="E1" s="254"/>
      <c r="F1" s="254"/>
      <c r="G1" s="254"/>
      <c r="H1" s="175"/>
      <c r="I1" s="253"/>
      <c r="J1" s="253"/>
      <c r="K1" s="253"/>
    </row>
    <row r="2" spans="1:15" s="43" customFormat="1" ht="18.75" customHeight="1" x14ac:dyDescent="0.2">
      <c r="A2" s="16" t="s">
        <v>23</v>
      </c>
      <c r="B2" s="16" t="s">
        <v>24</v>
      </c>
      <c r="C2" s="16" t="s">
        <v>25</v>
      </c>
      <c r="D2" s="16" t="s">
        <v>136</v>
      </c>
      <c r="E2" s="16" t="s">
        <v>27</v>
      </c>
      <c r="F2" s="16" t="s">
        <v>26</v>
      </c>
      <c r="G2" s="16" t="s">
        <v>137</v>
      </c>
      <c r="H2" s="176"/>
      <c r="I2" s="177"/>
      <c r="J2" s="177"/>
      <c r="K2" s="177"/>
    </row>
    <row r="3" spans="1:15" ht="74.25" customHeight="1" x14ac:dyDescent="0.2">
      <c r="A3" s="41" t="s">
        <v>150</v>
      </c>
      <c r="B3" s="41" t="s">
        <v>151</v>
      </c>
      <c r="C3" s="41" t="s">
        <v>134</v>
      </c>
      <c r="D3" s="41" t="s">
        <v>135</v>
      </c>
      <c r="E3" s="41" t="s">
        <v>332</v>
      </c>
      <c r="F3" s="41" t="s">
        <v>134</v>
      </c>
      <c r="G3" s="41" t="s">
        <v>331</v>
      </c>
      <c r="H3" s="49"/>
      <c r="M3" s="48"/>
      <c r="O3" s="40"/>
    </row>
    <row r="4" spans="1:15" ht="13.5" customHeight="1" x14ac:dyDescent="0.2">
      <c r="A4" s="255" t="s">
        <v>148</v>
      </c>
      <c r="B4" s="256"/>
      <c r="C4" s="256"/>
      <c r="D4" s="256"/>
      <c r="E4" s="256"/>
      <c r="F4" s="256"/>
      <c r="G4" s="257"/>
      <c r="H4" s="49"/>
      <c r="M4" s="48"/>
      <c r="O4" s="40"/>
    </row>
    <row r="5" spans="1:15" ht="13.5" customHeight="1" x14ac:dyDescent="0.2">
      <c r="A5" s="211" t="s">
        <v>32</v>
      </c>
      <c r="B5" s="57"/>
      <c r="C5" s="57"/>
      <c r="D5" s="57"/>
      <c r="E5" s="57"/>
      <c r="F5" s="57"/>
      <c r="G5" s="57"/>
      <c r="H5" s="49"/>
      <c r="M5" s="48"/>
      <c r="O5" s="40"/>
    </row>
    <row r="6" spans="1:15" ht="13.5" customHeight="1" x14ac:dyDescent="0.2">
      <c r="A6" s="212" t="s">
        <v>18</v>
      </c>
      <c r="B6" s="129">
        <v>25812</v>
      </c>
      <c r="C6" s="128">
        <v>0</v>
      </c>
      <c r="D6" s="129">
        <f>B6*C6</f>
        <v>0</v>
      </c>
      <c r="E6" s="129">
        <v>9855</v>
      </c>
      <c r="F6" s="128">
        <f>C6</f>
        <v>0</v>
      </c>
      <c r="G6" s="129">
        <f>E6*F6</f>
        <v>0</v>
      </c>
      <c r="H6" s="49"/>
      <c r="M6" s="48"/>
      <c r="O6" s="40"/>
    </row>
    <row r="7" spans="1:15" ht="13.5" customHeight="1" x14ac:dyDescent="0.2">
      <c r="A7" s="212" t="s">
        <v>131</v>
      </c>
      <c r="B7" s="129">
        <v>25054</v>
      </c>
      <c r="C7" s="128">
        <v>0</v>
      </c>
      <c r="D7" s="129">
        <f t="shared" ref="D7:D10" si="0">B7*C7</f>
        <v>0</v>
      </c>
      <c r="E7" s="129">
        <v>5774</v>
      </c>
      <c r="F7" s="128">
        <f>C7</f>
        <v>0</v>
      </c>
      <c r="G7" s="129">
        <f>E7*F7</f>
        <v>0</v>
      </c>
      <c r="H7" s="49"/>
      <c r="M7" s="48"/>
      <c r="O7" s="40"/>
    </row>
    <row r="8" spans="1:15" ht="13.5" customHeight="1" x14ac:dyDescent="0.2">
      <c r="A8" s="212" t="s">
        <v>132</v>
      </c>
      <c r="B8" s="129">
        <v>26300</v>
      </c>
      <c r="C8" s="128">
        <v>0</v>
      </c>
      <c r="D8" s="129">
        <f t="shared" si="0"/>
        <v>0</v>
      </c>
      <c r="E8" s="129">
        <v>10000</v>
      </c>
      <c r="F8" s="128">
        <f>C8</f>
        <v>0</v>
      </c>
      <c r="G8" s="129">
        <f>E8*F8</f>
        <v>0</v>
      </c>
      <c r="H8" s="49"/>
      <c r="M8" s="48"/>
      <c r="O8" s="40"/>
    </row>
    <row r="9" spans="1:15" ht="13.5" customHeight="1" x14ac:dyDescent="0.2">
      <c r="A9" s="212" t="s">
        <v>106</v>
      </c>
      <c r="B9" s="129">
        <v>44858</v>
      </c>
      <c r="C9" s="128">
        <v>0</v>
      </c>
      <c r="D9" s="129">
        <f t="shared" si="0"/>
        <v>0</v>
      </c>
      <c r="E9" s="129">
        <v>31500</v>
      </c>
      <c r="F9" s="128">
        <f>C9</f>
        <v>0</v>
      </c>
      <c r="G9" s="129">
        <f>E9*F9</f>
        <v>0</v>
      </c>
      <c r="H9" s="49"/>
      <c r="M9" s="48"/>
      <c r="O9" s="40"/>
    </row>
    <row r="10" spans="1:15" ht="13.5" customHeight="1" x14ac:dyDescent="0.2">
      <c r="A10" s="212" t="s">
        <v>87</v>
      </c>
      <c r="B10" s="129">
        <v>153700</v>
      </c>
      <c r="C10" s="128">
        <v>0</v>
      </c>
      <c r="D10" s="129">
        <f t="shared" si="0"/>
        <v>0</v>
      </c>
      <c r="E10" s="129">
        <v>42600</v>
      </c>
      <c r="F10" s="128">
        <f>C10</f>
        <v>0</v>
      </c>
      <c r="G10" s="129">
        <f>E10*F10</f>
        <v>0</v>
      </c>
      <c r="H10" s="49"/>
      <c r="M10" s="48"/>
      <c r="O10" s="40"/>
    </row>
    <row r="11" spans="1:15" ht="13.5" customHeight="1" x14ac:dyDescent="0.2">
      <c r="A11" s="211" t="s">
        <v>33</v>
      </c>
      <c r="B11" s="129"/>
      <c r="C11" s="128"/>
      <c r="D11" s="129"/>
      <c r="E11" s="129"/>
      <c r="F11" s="128"/>
      <c r="G11" s="129"/>
      <c r="H11" s="49"/>
      <c r="M11" s="48"/>
      <c r="O11" s="40"/>
    </row>
    <row r="12" spans="1:15" ht="13.5" customHeight="1" x14ac:dyDescent="0.2">
      <c r="A12" s="212" t="s">
        <v>131</v>
      </c>
      <c r="B12" s="129">
        <v>25054</v>
      </c>
      <c r="C12" s="128">
        <v>0</v>
      </c>
      <c r="D12" s="129">
        <f t="shared" ref="D12" si="1">B12*C12</f>
        <v>0</v>
      </c>
      <c r="E12" s="129">
        <v>5774</v>
      </c>
      <c r="F12" s="128">
        <f>C12</f>
        <v>0</v>
      </c>
      <c r="G12" s="129">
        <f>E12*F12</f>
        <v>0</v>
      </c>
      <c r="H12" s="49"/>
      <c r="M12" s="48"/>
      <c r="O12" s="40"/>
    </row>
    <row r="13" spans="1:15" ht="13.5" customHeight="1" x14ac:dyDescent="0.2">
      <c r="A13" s="255" t="s">
        <v>149</v>
      </c>
      <c r="B13" s="256"/>
      <c r="C13" s="256"/>
      <c r="D13" s="256"/>
      <c r="E13" s="256"/>
      <c r="F13" s="256"/>
      <c r="G13" s="257"/>
      <c r="H13" s="49"/>
      <c r="M13" s="48"/>
      <c r="O13" s="40"/>
    </row>
    <row r="14" spans="1:15" ht="13.5" customHeight="1" x14ac:dyDescent="0.2">
      <c r="A14" s="211" t="s">
        <v>32</v>
      </c>
      <c r="B14" s="57"/>
      <c r="C14" s="57"/>
      <c r="D14" s="57"/>
      <c r="E14" s="57"/>
      <c r="F14" s="57"/>
      <c r="G14" s="57"/>
      <c r="H14" s="49"/>
      <c r="M14" s="48"/>
      <c r="O14" s="40"/>
    </row>
    <row r="15" spans="1:15" ht="13.5" customHeight="1" x14ac:dyDescent="0.2">
      <c r="A15" s="212" t="s">
        <v>18</v>
      </c>
      <c r="B15" s="129">
        <v>25812</v>
      </c>
      <c r="C15" s="128">
        <v>0</v>
      </c>
      <c r="D15" s="129">
        <f>B15*C15</f>
        <v>0</v>
      </c>
      <c r="E15" s="129">
        <f>E6</f>
        <v>9855</v>
      </c>
      <c r="F15" s="128">
        <f>C15</f>
        <v>0</v>
      </c>
      <c r="G15" s="129">
        <f>E15*F15</f>
        <v>0</v>
      </c>
      <c r="H15" s="49"/>
      <c r="M15" s="48"/>
      <c r="O15" s="40"/>
    </row>
    <row r="16" spans="1:15" ht="13.5" customHeight="1" x14ac:dyDescent="0.2">
      <c r="A16" s="212" t="s">
        <v>131</v>
      </c>
      <c r="B16" s="129">
        <v>25054</v>
      </c>
      <c r="C16" s="128">
        <v>0</v>
      </c>
      <c r="D16" s="129">
        <f t="shared" ref="D16:D19" si="2">B16*C16</f>
        <v>0</v>
      </c>
      <c r="E16" s="129">
        <v>5774</v>
      </c>
      <c r="F16" s="128">
        <f>C16</f>
        <v>0</v>
      </c>
      <c r="G16" s="129">
        <f>E16*F16</f>
        <v>0</v>
      </c>
      <c r="H16" s="49"/>
      <c r="M16" s="48"/>
      <c r="O16" s="40"/>
    </row>
    <row r="17" spans="1:15" ht="13.5" customHeight="1" x14ac:dyDescent="0.2">
      <c r="A17" s="212" t="s">
        <v>132</v>
      </c>
      <c r="B17" s="129">
        <v>26300</v>
      </c>
      <c r="C17" s="128">
        <v>0</v>
      </c>
      <c r="D17" s="129">
        <f t="shared" si="2"/>
        <v>0</v>
      </c>
      <c r="E17" s="129">
        <v>10000</v>
      </c>
      <c r="F17" s="128">
        <f>C17</f>
        <v>0</v>
      </c>
      <c r="G17" s="129">
        <f>E17*F17</f>
        <v>0</v>
      </c>
      <c r="H17" s="49"/>
      <c r="M17" s="48"/>
      <c r="O17" s="40"/>
    </row>
    <row r="18" spans="1:15" ht="13.5" customHeight="1" x14ac:dyDescent="0.2">
      <c r="A18" s="212" t="s">
        <v>106</v>
      </c>
      <c r="B18" s="129">
        <v>44858</v>
      </c>
      <c r="C18" s="128">
        <v>0</v>
      </c>
      <c r="D18" s="129">
        <f t="shared" si="2"/>
        <v>0</v>
      </c>
      <c r="E18" s="129">
        <v>31500</v>
      </c>
      <c r="F18" s="128">
        <f>C18</f>
        <v>0</v>
      </c>
      <c r="G18" s="129">
        <f>E18*F18</f>
        <v>0</v>
      </c>
      <c r="H18" s="49"/>
      <c r="M18" s="48"/>
      <c r="O18" s="40"/>
    </row>
    <row r="19" spans="1:15" ht="13.5" customHeight="1" x14ac:dyDescent="0.2">
      <c r="A19" s="212" t="s">
        <v>87</v>
      </c>
      <c r="B19" s="129">
        <v>153700</v>
      </c>
      <c r="C19" s="128">
        <v>0</v>
      </c>
      <c r="D19" s="129">
        <f t="shared" si="2"/>
        <v>0</v>
      </c>
      <c r="E19" s="129">
        <f>E10</f>
        <v>42600</v>
      </c>
      <c r="F19" s="128">
        <f>C19</f>
        <v>0</v>
      </c>
      <c r="G19" s="129">
        <f>E19*F19</f>
        <v>0</v>
      </c>
      <c r="H19" s="49"/>
      <c r="M19" s="48"/>
      <c r="O19" s="40"/>
    </row>
    <row r="20" spans="1:15" ht="13.5" customHeight="1" x14ac:dyDescent="0.2">
      <c r="A20" s="211" t="s">
        <v>33</v>
      </c>
      <c r="B20" s="129"/>
      <c r="C20" s="128"/>
      <c r="D20" s="129"/>
      <c r="E20" s="129"/>
      <c r="F20" s="128"/>
      <c r="G20" s="129"/>
      <c r="H20" s="49"/>
      <c r="M20" s="48"/>
      <c r="O20" s="40"/>
    </row>
    <row r="21" spans="1:15" ht="13.5" customHeight="1" x14ac:dyDescent="0.2">
      <c r="A21" s="212" t="s">
        <v>131</v>
      </c>
      <c r="B21" s="129">
        <v>25054</v>
      </c>
      <c r="C21" s="128">
        <v>0</v>
      </c>
      <c r="D21" s="129">
        <f t="shared" ref="D21" si="3">B21*C21</f>
        <v>0</v>
      </c>
      <c r="E21" s="129">
        <v>5774</v>
      </c>
      <c r="F21" s="128">
        <f>C21</f>
        <v>0</v>
      </c>
      <c r="G21" s="129">
        <f>E21*F21</f>
        <v>0</v>
      </c>
      <c r="H21" s="49"/>
      <c r="M21" s="48"/>
      <c r="O21" s="40"/>
    </row>
    <row r="22" spans="1:15" ht="13.5" customHeight="1" x14ac:dyDescent="0.2">
      <c r="A22" s="255" t="s">
        <v>147</v>
      </c>
      <c r="B22" s="256"/>
      <c r="C22" s="256"/>
      <c r="D22" s="256"/>
      <c r="E22" s="256"/>
      <c r="F22" s="256"/>
      <c r="G22" s="257"/>
      <c r="H22" s="49"/>
      <c r="M22" s="48"/>
      <c r="O22" s="40"/>
    </row>
    <row r="23" spans="1:15" ht="13.5" customHeight="1" x14ac:dyDescent="0.2">
      <c r="A23" s="211" t="s">
        <v>32</v>
      </c>
      <c r="B23" s="42"/>
      <c r="C23" s="42"/>
      <c r="D23" s="42"/>
      <c r="E23" s="42"/>
      <c r="F23" s="42"/>
      <c r="G23" s="213"/>
      <c r="H23" s="50"/>
    </row>
    <row r="24" spans="1:15" ht="13.5" customHeight="1" x14ac:dyDescent="0.2">
      <c r="A24" s="212" t="s">
        <v>18</v>
      </c>
      <c r="B24" s="129">
        <f>'TBL1-YR1'!E28</f>
        <v>25812</v>
      </c>
      <c r="C24" s="128">
        <f>'2019 Changes'!B8</f>
        <v>6</v>
      </c>
      <c r="D24" s="129">
        <f>B24*C24</f>
        <v>154872</v>
      </c>
      <c r="E24" s="129">
        <f>E6</f>
        <v>9855</v>
      </c>
      <c r="F24" s="128">
        <f>C24</f>
        <v>6</v>
      </c>
      <c r="G24" s="129">
        <f>E24*F24</f>
        <v>59130</v>
      </c>
      <c r="H24" s="50"/>
    </row>
    <row r="25" spans="1:15" ht="13.5" customHeight="1" x14ac:dyDescent="0.2">
      <c r="A25" s="212" t="s">
        <v>131</v>
      </c>
      <c r="B25" s="129">
        <f>'TBL1-YR1'!E37</f>
        <v>25054</v>
      </c>
      <c r="C25" s="128">
        <f>'2019 Changes'!B9</f>
        <v>3</v>
      </c>
      <c r="D25" s="129">
        <f t="shared" ref="D25:D28" si="4">B25*C25</f>
        <v>75162</v>
      </c>
      <c r="E25" s="129">
        <f>'TBL1-YR1'!E38</f>
        <v>5774</v>
      </c>
      <c r="F25" s="128">
        <f t="shared" ref="F25:F30" si="5">C25</f>
        <v>3</v>
      </c>
      <c r="G25" s="129">
        <f t="shared" ref="G25:G27" si="6">E25*F25</f>
        <v>17322</v>
      </c>
      <c r="H25" s="50"/>
    </row>
    <row r="26" spans="1:15" ht="13.5" customHeight="1" x14ac:dyDescent="0.2">
      <c r="A26" s="212" t="s">
        <v>132</v>
      </c>
      <c r="B26" s="129">
        <f>'TBL1-YR1'!E40</f>
        <v>26300</v>
      </c>
      <c r="C26" s="128">
        <f>'2019 Changes'!B10</f>
        <v>8</v>
      </c>
      <c r="D26" s="129">
        <f t="shared" si="4"/>
        <v>210400</v>
      </c>
      <c r="E26" s="129">
        <f>'TBL1-YR1'!E41</f>
        <v>10000</v>
      </c>
      <c r="F26" s="128">
        <f t="shared" si="5"/>
        <v>8</v>
      </c>
      <c r="G26" s="129">
        <f t="shared" si="6"/>
        <v>80000</v>
      </c>
      <c r="H26" s="50"/>
    </row>
    <row r="27" spans="1:15" ht="13.5" customHeight="1" x14ac:dyDescent="0.2">
      <c r="A27" s="212" t="s">
        <v>106</v>
      </c>
      <c r="B27" s="129">
        <f>'TBL1-YR1'!E43</f>
        <v>44858</v>
      </c>
      <c r="C27" s="128">
        <f>'2019 Changes'!B11</f>
        <v>1</v>
      </c>
      <c r="D27" s="129">
        <f t="shared" si="4"/>
        <v>44858</v>
      </c>
      <c r="E27" s="129">
        <f>'TBL1-YR1'!E44</f>
        <v>31500</v>
      </c>
      <c r="F27" s="128">
        <f t="shared" si="5"/>
        <v>1</v>
      </c>
      <c r="G27" s="129">
        <f t="shared" si="6"/>
        <v>31500</v>
      </c>
      <c r="H27" s="50"/>
    </row>
    <row r="28" spans="1:15" ht="13.5" customHeight="1" x14ac:dyDescent="0.2">
      <c r="A28" s="212" t="s">
        <v>87</v>
      </c>
      <c r="B28" s="129">
        <f>'TBL1-YR1'!E49</f>
        <v>153700</v>
      </c>
      <c r="C28" s="128">
        <f>'2019 Changes'!B12</f>
        <v>8</v>
      </c>
      <c r="D28" s="129">
        <f t="shared" si="4"/>
        <v>1229600</v>
      </c>
      <c r="E28" s="129">
        <f>E10</f>
        <v>42600</v>
      </c>
      <c r="F28" s="128">
        <f t="shared" si="5"/>
        <v>8</v>
      </c>
      <c r="G28" s="129">
        <f>E28*F28</f>
        <v>340800</v>
      </c>
      <c r="H28" s="50"/>
      <c r="I28" s="173"/>
      <c r="J28" s="173"/>
      <c r="K28" s="173"/>
    </row>
    <row r="29" spans="1:15" ht="13.5" customHeight="1" x14ac:dyDescent="0.2">
      <c r="A29" s="170" t="s">
        <v>33</v>
      </c>
      <c r="B29" s="129"/>
      <c r="C29" s="128"/>
      <c r="D29" s="129"/>
      <c r="E29" s="129"/>
      <c r="F29" s="128"/>
      <c r="G29" s="129"/>
      <c r="H29" s="50"/>
      <c r="K29" s="173"/>
      <c r="M29" s="47"/>
    </row>
    <row r="30" spans="1:15" ht="13.5" customHeight="1" x14ac:dyDescent="0.2">
      <c r="A30" s="127" t="s">
        <v>131</v>
      </c>
      <c r="B30" s="129">
        <f>'TBL4-YR1'!E34</f>
        <v>25054</v>
      </c>
      <c r="C30" s="128">
        <f>'2019 Changes'!C9</f>
        <v>2</v>
      </c>
      <c r="D30" s="129">
        <f t="shared" ref="D30" si="7">B30*C30</f>
        <v>50108</v>
      </c>
      <c r="E30" s="129">
        <f>'TBL4-YR1'!E35</f>
        <v>5774</v>
      </c>
      <c r="F30" s="128">
        <f t="shared" si="5"/>
        <v>2</v>
      </c>
      <c r="G30" s="129">
        <f>E30*F30</f>
        <v>11548</v>
      </c>
      <c r="H30" s="50"/>
      <c r="I30" s="173"/>
      <c r="J30" s="173"/>
      <c r="K30" s="173"/>
      <c r="M30" s="47"/>
    </row>
    <row r="31" spans="1:15" ht="13.5" customHeight="1" x14ac:dyDescent="0.2">
      <c r="A31" s="51"/>
      <c r="B31" s="129"/>
      <c r="C31" s="129"/>
      <c r="D31" s="129"/>
      <c r="E31" s="129"/>
      <c r="F31" s="129"/>
      <c r="G31" s="90"/>
      <c r="H31" s="50"/>
      <c r="M31" s="47"/>
    </row>
    <row r="32" spans="1:15" ht="17.25" customHeight="1" x14ac:dyDescent="0.2">
      <c r="A32" s="229" t="s">
        <v>335</v>
      </c>
      <c r="B32" s="129"/>
      <c r="C32" s="129"/>
      <c r="D32" s="130">
        <f>ROUND(SUM(D24:D30),-4)</f>
        <v>1770000</v>
      </c>
      <c r="E32" s="129"/>
      <c r="F32" s="129"/>
      <c r="G32" s="130">
        <f>ROUND(SUM(G24:G30),-3)</f>
        <v>540000</v>
      </c>
      <c r="H32" s="50"/>
      <c r="I32" s="173"/>
      <c r="J32" s="173"/>
    </row>
    <row r="33" spans="1:15" ht="26.25" customHeight="1" x14ac:dyDescent="0.2">
      <c r="A33" s="252" t="s">
        <v>334</v>
      </c>
      <c r="B33" s="252"/>
      <c r="C33" s="252"/>
      <c r="D33" s="252"/>
      <c r="E33" s="252"/>
      <c r="F33" s="252"/>
      <c r="G33" s="252"/>
      <c r="I33" s="47"/>
      <c r="O33" s="39"/>
    </row>
    <row r="34" spans="1:15" ht="15.75" x14ac:dyDescent="0.2">
      <c r="A34" s="228" t="s">
        <v>333</v>
      </c>
      <c r="O34" s="39"/>
    </row>
    <row r="35" spans="1:15" x14ac:dyDescent="0.2">
      <c r="J35" s="40"/>
      <c r="O35" s="39"/>
    </row>
    <row r="38" spans="1:15" x14ac:dyDescent="0.2">
      <c r="A38" s="178"/>
      <c r="B38" s="52"/>
      <c r="C38" s="52"/>
      <c r="D38" s="52"/>
      <c r="E38" s="52"/>
    </row>
    <row r="39" spans="1:15" x14ac:dyDescent="0.2">
      <c r="A39" s="179"/>
      <c r="B39" s="52"/>
      <c r="C39" s="52"/>
      <c r="D39" s="52"/>
      <c r="E39" s="52"/>
    </row>
    <row r="40" spans="1:15" ht="15.75" x14ac:dyDescent="0.2">
      <c r="A40" s="254" t="s">
        <v>190</v>
      </c>
      <c r="B40" s="254"/>
      <c r="C40" s="254"/>
      <c r="D40" s="254"/>
      <c r="E40" s="254"/>
      <c r="F40" s="254"/>
      <c r="G40" s="254"/>
    </row>
    <row r="41" spans="1:15" x14ac:dyDescent="0.2">
      <c r="A41" s="180" t="s">
        <v>23</v>
      </c>
      <c r="B41" s="259" t="s">
        <v>24</v>
      </c>
      <c r="C41" s="260"/>
      <c r="D41" s="259" t="s">
        <v>25</v>
      </c>
      <c r="E41" s="260"/>
      <c r="F41" s="180" t="s">
        <v>136</v>
      </c>
      <c r="G41" s="180" t="s">
        <v>27</v>
      </c>
    </row>
    <row r="42" spans="1:15" ht="84" customHeight="1" x14ac:dyDescent="0.2">
      <c r="A42" s="261" t="s">
        <v>186</v>
      </c>
      <c r="B42" s="261" t="s">
        <v>199</v>
      </c>
      <c r="C42" s="261"/>
      <c r="D42" s="261" t="s">
        <v>200</v>
      </c>
      <c r="E42" s="261"/>
      <c r="F42" s="261" t="s">
        <v>187</v>
      </c>
      <c r="G42" s="261" t="s">
        <v>191</v>
      </c>
    </row>
    <row r="43" spans="1:15" ht="25.5" customHeight="1" x14ac:dyDescent="0.2">
      <c r="A43" s="261"/>
      <c r="B43" s="16" t="s">
        <v>197</v>
      </c>
      <c r="C43" s="16" t="s">
        <v>198</v>
      </c>
      <c r="D43" s="16" t="s">
        <v>197</v>
      </c>
      <c r="E43" s="16" t="s">
        <v>198</v>
      </c>
      <c r="F43" s="261"/>
      <c r="G43" s="261"/>
    </row>
    <row r="44" spans="1:15" ht="15.75" customHeight="1" x14ac:dyDescent="0.2">
      <c r="A44" s="262" t="s">
        <v>185</v>
      </c>
      <c r="B44" s="262"/>
      <c r="C44" s="262"/>
      <c r="D44" s="262"/>
      <c r="E44" s="262"/>
      <c r="F44" s="262"/>
      <c r="G44" s="262"/>
    </row>
    <row r="45" spans="1:15" ht="25.5" x14ac:dyDescent="0.2">
      <c r="A45" s="181" t="s">
        <v>225</v>
      </c>
      <c r="B45" s="186">
        <v>0</v>
      </c>
      <c r="C45" s="186">
        <v>0</v>
      </c>
      <c r="D45" s="16">
        <v>0</v>
      </c>
      <c r="E45" s="16">
        <v>0</v>
      </c>
      <c r="F45" s="16">
        <v>0</v>
      </c>
      <c r="G45" s="174">
        <f>(B45*D45)+(C45*E45)+F45</f>
        <v>0</v>
      </c>
    </row>
    <row r="46" spans="1:15" x14ac:dyDescent="0.2">
      <c r="A46" s="182" t="s">
        <v>192</v>
      </c>
      <c r="B46" s="186">
        <v>0</v>
      </c>
      <c r="C46" s="186">
        <v>0</v>
      </c>
      <c r="D46" s="16">
        <v>0</v>
      </c>
      <c r="E46" s="16">
        <v>0</v>
      </c>
      <c r="F46" s="16">
        <v>0</v>
      </c>
      <c r="G46" s="174">
        <f t="shared" ref="G46:G50" si="8">(B46*D46)+(C46*E46)+F46</f>
        <v>0</v>
      </c>
    </row>
    <row r="47" spans="1:15" x14ac:dyDescent="0.2">
      <c r="A47" s="182" t="s">
        <v>193</v>
      </c>
      <c r="B47" s="186">
        <v>0</v>
      </c>
      <c r="C47" s="186">
        <v>0</v>
      </c>
      <c r="D47" s="16">
        <v>0</v>
      </c>
      <c r="E47" s="16">
        <v>0</v>
      </c>
      <c r="F47" s="16">
        <v>0</v>
      </c>
      <c r="G47" s="174">
        <f t="shared" si="8"/>
        <v>0</v>
      </c>
    </row>
    <row r="48" spans="1:15" ht="25.5" x14ac:dyDescent="0.2">
      <c r="A48" s="182" t="s">
        <v>194</v>
      </c>
      <c r="B48" s="186">
        <v>0</v>
      </c>
      <c r="C48" s="186">
        <v>0</v>
      </c>
      <c r="D48" s="16">
        <v>0</v>
      </c>
      <c r="E48" s="16">
        <v>0</v>
      </c>
      <c r="F48" s="16">
        <v>0</v>
      </c>
      <c r="G48" s="174">
        <f t="shared" si="8"/>
        <v>0</v>
      </c>
    </row>
    <row r="49" spans="1:7" ht="25.5" x14ac:dyDescent="0.2">
      <c r="A49" s="182" t="s">
        <v>195</v>
      </c>
      <c r="B49" s="186">
        <v>0</v>
      </c>
      <c r="C49" s="186">
        <v>0</v>
      </c>
      <c r="D49" s="16">
        <v>0</v>
      </c>
      <c r="E49" s="16">
        <v>0</v>
      </c>
      <c r="F49" s="16">
        <v>0</v>
      </c>
      <c r="G49" s="174">
        <f t="shared" si="8"/>
        <v>0</v>
      </c>
    </row>
    <row r="50" spans="1:7" x14ac:dyDescent="0.2">
      <c r="A50" s="182" t="s">
        <v>196</v>
      </c>
      <c r="B50" s="186">
        <v>0</v>
      </c>
      <c r="C50" s="186">
        <v>0</v>
      </c>
      <c r="D50" s="16">
        <v>0</v>
      </c>
      <c r="E50" s="16">
        <v>0</v>
      </c>
      <c r="F50" s="16">
        <v>0</v>
      </c>
      <c r="G50" s="174">
        <f t="shared" si="8"/>
        <v>0</v>
      </c>
    </row>
    <row r="51" spans="1:7" x14ac:dyDescent="0.2">
      <c r="A51" s="182"/>
      <c r="B51" s="16"/>
      <c r="C51" s="16"/>
      <c r="D51" s="46"/>
      <c r="E51" s="46"/>
      <c r="F51" s="183" t="s">
        <v>53</v>
      </c>
      <c r="G51" s="183">
        <f>SUM(G45:G50)</f>
        <v>0</v>
      </c>
    </row>
    <row r="52" spans="1:7" x14ac:dyDescent="0.2">
      <c r="A52" s="263"/>
      <c r="B52" s="263"/>
      <c r="C52" s="263"/>
      <c r="D52" s="263"/>
      <c r="E52" s="263"/>
      <c r="F52" s="263"/>
      <c r="G52" s="263"/>
    </row>
    <row r="53" spans="1:7" ht="15.75" customHeight="1" x14ac:dyDescent="0.2">
      <c r="A53" s="262" t="s">
        <v>188</v>
      </c>
      <c r="B53" s="262"/>
      <c r="C53" s="262"/>
      <c r="D53" s="262"/>
      <c r="E53" s="262"/>
      <c r="F53" s="262"/>
      <c r="G53" s="262"/>
    </row>
    <row r="54" spans="1:7" ht="25.5" x14ac:dyDescent="0.2">
      <c r="A54" s="181" t="s">
        <v>225</v>
      </c>
      <c r="B54" s="185">
        <v>0</v>
      </c>
      <c r="C54" s="185">
        <v>0</v>
      </c>
      <c r="D54" s="184">
        <v>0</v>
      </c>
      <c r="E54" s="184">
        <v>0</v>
      </c>
      <c r="F54" s="184">
        <v>0</v>
      </c>
      <c r="G54" s="174">
        <f>(B54*D54)+(C54*E54)+F54</f>
        <v>0</v>
      </c>
    </row>
    <row r="55" spans="1:7" x14ac:dyDescent="0.2">
      <c r="A55" s="182" t="s">
        <v>192</v>
      </c>
      <c r="B55" s="185">
        <v>0</v>
      </c>
      <c r="C55" s="185">
        <v>0</v>
      </c>
      <c r="D55" s="16">
        <v>0</v>
      </c>
      <c r="E55" s="16">
        <v>0</v>
      </c>
      <c r="F55" s="16">
        <v>0</v>
      </c>
      <c r="G55" s="174">
        <f t="shared" ref="G55:G59" si="9">(B55*D55)+(C55*E55)+F55</f>
        <v>0</v>
      </c>
    </row>
    <row r="56" spans="1:7" x14ac:dyDescent="0.2">
      <c r="A56" s="182" t="s">
        <v>193</v>
      </c>
      <c r="B56" s="185">
        <v>0</v>
      </c>
      <c r="C56" s="185">
        <v>0</v>
      </c>
      <c r="D56" s="16">
        <v>0</v>
      </c>
      <c r="E56" s="16">
        <v>0</v>
      </c>
      <c r="F56" s="16">
        <v>0</v>
      </c>
      <c r="G56" s="174">
        <f t="shared" si="9"/>
        <v>0</v>
      </c>
    </row>
    <row r="57" spans="1:7" ht="25.5" x14ac:dyDescent="0.2">
      <c r="A57" s="182" t="s">
        <v>194</v>
      </c>
      <c r="B57" s="185">
        <v>0</v>
      </c>
      <c r="C57" s="185">
        <v>0</v>
      </c>
      <c r="D57" s="16">
        <v>0</v>
      </c>
      <c r="E57" s="16">
        <v>0</v>
      </c>
      <c r="F57" s="16">
        <v>0</v>
      </c>
      <c r="G57" s="174">
        <f t="shared" si="9"/>
        <v>0</v>
      </c>
    </row>
    <row r="58" spans="1:7" ht="25.5" x14ac:dyDescent="0.2">
      <c r="A58" s="182" t="s">
        <v>195</v>
      </c>
      <c r="B58" s="185">
        <v>0</v>
      </c>
      <c r="C58" s="185">
        <v>0</v>
      </c>
      <c r="D58" s="16">
        <v>0</v>
      </c>
      <c r="E58" s="16">
        <v>0</v>
      </c>
      <c r="F58" s="16">
        <v>0</v>
      </c>
      <c r="G58" s="174">
        <f t="shared" si="9"/>
        <v>0</v>
      </c>
    </row>
    <row r="59" spans="1:7" x14ac:dyDescent="0.2">
      <c r="A59" s="182" t="s">
        <v>196</v>
      </c>
      <c r="B59" s="185">
        <v>0</v>
      </c>
      <c r="C59" s="185">
        <v>0</v>
      </c>
      <c r="D59" s="16">
        <v>0</v>
      </c>
      <c r="E59" s="16">
        <v>0</v>
      </c>
      <c r="F59" s="16">
        <v>0</v>
      </c>
      <c r="G59" s="174">
        <f t="shared" si="9"/>
        <v>0</v>
      </c>
    </row>
    <row r="60" spans="1:7" x14ac:dyDescent="0.2">
      <c r="A60" s="182"/>
      <c r="B60" s="16"/>
      <c r="C60" s="16"/>
      <c r="D60" s="46"/>
      <c r="E60" s="46"/>
      <c r="F60" s="183" t="s">
        <v>53</v>
      </c>
      <c r="G60" s="183">
        <f>SUM(G54:G59)</f>
        <v>0</v>
      </c>
    </row>
    <row r="61" spans="1:7" x14ac:dyDescent="0.2">
      <c r="A61" s="263"/>
      <c r="B61" s="263"/>
      <c r="C61" s="263"/>
      <c r="D61" s="263"/>
      <c r="E61" s="263"/>
      <c r="F61" s="263"/>
      <c r="G61" s="263"/>
    </row>
    <row r="62" spans="1:7" ht="15.75" customHeight="1" x14ac:dyDescent="0.2">
      <c r="A62" s="262" t="s">
        <v>189</v>
      </c>
      <c r="B62" s="262"/>
      <c r="C62" s="262"/>
      <c r="D62" s="262"/>
      <c r="E62" s="262"/>
      <c r="F62" s="262"/>
      <c r="G62" s="262"/>
    </row>
    <row r="63" spans="1:7" ht="25.5" x14ac:dyDescent="0.2">
      <c r="A63" s="181" t="s">
        <v>225</v>
      </c>
      <c r="B63" s="185">
        <v>25</v>
      </c>
      <c r="C63" s="185">
        <v>3</v>
      </c>
      <c r="D63" s="185">
        <v>1</v>
      </c>
      <c r="E63" s="185">
        <v>1</v>
      </c>
      <c r="F63" s="184">
        <v>0</v>
      </c>
      <c r="G63" s="174">
        <f>(B63*D63)+(C63*E63)+F63</f>
        <v>28</v>
      </c>
    </row>
    <row r="64" spans="1:7" x14ac:dyDescent="0.2">
      <c r="A64" s="182" t="s">
        <v>192</v>
      </c>
      <c r="B64" s="185">
        <f>C24</f>
        <v>6</v>
      </c>
      <c r="C64" s="185">
        <v>0</v>
      </c>
      <c r="D64" s="185">
        <v>1</v>
      </c>
      <c r="E64" s="185">
        <v>0</v>
      </c>
      <c r="F64" s="16">
        <v>0</v>
      </c>
      <c r="G64" s="174">
        <f t="shared" ref="G64:G68" si="10">(B64*D64)+(C64*E64)+F64</f>
        <v>6</v>
      </c>
    </row>
    <row r="65" spans="1:7" x14ac:dyDescent="0.2">
      <c r="A65" s="182" t="s">
        <v>193</v>
      </c>
      <c r="B65" s="185">
        <f t="shared" ref="B65:B68" si="11">C25</f>
        <v>3</v>
      </c>
      <c r="C65" s="185">
        <f>C30</f>
        <v>2</v>
      </c>
      <c r="D65" s="185">
        <v>1</v>
      </c>
      <c r="E65" s="185">
        <v>1</v>
      </c>
      <c r="F65" s="16">
        <v>0</v>
      </c>
      <c r="G65" s="174">
        <f t="shared" si="10"/>
        <v>5</v>
      </c>
    </row>
    <row r="66" spans="1:7" ht="25.5" x14ac:dyDescent="0.2">
      <c r="A66" s="182" t="s">
        <v>194</v>
      </c>
      <c r="B66" s="185">
        <f t="shared" si="11"/>
        <v>8</v>
      </c>
      <c r="C66" s="185">
        <v>0</v>
      </c>
      <c r="D66" s="185">
        <v>1</v>
      </c>
      <c r="E66" s="185">
        <v>0</v>
      </c>
      <c r="F66" s="16">
        <v>0</v>
      </c>
      <c r="G66" s="174">
        <f t="shared" si="10"/>
        <v>8</v>
      </c>
    </row>
    <row r="67" spans="1:7" ht="25.5" x14ac:dyDescent="0.2">
      <c r="A67" s="182" t="s">
        <v>195</v>
      </c>
      <c r="B67" s="185">
        <f t="shared" si="11"/>
        <v>1</v>
      </c>
      <c r="C67" s="185">
        <v>0</v>
      </c>
      <c r="D67" s="185">
        <v>1</v>
      </c>
      <c r="E67" s="185">
        <v>0</v>
      </c>
      <c r="F67" s="16">
        <v>0</v>
      </c>
      <c r="G67" s="174">
        <f t="shared" si="10"/>
        <v>1</v>
      </c>
    </row>
    <row r="68" spans="1:7" x14ac:dyDescent="0.2">
      <c r="A68" s="182" t="s">
        <v>196</v>
      </c>
      <c r="B68" s="185">
        <f t="shared" si="11"/>
        <v>8</v>
      </c>
      <c r="C68" s="185">
        <v>0</v>
      </c>
      <c r="D68" s="185">
        <v>1</v>
      </c>
      <c r="E68" s="185">
        <v>0</v>
      </c>
      <c r="F68" s="16">
        <v>0</v>
      </c>
      <c r="G68" s="174">
        <f t="shared" si="10"/>
        <v>8</v>
      </c>
    </row>
    <row r="69" spans="1:7" x14ac:dyDescent="0.2">
      <c r="A69" s="182"/>
      <c r="B69" s="16"/>
      <c r="C69" s="16"/>
      <c r="D69" s="46"/>
      <c r="E69" s="46"/>
      <c r="F69" s="183" t="s">
        <v>53</v>
      </c>
      <c r="G69" s="183">
        <f>SUM(G63:G68)</f>
        <v>56</v>
      </c>
    </row>
    <row r="70" spans="1:7" ht="60.75" customHeight="1" x14ac:dyDescent="0.2">
      <c r="A70" s="258" t="s">
        <v>226</v>
      </c>
      <c r="B70" s="258"/>
      <c r="C70" s="258"/>
      <c r="D70" s="258"/>
      <c r="E70" s="258"/>
      <c r="F70" s="258"/>
      <c r="G70" s="258"/>
    </row>
    <row r="71" spans="1:7" ht="35.25" customHeight="1" x14ac:dyDescent="0.2">
      <c r="A71" s="258" t="s">
        <v>201</v>
      </c>
      <c r="B71" s="258"/>
      <c r="C71" s="258"/>
      <c r="D71" s="258"/>
      <c r="E71" s="258"/>
      <c r="F71" s="258"/>
      <c r="G71" s="258"/>
    </row>
    <row r="72" spans="1:7" ht="41.25" customHeight="1" x14ac:dyDescent="0.2">
      <c r="A72" s="187"/>
      <c r="B72" s="187"/>
      <c r="C72" s="187"/>
      <c r="D72" s="187"/>
      <c r="E72" s="187"/>
    </row>
    <row r="73" spans="1:7" ht="28.5" customHeight="1" x14ac:dyDescent="0.2">
      <c r="A73" s="187"/>
      <c r="B73" s="187"/>
      <c r="C73" s="187"/>
      <c r="D73" s="187"/>
      <c r="E73" s="187"/>
    </row>
  </sheetData>
  <mergeCells count="21">
    <mergeCell ref="A40:G40"/>
    <mergeCell ref="A44:G44"/>
    <mergeCell ref="A53:G53"/>
    <mergeCell ref="A52:G52"/>
    <mergeCell ref="A62:G62"/>
    <mergeCell ref="A61:G61"/>
    <mergeCell ref="A70:G70"/>
    <mergeCell ref="A71:G71"/>
    <mergeCell ref="D41:E41"/>
    <mergeCell ref="B41:C41"/>
    <mergeCell ref="D42:E42"/>
    <mergeCell ref="B42:C42"/>
    <mergeCell ref="A42:A43"/>
    <mergeCell ref="F42:F43"/>
    <mergeCell ref="G42:G43"/>
    <mergeCell ref="A33:G33"/>
    <mergeCell ref="I1:K1"/>
    <mergeCell ref="A1:G1"/>
    <mergeCell ref="A22:G22"/>
    <mergeCell ref="A4:G4"/>
    <mergeCell ref="A13:G13"/>
  </mergeCells>
  <phoneticPr fontId="5"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8D1A2-6989-42C5-B326-B7342E244120}">
  <dimension ref="A1:F26"/>
  <sheetViews>
    <sheetView workbookViewId="0">
      <selection activeCell="F20" sqref="F20"/>
    </sheetView>
  </sheetViews>
  <sheetFormatPr defaultRowHeight="12.75" x14ac:dyDescent="0.2"/>
  <cols>
    <col min="1" max="1" width="23.7109375" customWidth="1"/>
    <col min="2" max="2" width="20.42578125" customWidth="1"/>
    <col min="3" max="3" width="16.28515625" customWidth="1"/>
    <col min="6" max="6" width="34.140625" customWidth="1"/>
  </cols>
  <sheetData>
    <row r="1" spans="1:4" ht="32.25" customHeight="1" x14ac:dyDescent="0.2">
      <c r="A1" s="266" t="s">
        <v>203</v>
      </c>
      <c r="B1" s="266"/>
      <c r="C1" s="266"/>
      <c r="D1" s="214"/>
    </row>
    <row r="2" spans="1:4" x14ac:dyDescent="0.2">
      <c r="A2" s="5"/>
      <c r="B2" s="215" t="s">
        <v>88</v>
      </c>
      <c r="C2" s="215" t="s">
        <v>89</v>
      </c>
      <c r="D2" s="214"/>
    </row>
    <row r="3" spans="1:4" x14ac:dyDescent="0.2">
      <c r="A3" s="214"/>
      <c r="B3" s="216">
        <f>15+10</f>
        <v>25</v>
      </c>
      <c r="C3" s="216">
        <v>3</v>
      </c>
      <c r="D3" s="214"/>
    </row>
    <row r="4" spans="1:4" x14ac:dyDescent="0.2">
      <c r="A4" s="214"/>
      <c r="B4" s="220"/>
      <c r="C4" s="220"/>
      <c r="D4" s="214"/>
    </row>
    <row r="5" spans="1:4" x14ac:dyDescent="0.2">
      <c r="A5" s="214"/>
      <c r="B5" s="214"/>
      <c r="C5" s="214"/>
      <c r="D5" s="214"/>
    </row>
    <row r="6" spans="1:4" ht="82.5" customHeight="1" x14ac:dyDescent="0.2">
      <c r="A6" s="267" t="s">
        <v>204</v>
      </c>
      <c r="B6" s="267"/>
      <c r="C6" s="267"/>
      <c r="D6" s="219"/>
    </row>
    <row r="7" spans="1:4" x14ac:dyDescent="0.2">
      <c r="A7" s="3" t="s">
        <v>65</v>
      </c>
      <c r="B7" s="215" t="s">
        <v>88</v>
      </c>
      <c r="C7" s="215" t="s">
        <v>89</v>
      </c>
      <c r="D7" s="214"/>
    </row>
    <row r="8" spans="1:4" x14ac:dyDescent="0.2">
      <c r="A8" s="3" t="s">
        <v>18</v>
      </c>
      <c r="B8" s="216">
        <f>1+1+1+1+1+1</f>
        <v>6</v>
      </c>
      <c r="C8" s="216"/>
      <c r="D8" s="214"/>
    </row>
    <row r="9" spans="1:4" x14ac:dyDescent="0.2">
      <c r="A9" s="3" t="s">
        <v>19</v>
      </c>
      <c r="B9" s="216">
        <f>1+1+1</f>
        <v>3</v>
      </c>
      <c r="C9" s="216">
        <v>2</v>
      </c>
      <c r="D9" s="214"/>
    </row>
    <row r="10" spans="1:4" x14ac:dyDescent="0.2">
      <c r="A10" s="3" t="s">
        <v>17</v>
      </c>
      <c r="B10" s="216">
        <f>1+1+1+1+1+3</f>
        <v>8</v>
      </c>
      <c r="C10" s="216"/>
      <c r="D10" s="214"/>
    </row>
    <row r="11" spans="1:4" x14ac:dyDescent="0.2">
      <c r="A11" s="3" t="s">
        <v>62</v>
      </c>
      <c r="B11" s="216">
        <f>1</f>
        <v>1</v>
      </c>
      <c r="C11" s="216"/>
      <c r="D11" s="214"/>
    </row>
    <row r="12" spans="1:4" x14ac:dyDescent="0.2">
      <c r="A12" s="3" t="s">
        <v>87</v>
      </c>
      <c r="B12" s="216">
        <f>6+2</f>
        <v>8</v>
      </c>
      <c r="C12" s="216"/>
      <c r="D12" s="214"/>
    </row>
    <row r="13" spans="1:4" x14ac:dyDescent="0.2">
      <c r="A13" s="3" t="s">
        <v>53</v>
      </c>
      <c r="B13" s="216">
        <f>SUM(B8:B12)</f>
        <v>26</v>
      </c>
      <c r="C13" s="216">
        <f>SUM(C8:C12)</f>
        <v>2</v>
      </c>
      <c r="D13" s="214"/>
    </row>
    <row r="14" spans="1:4" ht="83.25" customHeight="1" x14ac:dyDescent="0.2">
      <c r="A14" s="217" t="s">
        <v>205</v>
      </c>
      <c r="B14" s="216">
        <v>10</v>
      </c>
      <c r="C14" s="216">
        <v>1</v>
      </c>
      <c r="D14" s="214"/>
    </row>
    <row r="15" spans="1:4" x14ac:dyDescent="0.2">
      <c r="A15" s="218" t="s">
        <v>207</v>
      </c>
      <c r="B15" s="216">
        <f>B14+B13</f>
        <v>36</v>
      </c>
      <c r="C15" s="216">
        <f>C14+C13</f>
        <v>3</v>
      </c>
      <c r="D15" s="214"/>
    </row>
    <row r="21" spans="1:6" ht="46.5" customHeight="1" x14ac:dyDescent="0.2">
      <c r="A21" s="264"/>
      <c r="B21" s="264"/>
      <c r="C21" s="264"/>
      <c r="D21" s="264"/>
      <c r="E21" s="264"/>
      <c r="F21" s="264"/>
    </row>
    <row r="22" spans="1:6" x14ac:dyDescent="0.2">
      <c r="A22" s="4"/>
      <c r="B22" s="4"/>
      <c r="C22" s="265"/>
      <c r="D22" s="265"/>
      <c r="E22" s="265"/>
      <c r="F22" s="4"/>
    </row>
    <row r="23" spans="1:6" x14ac:dyDescent="0.2">
      <c r="A23" s="4"/>
      <c r="B23" s="4"/>
      <c r="C23" s="4"/>
      <c r="D23" s="4"/>
      <c r="E23" s="4"/>
      <c r="F23" s="4"/>
    </row>
    <row r="24" spans="1:6" x14ac:dyDescent="0.2">
      <c r="A24" s="53"/>
      <c r="B24" s="4"/>
      <c r="C24" s="4"/>
      <c r="D24" s="4"/>
      <c r="E24" s="4"/>
      <c r="F24" s="54"/>
    </row>
    <row r="25" spans="1:6" x14ac:dyDescent="0.2">
      <c r="A25" s="55"/>
      <c r="B25" s="4"/>
      <c r="C25" s="4"/>
      <c r="D25" s="4"/>
      <c r="E25" s="4"/>
      <c r="F25" s="4"/>
    </row>
    <row r="26" spans="1:6" x14ac:dyDescent="0.2">
      <c r="A26" s="4"/>
      <c r="B26" s="4"/>
      <c r="C26" s="4"/>
      <c r="D26" s="4"/>
      <c r="E26" s="4"/>
      <c r="F26" s="4"/>
    </row>
  </sheetData>
  <mergeCells count="4">
    <mergeCell ref="A21:F21"/>
    <mergeCell ref="C22:E22"/>
    <mergeCell ref="A1:C1"/>
    <mergeCell ref="A6:C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B1B5-94BA-4539-AD5F-FD713C1298CA}">
  <sheetPr>
    <pageSetUpPr fitToPage="1"/>
  </sheetPr>
  <dimension ref="A1:T79"/>
  <sheetViews>
    <sheetView topLeftCell="A22" zoomScale="85" zoomScaleNormal="85" workbookViewId="0">
      <selection activeCell="M59" sqref="M59"/>
    </sheetView>
  </sheetViews>
  <sheetFormatPr defaultColWidth="9.140625" defaultRowHeight="12.75" x14ac:dyDescent="0.2"/>
  <cols>
    <col min="1" max="1" width="45" style="57" customWidth="1"/>
    <col min="2" max="7" width="13.28515625" style="77" customWidth="1"/>
    <col min="8" max="8" width="13.28515625" style="78" customWidth="1"/>
    <col min="9" max="12" width="13.28515625" style="77" customWidth="1"/>
    <col min="13" max="13" width="16.140625" style="79" customWidth="1"/>
    <col min="14" max="14" width="3.140625" style="79" customWidth="1"/>
    <col min="15" max="15" width="29.7109375" style="77" customWidth="1"/>
    <col min="16" max="16" width="11.28515625" style="57" customWidth="1"/>
    <col min="17" max="17" width="11.28515625" style="57" bestFit="1" customWidth="1"/>
    <col min="18" max="18" width="7.7109375" style="57" bestFit="1" customWidth="1"/>
    <col min="19" max="19" width="31.7109375" style="57" customWidth="1"/>
    <col min="20" max="20" width="9.140625" style="57" customWidth="1"/>
    <col min="21" max="21" width="25" style="57" customWidth="1"/>
    <col min="22" max="16384" width="9.140625" style="57"/>
  </cols>
  <sheetData>
    <row r="1" spans="1:17" ht="38.25" customHeight="1" x14ac:dyDescent="0.2">
      <c r="A1" s="235" t="s">
        <v>209</v>
      </c>
      <c r="B1" s="235"/>
      <c r="C1" s="235"/>
      <c r="D1" s="235"/>
      <c r="E1" s="235"/>
      <c r="F1" s="235"/>
      <c r="G1" s="235"/>
      <c r="H1" s="235"/>
      <c r="I1" s="235"/>
      <c r="J1" s="235"/>
      <c r="K1" s="235"/>
      <c r="L1" s="235"/>
      <c r="M1" s="235"/>
      <c r="N1" s="125"/>
      <c r="O1" s="125"/>
    </row>
    <row r="2" spans="1:17" x14ac:dyDescent="0.2">
      <c r="A2" s="83" t="s">
        <v>81</v>
      </c>
      <c r="B2" s="83"/>
      <c r="C2" s="83"/>
      <c r="D2" s="83"/>
      <c r="E2" s="83"/>
      <c r="F2" s="83"/>
      <c r="G2" s="83"/>
      <c r="H2" s="83"/>
      <c r="I2" s="83"/>
      <c r="J2" s="83"/>
      <c r="K2" s="83"/>
      <c r="L2" s="83"/>
      <c r="M2" s="83"/>
      <c r="N2" s="83"/>
      <c r="O2" s="83"/>
    </row>
    <row r="3" spans="1:17" x14ac:dyDescent="0.2">
      <c r="A3" s="83"/>
      <c r="B3" s="83"/>
      <c r="C3" s="83"/>
      <c r="D3" s="83"/>
      <c r="E3" s="83"/>
      <c r="F3" s="83"/>
      <c r="G3" s="83"/>
      <c r="H3" s="83"/>
      <c r="I3" s="83"/>
      <c r="J3" s="83"/>
      <c r="K3" s="83"/>
      <c r="L3" s="83"/>
      <c r="M3" s="83"/>
      <c r="N3" s="83"/>
      <c r="O3" s="83"/>
    </row>
    <row r="4" spans="1:17" s="60" customFormat="1" ht="76.5" x14ac:dyDescent="0.2">
      <c r="A4" s="100" t="s">
        <v>38</v>
      </c>
      <c r="B4" s="100" t="s">
        <v>253</v>
      </c>
      <c r="C4" s="100" t="s">
        <v>130</v>
      </c>
      <c r="D4" s="100" t="s">
        <v>124</v>
      </c>
      <c r="E4" s="100" t="s">
        <v>125</v>
      </c>
      <c r="F4" s="100" t="s">
        <v>129</v>
      </c>
      <c r="G4" s="100" t="s">
        <v>254</v>
      </c>
      <c r="H4" s="101" t="s">
        <v>299</v>
      </c>
      <c r="I4" s="102" t="s">
        <v>256</v>
      </c>
      <c r="J4" s="102" t="s">
        <v>257</v>
      </c>
      <c r="K4" s="102" t="s">
        <v>258</v>
      </c>
      <c r="L4" s="100" t="s">
        <v>300</v>
      </c>
      <c r="M4" s="230" t="s">
        <v>337</v>
      </c>
      <c r="N4" s="44"/>
    </row>
    <row r="5" spans="1:17" x14ac:dyDescent="0.2">
      <c r="A5" s="103" t="s">
        <v>39</v>
      </c>
      <c r="B5" s="104" t="s">
        <v>227</v>
      </c>
      <c r="C5" s="105"/>
      <c r="D5" s="105"/>
      <c r="E5" s="105"/>
      <c r="F5" s="104"/>
      <c r="G5" s="104"/>
      <c r="H5" s="45"/>
      <c r="I5" s="45"/>
      <c r="J5" s="45"/>
      <c r="K5" s="45"/>
      <c r="L5" s="105"/>
      <c r="M5" s="105"/>
      <c r="N5" s="61"/>
      <c r="O5" s="236" t="s">
        <v>122</v>
      </c>
      <c r="P5" s="236"/>
    </row>
    <row r="6" spans="1:17" x14ac:dyDescent="0.2">
      <c r="A6" s="103" t="s">
        <v>40</v>
      </c>
      <c r="B6" s="104" t="s">
        <v>227</v>
      </c>
      <c r="C6" s="105"/>
      <c r="D6" s="105"/>
      <c r="E6" s="105"/>
      <c r="F6" s="104"/>
      <c r="G6" s="104"/>
      <c r="H6" s="45"/>
      <c r="I6" s="45"/>
      <c r="J6" s="45"/>
      <c r="K6" s="45"/>
      <c r="L6" s="105"/>
      <c r="M6" s="105"/>
      <c r="N6" s="61"/>
      <c r="O6" s="46" t="s">
        <v>123</v>
      </c>
      <c r="P6" s="188">
        <v>141.06</v>
      </c>
    </row>
    <row r="7" spans="1:17" x14ac:dyDescent="0.2">
      <c r="A7" s="103" t="s">
        <v>41</v>
      </c>
      <c r="B7" s="104"/>
      <c r="C7" s="105"/>
      <c r="D7" s="105"/>
      <c r="E7" s="105"/>
      <c r="F7" s="104"/>
      <c r="G7" s="104"/>
      <c r="H7" s="45"/>
      <c r="I7" s="45"/>
      <c r="J7" s="45"/>
      <c r="K7" s="45"/>
      <c r="L7" s="105"/>
      <c r="M7" s="105"/>
      <c r="N7" s="61"/>
      <c r="O7" s="46" t="s">
        <v>51</v>
      </c>
      <c r="P7" s="188">
        <v>120.27</v>
      </c>
    </row>
    <row r="8" spans="1:17" x14ac:dyDescent="0.2">
      <c r="A8" s="106" t="s">
        <v>339</v>
      </c>
      <c r="B8" s="104">
        <v>10</v>
      </c>
      <c r="C8" s="105">
        <v>0</v>
      </c>
      <c r="D8" s="105">
        <v>0</v>
      </c>
      <c r="E8" s="105">
        <v>0</v>
      </c>
      <c r="F8" s="104">
        <v>1</v>
      </c>
      <c r="G8" s="104">
        <f>B8*F8</f>
        <v>10</v>
      </c>
      <c r="H8" s="107">
        <v>0</v>
      </c>
      <c r="I8" s="45">
        <f>G8*H8</f>
        <v>0</v>
      </c>
      <c r="J8" s="45">
        <f>I8*0.1</f>
        <v>0</v>
      </c>
      <c r="K8" s="107">
        <f>I8*0.05</f>
        <v>0</v>
      </c>
      <c r="L8" s="105">
        <f>(I8*$P$7)+(J8*$P$8)+(K8*$P$6)</f>
        <v>0</v>
      </c>
      <c r="M8" s="105">
        <f>(C8+D8+E8)*F8*H8</f>
        <v>0</v>
      </c>
      <c r="N8" s="61"/>
      <c r="O8" s="46" t="s">
        <v>52</v>
      </c>
      <c r="P8" s="188">
        <v>58.67</v>
      </c>
    </row>
    <row r="9" spans="1:17" x14ac:dyDescent="0.2">
      <c r="A9" s="108" t="s">
        <v>90</v>
      </c>
      <c r="B9" s="104"/>
      <c r="C9" s="105"/>
      <c r="D9" s="105"/>
      <c r="E9" s="105"/>
      <c r="F9" s="104"/>
      <c r="G9" s="104"/>
      <c r="H9" s="45"/>
      <c r="I9" s="45"/>
      <c r="J9" s="45"/>
      <c r="K9" s="45"/>
      <c r="L9" s="105"/>
      <c r="M9" s="105"/>
      <c r="N9" s="61"/>
      <c r="O9" s="57"/>
      <c r="Q9" s="64"/>
    </row>
    <row r="10" spans="1:17" x14ac:dyDescent="0.2">
      <c r="A10" s="109" t="s">
        <v>153</v>
      </c>
      <c r="B10" s="104"/>
      <c r="C10" s="110"/>
      <c r="D10" s="105"/>
      <c r="E10" s="105"/>
      <c r="F10" s="104"/>
      <c r="G10" s="104"/>
      <c r="H10" s="107"/>
      <c r="I10" s="45"/>
      <c r="J10" s="45"/>
      <c r="K10" s="45"/>
      <c r="L10" s="105"/>
      <c r="M10" s="105"/>
      <c r="N10" s="61"/>
      <c r="O10" s="57"/>
    </row>
    <row r="11" spans="1:17" x14ac:dyDescent="0.2">
      <c r="A11" s="111" t="s">
        <v>104</v>
      </c>
      <c r="B11" s="104">
        <v>20</v>
      </c>
      <c r="C11" s="105">
        <v>854</v>
      </c>
      <c r="D11" s="105">
        <v>0</v>
      </c>
      <c r="E11" s="105">
        <v>0</v>
      </c>
      <c r="F11" s="104">
        <v>1</v>
      </c>
      <c r="G11" s="104">
        <f t="shared" ref="G11:G24" si="0">B11*F11</f>
        <v>20</v>
      </c>
      <c r="H11" s="107">
        <v>0</v>
      </c>
      <c r="I11" s="45">
        <f>G11*H11</f>
        <v>0</v>
      </c>
      <c r="J11" s="45">
        <f>I11*0.1</f>
        <v>0</v>
      </c>
      <c r="K11" s="45">
        <f>I11*0.05</f>
        <v>0</v>
      </c>
      <c r="L11" s="105">
        <f t="shared" ref="L11:L24" si="1">(I11*$P$7)+(J11*$P$8)+(K11*$P$6)</f>
        <v>0</v>
      </c>
      <c r="M11" s="105">
        <f>(C11+D11+E11)*F11*H11</f>
        <v>0</v>
      </c>
      <c r="N11" s="61"/>
      <c r="O11" s="57"/>
    </row>
    <row r="12" spans="1:17" x14ac:dyDescent="0.2">
      <c r="A12" s="111" t="s">
        <v>105</v>
      </c>
      <c r="B12" s="104">
        <v>20</v>
      </c>
      <c r="C12" s="105">
        <v>18292</v>
      </c>
      <c r="D12" s="105">
        <v>0</v>
      </c>
      <c r="E12" s="105">
        <v>0</v>
      </c>
      <c r="F12" s="104">
        <v>1</v>
      </c>
      <c r="G12" s="104">
        <f t="shared" si="0"/>
        <v>20</v>
      </c>
      <c r="H12" s="107">
        <v>0</v>
      </c>
      <c r="I12" s="45">
        <f>G12*H12</f>
        <v>0</v>
      </c>
      <c r="J12" s="45">
        <f>I12*0.1</f>
        <v>0</v>
      </c>
      <c r="K12" s="45">
        <f>I12*0.05</f>
        <v>0</v>
      </c>
      <c r="L12" s="105">
        <f t="shared" si="1"/>
        <v>0</v>
      </c>
      <c r="M12" s="105">
        <f>(C12+D12+E12)*F12*H12</f>
        <v>0</v>
      </c>
      <c r="N12" s="61"/>
      <c r="O12" s="57"/>
    </row>
    <row r="13" spans="1:17" x14ac:dyDescent="0.2">
      <c r="A13" s="109" t="s">
        <v>154</v>
      </c>
      <c r="B13" s="104">
        <v>12</v>
      </c>
      <c r="C13" s="105">
        <v>0</v>
      </c>
      <c r="D13" s="105">
        <v>5000</v>
      </c>
      <c r="E13" s="105">
        <v>0</v>
      </c>
      <c r="F13" s="104">
        <v>1</v>
      </c>
      <c r="G13" s="104">
        <f t="shared" si="0"/>
        <v>12</v>
      </c>
      <c r="H13" s="107">
        <v>0</v>
      </c>
      <c r="I13" s="45">
        <f t="shared" ref="I13:I23" si="2">G13*H13</f>
        <v>0</v>
      </c>
      <c r="J13" s="45">
        <f t="shared" ref="J13:J23" si="3">I13*0.1</f>
        <v>0</v>
      </c>
      <c r="K13" s="45">
        <f t="shared" ref="K13:K23" si="4">I13*0.05</f>
        <v>0</v>
      </c>
      <c r="L13" s="105">
        <f t="shared" si="1"/>
        <v>0</v>
      </c>
      <c r="M13" s="105">
        <f t="shared" ref="M13:M24" si="5">(C13+D13+E13)*F13*H13</f>
        <v>0</v>
      </c>
      <c r="N13" s="65"/>
      <c r="O13" s="57"/>
    </row>
    <row r="14" spans="1:17" x14ac:dyDescent="0.2">
      <c r="A14" s="109" t="s">
        <v>155</v>
      </c>
      <c r="B14" s="104">
        <v>12</v>
      </c>
      <c r="C14" s="105">
        <v>0</v>
      </c>
      <c r="D14" s="105">
        <v>8000</v>
      </c>
      <c r="E14" s="105">
        <v>0</v>
      </c>
      <c r="F14" s="104">
        <v>1</v>
      </c>
      <c r="G14" s="104">
        <f t="shared" si="0"/>
        <v>12</v>
      </c>
      <c r="H14" s="107">
        <v>0</v>
      </c>
      <c r="I14" s="45">
        <f t="shared" si="2"/>
        <v>0</v>
      </c>
      <c r="J14" s="45">
        <f t="shared" si="3"/>
        <v>0</v>
      </c>
      <c r="K14" s="45">
        <f t="shared" si="4"/>
        <v>0</v>
      </c>
      <c r="L14" s="105">
        <f t="shared" si="1"/>
        <v>0</v>
      </c>
      <c r="M14" s="105">
        <f t="shared" si="5"/>
        <v>0</v>
      </c>
      <c r="N14" s="61"/>
      <c r="O14" s="57"/>
    </row>
    <row r="15" spans="1:17" x14ac:dyDescent="0.2">
      <c r="A15" s="109" t="s">
        <v>156</v>
      </c>
      <c r="B15" s="104">
        <v>12</v>
      </c>
      <c r="C15" s="105">
        <v>0</v>
      </c>
      <c r="D15" s="105">
        <v>8000</v>
      </c>
      <c r="E15" s="105">
        <v>0</v>
      </c>
      <c r="F15" s="104">
        <v>1</v>
      </c>
      <c r="G15" s="104">
        <f t="shared" si="0"/>
        <v>12</v>
      </c>
      <c r="H15" s="107">
        <v>0</v>
      </c>
      <c r="I15" s="45">
        <f t="shared" si="2"/>
        <v>0</v>
      </c>
      <c r="J15" s="45">
        <f t="shared" si="3"/>
        <v>0</v>
      </c>
      <c r="K15" s="45">
        <f t="shared" si="4"/>
        <v>0</v>
      </c>
      <c r="L15" s="105">
        <f t="shared" si="1"/>
        <v>0</v>
      </c>
      <c r="M15" s="105">
        <f t="shared" si="5"/>
        <v>0</v>
      </c>
      <c r="N15" s="61"/>
      <c r="O15" s="57"/>
    </row>
    <row r="16" spans="1:17" x14ac:dyDescent="0.2">
      <c r="A16" s="109" t="s">
        <v>157</v>
      </c>
      <c r="B16" s="104">
        <v>12</v>
      </c>
      <c r="C16" s="105">
        <v>0</v>
      </c>
      <c r="D16" s="105">
        <v>7000</v>
      </c>
      <c r="E16" s="105">
        <v>0</v>
      </c>
      <c r="F16" s="104">
        <v>1</v>
      </c>
      <c r="G16" s="104">
        <f t="shared" si="0"/>
        <v>12</v>
      </c>
      <c r="H16" s="107">
        <v>0</v>
      </c>
      <c r="I16" s="45">
        <f t="shared" si="2"/>
        <v>0</v>
      </c>
      <c r="J16" s="45">
        <f t="shared" si="3"/>
        <v>0</v>
      </c>
      <c r="K16" s="45">
        <f t="shared" si="4"/>
        <v>0</v>
      </c>
      <c r="L16" s="105">
        <f t="shared" si="1"/>
        <v>0</v>
      </c>
      <c r="M16" s="105">
        <f t="shared" si="5"/>
        <v>0</v>
      </c>
      <c r="N16" s="61"/>
      <c r="O16" s="57"/>
    </row>
    <row r="17" spans="1:15" x14ac:dyDescent="0.2">
      <c r="A17" s="109" t="s">
        <v>158</v>
      </c>
      <c r="B17" s="104">
        <v>12</v>
      </c>
      <c r="C17" s="105">
        <v>0</v>
      </c>
      <c r="D17" s="105">
        <v>5000</v>
      </c>
      <c r="E17" s="105">
        <v>0</v>
      </c>
      <c r="F17" s="104">
        <v>1</v>
      </c>
      <c r="G17" s="104">
        <f t="shared" si="0"/>
        <v>12</v>
      </c>
      <c r="H17" s="107">
        <v>0</v>
      </c>
      <c r="I17" s="45">
        <f t="shared" si="2"/>
        <v>0</v>
      </c>
      <c r="J17" s="45">
        <f t="shared" si="3"/>
        <v>0</v>
      </c>
      <c r="K17" s="45">
        <f t="shared" si="4"/>
        <v>0</v>
      </c>
      <c r="L17" s="105">
        <f t="shared" si="1"/>
        <v>0</v>
      </c>
      <c r="M17" s="105">
        <f t="shared" si="5"/>
        <v>0</v>
      </c>
      <c r="N17" s="61"/>
      <c r="O17" s="57"/>
    </row>
    <row r="18" spans="1:15" x14ac:dyDescent="0.2">
      <c r="A18" s="109" t="s">
        <v>159</v>
      </c>
      <c r="B18" s="104">
        <v>12</v>
      </c>
      <c r="C18" s="105">
        <v>0</v>
      </c>
      <c r="D18" s="105">
        <v>8000</v>
      </c>
      <c r="E18" s="105">
        <v>0</v>
      </c>
      <c r="F18" s="104">
        <v>1</v>
      </c>
      <c r="G18" s="104">
        <f t="shared" si="0"/>
        <v>12</v>
      </c>
      <c r="H18" s="107">
        <v>0</v>
      </c>
      <c r="I18" s="45">
        <f t="shared" si="2"/>
        <v>0</v>
      </c>
      <c r="J18" s="45">
        <f t="shared" si="3"/>
        <v>0</v>
      </c>
      <c r="K18" s="45">
        <f t="shared" si="4"/>
        <v>0</v>
      </c>
      <c r="L18" s="105">
        <f t="shared" si="1"/>
        <v>0</v>
      </c>
      <c r="M18" s="105">
        <f t="shared" si="5"/>
        <v>0</v>
      </c>
      <c r="N18" s="61"/>
      <c r="O18" s="57"/>
    </row>
    <row r="19" spans="1:15" x14ac:dyDescent="0.2">
      <c r="A19" s="109" t="s">
        <v>160</v>
      </c>
      <c r="B19" s="104">
        <v>12</v>
      </c>
      <c r="C19" s="105">
        <v>0</v>
      </c>
      <c r="D19" s="105">
        <v>8000</v>
      </c>
      <c r="E19" s="105">
        <v>0</v>
      </c>
      <c r="F19" s="104">
        <v>1</v>
      </c>
      <c r="G19" s="104">
        <f t="shared" si="0"/>
        <v>12</v>
      </c>
      <c r="H19" s="107">
        <v>0</v>
      </c>
      <c r="I19" s="45">
        <f t="shared" si="2"/>
        <v>0</v>
      </c>
      <c r="J19" s="45">
        <f t="shared" si="3"/>
        <v>0</v>
      </c>
      <c r="K19" s="45">
        <f t="shared" si="4"/>
        <v>0</v>
      </c>
      <c r="L19" s="105">
        <f t="shared" si="1"/>
        <v>0</v>
      </c>
      <c r="M19" s="105">
        <f t="shared" si="5"/>
        <v>0</v>
      </c>
      <c r="N19" s="61"/>
      <c r="O19" s="57"/>
    </row>
    <row r="20" spans="1:15" x14ac:dyDescent="0.2">
      <c r="A20" s="109" t="s">
        <v>161</v>
      </c>
      <c r="B20" s="104">
        <v>12</v>
      </c>
      <c r="C20" s="105">
        <v>0</v>
      </c>
      <c r="D20" s="105">
        <v>7000</v>
      </c>
      <c r="E20" s="105">
        <v>0</v>
      </c>
      <c r="F20" s="104">
        <v>1</v>
      </c>
      <c r="G20" s="104">
        <f t="shared" si="0"/>
        <v>12</v>
      </c>
      <c r="H20" s="107">
        <v>0</v>
      </c>
      <c r="I20" s="45">
        <f t="shared" si="2"/>
        <v>0</v>
      </c>
      <c r="J20" s="45">
        <f t="shared" si="3"/>
        <v>0</v>
      </c>
      <c r="K20" s="45">
        <f t="shared" si="4"/>
        <v>0</v>
      </c>
      <c r="L20" s="105">
        <f t="shared" si="1"/>
        <v>0</v>
      </c>
      <c r="M20" s="105">
        <f t="shared" si="5"/>
        <v>0</v>
      </c>
      <c r="N20" s="61"/>
      <c r="O20" s="57"/>
    </row>
    <row r="21" spans="1:15" ht="25.5" x14ac:dyDescent="0.2">
      <c r="A21" s="109" t="s">
        <v>162</v>
      </c>
      <c r="B21" s="104">
        <v>24</v>
      </c>
      <c r="C21" s="105">
        <v>0</v>
      </c>
      <c r="D21" s="105">
        <f>$D$14+$D$15</f>
        <v>16000</v>
      </c>
      <c r="E21" s="105">
        <v>0</v>
      </c>
      <c r="F21" s="104">
        <v>1</v>
      </c>
      <c r="G21" s="104">
        <f t="shared" si="0"/>
        <v>24</v>
      </c>
      <c r="H21" s="107">
        <v>0</v>
      </c>
      <c r="I21" s="45">
        <f>G21*H21</f>
        <v>0</v>
      </c>
      <c r="J21" s="45">
        <f>I21*0.1</f>
        <v>0</v>
      </c>
      <c r="K21" s="45">
        <f>I21*0.05</f>
        <v>0</v>
      </c>
      <c r="L21" s="105">
        <f t="shared" si="1"/>
        <v>0</v>
      </c>
      <c r="M21" s="105">
        <f>(C21+D21+E21)*F21*H21</f>
        <v>0</v>
      </c>
      <c r="N21" s="61"/>
      <c r="O21" s="57"/>
    </row>
    <row r="22" spans="1:15" ht="25.5" x14ac:dyDescent="0.2">
      <c r="A22" s="109" t="s">
        <v>163</v>
      </c>
      <c r="B22" s="104">
        <v>5</v>
      </c>
      <c r="C22" s="105">
        <v>0</v>
      </c>
      <c r="D22" s="105">
        <v>400</v>
      </c>
      <c r="E22" s="105">
        <v>0</v>
      </c>
      <c r="F22" s="104">
        <v>1</v>
      </c>
      <c r="G22" s="104">
        <f t="shared" si="0"/>
        <v>5</v>
      </c>
      <c r="H22" s="107">
        <v>0</v>
      </c>
      <c r="I22" s="45">
        <f t="shared" si="2"/>
        <v>0</v>
      </c>
      <c r="J22" s="45">
        <f t="shared" si="3"/>
        <v>0</v>
      </c>
      <c r="K22" s="45">
        <f t="shared" si="4"/>
        <v>0</v>
      </c>
      <c r="L22" s="105">
        <f t="shared" si="1"/>
        <v>0</v>
      </c>
      <c r="M22" s="105">
        <f t="shared" si="5"/>
        <v>0</v>
      </c>
      <c r="N22" s="61"/>
      <c r="O22" s="57"/>
    </row>
    <row r="23" spans="1:15" ht="25.5" x14ac:dyDescent="0.2">
      <c r="A23" s="109" t="s">
        <v>164</v>
      </c>
      <c r="B23" s="104">
        <v>5</v>
      </c>
      <c r="C23" s="105">
        <v>0</v>
      </c>
      <c r="D23" s="105">
        <v>400</v>
      </c>
      <c r="E23" s="105">
        <v>0</v>
      </c>
      <c r="F23" s="104">
        <v>12</v>
      </c>
      <c r="G23" s="104">
        <f t="shared" si="0"/>
        <v>60</v>
      </c>
      <c r="H23" s="107">
        <v>0</v>
      </c>
      <c r="I23" s="45">
        <f t="shared" si="2"/>
        <v>0</v>
      </c>
      <c r="J23" s="45">
        <f t="shared" si="3"/>
        <v>0</v>
      </c>
      <c r="K23" s="45">
        <f t="shared" si="4"/>
        <v>0</v>
      </c>
      <c r="L23" s="105">
        <f t="shared" si="1"/>
        <v>0</v>
      </c>
      <c r="M23" s="105">
        <f t="shared" si="5"/>
        <v>0</v>
      </c>
      <c r="N23" s="61"/>
      <c r="O23" s="57"/>
    </row>
    <row r="24" spans="1:15" x14ac:dyDescent="0.2">
      <c r="A24" s="112" t="s">
        <v>165</v>
      </c>
      <c r="B24" s="104">
        <v>12</v>
      </c>
      <c r="C24" s="105">
        <v>0</v>
      </c>
      <c r="D24" s="105">
        <v>2875</v>
      </c>
      <c r="E24" s="105">
        <v>0</v>
      </c>
      <c r="F24" s="104">
        <v>1</v>
      </c>
      <c r="G24" s="104">
        <f t="shared" si="0"/>
        <v>12</v>
      </c>
      <c r="H24" s="107">
        <v>0</v>
      </c>
      <c r="I24" s="107">
        <f>G24*H24</f>
        <v>0</v>
      </c>
      <c r="J24" s="107">
        <f>I24*0.1</f>
        <v>0</v>
      </c>
      <c r="K24" s="107">
        <f>I24*0.05</f>
        <v>0</v>
      </c>
      <c r="L24" s="105">
        <f t="shared" si="1"/>
        <v>0</v>
      </c>
      <c r="M24" s="105">
        <f t="shared" si="5"/>
        <v>0</v>
      </c>
      <c r="N24" s="65"/>
      <c r="O24" s="57"/>
    </row>
    <row r="25" spans="1:15" x14ac:dyDescent="0.2">
      <c r="A25" s="109" t="s">
        <v>166</v>
      </c>
      <c r="B25" s="104"/>
      <c r="C25" s="105"/>
      <c r="D25" s="105"/>
      <c r="E25" s="105"/>
      <c r="F25" s="104"/>
      <c r="G25" s="104"/>
      <c r="H25" s="45"/>
      <c r="I25" s="45"/>
      <c r="J25" s="45"/>
      <c r="K25" s="45"/>
      <c r="L25" s="105"/>
      <c r="M25" s="105"/>
      <c r="N25" s="61"/>
      <c r="O25" s="57"/>
    </row>
    <row r="26" spans="1:15" x14ac:dyDescent="0.2">
      <c r="A26" s="113" t="s">
        <v>206</v>
      </c>
      <c r="B26" s="104">
        <v>40</v>
      </c>
      <c r="C26" s="105">
        <v>0</v>
      </c>
      <c r="D26" s="105"/>
      <c r="E26" s="105">
        <v>0</v>
      </c>
      <c r="F26" s="104">
        <v>1</v>
      </c>
      <c r="G26" s="104">
        <f>B26*F26</f>
        <v>40</v>
      </c>
      <c r="H26" s="107">
        <v>0</v>
      </c>
      <c r="I26" s="45">
        <f>G26*H26</f>
        <v>0</v>
      </c>
      <c r="J26" s="45">
        <f>I26*0.1</f>
        <v>0</v>
      </c>
      <c r="K26" s="45">
        <f>I26*0.05</f>
        <v>0</v>
      </c>
      <c r="L26" s="105">
        <f>(I26*$P$7)+(J26*$P$8)+(K26*$P$6)</f>
        <v>0</v>
      </c>
      <c r="M26" s="105">
        <f>(C26+D26+E26)*F26*H26</f>
        <v>0</v>
      </c>
      <c r="N26" s="61"/>
      <c r="O26" s="57"/>
    </row>
    <row r="27" spans="1:15" x14ac:dyDescent="0.2">
      <c r="A27" s="114" t="s">
        <v>18</v>
      </c>
      <c r="B27" s="104"/>
      <c r="C27" s="105"/>
      <c r="D27" s="105"/>
      <c r="E27" s="105"/>
      <c r="F27" s="104"/>
      <c r="G27" s="104"/>
      <c r="H27" s="45"/>
      <c r="I27" s="45"/>
      <c r="J27" s="45"/>
      <c r="K27" s="45"/>
      <c r="L27" s="105"/>
      <c r="M27" s="105"/>
      <c r="N27" s="61"/>
      <c r="O27" s="57"/>
    </row>
    <row r="28" spans="1:15" x14ac:dyDescent="0.2">
      <c r="A28" s="111" t="s">
        <v>102</v>
      </c>
      <c r="B28" s="104">
        <v>10</v>
      </c>
      <c r="C28" s="105">
        <v>0</v>
      </c>
      <c r="D28" s="105">
        <v>0</v>
      </c>
      <c r="E28" s="105">
        <v>25812</v>
      </c>
      <c r="F28" s="104">
        <v>1</v>
      </c>
      <c r="G28" s="104">
        <f>B28*F28</f>
        <v>10</v>
      </c>
      <c r="H28" s="107">
        <v>0</v>
      </c>
      <c r="I28" s="45">
        <f>G28*H28</f>
        <v>0</v>
      </c>
      <c r="J28" s="45">
        <f>I28*0.1</f>
        <v>0</v>
      </c>
      <c r="K28" s="45">
        <f>I28*0.05</f>
        <v>0</v>
      </c>
      <c r="L28" s="105">
        <f>(I28*$P$7)+(J28*$P$8)+(K28*$P$6)</f>
        <v>0</v>
      </c>
      <c r="M28" s="105">
        <f>(C28+D28+E28)*F28*H28</f>
        <v>0</v>
      </c>
      <c r="N28" s="61"/>
      <c r="O28" s="57"/>
    </row>
    <row r="29" spans="1:15" x14ac:dyDescent="0.2">
      <c r="A29" s="111" t="s">
        <v>103</v>
      </c>
      <c r="B29" s="104">
        <v>10</v>
      </c>
      <c r="C29" s="105">
        <v>0</v>
      </c>
      <c r="D29" s="105">
        <v>0</v>
      </c>
      <c r="E29" s="105">
        <f>'Capital vs. O&amp;M'!E6</f>
        <v>9855</v>
      </c>
      <c r="F29" s="104">
        <v>1</v>
      </c>
      <c r="G29" s="104">
        <f>B29*F29</f>
        <v>10</v>
      </c>
      <c r="H29" s="107">
        <f>H28</f>
        <v>0</v>
      </c>
      <c r="I29" s="45">
        <f>G29*H29</f>
        <v>0</v>
      </c>
      <c r="J29" s="45">
        <f>I29*0.1</f>
        <v>0</v>
      </c>
      <c r="K29" s="45">
        <f>I29*0.05</f>
        <v>0</v>
      </c>
      <c r="L29" s="105">
        <f>(I29*$P$7)+(J29*$P$8)+(K29*$P$6)</f>
        <v>0</v>
      </c>
      <c r="M29" s="105">
        <f>(C29+D29+E29)*F29*H29</f>
        <v>0</v>
      </c>
      <c r="N29" s="61"/>
      <c r="O29" s="57"/>
    </row>
    <row r="30" spans="1:15" x14ac:dyDescent="0.2">
      <c r="A30" s="114" t="s">
        <v>99</v>
      </c>
      <c r="B30" s="104"/>
      <c r="C30" s="105"/>
      <c r="D30" s="105"/>
      <c r="E30" s="105"/>
      <c r="F30" s="104"/>
      <c r="G30" s="104"/>
      <c r="H30" s="45"/>
      <c r="I30" s="45"/>
      <c r="J30" s="45"/>
      <c r="K30" s="45"/>
      <c r="L30" s="105"/>
      <c r="M30" s="105"/>
      <c r="N30" s="61"/>
      <c r="O30" s="57"/>
    </row>
    <row r="31" spans="1:15" x14ac:dyDescent="0.2">
      <c r="A31" s="111" t="s">
        <v>102</v>
      </c>
      <c r="B31" s="104">
        <v>10</v>
      </c>
      <c r="C31" s="105">
        <v>0</v>
      </c>
      <c r="D31" s="105">
        <v>0</v>
      </c>
      <c r="E31" s="105">
        <v>158000</v>
      </c>
      <c r="F31" s="104">
        <v>1</v>
      </c>
      <c r="G31" s="104">
        <f>B31*F31</f>
        <v>10</v>
      </c>
      <c r="H31" s="107">
        <v>0</v>
      </c>
      <c r="I31" s="45">
        <f>G31*H31</f>
        <v>0</v>
      </c>
      <c r="J31" s="45">
        <f>I31*0.1</f>
        <v>0</v>
      </c>
      <c r="K31" s="45">
        <f>I31*0.05</f>
        <v>0</v>
      </c>
      <c r="L31" s="105">
        <f t="shared" ref="L31:L32" si="6">(I31*$P$7)+(J31*$P$8)+(K31*$P$6)</f>
        <v>0</v>
      </c>
      <c r="M31" s="105">
        <f>(C31+D31+E31)*F31*H31</f>
        <v>0</v>
      </c>
      <c r="N31" s="65"/>
      <c r="O31" s="57"/>
    </row>
    <row r="32" spans="1:15" x14ac:dyDescent="0.2">
      <c r="A32" s="111" t="s">
        <v>103</v>
      </c>
      <c r="B32" s="104">
        <v>10</v>
      </c>
      <c r="C32" s="105">
        <v>0</v>
      </c>
      <c r="D32" s="105">
        <v>0</v>
      </c>
      <c r="E32" s="105">
        <v>56100</v>
      </c>
      <c r="F32" s="104">
        <v>1</v>
      </c>
      <c r="G32" s="104">
        <f>B32*F32</f>
        <v>10</v>
      </c>
      <c r="H32" s="107">
        <v>0</v>
      </c>
      <c r="I32" s="45">
        <f>G32*H32</f>
        <v>0</v>
      </c>
      <c r="J32" s="45">
        <f>I32*0.1</f>
        <v>0</v>
      </c>
      <c r="K32" s="45">
        <f>I32*0.05</f>
        <v>0</v>
      </c>
      <c r="L32" s="105">
        <f t="shared" si="6"/>
        <v>0</v>
      </c>
      <c r="M32" s="105">
        <f>(C32+D32+E32)*F32*H32</f>
        <v>0</v>
      </c>
      <c r="N32" s="65"/>
      <c r="O32" s="57"/>
    </row>
    <row r="33" spans="1:15" x14ac:dyDescent="0.2">
      <c r="A33" s="114" t="s">
        <v>56</v>
      </c>
      <c r="B33" s="104"/>
      <c r="C33" s="105"/>
      <c r="D33" s="105"/>
      <c r="E33" s="105"/>
      <c r="F33" s="104"/>
      <c r="G33" s="104"/>
      <c r="H33" s="107"/>
      <c r="I33" s="45"/>
      <c r="J33" s="115"/>
      <c r="K33" s="115"/>
      <c r="L33" s="105"/>
      <c r="M33" s="105"/>
      <c r="N33" s="61"/>
      <c r="O33" s="57"/>
    </row>
    <row r="34" spans="1:15" x14ac:dyDescent="0.2">
      <c r="A34" s="111" t="s">
        <v>102</v>
      </c>
      <c r="B34" s="104">
        <v>10</v>
      </c>
      <c r="C34" s="105">
        <v>0</v>
      </c>
      <c r="D34" s="105">
        <v>0</v>
      </c>
      <c r="E34" s="105">
        <f>Monitors!$F$32</f>
        <v>8523</v>
      </c>
      <c r="F34" s="104">
        <v>1</v>
      </c>
      <c r="G34" s="104">
        <f>B34*F34</f>
        <v>10</v>
      </c>
      <c r="H34" s="107">
        <v>0</v>
      </c>
      <c r="I34" s="45">
        <f>G34*H34</f>
        <v>0</v>
      </c>
      <c r="J34" s="45">
        <f>I34*0.1</f>
        <v>0</v>
      </c>
      <c r="K34" s="45">
        <f>I34*0.05</f>
        <v>0</v>
      </c>
      <c r="L34" s="105">
        <f t="shared" ref="L34:L35" si="7">(I34*$P$7)+(J34*$P$8)+(K34*$P$6)</f>
        <v>0</v>
      </c>
      <c r="M34" s="105">
        <f>(C34+D34+E34)*F34*H34</f>
        <v>0</v>
      </c>
      <c r="N34" s="61"/>
      <c r="O34" s="57"/>
    </row>
    <row r="35" spans="1:15" x14ac:dyDescent="0.2">
      <c r="A35" s="111" t="s">
        <v>103</v>
      </c>
      <c r="B35" s="104">
        <v>10</v>
      </c>
      <c r="C35" s="105">
        <v>0</v>
      </c>
      <c r="D35" s="105">
        <v>0</v>
      </c>
      <c r="E35" s="105">
        <f>Monitors!$G$32</f>
        <v>1436</v>
      </c>
      <c r="F35" s="104">
        <v>1</v>
      </c>
      <c r="G35" s="104">
        <f>B35*F35</f>
        <v>10</v>
      </c>
      <c r="H35" s="107">
        <v>0</v>
      </c>
      <c r="I35" s="45">
        <f>G35*H35</f>
        <v>0</v>
      </c>
      <c r="J35" s="45">
        <f>I35*0.1</f>
        <v>0</v>
      </c>
      <c r="K35" s="45">
        <f>I35*0.05</f>
        <v>0</v>
      </c>
      <c r="L35" s="105">
        <f t="shared" si="7"/>
        <v>0</v>
      </c>
      <c r="M35" s="105">
        <f>(C35+D35+E35)*F35*H35</f>
        <v>0</v>
      </c>
      <c r="N35" s="61"/>
      <c r="O35" s="57"/>
    </row>
    <row r="36" spans="1:15" ht="25.5" x14ac:dyDescent="0.2">
      <c r="A36" s="113" t="s">
        <v>228</v>
      </c>
      <c r="B36" s="104"/>
      <c r="C36" s="105"/>
      <c r="D36" s="105"/>
      <c r="E36" s="110"/>
      <c r="F36" s="104"/>
      <c r="G36" s="104"/>
      <c r="H36" s="116"/>
      <c r="I36" s="45"/>
      <c r="J36" s="45"/>
      <c r="K36" s="45"/>
      <c r="L36" s="105"/>
      <c r="M36" s="105"/>
      <c r="N36" s="61"/>
      <c r="O36" s="57"/>
    </row>
    <row r="37" spans="1:15" x14ac:dyDescent="0.2">
      <c r="A37" s="111" t="s">
        <v>102</v>
      </c>
      <c r="B37" s="104">
        <v>10</v>
      </c>
      <c r="C37" s="105">
        <v>0</v>
      </c>
      <c r="D37" s="105">
        <v>0</v>
      </c>
      <c r="E37" s="105">
        <v>25054</v>
      </c>
      <c r="F37" s="104">
        <v>1</v>
      </c>
      <c r="G37" s="104">
        <f>B37*F37</f>
        <v>10</v>
      </c>
      <c r="H37" s="107">
        <v>0</v>
      </c>
      <c r="I37" s="45">
        <f>G37*H37</f>
        <v>0</v>
      </c>
      <c r="J37" s="45">
        <f>I37*0.1</f>
        <v>0</v>
      </c>
      <c r="K37" s="45">
        <f>I37*0.05</f>
        <v>0</v>
      </c>
      <c r="L37" s="105">
        <f t="shared" ref="L37:L38" si="8">(I37*$P$7)+(J37*$P$8)+(K37*$P$6)</f>
        <v>0</v>
      </c>
      <c r="M37" s="105">
        <f>(C37+D37+E37)*F37*H37</f>
        <v>0</v>
      </c>
      <c r="N37" s="61"/>
      <c r="O37" s="57"/>
    </row>
    <row r="38" spans="1:15" x14ac:dyDescent="0.2">
      <c r="A38" s="111" t="s">
        <v>103</v>
      </c>
      <c r="B38" s="104">
        <v>10</v>
      </c>
      <c r="C38" s="105">
        <v>0</v>
      </c>
      <c r="D38" s="105">
        <v>0</v>
      </c>
      <c r="E38" s="105">
        <v>5774</v>
      </c>
      <c r="F38" s="104">
        <v>1</v>
      </c>
      <c r="G38" s="104">
        <f>B38*F38</f>
        <v>10</v>
      </c>
      <c r="H38" s="107">
        <f>H37</f>
        <v>0</v>
      </c>
      <c r="I38" s="45">
        <f>G38*H38</f>
        <v>0</v>
      </c>
      <c r="J38" s="45">
        <f>I38*0.1</f>
        <v>0</v>
      </c>
      <c r="K38" s="45">
        <f>I38*0.05</f>
        <v>0</v>
      </c>
      <c r="L38" s="105">
        <f t="shared" si="8"/>
        <v>0</v>
      </c>
      <c r="M38" s="105">
        <f>(C38+D38+E38)*F38*H38</f>
        <v>0</v>
      </c>
      <c r="N38" s="61"/>
      <c r="O38" s="57"/>
    </row>
    <row r="39" spans="1:15" ht="25.5" x14ac:dyDescent="0.2">
      <c r="A39" s="113" t="s">
        <v>100</v>
      </c>
      <c r="B39" s="104"/>
      <c r="C39" s="105"/>
      <c r="D39" s="105"/>
      <c r="E39" s="105"/>
      <c r="F39" s="104"/>
      <c r="G39" s="104"/>
      <c r="H39" s="107"/>
      <c r="I39" s="45"/>
      <c r="J39" s="45"/>
      <c r="K39" s="45"/>
      <c r="L39" s="105"/>
      <c r="M39" s="103"/>
      <c r="N39" s="61"/>
      <c r="O39" s="57"/>
    </row>
    <row r="40" spans="1:15" x14ac:dyDescent="0.2">
      <c r="A40" s="111" t="s">
        <v>102</v>
      </c>
      <c r="B40" s="104">
        <v>10</v>
      </c>
      <c r="C40" s="105">
        <v>0</v>
      </c>
      <c r="D40" s="105">
        <v>0</v>
      </c>
      <c r="E40" s="105">
        <v>26300</v>
      </c>
      <c r="F40" s="104">
        <v>1</v>
      </c>
      <c r="G40" s="104">
        <f>B40*F40</f>
        <v>10</v>
      </c>
      <c r="H40" s="107">
        <v>0</v>
      </c>
      <c r="I40" s="45">
        <f>G40*H40</f>
        <v>0</v>
      </c>
      <c r="J40" s="45">
        <f>I40*0.1</f>
        <v>0</v>
      </c>
      <c r="K40" s="45">
        <f>I40*0.05</f>
        <v>0</v>
      </c>
      <c r="L40" s="105">
        <f t="shared" ref="L40:L41" si="9">(I40*$P$7)+(J40*$P$8)+(K40*$P$6)</f>
        <v>0</v>
      </c>
      <c r="M40" s="105">
        <f>(C40+D40+E40)*F40*H40</f>
        <v>0</v>
      </c>
      <c r="N40" s="61"/>
      <c r="O40" s="57"/>
    </row>
    <row r="41" spans="1:15" x14ac:dyDescent="0.2">
      <c r="A41" s="111" t="s">
        <v>103</v>
      </c>
      <c r="B41" s="104">
        <v>10</v>
      </c>
      <c r="C41" s="105">
        <v>0</v>
      </c>
      <c r="D41" s="105">
        <v>0</v>
      </c>
      <c r="E41" s="105">
        <v>10000</v>
      </c>
      <c r="F41" s="104">
        <v>1</v>
      </c>
      <c r="G41" s="104">
        <f>B41*F41</f>
        <v>10</v>
      </c>
      <c r="H41" s="107">
        <f>H40</f>
        <v>0</v>
      </c>
      <c r="I41" s="45">
        <f>G41*H41</f>
        <v>0</v>
      </c>
      <c r="J41" s="45">
        <f>I41*0.1</f>
        <v>0</v>
      </c>
      <c r="K41" s="45">
        <f>I41*0.05</f>
        <v>0</v>
      </c>
      <c r="L41" s="105">
        <f t="shared" si="9"/>
        <v>0</v>
      </c>
      <c r="M41" s="105">
        <f>(C41+D41+E41)*F41*H41</f>
        <v>0</v>
      </c>
      <c r="N41" s="61"/>
      <c r="O41" s="57"/>
    </row>
    <row r="42" spans="1:15" x14ac:dyDescent="0.2">
      <c r="A42" s="113" t="s">
        <v>106</v>
      </c>
      <c r="B42" s="104"/>
      <c r="C42" s="105"/>
      <c r="D42" s="105"/>
      <c r="E42" s="105"/>
      <c r="F42" s="104"/>
      <c r="G42" s="104"/>
      <c r="H42" s="107"/>
      <c r="I42" s="45"/>
      <c r="J42" s="45"/>
      <c r="K42" s="45"/>
      <c r="L42" s="105"/>
      <c r="M42" s="103"/>
      <c r="N42" s="61"/>
      <c r="O42" s="57"/>
    </row>
    <row r="43" spans="1:15" x14ac:dyDescent="0.2">
      <c r="A43" s="111" t="s">
        <v>102</v>
      </c>
      <c r="B43" s="104">
        <v>10</v>
      </c>
      <c r="C43" s="105">
        <v>0</v>
      </c>
      <c r="D43" s="105">
        <v>0</v>
      </c>
      <c r="E43" s="105">
        <v>44858</v>
      </c>
      <c r="F43" s="104">
        <v>1</v>
      </c>
      <c r="G43" s="104">
        <f>B43*F43</f>
        <v>10</v>
      </c>
      <c r="H43" s="107">
        <v>0</v>
      </c>
      <c r="I43" s="45">
        <f>G43*H43</f>
        <v>0</v>
      </c>
      <c r="J43" s="45">
        <f>I43*0.1</f>
        <v>0</v>
      </c>
      <c r="K43" s="45">
        <f>I43*0.05</f>
        <v>0</v>
      </c>
      <c r="L43" s="105">
        <f t="shared" ref="L43:L44" si="10">(I43*$P$7)+(J43*$P$8)+(K43*$P$6)</f>
        <v>0</v>
      </c>
      <c r="M43" s="105">
        <f>(C43+D43+E43)*F43*H43</f>
        <v>0</v>
      </c>
      <c r="N43" s="61"/>
      <c r="O43" s="57"/>
    </row>
    <row r="44" spans="1:15" x14ac:dyDescent="0.2">
      <c r="A44" s="111" t="s">
        <v>103</v>
      </c>
      <c r="B44" s="104">
        <v>10</v>
      </c>
      <c r="C44" s="105">
        <v>0</v>
      </c>
      <c r="D44" s="105">
        <v>0</v>
      </c>
      <c r="E44" s="105">
        <v>31500</v>
      </c>
      <c r="F44" s="104">
        <v>1</v>
      </c>
      <c r="G44" s="104">
        <f>B44*F44</f>
        <v>10</v>
      </c>
      <c r="H44" s="107">
        <f>H43</f>
        <v>0</v>
      </c>
      <c r="I44" s="45">
        <f>G44*H44</f>
        <v>0</v>
      </c>
      <c r="J44" s="45">
        <f>I44*0.1</f>
        <v>0</v>
      </c>
      <c r="K44" s="45">
        <f>I44*0.05</f>
        <v>0</v>
      </c>
      <c r="L44" s="105">
        <f t="shared" si="10"/>
        <v>0</v>
      </c>
      <c r="M44" s="105">
        <f>(C44+D44+E44)*F44*H44</f>
        <v>0</v>
      </c>
      <c r="N44" s="61"/>
      <c r="O44" s="57"/>
    </row>
    <row r="45" spans="1:15" ht="25.5" x14ac:dyDescent="0.2">
      <c r="A45" s="113" t="s">
        <v>101</v>
      </c>
      <c r="B45" s="104"/>
      <c r="C45" s="105"/>
      <c r="D45" s="105"/>
      <c r="E45" s="105"/>
      <c r="F45" s="104"/>
      <c r="G45" s="104"/>
      <c r="H45" s="116"/>
      <c r="I45" s="45"/>
      <c r="J45" s="45"/>
      <c r="K45" s="45"/>
      <c r="L45" s="105"/>
      <c r="M45" s="105"/>
      <c r="N45" s="61"/>
      <c r="O45" s="57"/>
    </row>
    <row r="46" spans="1:15" x14ac:dyDescent="0.2">
      <c r="A46" s="111" t="s">
        <v>102</v>
      </c>
      <c r="B46" s="104">
        <v>10</v>
      </c>
      <c r="C46" s="105">
        <v>0</v>
      </c>
      <c r="D46" s="105">
        <v>0</v>
      </c>
      <c r="E46" s="105">
        <v>115000</v>
      </c>
      <c r="F46" s="104">
        <v>1</v>
      </c>
      <c r="G46" s="104">
        <f>B46*F46</f>
        <v>10</v>
      </c>
      <c r="H46" s="107">
        <v>0</v>
      </c>
      <c r="I46" s="45">
        <f>G46*H46</f>
        <v>0</v>
      </c>
      <c r="J46" s="45">
        <f>I46*0.1</f>
        <v>0</v>
      </c>
      <c r="K46" s="45">
        <f>I46*0.05</f>
        <v>0</v>
      </c>
      <c r="L46" s="105">
        <f t="shared" ref="L46:L47" si="11">(I46*$P$7)+(J46*$P$8)+(K46*$P$6)</f>
        <v>0</v>
      </c>
      <c r="M46" s="105">
        <f>(C46+D46+E46)*F46*H46</f>
        <v>0</v>
      </c>
      <c r="N46" s="61"/>
      <c r="O46" s="57"/>
    </row>
    <row r="47" spans="1:15" x14ac:dyDescent="0.2">
      <c r="A47" s="111" t="s">
        <v>103</v>
      </c>
      <c r="B47" s="104">
        <v>10</v>
      </c>
      <c r="C47" s="105">
        <v>0</v>
      </c>
      <c r="D47" s="105">
        <v>0</v>
      </c>
      <c r="E47" s="105">
        <v>9700</v>
      </c>
      <c r="F47" s="104">
        <v>1</v>
      </c>
      <c r="G47" s="104">
        <f>B47*F47</f>
        <v>10</v>
      </c>
      <c r="H47" s="107">
        <v>0</v>
      </c>
      <c r="I47" s="45">
        <f>G47*H47</f>
        <v>0</v>
      </c>
      <c r="J47" s="45">
        <f>I47*0.1</f>
        <v>0</v>
      </c>
      <c r="K47" s="45">
        <f>I47*0.05</f>
        <v>0</v>
      </c>
      <c r="L47" s="105">
        <f t="shared" si="11"/>
        <v>0</v>
      </c>
      <c r="M47" s="105">
        <f>(C47+D47+E47)*F47*H47</f>
        <v>0</v>
      </c>
      <c r="N47" s="61"/>
      <c r="O47" s="57"/>
    </row>
    <row r="48" spans="1:15" x14ac:dyDescent="0.2">
      <c r="A48" s="114" t="s">
        <v>87</v>
      </c>
      <c r="B48" s="104"/>
      <c r="C48" s="105"/>
      <c r="D48" s="105"/>
      <c r="E48" s="105"/>
      <c r="F48" s="104"/>
      <c r="G48" s="104"/>
      <c r="H48" s="107"/>
      <c r="I48" s="45"/>
      <c r="J48" s="45"/>
      <c r="K48" s="115"/>
      <c r="L48" s="105"/>
      <c r="M48" s="105"/>
      <c r="N48" s="61"/>
      <c r="O48" s="57"/>
    </row>
    <row r="49" spans="1:15" x14ac:dyDescent="0.2">
      <c r="A49" s="111" t="s">
        <v>102</v>
      </c>
      <c r="B49" s="104">
        <v>10</v>
      </c>
      <c r="C49" s="105">
        <v>0</v>
      </c>
      <c r="D49" s="105">
        <v>0</v>
      </c>
      <c r="E49" s="105">
        <v>153700</v>
      </c>
      <c r="F49" s="104">
        <v>1</v>
      </c>
      <c r="G49" s="104">
        <f>B49*F49</f>
        <v>10</v>
      </c>
      <c r="H49" s="107">
        <v>0</v>
      </c>
      <c r="I49" s="45">
        <f>G49*H49</f>
        <v>0</v>
      </c>
      <c r="J49" s="45">
        <f>I49*0.1</f>
        <v>0</v>
      </c>
      <c r="K49" s="45">
        <f>I49*0.05</f>
        <v>0</v>
      </c>
      <c r="L49" s="105">
        <f t="shared" ref="L49:L50" si="12">(I49*$P$7)+(J49*$P$8)+(K49*$P$6)</f>
        <v>0</v>
      </c>
      <c r="M49" s="105">
        <f>(C49+D49+E49)*F49*H49</f>
        <v>0</v>
      </c>
      <c r="N49" s="61"/>
      <c r="O49" s="57"/>
    </row>
    <row r="50" spans="1:15" x14ac:dyDescent="0.2">
      <c r="A50" s="111" t="s">
        <v>103</v>
      </c>
      <c r="B50" s="104">
        <v>10</v>
      </c>
      <c r="C50" s="105">
        <v>0</v>
      </c>
      <c r="D50" s="105">
        <v>0</v>
      </c>
      <c r="E50" s="105">
        <f>'Capital vs. O&amp;M'!E10</f>
        <v>42600</v>
      </c>
      <c r="F50" s="104">
        <v>1</v>
      </c>
      <c r="G50" s="104">
        <f>B50*F50</f>
        <v>10</v>
      </c>
      <c r="H50" s="107">
        <f>H49</f>
        <v>0</v>
      </c>
      <c r="I50" s="45">
        <f>G50*H50</f>
        <v>0</v>
      </c>
      <c r="J50" s="45">
        <f>I50*0.1</f>
        <v>0</v>
      </c>
      <c r="K50" s="45">
        <f>I50*0.05</f>
        <v>0</v>
      </c>
      <c r="L50" s="105">
        <f t="shared" si="12"/>
        <v>0</v>
      </c>
      <c r="M50" s="105">
        <f>(C50+D50+E50)*F50*H50</f>
        <v>0</v>
      </c>
      <c r="N50" s="61"/>
      <c r="O50" s="57"/>
    </row>
    <row r="51" spans="1:15" x14ac:dyDescent="0.2">
      <c r="A51" s="108" t="s">
        <v>91</v>
      </c>
      <c r="B51" s="104" t="s">
        <v>227</v>
      </c>
      <c r="C51" s="105"/>
      <c r="D51" s="105"/>
      <c r="E51" s="105"/>
      <c r="F51" s="104"/>
      <c r="G51" s="104"/>
      <c r="H51" s="45"/>
      <c r="I51" s="45"/>
      <c r="J51" s="45"/>
      <c r="K51" s="45"/>
      <c r="L51" s="105"/>
      <c r="M51" s="105"/>
      <c r="N51" s="61"/>
      <c r="O51" s="57"/>
    </row>
    <row r="52" spans="1:15" x14ac:dyDescent="0.2">
      <c r="A52" s="108" t="s">
        <v>92</v>
      </c>
      <c r="B52" s="104" t="s">
        <v>227</v>
      </c>
      <c r="C52" s="105"/>
      <c r="D52" s="105"/>
      <c r="E52" s="105"/>
      <c r="F52" s="104"/>
      <c r="G52" s="104"/>
      <c r="H52" s="45"/>
      <c r="I52" s="45"/>
      <c r="J52" s="45"/>
      <c r="K52" s="45"/>
      <c r="L52" s="105"/>
      <c r="M52" s="105"/>
      <c r="N52" s="61"/>
      <c r="O52" s="57"/>
    </row>
    <row r="53" spans="1:15" x14ac:dyDescent="0.2">
      <c r="A53" s="108" t="s">
        <v>93</v>
      </c>
      <c r="B53" s="104"/>
      <c r="C53" s="105"/>
      <c r="D53" s="105"/>
      <c r="E53" s="105"/>
      <c r="F53" s="104"/>
      <c r="G53" s="104"/>
      <c r="H53" s="45"/>
      <c r="I53" s="45"/>
      <c r="J53" s="45"/>
      <c r="K53" s="45"/>
      <c r="L53" s="105"/>
      <c r="M53" s="105"/>
      <c r="N53" s="61"/>
      <c r="O53" s="57"/>
    </row>
    <row r="54" spans="1:15" x14ac:dyDescent="0.2">
      <c r="A54" s="109" t="s">
        <v>50</v>
      </c>
      <c r="B54" s="104">
        <v>2</v>
      </c>
      <c r="C54" s="105">
        <v>0</v>
      </c>
      <c r="D54" s="105">
        <v>0</v>
      </c>
      <c r="E54" s="105">
        <v>0</v>
      </c>
      <c r="F54" s="104">
        <v>1</v>
      </c>
      <c r="G54" s="104">
        <f>B54*F54</f>
        <v>2</v>
      </c>
      <c r="H54" s="107">
        <v>0</v>
      </c>
      <c r="I54" s="45">
        <f>G54*H54</f>
        <v>0</v>
      </c>
      <c r="J54" s="45">
        <f>I54*0.1</f>
        <v>0</v>
      </c>
      <c r="K54" s="45">
        <f>I54*0.05</f>
        <v>0</v>
      </c>
      <c r="L54" s="105">
        <f t="shared" ref="L54:L57" si="13">(I54*$P$7)+(J54*$P$8)+(K54*$P$6)</f>
        <v>0</v>
      </c>
      <c r="M54" s="105">
        <f>(C54+D54+E54)*F54*H54</f>
        <v>0</v>
      </c>
      <c r="N54" s="61"/>
      <c r="O54" s="57"/>
    </row>
    <row r="55" spans="1:15" x14ac:dyDescent="0.2">
      <c r="A55" s="109" t="s">
        <v>36</v>
      </c>
      <c r="B55" s="104">
        <v>8</v>
      </c>
      <c r="C55" s="105">
        <v>0</v>
      </c>
      <c r="D55" s="105">
        <v>0</v>
      </c>
      <c r="E55" s="105">
        <v>0</v>
      </c>
      <c r="F55" s="104">
        <v>1</v>
      </c>
      <c r="G55" s="104">
        <f>B55*F55</f>
        <v>8</v>
      </c>
      <c r="H55" s="107">
        <v>0</v>
      </c>
      <c r="I55" s="45">
        <f>G55*H55</f>
        <v>0</v>
      </c>
      <c r="J55" s="45">
        <f>I55*0.1</f>
        <v>0</v>
      </c>
      <c r="K55" s="45">
        <f>I55*0.05</f>
        <v>0</v>
      </c>
      <c r="L55" s="105">
        <f t="shared" si="13"/>
        <v>0</v>
      </c>
      <c r="M55" s="105">
        <f>(C55+D55+E55)*F55*H55</f>
        <v>0</v>
      </c>
      <c r="N55" s="61"/>
      <c r="O55" s="57"/>
    </row>
    <row r="56" spans="1:15" x14ac:dyDescent="0.2">
      <c r="A56" s="109" t="s">
        <v>37</v>
      </c>
      <c r="B56" s="104">
        <v>5</v>
      </c>
      <c r="C56" s="105">
        <v>0</v>
      </c>
      <c r="D56" s="105">
        <v>0</v>
      </c>
      <c r="E56" s="105">
        <v>0</v>
      </c>
      <c r="F56" s="104">
        <v>1</v>
      </c>
      <c r="G56" s="104">
        <f>B56*F56</f>
        <v>5</v>
      </c>
      <c r="H56" s="107">
        <v>0</v>
      </c>
      <c r="I56" s="45">
        <f>G56*H56</f>
        <v>0</v>
      </c>
      <c r="J56" s="45">
        <f>I56*0.1</f>
        <v>0</v>
      </c>
      <c r="K56" s="45">
        <f>I56*0.05</f>
        <v>0</v>
      </c>
      <c r="L56" s="105">
        <f t="shared" si="13"/>
        <v>0</v>
      </c>
      <c r="M56" s="105">
        <f>(C56+D56+E56)*F56*H56</f>
        <v>0</v>
      </c>
      <c r="N56" s="61"/>
      <c r="O56" s="57"/>
    </row>
    <row r="57" spans="1:15" x14ac:dyDescent="0.2">
      <c r="A57" s="112" t="s">
        <v>54</v>
      </c>
      <c r="B57" s="104">
        <v>20</v>
      </c>
      <c r="C57" s="105">
        <v>0</v>
      </c>
      <c r="D57" s="105">
        <v>0</v>
      </c>
      <c r="E57" s="105">
        <v>0</v>
      </c>
      <c r="F57" s="104">
        <v>2</v>
      </c>
      <c r="G57" s="104">
        <f>B57*F57</f>
        <v>40</v>
      </c>
      <c r="H57" s="107">
        <f>H8</f>
        <v>0</v>
      </c>
      <c r="I57" s="45">
        <f>G57*H57</f>
        <v>0</v>
      </c>
      <c r="J57" s="45">
        <f>I57*0.1</f>
        <v>0</v>
      </c>
      <c r="K57" s="45">
        <f>I57*0.05</f>
        <v>0</v>
      </c>
      <c r="L57" s="105">
        <f t="shared" si="13"/>
        <v>0</v>
      </c>
      <c r="M57" s="105">
        <f>(C57+D57+E57)*F57*H57</f>
        <v>0</v>
      </c>
      <c r="N57" s="66"/>
      <c r="O57" s="57"/>
    </row>
    <row r="58" spans="1:15" s="72" customFormat="1" ht="13.5" x14ac:dyDescent="0.25">
      <c r="A58" s="117" t="s">
        <v>107</v>
      </c>
      <c r="B58" s="118"/>
      <c r="C58" s="119"/>
      <c r="D58" s="119"/>
      <c r="E58" s="119"/>
      <c r="F58" s="118"/>
      <c r="G58" s="118"/>
      <c r="H58" s="116"/>
      <c r="I58" s="237">
        <f>SUM(I8:K57)</f>
        <v>0</v>
      </c>
      <c r="J58" s="237"/>
      <c r="K58" s="237"/>
      <c r="L58" s="120">
        <f>SUM(L8:L57)</f>
        <v>0</v>
      </c>
      <c r="M58" s="120">
        <f>SUM(M29,M32,M35,M38,M41,M44,M47,M50)</f>
        <v>0</v>
      </c>
      <c r="N58" s="70"/>
      <c r="O58" s="71"/>
    </row>
    <row r="59" spans="1:15" x14ac:dyDescent="0.2">
      <c r="A59" s="103" t="s">
        <v>49</v>
      </c>
      <c r="B59" s="104"/>
      <c r="C59" s="105"/>
      <c r="D59" s="105"/>
      <c r="E59" s="105"/>
      <c r="F59" s="104"/>
      <c r="G59" s="104"/>
      <c r="H59" s="45"/>
      <c r="I59" s="45"/>
      <c r="J59" s="45"/>
      <c r="K59" s="45"/>
      <c r="L59" s="105"/>
      <c r="M59" s="105"/>
      <c r="N59" s="61"/>
      <c r="O59" s="57"/>
    </row>
    <row r="60" spans="1:15" x14ac:dyDescent="0.2">
      <c r="A60" s="106" t="s">
        <v>339</v>
      </c>
      <c r="B60" s="121" t="s">
        <v>46</v>
      </c>
      <c r="C60" s="105"/>
      <c r="D60" s="105"/>
      <c r="E60" s="105"/>
      <c r="F60" s="104"/>
      <c r="G60" s="104"/>
      <c r="H60" s="45"/>
      <c r="I60" s="45"/>
      <c r="J60" s="45"/>
      <c r="K60" s="45"/>
      <c r="L60" s="105"/>
      <c r="M60" s="105"/>
      <c r="N60" s="61"/>
      <c r="O60" s="57"/>
    </row>
    <row r="61" spans="1:15" x14ac:dyDescent="0.2">
      <c r="A61" s="108" t="s">
        <v>94</v>
      </c>
      <c r="B61" s="104" t="s">
        <v>227</v>
      </c>
      <c r="C61" s="105"/>
      <c r="D61" s="105"/>
      <c r="E61" s="105"/>
      <c r="F61" s="104"/>
      <c r="G61" s="104"/>
      <c r="H61" s="45"/>
      <c r="I61" s="45"/>
      <c r="J61" s="45"/>
      <c r="K61" s="45"/>
      <c r="L61" s="105"/>
      <c r="M61" s="105"/>
      <c r="N61" s="61"/>
      <c r="O61" s="57"/>
    </row>
    <row r="62" spans="1:15" x14ac:dyDescent="0.2">
      <c r="A62" s="108" t="s">
        <v>95</v>
      </c>
      <c r="B62" s="104" t="s">
        <v>227</v>
      </c>
      <c r="C62" s="105"/>
      <c r="D62" s="105"/>
      <c r="E62" s="105"/>
      <c r="F62" s="104"/>
      <c r="G62" s="104"/>
      <c r="H62" s="45"/>
      <c r="I62" s="45"/>
      <c r="J62" s="45"/>
      <c r="K62" s="45"/>
      <c r="L62" s="105"/>
      <c r="M62" s="105"/>
      <c r="N62" s="61"/>
      <c r="O62" s="57"/>
    </row>
    <row r="63" spans="1:15" x14ac:dyDescent="0.2">
      <c r="A63" s="108" t="s">
        <v>96</v>
      </c>
      <c r="B63" s="104"/>
      <c r="C63" s="105"/>
      <c r="D63" s="105"/>
      <c r="E63" s="105"/>
      <c r="F63" s="104"/>
      <c r="G63" s="104"/>
      <c r="H63" s="45"/>
      <c r="I63" s="45"/>
      <c r="J63" s="45"/>
      <c r="K63" s="45"/>
      <c r="L63" s="105"/>
      <c r="M63" s="105"/>
      <c r="N63" s="61"/>
      <c r="O63" s="57"/>
    </row>
    <row r="64" spans="1:15" x14ac:dyDescent="0.2">
      <c r="A64" s="112" t="s">
        <v>167</v>
      </c>
      <c r="B64" s="104">
        <v>20</v>
      </c>
      <c r="C64" s="105">
        <v>0</v>
      </c>
      <c r="D64" s="105">
        <v>0</v>
      </c>
      <c r="E64" s="105">
        <v>0</v>
      </c>
      <c r="F64" s="104">
        <v>1</v>
      </c>
      <c r="G64" s="104">
        <f t="shared" ref="G64:G70" si="14">B64*F64</f>
        <v>20</v>
      </c>
      <c r="H64" s="107">
        <v>0</v>
      </c>
      <c r="I64" s="45">
        <f t="shared" ref="I64:I69" si="15">G64*H64</f>
        <v>0</v>
      </c>
      <c r="J64" s="45">
        <f t="shared" ref="J64:J69" si="16">I64*0.1</f>
        <v>0</v>
      </c>
      <c r="K64" s="45">
        <f t="shared" ref="K64:K69" si="17">I64*0.05</f>
        <v>0</v>
      </c>
      <c r="L64" s="105">
        <f t="shared" ref="L64:L70" si="18">(I64*$P$7)+(J64*$P$8)+(K64*$P$6)</f>
        <v>0</v>
      </c>
      <c r="M64" s="105">
        <f t="shared" ref="M64:M69" si="19">(C64+D64+E64)*F64*H64</f>
        <v>0</v>
      </c>
      <c r="N64" s="61"/>
      <c r="O64" s="57"/>
    </row>
    <row r="65" spans="1:20" x14ac:dyDescent="0.2">
      <c r="A65" s="109" t="s">
        <v>35</v>
      </c>
      <c r="B65" s="104">
        <v>15</v>
      </c>
      <c r="C65" s="105">
        <v>0</v>
      </c>
      <c r="D65" s="105">
        <v>0</v>
      </c>
      <c r="E65" s="105">
        <v>0</v>
      </c>
      <c r="F65" s="104">
        <v>1</v>
      </c>
      <c r="G65" s="104">
        <f t="shared" si="14"/>
        <v>15</v>
      </c>
      <c r="H65" s="107">
        <v>0</v>
      </c>
      <c r="I65" s="45">
        <f t="shared" si="15"/>
        <v>0</v>
      </c>
      <c r="J65" s="45">
        <f t="shared" si="16"/>
        <v>0</v>
      </c>
      <c r="K65" s="45">
        <f t="shared" si="17"/>
        <v>0</v>
      </c>
      <c r="L65" s="105">
        <f t="shared" si="18"/>
        <v>0</v>
      </c>
      <c r="M65" s="105">
        <f t="shared" si="19"/>
        <v>0</v>
      </c>
      <c r="N65" s="61"/>
      <c r="O65" s="57"/>
    </row>
    <row r="66" spans="1:20" x14ac:dyDescent="0.2">
      <c r="A66" s="112" t="s">
        <v>168</v>
      </c>
      <c r="B66" s="104">
        <v>2</v>
      </c>
      <c r="C66" s="105">
        <v>0</v>
      </c>
      <c r="D66" s="105">
        <v>0</v>
      </c>
      <c r="E66" s="105">
        <v>0</v>
      </c>
      <c r="F66" s="104">
        <v>1</v>
      </c>
      <c r="G66" s="104">
        <f t="shared" si="14"/>
        <v>2</v>
      </c>
      <c r="H66" s="107">
        <v>0</v>
      </c>
      <c r="I66" s="45">
        <f t="shared" si="15"/>
        <v>0</v>
      </c>
      <c r="J66" s="45">
        <f t="shared" si="16"/>
        <v>0</v>
      </c>
      <c r="K66" s="45">
        <f t="shared" si="17"/>
        <v>0</v>
      </c>
      <c r="L66" s="105">
        <f t="shared" si="18"/>
        <v>0</v>
      </c>
      <c r="M66" s="105">
        <f t="shared" si="19"/>
        <v>0</v>
      </c>
      <c r="N66" s="61"/>
      <c r="O66" s="57"/>
    </row>
    <row r="67" spans="1:20" x14ac:dyDescent="0.2">
      <c r="A67" s="109" t="s">
        <v>169</v>
      </c>
      <c r="B67" s="104">
        <v>2</v>
      </c>
      <c r="C67" s="105">
        <v>0</v>
      </c>
      <c r="D67" s="105">
        <v>0</v>
      </c>
      <c r="E67" s="105">
        <v>0</v>
      </c>
      <c r="F67" s="104">
        <v>1</v>
      </c>
      <c r="G67" s="104">
        <f t="shared" si="14"/>
        <v>2</v>
      </c>
      <c r="H67" s="107">
        <v>0</v>
      </c>
      <c r="I67" s="45">
        <f t="shared" si="15"/>
        <v>0</v>
      </c>
      <c r="J67" s="45">
        <f t="shared" si="16"/>
        <v>0</v>
      </c>
      <c r="K67" s="45">
        <f t="shared" si="17"/>
        <v>0</v>
      </c>
      <c r="L67" s="105">
        <f t="shared" si="18"/>
        <v>0</v>
      </c>
      <c r="M67" s="105">
        <f t="shared" si="19"/>
        <v>0</v>
      </c>
      <c r="N67" s="61"/>
      <c r="O67" s="57"/>
    </row>
    <row r="68" spans="1:20" x14ac:dyDescent="0.2">
      <c r="A68" s="109" t="s">
        <v>170</v>
      </c>
      <c r="B68" s="104">
        <v>2</v>
      </c>
      <c r="C68" s="105">
        <v>0</v>
      </c>
      <c r="D68" s="105">
        <v>0</v>
      </c>
      <c r="E68" s="105">
        <v>0</v>
      </c>
      <c r="F68" s="104">
        <v>2</v>
      </c>
      <c r="G68" s="104">
        <f t="shared" si="14"/>
        <v>4</v>
      </c>
      <c r="H68" s="107">
        <v>0</v>
      </c>
      <c r="I68" s="45">
        <f t="shared" si="15"/>
        <v>0</v>
      </c>
      <c r="J68" s="45">
        <f t="shared" si="16"/>
        <v>0</v>
      </c>
      <c r="K68" s="45">
        <f t="shared" si="17"/>
        <v>0</v>
      </c>
      <c r="L68" s="105">
        <f t="shared" si="18"/>
        <v>0</v>
      </c>
      <c r="M68" s="105">
        <f t="shared" si="19"/>
        <v>0</v>
      </c>
      <c r="N68" s="61"/>
      <c r="O68" s="57"/>
    </row>
    <row r="69" spans="1:20" x14ac:dyDescent="0.2">
      <c r="A69" s="109" t="s">
        <v>171</v>
      </c>
      <c r="B69" s="104">
        <v>0.5</v>
      </c>
      <c r="C69" s="105">
        <v>0</v>
      </c>
      <c r="D69" s="105">
        <v>0</v>
      </c>
      <c r="E69" s="105">
        <v>0</v>
      </c>
      <c r="F69" s="104">
        <v>12</v>
      </c>
      <c r="G69" s="104">
        <f t="shared" si="14"/>
        <v>6</v>
      </c>
      <c r="H69" s="107">
        <v>0</v>
      </c>
      <c r="I69" s="45">
        <f t="shared" si="15"/>
        <v>0</v>
      </c>
      <c r="J69" s="45">
        <f t="shared" si="16"/>
        <v>0</v>
      </c>
      <c r="K69" s="45">
        <f t="shared" si="17"/>
        <v>0</v>
      </c>
      <c r="L69" s="105">
        <f t="shared" si="18"/>
        <v>0</v>
      </c>
      <c r="M69" s="105">
        <f t="shared" si="19"/>
        <v>0</v>
      </c>
      <c r="N69" s="61"/>
      <c r="O69" s="57"/>
    </row>
    <row r="70" spans="1:20" x14ac:dyDescent="0.2">
      <c r="A70" s="108" t="s">
        <v>97</v>
      </c>
      <c r="B70" s="104">
        <v>40</v>
      </c>
      <c r="C70" s="105">
        <v>0</v>
      </c>
      <c r="D70" s="105">
        <v>0</v>
      </c>
      <c r="E70" s="105">
        <v>0</v>
      </c>
      <c r="F70" s="104">
        <v>1</v>
      </c>
      <c r="G70" s="104">
        <f t="shared" si="14"/>
        <v>40</v>
      </c>
      <c r="H70" s="107">
        <v>0</v>
      </c>
      <c r="I70" s="45">
        <f>G70*H70</f>
        <v>0</v>
      </c>
      <c r="J70" s="45">
        <f>I70*0.1</f>
        <v>0</v>
      </c>
      <c r="K70" s="45">
        <f>I70*0.05</f>
        <v>0</v>
      </c>
      <c r="L70" s="105">
        <f t="shared" si="18"/>
        <v>0</v>
      </c>
      <c r="M70" s="105">
        <f>(C70+D70+E70)*F70*H70</f>
        <v>0</v>
      </c>
      <c r="N70" s="61"/>
      <c r="O70" s="57"/>
    </row>
    <row r="71" spans="1:20" x14ac:dyDescent="0.2">
      <c r="A71" s="108" t="s">
        <v>98</v>
      </c>
      <c r="B71" s="104" t="s">
        <v>227</v>
      </c>
      <c r="C71" s="105"/>
      <c r="D71" s="105"/>
      <c r="E71" s="105"/>
      <c r="F71" s="104"/>
      <c r="G71" s="104"/>
      <c r="H71" s="45"/>
      <c r="I71" s="45"/>
      <c r="J71" s="45"/>
      <c r="K71" s="45"/>
      <c r="L71" s="105"/>
      <c r="M71" s="105"/>
      <c r="N71" s="61"/>
      <c r="O71" s="57"/>
    </row>
    <row r="72" spans="1:20" s="72" customFormat="1" ht="13.5" x14ac:dyDescent="0.25">
      <c r="A72" s="122" t="s">
        <v>108</v>
      </c>
      <c r="B72" s="118"/>
      <c r="C72" s="119"/>
      <c r="D72" s="119"/>
      <c r="E72" s="119"/>
      <c r="F72" s="118"/>
      <c r="G72" s="118"/>
      <c r="H72" s="123"/>
      <c r="I72" s="237">
        <f>SUM(I64:K70)</f>
        <v>0</v>
      </c>
      <c r="J72" s="237"/>
      <c r="K72" s="237"/>
      <c r="L72" s="120">
        <f>SUM(L60:L71)</f>
        <v>0</v>
      </c>
      <c r="M72" s="120">
        <f>SUM(M60:M71)</f>
        <v>0</v>
      </c>
      <c r="N72" s="68"/>
    </row>
    <row r="73" spans="1:20" s="72" customFormat="1" x14ac:dyDescent="0.2">
      <c r="A73" s="56" t="s">
        <v>220</v>
      </c>
      <c r="B73" s="118"/>
      <c r="C73" s="119"/>
      <c r="D73" s="119"/>
      <c r="E73" s="119"/>
      <c r="F73" s="118"/>
      <c r="G73" s="118"/>
      <c r="H73" s="123"/>
      <c r="I73" s="238">
        <f>I58+I72</f>
        <v>0</v>
      </c>
      <c r="J73" s="238"/>
      <c r="K73" s="238"/>
      <c r="L73" s="119">
        <f>L58+L72</f>
        <v>0</v>
      </c>
      <c r="M73" s="124"/>
      <c r="N73" s="68"/>
    </row>
    <row r="74" spans="1:20" s="72" customFormat="1" x14ac:dyDescent="0.2">
      <c r="A74" s="56" t="s">
        <v>221</v>
      </c>
      <c r="B74" s="118"/>
      <c r="C74" s="119"/>
      <c r="D74" s="119"/>
      <c r="E74" s="119"/>
      <c r="F74" s="118"/>
      <c r="G74" s="118"/>
      <c r="H74" s="123"/>
      <c r="I74" s="123"/>
      <c r="J74" s="123"/>
      <c r="K74" s="123"/>
      <c r="L74" s="119"/>
      <c r="M74" s="119">
        <f>M58+M72</f>
        <v>0</v>
      </c>
      <c r="N74" s="68"/>
    </row>
    <row r="75" spans="1:20" s="72" customFormat="1" x14ac:dyDescent="0.2">
      <c r="A75" s="56" t="s">
        <v>222</v>
      </c>
      <c r="B75" s="118"/>
      <c r="C75" s="119"/>
      <c r="D75" s="119"/>
      <c r="E75" s="119"/>
      <c r="F75" s="118"/>
      <c r="G75" s="118"/>
      <c r="H75" s="123"/>
      <c r="I75" s="123"/>
      <c r="J75" s="123"/>
      <c r="K75" s="123"/>
      <c r="L75" s="119"/>
      <c r="M75" s="119">
        <f>ROUND(L73+M74,-3)</f>
        <v>0</v>
      </c>
      <c r="N75" s="68"/>
    </row>
    <row r="76" spans="1:20" s="72" customFormat="1" ht="13.5" x14ac:dyDescent="0.25">
      <c r="A76" s="74"/>
      <c r="B76" s="67"/>
      <c r="C76" s="68"/>
      <c r="D76" s="68"/>
      <c r="E76" s="68"/>
      <c r="F76" s="67"/>
      <c r="G76" s="67"/>
      <c r="H76" s="69"/>
      <c r="I76" s="69"/>
      <c r="J76" s="69"/>
      <c r="K76" s="69"/>
      <c r="L76" s="68"/>
      <c r="M76" s="68"/>
      <c r="N76" s="69"/>
      <c r="O76" s="67"/>
      <c r="P76" s="68"/>
    </row>
    <row r="77" spans="1:20" s="72" customFormat="1" x14ac:dyDescent="0.2">
      <c r="A77" s="75" t="s">
        <v>109</v>
      </c>
      <c r="B77" s="67"/>
      <c r="C77" s="68"/>
      <c r="D77" s="68"/>
      <c r="E77" s="68"/>
      <c r="F77" s="67"/>
      <c r="G77" s="67"/>
      <c r="H77" s="69"/>
      <c r="I77" s="69"/>
      <c r="J77" s="69"/>
      <c r="K77" s="69"/>
      <c r="L77" s="68"/>
      <c r="M77" s="68"/>
      <c r="N77" s="69"/>
      <c r="O77" s="67"/>
      <c r="P77" s="68"/>
    </row>
    <row r="78" spans="1:20" ht="30.75" customHeight="1" x14ac:dyDescent="0.2">
      <c r="A78" s="234" t="s">
        <v>219</v>
      </c>
      <c r="B78" s="234"/>
      <c r="C78" s="234"/>
      <c r="D78" s="234"/>
      <c r="E78" s="234"/>
      <c r="F78" s="234"/>
      <c r="G78" s="234"/>
      <c r="H78" s="234"/>
      <c r="I78" s="234"/>
      <c r="J78" s="234"/>
      <c r="K78" s="234"/>
      <c r="L78" s="234"/>
      <c r="M78" s="234"/>
      <c r="N78" s="99"/>
    </row>
    <row r="79" spans="1:20" ht="29.25" customHeight="1" x14ac:dyDescent="0.2">
      <c r="A79" s="234" t="s">
        <v>202</v>
      </c>
      <c r="B79" s="234"/>
      <c r="C79" s="234"/>
      <c r="D79" s="234"/>
      <c r="E79" s="234"/>
      <c r="F79" s="234"/>
      <c r="G79" s="234"/>
      <c r="H79" s="234"/>
      <c r="I79" s="234"/>
      <c r="J79" s="234"/>
      <c r="K79" s="234"/>
      <c r="L79" s="234"/>
      <c r="M79" s="234"/>
      <c r="N79" s="99"/>
      <c r="T79" s="98"/>
    </row>
  </sheetData>
  <mergeCells count="7">
    <mergeCell ref="A79:M79"/>
    <mergeCell ref="A1:M1"/>
    <mergeCell ref="O5:P5"/>
    <mergeCell ref="I58:K58"/>
    <mergeCell ref="I72:K72"/>
    <mergeCell ref="I73:K73"/>
    <mergeCell ref="A78:M78"/>
  </mergeCells>
  <pageMargins left="0.25" right="0.25" top="0.5" bottom="0.5" header="0.5" footer="0.5"/>
  <pageSetup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95F9A-C06D-4FDA-BFDE-195581C60B70}">
  <sheetPr>
    <pageSetUpPr fitToPage="1"/>
  </sheetPr>
  <dimension ref="A1:T87"/>
  <sheetViews>
    <sheetView zoomScale="85" zoomScaleNormal="85" workbookViewId="0">
      <selection activeCell="M4" sqref="M4"/>
    </sheetView>
  </sheetViews>
  <sheetFormatPr defaultColWidth="9.140625" defaultRowHeight="12.75" x14ac:dyDescent="0.2"/>
  <cols>
    <col min="1" max="1" width="47.85546875" style="57" customWidth="1"/>
    <col min="2" max="7" width="13.28515625" style="77" customWidth="1"/>
    <col min="8" max="8" width="13.28515625" style="78" customWidth="1"/>
    <col min="9" max="12" width="13.28515625" style="77" customWidth="1"/>
    <col min="13" max="13" width="13.28515625" style="79" customWidth="1"/>
    <col min="14" max="14" width="3.140625" style="79" customWidth="1"/>
    <col min="15" max="15" width="11.28515625" style="77" bestFit="1" customWidth="1"/>
    <col min="16" max="16" width="11.28515625" style="57" customWidth="1"/>
    <col min="17" max="17" width="11.28515625" style="57" bestFit="1" customWidth="1"/>
    <col min="18" max="18" width="7.7109375" style="57" bestFit="1" customWidth="1"/>
    <col min="19" max="19" width="31.7109375" style="57" customWidth="1"/>
    <col min="20" max="20" width="9.140625" style="57" customWidth="1"/>
    <col min="21" max="21" width="25" style="57" customWidth="1"/>
    <col min="22" max="16384" width="9.140625" style="57"/>
  </cols>
  <sheetData>
    <row r="1" spans="1:17" ht="26.25" customHeight="1" x14ac:dyDescent="0.2">
      <c r="A1" s="240" t="s">
        <v>210</v>
      </c>
      <c r="B1" s="240"/>
      <c r="C1" s="240"/>
      <c r="D1" s="240"/>
      <c r="E1" s="240"/>
      <c r="F1" s="240"/>
      <c r="G1" s="240"/>
      <c r="H1" s="240"/>
      <c r="I1" s="240"/>
      <c r="J1" s="240"/>
      <c r="K1" s="240"/>
      <c r="L1" s="240"/>
      <c r="M1" s="240"/>
      <c r="N1" s="125"/>
      <c r="O1" s="125"/>
    </row>
    <row r="2" spans="1:17" x14ac:dyDescent="0.2">
      <c r="A2" s="83" t="s">
        <v>82</v>
      </c>
      <c r="B2" s="83"/>
      <c r="C2" s="83"/>
      <c r="D2" s="83"/>
      <c r="E2" s="83"/>
      <c r="F2" s="83"/>
      <c r="G2" s="83"/>
      <c r="H2" s="83"/>
      <c r="I2" s="83"/>
      <c r="J2" s="83"/>
      <c r="K2" s="83"/>
      <c r="L2" s="83"/>
      <c r="M2" s="83"/>
      <c r="N2" s="83"/>
      <c r="O2" s="83"/>
    </row>
    <row r="3" spans="1:17" x14ac:dyDescent="0.2">
      <c r="A3" s="83"/>
      <c r="B3" s="83"/>
      <c r="C3" s="83"/>
      <c r="D3" s="83"/>
      <c r="E3" s="83"/>
      <c r="F3" s="83"/>
      <c r="G3" s="83"/>
      <c r="H3" s="83"/>
      <c r="I3" s="83"/>
      <c r="J3" s="83"/>
      <c r="K3" s="83"/>
      <c r="L3" s="83"/>
      <c r="M3" s="83"/>
      <c r="N3" s="83"/>
      <c r="O3" s="83"/>
    </row>
    <row r="4" spans="1:17" s="60" customFormat="1" ht="76.5" x14ac:dyDescent="0.2">
      <c r="A4" s="100" t="s">
        <v>38</v>
      </c>
      <c r="B4" s="100" t="s">
        <v>253</v>
      </c>
      <c r="C4" s="100" t="s">
        <v>130</v>
      </c>
      <c r="D4" s="100" t="s">
        <v>124</v>
      </c>
      <c r="E4" s="100" t="s">
        <v>125</v>
      </c>
      <c r="F4" s="100" t="s">
        <v>129</v>
      </c>
      <c r="G4" s="100" t="s">
        <v>254</v>
      </c>
      <c r="H4" s="101" t="s">
        <v>255</v>
      </c>
      <c r="I4" s="102" t="s">
        <v>256</v>
      </c>
      <c r="J4" s="102" t="s">
        <v>257</v>
      </c>
      <c r="K4" s="102" t="s">
        <v>258</v>
      </c>
      <c r="L4" s="100" t="s">
        <v>259</v>
      </c>
      <c r="M4" s="102" t="s">
        <v>337</v>
      </c>
      <c r="N4" s="44"/>
    </row>
    <row r="5" spans="1:17" x14ac:dyDescent="0.2">
      <c r="A5" s="103" t="s">
        <v>39</v>
      </c>
      <c r="B5" s="104" t="s">
        <v>227</v>
      </c>
      <c r="C5" s="105"/>
      <c r="D5" s="105"/>
      <c r="E5" s="105"/>
      <c r="F5" s="104"/>
      <c r="G5" s="104"/>
      <c r="H5" s="45"/>
      <c r="I5" s="45"/>
      <c r="J5" s="45"/>
      <c r="K5" s="45"/>
      <c r="L5" s="105"/>
      <c r="M5" s="105"/>
      <c r="N5" s="61"/>
      <c r="O5" s="236" t="s">
        <v>122</v>
      </c>
      <c r="P5" s="236"/>
    </row>
    <row r="6" spans="1:17" x14ac:dyDescent="0.2">
      <c r="A6" s="103" t="s">
        <v>40</v>
      </c>
      <c r="B6" s="104" t="s">
        <v>227</v>
      </c>
      <c r="C6" s="105"/>
      <c r="D6" s="105"/>
      <c r="E6" s="105"/>
      <c r="F6" s="104"/>
      <c r="G6" s="104"/>
      <c r="H6" s="45"/>
      <c r="I6" s="45"/>
      <c r="J6" s="45"/>
      <c r="K6" s="45"/>
      <c r="L6" s="105"/>
      <c r="M6" s="105"/>
      <c r="N6" s="61"/>
      <c r="O6" s="46" t="s">
        <v>123</v>
      </c>
      <c r="P6" s="188">
        <v>141.06</v>
      </c>
    </row>
    <row r="7" spans="1:17" x14ac:dyDescent="0.2">
      <c r="A7" s="103" t="s">
        <v>41</v>
      </c>
      <c r="B7" s="104"/>
      <c r="C7" s="105"/>
      <c r="D7" s="105"/>
      <c r="E7" s="105"/>
      <c r="F7" s="104"/>
      <c r="G7" s="104"/>
      <c r="H7" s="45"/>
      <c r="I7" s="45"/>
      <c r="J7" s="45"/>
      <c r="K7" s="45"/>
      <c r="L7" s="105"/>
      <c r="M7" s="105"/>
      <c r="N7" s="61"/>
      <c r="O7" s="46" t="s">
        <v>51</v>
      </c>
      <c r="P7" s="188">
        <v>120.27</v>
      </c>
    </row>
    <row r="8" spans="1:17" x14ac:dyDescent="0.2">
      <c r="A8" s="106" t="s">
        <v>339</v>
      </c>
      <c r="B8" s="104">
        <v>10</v>
      </c>
      <c r="C8" s="105">
        <v>0</v>
      </c>
      <c r="D8" s="105">
        <v>0</v>
      </c>
      <c r="E8" s="105">
        <v>0</v>
      </c>
      <c r="F8" s="104">
        <v>1</v>
      </c>
      <c r="G8" s="104">
        <f>B8*F8</f>
        <v>10</v>
      </c>
      <c r="H8" s="107">
        <v>0</v>
      </c>
      <c r="I8" s="45">
        <f>G8*H8</f>
        <v>0</v>
      </c>
      <c r="J8" s="45">
        <f>I8*0.1</f>
        <v>0</v>
      </c>
      <c r="K8" s="107">
        <f>I8*0.05</f>
        <v>0</v>
      </c>
      <c r="L8" s="105">
        <f>(I8*$P$7)+(J8*$P$8)+(K8*$P$6)</f>
        <v>0</v>
      </c>
      <c r="M8" s="105">
        <f>(C8+D8+E8)*F8*H8</f>
        <v>0</v>
      </c>
      <c r="N8" s="61"/>
      <c r="O8" s="46" t="s">
        <v>52</v>
      </c>
      <c r="P8" s="188">
        <v>58.67</v>
      </c>
    </row>
    <row r="9" spans="1:17" x14ac:dyDescent="0.2">
      <c r="A9" s="108" t="s">
        <v>90</v>
      </c>
      <c r="B9" s="104"/>
      <c r="C9" s="105"/>
      <c r="D9" s="105"/>
      <c r="E9" s="105"/>
      <c r="F9" s="104"/>
      <c r="G9" s="104"/>
      <c r="H9" s="45"/>
      <c r="I9" s="45"/>
      <c r="J9" s="45"/>
      <c r="K9" s="45"/>
      <c r="L9" s="105"/>
      <c r="M9" s="105"/>
      <c r="N9" s="61"/>
      <c r="O9" s="57"/>
      <c r="Q9" s="64"/>
    </row>
    <row r="10" spans="1:17" ht="15.75" x14ac:dyDescent="0.2">
      <c r="A10" s="109" t="s">
        <v>274</v>
      </c>
      <c r="B10" s="104"/>
      <c r="C10" s="110"/>
      <c r="D10" s="105"/>
      <c r="E10" s="105"/>
      <c r="F10" s="104"/>
      <c r="G10" s="104"/>
      <c r="H10" s="107"/>
      <c r="I10" s="45"/>
      <c r="J10" s="45"/>
      <c r="K10" s="45"/>
      <c r="L10" s="105"/>
      <c r="M10" s="105"/>
      <c r="N10" s="61"/>
      <c r="O10" s="57"/>
    </row>
    <row r="11" spans="1:17" x14ac:dyDescent="0.2">
      <c r="A11" s="111" t="s">
        <v>104</v>
      </c>
      <c r="B11" s="104">
        <v>20</v>
      </c>
      <c r="C11" s="105">
        <v>854</v>
      </c>
      <c r="D11" s="105">
        <v>0</v>
      </c>
      <c r="E11" s="105">
        <v>0</v>
      </c>
      <c r="F11" s="104">
        <v>1</v>
      </c>
      <c r="G11" s="104">
        <f t="shared" ref="G11:G24" si="0">B11*F11</f>
        <v>20</v>
      </c>
      <c r="H11" s="107">
        <v>0</v>
      </c>
      <c r="I11" s="45">
        <f>G11*H11</f>
        <v>0</v>
      </c>
      <c r="J11" s="45">
        <f>I11*0.1</f>
        <v>0</v>
      </c>
      <c r="K11" s="45">
        <f>I11*0.05</f>
        <v>0</v>
      </c>
      <c r="L11" s="105">
        <f t="shared" ref="L11:L24" si="1">(I11*$P$7)+(J11*$P$8)+(K11*$P$6)</f>
        <v>0</v>
      </c>
      <c r="M11" s="105">
        <f>(C11+D11+E11)*F11*H11</f>
        <v>0</v>
      </c>
      <c r="N11" s="61"/>
      <c r="O11" s="57"/>
    </row>
    <row r="12" spans="1:17" x14ac:dyDescent="0.2">
      <c r="A12" s="111" t="s">
        <v>105</v>
      </c>
      <c r="B12" s="104">
        <v>20</v>
      </c>
      <c r="C12" s="105">
        <v>18292</v>
      </c>
      <c r="D12" s="105">
        <v>0</v>
      </c>
      <c r="E12" s="105">
        <v>0</v>
      </c>
      <c r="F12" s="104">
        <v>1</v>
      </c>
      <c r="G12" s="104">
        <f t="shared" si="0"/>
        <v>20</v>
      </c>
      <c r="H12" s="107">
        <v>0</v>
      </c>
      <c r="I12" s="45">
        <f>G12*H12</f>
        <v>0</v>
      </c>
      <c r="J12" s="45">
        <f>I12*0.1</f>
        <v>0</v>
      </c>
      <c r="K12" s="45">
        <f>I12*0.05</f>
        <v>0</v>
      </c>
      <c r="L12" s="105">
        <f t="shared" si="1"/>
        <v>0</v>
      </c>
      <c r="M12" s="105">
        <f>(C12+D12+E12)*F12*H12</f>
        <v>0</v>
      </c>
      <c r="N12" s="61"/>
      <c r="O12" s="57"/>
    </row>
    <row r="13" spans="1:17" ht="15.75" x14ac:dyDescent="0.2">
      <c r="A13" s="109" t="s">
        <v>275</v>
      </c>
      <c r="B13" s="104">
        <v>12</v>
      </c>
      <c r="C13" s="105">
        <v>0</v>
      </c>
      <c r="D13" s="105">
        <v>5000</v>
      </c>
      <c r="E13" s="105">
        <v>0</v>
      </c>
      <c r="F13" s="104">
        <v>1</v>
      </c>
      <c r="G13" s="104">
        <f t="shared" si="0"/>
        <v>12</v>
      </c>
      <c r="H13" s="107">
        <v>0</v>
      </c>
      <c r="I13" s="45">
        <f t="shared" ref="I13:I23" si="2">G13*H13</f>
        <v>0</v>
      </c>
      <c r="J13" s="45">
        <f t="shared" ref="J13:J23" si="3">I13*0.1</f>
        <v>0</v>
      </c>
      <c r="K13" s="45">
        <f t="shared" ref="K13:K23" si="4">I13*0.05</f>
        <v>0</v>
      </c>
      <c r="L13" s="105">
        <f t="shared" si="1"/>
        <v>0</v>
      </c>
      <c r="M13" s="105">
        <f t="shared" ref="M13:M24" si="5">(C13+D13+E13)*F13*H13</f>
        <v>0</v>
      </c>
      <c r="N13" s="61"/>
      <c r="O13" s="57"/>
    </row>
    <row r="14" spans="1:17" ht="15.75" x14ac:dyDescent="0.2">
      <c r="A14" s="109" t="s">
        <v>276</v>
      </c>
      <c r="B14" s="104">
        <v>12</v>
      </c>
      <c r="C14" s="105">
        <v>0</v>
      </c>
      <c r="D14" s="105">
        <v>8000</v>
      </c>
      <c r="E14" s="105">
        <v>0</v>
      </c>
      <c r="F14" s="104">
        <v>1</v>
      </c>
      <c r="G14" s="104">
        <f t="shared" si="0"/>
        <v>12</v>
      </c>
      <c r="H14" s="107">
        <v>0</v>
      </c>
      <c r="I14" s="45">
        <f t="shared" si="2"/>
        <v>0</v>
      </c>
      <c r="J14" s="45">
        <f t="shared" si="3"/>
        <v>0</v>
      </c>
      <c r="K14" s="45">
        <f t="shared" si="4"/>
        <v>0</v>
      </c>
      <c r="L14" s="105">
        <f t="shared" si="1"/>
        <v>0</v>
      </c>
      <c r="M14" s="105">
        <f t="shared" si="5"/>
        <v>0</v>
      </c>
      <c r="N14" s="61"/>
      <c r="O14" s="57"/>
    </row>
    <row r="15" spans="1:17" ht="15.75" x14ac:dyDescent="0.2">
      <c r="A15" s="109" t="s">
        <v>277</v>
      </c>
      <c r="B15" s="104">
        <v>12</v>
      </c>
      <c r="C15" s="105">
        <v>0</v>
      </c>
      <c r="D15" s="105">
        <v>8000</v>
      </c>
      <c r="E15" s="105">
        <v>0</v>
      </c>
      <c r="F15" s="104">
        <v>1</v>
      </c>
      <c r="G15" s="104">
        <f t="shared" si="0"/>
        <v>12</v>
      </c>
      <c r="H15" s="107">
        <v>0</v>
      </c>
      <c r="I15" s="45">
        <f t="shared" si="2"/>
        <v>0</v>
      </c>
      <c r="J15" s="45">
        <f t="shared" si="3"/>
        <v>0</v>
      </c>
      <c r="K15" s="45">
        <f t="shared" si="4"/>
        <v>0</v>
      </c>
      <c r="L15" s="105">
        <f t="shared" si="1"/>
        <v>0</v>
      </c>
      <c r="M15" s="105">
        <f t="shared" si="5"/>
        <v>0</v>
      </c>
      <c r="N15" s="61"/>
      <c r="O15" s="57"/>
    </row>
    <row r="16" spans="1:17" ht="15.75" x14ac:dyDescent="0.2">
      <c r="A16" s="109" t="s">
        <v>278</v>
      </c>
      <c r="B16" s="104">
        <v>12</v>
      </c>
      <c r="C16" s="105">
        <v>0</v>
      </c>
      <c r="D16" s="105">
        <v>7000</v>
      </c>
      <c r="E16" s="105">
        <v>0</v>
      </c>
      <c r="F16" s="104">
        <v>1</v>
      </c>
      <c r="G16" s="104">
        <f t="shared" si="0"/>
        <v>12</v>
      </c>
      <c r="H16" s="107">
        <v>0</v>
      </c>
      <c r="I16" s="45">
        <f t="shared" si="2"/>
        <v>0</v>
      </c>
      <c r="J16" s="45">
        <f t="shared" si="3"/>
        <v>0</v>
      </c>
      <c r="K16" s="45">
        <f t="shared" si="4"/>
        <v>0</v>
      </c>
      <c r="L16" s="105">
        <f t="shared" si="1"/>
        <v>0</v>
      </c>
      <c r="M16" s="105">
        <f t="shared" si="5"/>
        <v>0</v>
      </c>
      <c r="N16" s="61"/>
      <c r="O16" s="57"/>
    </row>
    <row r="17" spans="1:15" ht="15.75" x14ac:dyDescent="0.2">
      <c r="A17" s="109" t="s">
        <v>279</v>
      </c>
      <c r="B17" s="104">
        <v>12</v>
      </c>
      <c r="C17" s="105">
        <v>0</v>
      </c>
      <c r="D17" s="105">
        <v>5000</v>
      </c>
      <c r="E17" s="105">
        <v>0</v>
      </c>
      <c r="F17" s="104">
        <v>1</v>
      </c>
      <c r="G17" s="104">
        <f t="shared" si="0"/>
        <v>12</v>
      </c>
      <c r="H17" s="107">
        <v>0</v>
      </c>
      <c r="I17" s="45">
        <f t="shared" si="2"/>
        <v>0</v>
      </c>
      <c r="J17" s="45">
        <f t="shared" si="3"/>
        <v>0</v>
      </c>
      <c r="K17" s="45">
        <f t="shared" si="4"/>
        <v>0</v>
      </c>
      <c r="L17" s="105">
        <f t="shared" si="1"/>
        <v>0</v>
      </c>
      <c r="M17" s="105">
        <f t="shared" si="5"/>
        <v>0</v>
      </c>
      <c r="N17" s="61"/>
      <c r="O17" s="57"/>
    </row>
    <row r="18" spans="1:15" ht="15.75" x14ac:dyDescent="0.2">
      <c r="A18" s="109" t="s">
        <v>280</v>
      </c>
      <c r="B18" s="104">
        <v>12</v>
      </c>
      <c r="C18" s="105">
        <v>0</v>
      </c>
      <c r="D18" s="105">
        <v>8000</v>
      </c>
      <c r="E18" s="105">
        <v>0</v>
      </c>
      <c r="F18" s="104">
        <v>1</v>
      </c>
      <c r="G18" s="104">
        <f t="shared" si="0"/>
        <v>12</v>
      </c>
      <c r="H18" s="107">
        <v>0</v>
      </c>
      <c r="I18" s="45">
        <f t="shared" si="2"/>
        <v>0</v>
      </c>
      <c r="J18" s="45">
        <f t="shared" si="3"/>
        <v>0</v>
      </c>
      <c r="K18" s="45">
        <f t="shared" si="4"/>
        <v>0</v>
      </c>
      <c r="L18" s="105">
        <f t="shared" si="1"/>
        <v>0</v>
      </c>
      <c r="M18" s="105">
        <f t="shared" si="5"/>
        <v>0</v>
      </c>
      <c r="N18" s="61"/>
      <c r="O18" s="57"/>
    </row>
    <row r="19" spans="1:15" ht="15.75" x14ac:dyDescent="0.2">
      <c r="A19" s="109" t="s">
        <v>281</v>
      </c>
      <c r="B19" s="104">
        <v>12</v>
      </c>
      <c r="C19" s="105">
        <v>0</v>
      </c>
      <c r="D19" s="105">
        <v>8000</v>
      </c>
      <c r="E19" s="105">
        <v>0</v>
      </c>
      <c r="F19" s="104">
        <v>1</v>
      </c>
      <c r="G19" s="104">
        <f t="shared" si="0"/>
        <v>12</v>
      </c>
      <c r="H19" s="107">
        <v>0</v>
      </c>
      <c r="I19" s="45">
        <f t="shared" si="2"/>
        <v>0</v>
      </c>
      <c r="J19" s="45">
        <f t="shared" si="3"/>
        <v>0</v>
      </c>
      <c r="K19" s="45">
        <f t="shared" si="4"/>
        <v>0</v>
      </c>
      <c r="L19" s="105">
        <f t="shared" si="1"/>
        <v>0</v>
      </c>
      <c r="M19" s="105">
        <f t="shared" si="5"/>
        <v>0</v>
      </c>
      <c r="N19" s="61"/>
      <c r="O19" s="57"/>
    </row>
    <row r="20" spans="1:15" ht="15.75" x14ac:dyDescent="0.2">
      <c r="A20" s="109" t="s">
        <v>282</v>
      </c>
      <c r="B20" s="104">
        <v>12</v>
      </c>
      <c r="C20" s="105">
        <v>0</v>
      </c>
      <c r="D20" s="105">
        <v>7000</v>
      </c>
      <c r="E20" s="105">
        <v>0</v>
      </c>
      <c r="F20" s="104">
        <v>1</v>
      </c>
      <c r="G20" s="104">
        <f t="shared" si="0"/>
        <v>12</v>
      </c>
      <c r="H20" s="107">
        <v>0</v>
      </c>
      <c r="I20" s="45">
        <f t="shared" si="2"/>
        <v>0</v>
      </c>
      <c r="J20" s="45">
        <f t="shared" si="3"/>
        <v>0</v>
      </c>
      <c r="K20" s="45">
        <f t="shared" si="4"/>
        <v>0</v>
      </c>
      <c r="L20" s="105">
        <f t="shared" si="1"/>
        <v>0</v>
      </c>
      <c r="M20" s="105">
        <f t="shared" si="5"/>
        <v>0</v>
      </c>
      <c r="N20" s="61"/>
      <c r="O20" s="57"/>
    </row>
    <row r="21" spans="1:15" ht="28.5" x14ac:dyDescent="0.2">
      <c r="A21" s="109" t="s">
        <v>283</v>
      </c>
      <c r="B21" s="104">
        <v>24</v>
      </c>
      <c r="C21" s="105">
        <v>0</v>
      </c>
      <c r="D21" s="105">
        <f>$D$14+$D$15</f>
        <v>16000</v>
      </c>
      <c r="E21" s="105">
        <v>0</v>
      </c>
      <c r="F21" s="104">
        <v>1</v>
      </c>
      <c r="G21" s="104">
        <f t="shared" si="0"/>
        <v>24</v>
      </c>
      <c r="H21" s="107">
        <v>0</v>
      </c>
      <c r="I21" s="45">
        <f>G21*H21</f>
        <v>0</v>
      </c>
      <c r="J21" s="45">
        <f>I21*0.1</f>
        <v>0</v>
      </c>
      <c r="K21" s="45">
        <f>I21*0.05</f>
        <v>0</v>
      </c>
      <c r="L21" s="105">
        <f t="shared" si="1"/>
        <v>0</v>
      </c>
      <c r="M21" s="105">
        <f>(C21+D21+E21)*F21*H21</f>
        <v>0</v>
      </c>
      <c r="N21" s="61"/>
      <c r="O21" s="57"/>
    </row>
    <row r="22" spans="1:15" ht="28.5" x14ac:dyDescent="0.2">
      <c r="A22" s="109" t="s">
        <v>284</v>
      </c>
      <c r="B22" s="104">
        <v>5</v>
      </c>
      <c r="C22" s="105">
        <v>0</v>
      </c>
      <c r="D22" s="105">
        <v>400</v>
      </c>
      <c r="E22" s="105">
        <v>0</v>
      </c>
      <c r="F22" s="104">
        <v>1</v>
      </c>
      <c r="G22" s="104">
        <f t="shared" si="0"/>
        <v>5</v>
      </c>
      <c r="H22" s="107">
        <v>0</v>
      </c>
      <c r="I22" s="45">
        <f t="shared" si="2"/>
        <v>0</v>
      </c>
      <c r="J22" s="45">
        <f t="shared" si="3"/>
        <v>0</v>
      </c>
      <c r="K22" s="45">
        <f t="shared" si="4"/>
        <v>0</v>
      </c>
      <c r="L22" s="105">
        <f t="shared" si="1"/>
        <v>0</v>
      </c>
      <c r="M22" s="105">
        <f t="shared" si="5"/>
        <v>0</v>
      </c>
      <c r="N22" s="61"/>
      <c r="O22" s="57"/>
    </row>
    <row r="23" spans="1:15" ht="28.5" x14ac:dyDescent="0.2">
      <c r="A23" s="109" t="s">
        <v>285</v>
      </c>
      <c r="B23" s="104">
        <v>5</v>
      </c>
      <c r="C23" s="105">
        <v>0</v>
      </c>
      <c r="D23" s="105">
        <v>400</v>
      </c>
      <c r="E23" s="105">
        <v>0</v>
      </c>
      <c r="F23" s="104">
        <v>12</v>
      </c>
      <c r="G23" s="104">
        <f t="shared" si="0"/>
        <v>60</v>
      </c>
      <c r="H23" s="107">
        <v>0</v>
      </c>
      <c r="I23" s="45">
        <f t="shared" si="2"/>
        <v>0</v>
      </c>
      <c r="J23" s="45">
        <f t="shared" si="3"/>
        <v>0</v>
      </c>
      <c r="K23" s="45">
        <f t="shared" si="4"/>
        <v>0</v>
      </c>
      <c r="L23" s="105">
        <f t="shared" si="1"/>
        <v>0</v>
      </c>
      <c r="M23" s="105">
        <f t="shared" si="5"/>
        <v>0</v>
      </c>
      <c r="N23" s="61"/>
      <c r="O23" s="57"/>
    </row>
    <row r="24" spans="1:15" ht="15.75" x14ac:dyDescent="0.2">
      <c r="A24" s="112" t="s">
        <v>286</v>
      </c>
      <c r="B24" s="104">
        <v>12</v>
      </c>
      <c r="C24" s="105">
        <v>0</v>
      </c>
      <c r="D24" s="105">
        <v>2875</v>
      </c>
      <c r="E24" s="105">
        <v>0</v>
      </c>
      <c r="F24" s="104">
        <v>1</v>
      </c>
      <c r="G24" s="104">
        <f t="shared" si="0"/>
        <v>12</v>
      </c>
      <c r="H24" s="107">
        <v>0</v>
      </c>
      <c r="I24" s="107">
        <f>G24*H24</f>
        <v>0</v>
      </c>
      <c r="J24" s="107">
        <f>I24*0.1</f>
        <v>0</v>
      </c>
      <c r="K24" s="107">
        <f>I24*0.05</f>
        <v>0</v>
      </c>
      <c r="L24" s="105">
        <f t="shared" si="1"/>
        <v>0</v>
      </c>
      <c r="M24" s="105">
        <f t="shared" si="5"/>
        <v>0</v>
      </c>
      <c r="N24" s="61"/>
      <c r="O24" s="57"/>
    </row>
    <row r="25" spans="1:15" x14ac:dyDescent="0.2">
      <c r="A25" s="109" t="s">
        <v>166</v>
      </c>
      <c r="B25" s="104"/>
      <c r="C25" s="105"/>
      <c r="D25" s="105"/>
      <c r="E25" s="105"/>
      <c r="F25" s="104"/>
      <c r="G25" s="104"/>
      <c r="H25" s="45"/>
      <c r="I25" s="45"/>
      <c r="J25" s="45"/>
      <c r="K25" s="45"/>
      <c r="L25" s="105"/>
      <c r="M25" s="105"/>
      <c r="N25" s="61"/>
      <c r="O25" s="57"/>
    </row>
    <row r="26" spans="1:15" ht="15.75" x14ac:dyDescent="0.2">
      <c r="A26" s="113" t="s">
        <v>272</v>
      </c>
      <c r="B26" s="104">
        <v>40</v>
      </c>
      <c r="C26" s="105">
        <v>0</v>
      </c>
      <c r="D26" s="105"/>
      <c r="E26" s="105">
        <v>0</v>
      </c>
      <c r="F26" s="104">
        <v>1</v>
      </c>
      <c r="G26" s="104">
        <f>B26*F26</f>
        <v>40</v>
      </c>
      <c r="H26" s="107">
        <f>'2019 Changes'!B3</f>
        <v>25</v>
      </c>
      <c r="I26" s="45">
        <f>G26*H26</f>
        <v>1000</v>
      </c>
      <c r="J26" s="45">
        <f>I26*0.1</f>
        <v>100</v>
      </c>
      <c r="K26" s="45">
        <f>I26*0.05</f>
        <v>50</v>
      </c>
      <c r="L26" s="105">
        <f>(I26*$P$7)+(J26*$P$8)+(K26*$P$6)</f>
        <v>133190</v>
      </c>
      <c r="M26" s="105">
        <f>(C26+D26+E26)*F26*H26</f>
        <v>0</v>
      </c>
      <c r="N26" s="61"/>
      <c r="O26" s="57"/>
    </row>
    <row r="27" spans="1:15" ht="15.75" x14ac:dyDescent="0.2">
      <c r="A27" s="114" t="s">
        <v>271</v>
      </c>
      <c r="B27" s="104"/>
      <c r="C27" s="105"/>
      <c r="D27" s="105"/>
      <c r="E27" s="105"/>
      <c r="F27" s="104"/>
      <c r="G27" s="104"/>
      <c r="H27" s="45"/>
      <c r="I27" s="45"/>
      <c r="J27" s="45"/>
      <c r="K27" s="45"/>
      <c r="L27" s="105"/>
      <c r="M27" s="105"/>
      <c r="N27" s="61"/>
      <c r="O27" s="57"/>
    </row>
    <row r="28" spans="1:15" x14ac:dyDescent="0.2">
      <c r="A28" s="111" t="s">
        <v>102</v>
      </c>
      <c r="B28" s="104">
        <v>10</v>
      </c>
      <c r="C28" s="105">
        <v>0</v>
      </c>
      <c r="D28" s="105">
        <v>0</v>
      </c>
      <c r="E28" s="105">
        <v>25812</v>
      </c>
      <c r="F28" s="104">
        <v>1</v>
      </c>
      <c r="G28" s="104">
        <f>B28*F28</f>
        <v>10</v>
      </c>
      <c r="H28" s="107">
        <v>6</v>
      </c>
      <c r="I28" s="45">
        <f>G28*H28</f>
        <v>60</v>
      </c>
      <c r="J28" s="45">
        <f>I28*0.1</f>
        <v>6</v>
      </c>
      <c r="K28" s="45">
        <f>I28*0.05</f>
        <v>3</v>
      </c>
      <c r="L28" s="105">
        <f>(I28*$P$7)+(J28*$P$8)+(K28*$P$6)</f>
        <v>7991.4</v>
      </c>
      <c r="M28" s="105">
        <f>(C28+D28+E28)*F28*H28</f>
        <v>154872</v>
      </c>
      <c r="N28" s="61"/>
      <c r="O28" s="57"/>
    </row>
    <row r="29" spans="1:15" x14ac:dyDescent="0.2">
      <c r="A29" s="111" t="s">
        <v>103</v>
      </c>
      <c r="B29" s="104">
        <v>10</v>
      </c>
      <c r="C29" s="105">
        <v>0</v>
      </c>
      <c r="D29" s="105">
        <v>0</v>
      </c>
      <c r="E29" s="105">
        <f>'Capital vs. O&amp;M'!E6</f>
        <v>9855</v>
      </c>
      <c r="F29" s="104">
        <v>1</v>
      </c>
      <c r="G29" s="104">
        <f>B29*F29</f>
        <v>10</v>
      </c>
      <c r="H29" s="107">
        <v>6</v>
      </c>
      <c r="I29" s="45">
        <f>G29*H29</f>
        <v>60</v>
      </c>
      <c r="J29" s="45">
        <f>I29*0.1</f>
        <v>6</v>
      </c>
      <c r="K29" s="45">
        <f>I29*0.05</f>
        <v>3</v>
      </c>
      <c r="L29" s="105">
        <f>(I29*$P$7)+(J29*$P$8)+(K29*$P$6)</f>
        <v>7991.4</v>
      </c>
      <c r="M29" s="105">
        <f>(C29+D29+E29)*F29*H29</f>
        <v>59130</v>
      </c>
      <c r="N29" s="61"/>
      <c r="O29" s="57"/>
    </row>
    <row r="30" spans="1:15" ht="15.75" x14ac:dyDescent="0.2">
      <c r="A30" s="114" t="s">
        <v>287</v>
      </c>
      <c r="B30" s="104"/>
      <c r="C30" s="105"/>
      <c r="D30" s="105"/>
      <c r="E30" s="105"/>
      <c r="F30" s="104"/>
      <c r="G30" s="104"/>
      <c r="H30" s="45"/>
      <c r="I30" s="45"/>
      <c r="J30" s="45"/>
      <c r="K30" s="45"/>
      <c r="L30" s="105"/>
      <c r="M30" s="105"/>
      <c r="N30" s="61"/>
      <c r="O30" s="57"/>
    </row>
    <row r="31" spans="1:15" x14ac:dyDescent="0.2">
      <c r="A31" s="111" t="s">
        <v>102</v>
      </c>
      <c r="B31" s="104">
        <v>10</v>
      </c>
      <c r="C31" s="105">
        <v>0</v>
      </c>
      <c r="D31" s="105">
        <v>0</v>
      </c>
      <c r="E31" s="105">
        <v>158000</v>
      </c>
      <c r="F31" s="104">
        <v>1</v>
      </c>
      <c r="G31" s="104">
        <f>B31*F31</f>
        <v>10</v>
      </c>
      <c r="H31" s="107">
        <v>0</v>
      </c>
      <c r="I31" s="45">
        <f>G31*H31</f>
        <v>0</v>
      </c>
      <c r="J31" s="45">
        <f>I31*0.1</f>
        <v>0</v>
      </c>
      <c r="K31" s="45">
        <f>I31*0.05</f>
        <v>0</v>
      </c>
      <c r="L31" s="105">
        <f t="shared" ref="L31:L32" si="6">(I31*$P$7)+(J31*$P$8)+(K31*$P$6)</f>
        <v>0</v>
      </c>
      <c r="M31" s="105">
        <f>(C31+D31+E31)*F31*H31</f>
        <v>0</v>
      </c>
      <c r="N31" s="65"/>
      <c r="O31" s="57"/>
    </row>
    <row r="32" spans="1:15" x14ac:dyDescent="0.2">
      <c r="A32" s="111" t="s">
        <v>103</v>
      </c>
      <c r="B32" s="104">
        <v>10</v>
      </c>
      <c r="C32" s="105">
        <v>0</v>
      </c>
      <c r="D32" s="105">
        <v>0</v>
      </c>
      <c r="E32" s="105">
        <v>56100</v>
      </c>
      <c r="F32" s="104">
        <v>1</v>
      </c>
      <c r="G32" s="104">
        <f>B32*F32</f>
        <v>10</v>
      </c>
      <c r="H32" s="107">
        <v>0</v>
      </c>
      <c r="I32" s="45">
        <f>G32*H32</f>
        <v>0</v>
      </c>
      <c r="J32" s="45">
        <f>I32*0.1</f>
        <v>0</v>
      </c>
      <c r="K32" s="45">
        <f>I32*0.05</f>
        <v>0</v>
      </c>
      <c r="L32" s="105">
        <f t="shared" si="6"/>
        <v>0</v>
      </c>
      <c r="M32" s="105">
        <f>(C32+D32+E32)*F32*H32</f>
        <v>0</v>
      </c>
      <c r="N32" s="65"/>
      <c r="O32" s="57"/>
    </row>
    <row r="33" spans="1:15" ht="15.75" x14ac:dyDescent="0.2">
      <c r="A33" s="114" t="s">
        <v>288</v>
      </c>
      <c r="B33" s="104"/>
      <c r="C33" s="105"/>
      <c r="D33" s="105"/>
      <c r="E33" s="105"/>
      <c r="F33" s="104"/>
      <c r="G33" s="104"/>
      <c r="H33" s="107"/>
      <c r="I33" s="45"/>
      <c r="J33" s="115"/>
      <c r="K33" s="115"/>
      <c r="L33" s="105"/>
      <c r="M33" s="105"/>
      <c r="N33" s="61"/>
      <c r="O33" s="57"/>
    </row>
    <row r="34" spans="1:15" x14ac:dyDescent="0.2">
      <c r="A34" s="111" t="s">
        <v>102</v>
      </c>
      <c r="B34" s="104">
        <v>10</v>
      </c>
      <c r="C34" s="105">
        <v>0</v>
      </c>
      <c r="D34" s="105">
        <v>0</v>
      </c>
      <c r="E34" s="105">
        <f>Monitors!$F$32</f>
        <v>8523</v>
      </c>
      <c r="F34" s="104">
        <v>1</v>
      </c>
      <c r="G34" s="104">
        <f>B34*F34</f>
        <v>10</v>
      </c>
      <c r="H34" s="107">
        <v>0</v>
      </c>
      <c r="I34" s="45">
        <f>G34*H34</f>
        <v>0</v>
      </c>
      <c r="J34" s="45">
        <f>I34*0.1</f>
        <v>0</v>
      </c>
      <c r="K34" s="45">
        <f>I34*0.05</f>
        <v>0</v>
      </c>
      <c r="L34" s="105">
        <f t="shared" ref="L34:L35" si="7">(I34*$P$7)+(J34*$P$8)+(K34*$P$6)</f>
        <v>0</v>
      </c>
      <c r="M34" s="105">
        <f>(C34+D34+E34)*F34*H34</f>
        <v>0</v>
      </c>
      <c r="N34" s="61"/>
      <c r="O34" s="57"/>
    </row>
    <row r="35" spans="1:15" x14ac:dyDescent="0.2">
      <c r="A35" s="111" t="s">
        <v>103</v>
      </c>
      <c r="B35" s="104">
        <v>10</v>
      </c>
      <c r="C35" s="105">
        <v>0</v>
      </c>
      <c r="D35" s="105">
        <v>0</v>
      </c>
      <c r="E35" s="105">
        <f>Monitors!$G$32</f>
        <v>1436</v>
      </c>
      <c r="F35" s="104">
        <v>1</v>
      </c>
      <c r="G35" s="104">
        <f>B35*F35</f>
        <v>10</v>
      </c>
      <c r="H35" s="107">
        <v>0</v>
      </c>
      <c r="I35" s="45">
        <f>G35*H35</f>
        <v>0</v>
      </c>
      <c r="J35" s="45">
        <f>I35*0.1</f>
        <v>0</v>
      </c>
      <c r="K35" s="45">
        <f>I35*0.05</f>
        <v>0</v>
      </c>
      <c r="L35" s="105">
        <f t="shared" si="7"/>
        <v>0</v>
      </c>
      <c r="M35" s="105">
        <f>(C35+D35+E35)*F35*H35</f>
        <v>0</v>
      </c>
      <c r="N35" s="61"/>
      <c r="O35" s="57"/>
    </row>
    <row r="36" spans="1:15" ht="28.5" x14ac:dyDescent="0.2">
      <c r="A36" s="113" t="s">
        <v>270</v>
      </c>
      <c r="B36" s="104"/>
      <c r="C36" s="105"/>
      <c r="D36" s="105"/>
      <c r="E36" s="110"/>
      <c r="F36" s="104"/>
      <c r="G36" s="104"/>
      <c r="H36" s="116"/>
      <c r="I36" s="45"/>
      <c r="J36" s="45"/>
      <c r="K36" s="45"/>
      <c r="L36" s="105"/>
      <c r="M36" s="105"/>
      <c r="N36" s="61"/>
      <c r="O36" s="57"/>
    </row>
    <row r="37" spans="1:15" x14ac:dyDescent="0.2">
      <c r="A37" s="111" t="s">
        <v>102</v>
      </c>
      <c r="B37" s="104">
        <v>10</v>
      </c>
      <c r="C37" s="105">
        <v>0</v>
      </c>
      <c r="D37" s="105">
        <v>0</v>
      </c>
      <c r="E37" s="105">
        <v>25054</v>
      </c>
      <c r="F37" s="104">
        <v>1</v>
      </c>
      <c r="G37" s="104">
        <f>B37*F37</f>
        <v>10</v>
      </c>
      <c r="H37" s="107">
        <v>3</v>
      </c>
      <c r="I37" s="45">
        <f>G37*H37</f>
        <v>30</v>
      </c>
      <c r="J37" s="45">
        <f>I37*0.1</f>
        <v>3</v>
      </c>
      <c r="K37" s="45">
        <f>I37*0.05</f>
        <v>1.5</v>
      </c>
      <c r="L37" s="105">
        <f t="shared" ref="L37:L38" si="8">(I37*$P$7)+(J37*$P$8)+(K37*$P$6)</f>
        <v>3995.7</v>
      </c>
      <c r="M37" s="105">
        <f>(C37+D37+E37)*F37*H37</f>
        <v>75162</v>
      </c>
      <c r="N37" s="61"/>
      <c r="O37" s="57"/>
    </row>
    <row r="38" spans="1:15" x14ac:dyDescent="0.2">
      <c r="A38" s="111" t="s">
        <v>103</v>
      </c>
      <c r="B38" s="104">
        <v>10</v>
      </c>
      <c r="C38" s="105">
        <v>0</v>
      </c>
      <c r="D38" s="105">
        <v>0</v>
      </c>
      <c r="E38" s="105">
        <v>5774</v>
      </c>
      <c r="F38" s="104">
        <v>1</v>
      </c>
      <c r="G38" s="104">
        <f>B38*F38</f>
        <v>10</v>
      </c>
      <c r="H38" s="107">
        <v>3</v>
      </c>
      <c r="I38" s="45">
        <f>G38*H38</f>
        <v>30</v>
      </c>
      <c r="J38" s="45">
        <f>I38*0.1</f>
        <v>3</v>
      </c>
      <c r="K38" s="45">
        <f>I38*0.05</f>
        <v>1.5</v>
      </c>
      <c r="L38" s="105">
        <f t="shared" si="8"/>
        <v>3995.7</v>
      </c>
      <c r="M38" s="105">
        <f>(C38+D38+E38)*F38*H38</f>
        <v>17322</v>
      </c>
      <c r="N38" s="61"/>
      <c r="O38" s="57"/>
    </row>
    <row r="39" spans="1:15" ht="28.5" x14ac:dyDescent="0.2">
      <c r="A39" s="113" t="s">
        <v>269</v>
      </c>
      <c r="B39" s="104"/>
      <c r="C39" s="105"/>
      <c r="D39" s="105"/>
      <c r="E39" s="105"/>
      <c r="F39" s="104"/>
      <c r="G39" s="104"/>
      <c r="H39" s="107"/>
      <c r="I39" s="45"/>
      <c r="J39" s="45"/>
      <c r="K39" s="45"/>
      <c r="L39" s="105"/>
      <c r="M39" s="103"/>
      <c r="N39" s="61"/>
      <c r="O39" s="57"/>
    </row>
    <row r="40" spans="1:15" x14ac:dyDescent="0.2">
      <c r="A40" s="111" t="s">
        <v>102</v>
      </c>
      <c r="B40" s="104">
        <v>10</v>
      </c>
      <c r="C40" s="105">
        <v>0</v>
      </c>
      <c r="D40" s="105">
        <v>0</v>
      </c>
      <c r="E40" s="105">
        <v>26300</v>
      </c>
      <c r="F40" s="104">
        <v>1</v>
      </c>
      <c r="G40" s="104">
        <f>B40*F40</f>
        <v>10</v>
      </c>
      <c r="H40" s="107">
        <v>8</v>
      </c>
      <c r="I40" s="45">
        <f>G40*H40</f>
        <v>80</v>
      </c>
      <c r="J40" s="45">
        <f>I40*0.1</f>
        <v>8</v>
      </c>
      <c r="K40" s="45">
        <f>I40*0.05</f>
        <v>4</v>
      </c>
      <c r="L40" s="105">
        <f t="shared" ref="L40:L41" si="9">(I40*$P$7)+(J40*$P$8)+(K40*$P$6)</f>
        <v>10655.2</v>
      </c>
      <c r="M40" s="105">
        <f>(C40+D40+E40)*F40*H40</f>
        <v>210400</v>
      </c>
      <c r="N40" s="61"/>
      <c r="O40" s="57"/>
    </row>
    <row r="41" spans="1:15" x14ac:dyDescent="0.2">
      <c r="A41" s="111" t="s">
        <v>103</v>
      </c>
      <c r="B41" s="104">
        <v>10</v>
      </c>
      <c r="C41" s="105">
        <v>0</v>
      </c>
      <c r="D41" s="105">
        <v>0</v>
      </c>
      <c r="E41" s="105">
        <v>10000</v>
      </c>
      <c r="F41" s="104">
        <v>1</v>
      </c>
      <c r="G41" s="104">
        <f>B41*F41</f>
        <v>10</v>
      </c>
      <c r="H41" s="107">
        <v>8</v>
      </c>
      <c r="I41" s="45">
        <f>G41*H41</f>
        <v>80</v>
      </c>
      <c r="J41" s="45">
        <f>I41*0.1</f>
        <v>8</v>
      </c>
      <c r="K41" s="115">
        <f>I41*0.05</f>
        <v>4</v>
      </c>
      <c r="L41" s="105">
        <f t="shared" si="9"/>
        <v>10655.2</v>
      </c>
      <c r="M41" s="105">
        <f>(C41+D41+E41)*F41*H41</f>
        <v>80000</v>
      </c>
      <c r="N41" s="61"/>
      <c r="O41" s="57"/>
    </row>
    <row r="42" spans="1:15" ht="15.75" x14ac:dyDescent="0.2">
      <c r="A42" s="113" t="s">
        <v>268</v>
      </c>
      <c r="B42" s="104"/>
      <c r="C42" s="105"/>
      <c r="D42" s="105"/>
      <c r="E42" s="105"/>
      <c r="F42" s="104"/>
      <c r="G42" s="104"/>
      <c r="H42" s="107"/>
      <c r="I42" s="45"/>
      <c r="J42" s="45"/>
      <c r="K42" s="115"/>
      <c r="L42" s="105"/>
      <c r="M42" s="103"/>
      <c r="N42" s="61"/>
      <c r="O42" s="57"/>
    </row>
    <row r="43" spans="1:15" x14ac:dyDescent="0.2">
      <c r="A43" s="111" t="s">
        <v>102</v>
      </c>
      <c r="B43" s="104">
        <v>10</v>
      </c>
      <c r="C43" s="105">
        <v>0</v>
      </c>
      <c r="D43" s="105">
        <v>0</v>
      </c>
      <c r="E43" s="105">
        <v>44858</v>
      </c>
      <c r="F43" s="104">
        <v>1</v>
      </c>
      <c r="G43" s="104">
        <f>B43*F43</f>
        <v>10</v>
      </c>
      <c r="H43" s="107">
        <v>1</v>
      </c>
      <c r="I43" s="45">
        <f>G43*H43</f>
        <v>10</v>
      </c>
      <c r="J43" s="45">
        <f>I43*0.1</f>
        <v>1</v>
      </c>
      <c r="K43" s="45">
        <f>I43*0.05</f>
        <v>0.5</v>
      </c>
      <c r="L43" s="105">
        <f t="shared" ref="L43:L44" si="10">(I43*$P$7)+(J43*$P$8)+(K43*$P$6)</f>
        <v>1331.9</v>
      </c>
      <c r="M43" s="105">
        <f>(C43+D43+E43)*F43*H43</f>
        <v>44858</v>
      </c>
      <c r="N43" s="61"/>
      <c r="O43" s="57"/>
    </row>
    <row r="44" spans="1:15" x14ac:dyDescent="0.2">
      <c r="A44" s="111" t="s">
        <v>103</v>
      </c>
      <c r="B44" s="104">
        <v>10</v>
      </c>
      <c r="C44" s="105">
        <v>0</v>
      </c>
      <c r="D44" s="105">
        <v>0</v>
      </c>
      <c r="E44" s="105">
        <v>31500</v>
      </c>
      <c r="F44" s="104">
        <v>1</v>
      </c>
      <c r="G44" s="104">
        <f>B44*F44</f>
        <v>10</v>
      </c>
      <c r="H44" s="107">
        <v>1</v>
      </c>
      <c r="I44" s="45">
        <f>G44*H44</f>
        <v>10</v>
      </c>
      <c r="J44" s="45">
        <f>I44*0.1</f>
        <v>1</v>
      </c>
      <c r="K44" s="115">
        <f>I44*0.05</f>
        <v>0.5</v>
      </c>
      <c r="L44" s="105">
        <f t="shared" si="10"/>
        <v>1331.9</v>
      </c>
      <c r="M44" s="105">
        <f>(C44+D44+E44)*F44*H44</f>
        <v>31500</v>
      </c>
      <c r="N44" s="61"/>
      <c r="O44" s="57"/>
    </row>
    <row r="45" spans="1:15" ht="28.5" x14ac:dyDescent="0.2">
      <c r="A45" s="113" t="s">
        <v>289</v>
      </c>
      <c r="B45" s="104"/>
      <c r="C45" s="105"/>
      <c r="D45" s="105"/>
      <c r="E45" s="105"/>
      <c r="F45" s="104"/>
      <c r="G45" s="104"/>
      <c r="H45" s="116"/>
      <c r="I45" s="45"/>
      <c r="J45" s="45"/>
      <c r="K45" s="45"/>
      <c r="L45" s="105"/>
      <c r="M45" s="105"/>
      <c r="N45" s="61"/>
      <c r="O45" s="57"/>
    </row>
    <row r="46" spans="1:15" x14ac:dyDescent="0.2">
      <c r="A46" s="111" t="s">
        <v>102</v>
      </c>
      <c r="B46" s="104">
        <v>10</v>
      </c>
      <c r="C46" s="105">
        <v>0</v>
      </c>
      <c r="D46" s="105">
        <v>0</v>
      </c>
      <c r="E46" s="105">
        <v>115000</v>
      </c>
      <c r="F46" s="104">
        <v>1</v>
      </c>
      <c r="G46" s="104">
        <f>B46*F46</f>
        <v>10</v>
      </c>
      <c r="H46" s="107">
        <v>0</v>
      </c>
      <c r="I46" s="45">
        <f>G46*H46</f>
        <v>0</v>
      </c>
      <c r="J46" s="45">
        <f>I46*0.1</f>
        <v>0</v>
      </c>
      <c r="K46" s="45">
        <f>I46*0.05</f>
        <v>0</v>
      </c>
      <c r="L46" s="105">
        <f t="shared" ref="L46:L47" si="11">(I46*$P$7)+(J46*$P$8)+(K46*$P$6)</f>
        <v>0</v>
      </c>
      <c r="M46" s="105">
        <f>(C46+D46+E46)*F46*H46</f>
        <v>0</v>
      </c>
      <c r="N46" s="61"/>
      <c r="O46" s="57"/>
    </row>
    <row r="47" spans="1:15" x14ac:dyDescent="0.2">
      <c r="A47" s="111" t="s">
        <v>103</v>
      </c>
      <c r="B47" s="104">
        <v>10</v>
      </c>
      <c r="C47" s="105">
        <v>0</v>
      </c>
      <c r="D47" s="105">
        <v>0</v>
      </c>
      <c r="E47" s="105">
        <v>9700</v>
      </c>
      <c r="F47" s="104">
        <v>1</v>
      </c>
      <c r="G47" s="104">
        <f>B47*F47</f>
        <v>10</v>
      </c>
      <c r="H47" s="107">
        <v>0</v>
      </c>
      <c r="I47" s="45">
        <f>G47*H47</f>
        <v>0</v>
      </c>
      <c r="J47" s="45">
        <f>I47*0.1</f>
        <v>0</v>
      </c>
      <c r="K47" s="45">
        <f>I47*0.05</f>
        <v>0</v>
      </c>
      <c r="L47" s="105">
        <f t="shared" si="11"/>
        <v>0</v>
      </c>
      <c r="M47" s="105">
        <f>(C47+D47+E47)*F47*H47</f>
        <v>0</v>
      </c>
      <c r="N47" s="61"/>
      <c r="O47" s="57"/>
    </row>
    <row r="48" spans="1:15" ht="15.75" x14ac:dyDescent="0.2">
      <c r="A48" s="114" t="s">
        <v>265</v>
      </c>
      <c r="B48" s="104"/>
      <c r="C48" s="105"/>
      <c r="D48" s="105"/>
      <c r="E48" s="105"/>
      <c r="F48" s="104"/>
      <c r="G48" s="104"/>
      <c r="H48" s="107"/>
      <c r="I48" s="45"/>
      <c r="J48" s="45"/>
      <c r="K48" s="115"/>
      <c r="L48" s="105"/>
      <c r="M48" s="105"/>
      <c r="N48" s="61"/>
      <c r="O48" s="57"/>
    </row>
    <row r="49" spans="1:15" x14ac:dyDescent="0.2">
      <c r="A49" s="111" t="s">
        <v>102</v>
      </c>
      <c r="B49" s="104">
        <v>10</v>
      </c>
      <c r="C49" s="105">
        <v>0</v>
      </c>
      <c r="D49" s="105">
        <v>0</v>
      </c>
      <c r="E49" s="105">
        <v>153700</v>
      </c>
      <c r="F49" s="104">
        <v>1</v>
      </c>
      <c r="G49" s="104">
        <f>B49*F49</f>
        <v>10</v>
      </c>
      <c r="H49" s="107">
        <v>8</v>
      </c>
      <c r="I49" s="45">
        <f>G49*H49</f>
        <v>80</v>
      </c>
      <c r="J49" s="45">
        <f>I49*0.1</f>
        <v>8</v>
      </c>
      <c r="K49" s="45">
        <f>I49*0.05</f>
        <v>4</v>
      </c>
      <c r="L49" s="105">
        <f t="shared" ref="L49:L50" si="12">(I49*$P$7)+(J49*$P$8)+(K49*$P$6)</f>
        <v>10655.2</v>
      </c>
      <c r="M49" s="105">
        <f>(C49+D49+E49)*F49*H49</f>
        <v>1229600</v>
      </c>
      <c r="N49" s="61"/>
      <c r="O49" s="57"/>
    </row>
    <row r="50" spans="1:15" x14ac:dyDescent="0.2">
      <c r="A50" s="111" t="s">
        <v>103</v>
      </c>
      <c r="B50" s="104">
        <v>10</v>
      </c>
      <c r="C50" s="105">
        <v>0</v>
      </c>
      <c r="D50" s="105">
        <v>0</v>
      </c>
      <c r="E50" s="105">
        <f>'Capital vs. O&amp;M'!E10</f>
        <v>42600</v>
      </c>
      <c r="F50" s="104">
        <v>1</v>
      </c>
      <c r="G50" s="104">
        <f>B50*F50</f>
        <v>10</v>
      </c>
      <c r="H50" s="107">
        <v>8</v>
      </c>
      <c r="I50" s="45">
        <f>G50*H50</f>
        <v>80</v>
      </c>
      <c r="J50" s="45">
        <f>I50*0.1</f>
        <v>8</v>
      </c>
      <c r="K50" s="45">
        <f>I50*0.05</f>
        <v>4</v>
      </c>
      <c r="L50" s="105">
        <f t="shared" si="12"/>
        <v>10655.2</v>
      </c>
      <c r="M50" s="105">
        <f>(C50+D50+E50)*F50*H50</f>
        <v>340800</v>
      </c>
      <c r="N50" s="61"/>
      <c r="O50" s="57"/>
    </row>
    <row r="51" spans="1:15" x14ac:dyDescent="0.2">
      <c r="A51" s="108" t="s">
        <v>91</v>
      </c>
      <c r="B51" s="104" t="s">
        <v>227</v>
      </c>
      <c r="C51" s="105"/>
      <c r="D51" s="105"/>
      <c r="E51" s="105"/>
      <c r="F51" s="104"/>
      <c r="G51" s="104"/>
      <c r="H51" s="45"/>
      <c r="I51" s="45"/>
      <c r="J51" s="45"/>
      <c r="K51" s="45"/>
      <c r="L51" s="105"/>
      <c r="M51" s="105"/>
      <c r="N51" s="61"/>
      <c r="O51" s="57"/>
    </row>
    <row r="52" spans="1:15" x14ac:dyDescent="0.2">
      <c r="A52" s="108" t="s">
        <v>92</v>
      </c>
      <c r="B52" s="104" t="s">
        <v>227</v>
      </c>
      <c r="C52" s="105"/>
      <c r="D52" s="105"/>
      <c r="E52" s="105"/>
      <c r="F52" s="104"/>
      <c r="G52" s="104"/>
      <c r="H52" s="45"/>
      <c r="I52" s="45"/>
      <c r="J52" s="45"/>
      <c r="K52" s="45"/>
      <c r="L52" s="105"/>
      <c r="M52" s="105"/>
      <c r="N52" s="61"/>
      <c r="O52" s="57"/>
    </row>
    <row r="53" spans="1:15" x14ac:dyDescent="0.2">
      <c r="A53" s="108" t="s">
        <v>93</v>
      </c>
      <c r="B53" s="104"/>
      <c r="C53" s="105"/>
      <c r="D53" s="105"/>
      <c r="E53" s="105"/>
      <c r="F53" s="104"/>
      <c r="G53" s="104"/>
      <c r="H53" s="45"/>
      <c r="I53" s="45"/>
      <c r="J53" s="45"/>
      <c r="K53" s="45"/>
      <c r="L53" s="105"/>
      <c r="M53" s="105"/>
      <c r="N53" s="61"/>
      <c r="O53" s="57"/>
    </row>
    <row r="54" spans="1:15" ht="15.75" x14ac:dyDescent="0.2">
      <c r="A54" s="109" t="s">
        <v>290</v>
      </c>
      <c r="B54" s="104">
        <v>2</v>
      </c>
      <c r="C54" s="105">
        <v>0</v>
      </c>
      <c r="D54" s="105">
        <v>0</v>
      </c>
      <c r="E54" s="105">
        <v>0</v>
      </c>
      <c r="F54" s="104">
        <v>1</v>
      </c>
      <c r="G54" s="104">
        <f>B54*F54</f>
        <v>2</v>
      </c>
      <c r="H54" s="107">
        <v>0</v>
      </c>
      <c r="I54" s="45">
        <f>G54*H54</f>
        <v>0</v>
      </c>
      <c r="J54" s="45">
        <f>I54*0.1</f>
        <v>0</v>
      </c>
      <c r="K54" s="45">
        <f>I54*0.05</f>
        <v>0</v>
      </c>
      <c r="L54" s="105">
        <f t="shared" ref="L54:L57" si="13">(I54*$P$7)+(J54*$P$8)+(K54*$P$6)</f>
        <v>0</v>
      </c>
      <c r="M54" s="105">
        <f>(C54+D54+E54)*F54*H54</f>
        <v>0</v>
      </c>
      <c r="N54" s="61"/>
      <c r="O54" s="57"/>
    </row>
    <row r="55" spans="1:15" ht="15.75" x14ac:dyDescent="0.2">
      <c r="A55" s="109" t="s">
        <v>291</v>
      </c>
      <c r="B55" s="104">
        <v>8</v>
      </c>
      <c r="C55" s="105">
        <v>0</v>
      </c>
      <c r="D55" s="105">
        <v>0</v>
      </c>
      <c r="E55" s="105">
        <v>0</v>
      </c>
      <c r="F55" s="104">
        <v>1</v>
      </c>
      <c r="G55" s="104">
        <f>B55*F55</f>
        <v>8</v>
      </c>
      <c r="H55" s="107">
        <f>H54</f>
        <v>0</v>
      </c>
      <c r="I55" s="45">
        <f>G55*H55</f>
        <v>0</v>
      </c>
      <c r="J55" s="45">
        <f>I55*0.1</f>
        <v>0</v>
      </c>
      <c r="K55" s="45">
        <f>I55*0.05</f>
        <v>0</v>
      </c>
      <c r="L55" s="105">
        <f t="shared" si="13"/>
        <v>0</v>
      </c>
      <c r="M55" s="105">
        <f>(C55+D55+E55)*F55*H55</f>
        <v>0</v>
      </c>
      <c r="N55" s="61"/>
      <c r="O55" s="57"/>
    </row>
    <row r="56" spans="1:15" ht="15.75" x14ac:dyDescent="0.2">
      <c r="A56" s="109" t="s">
        <v>292</v>
      </c>
      <c r="B56" s="104">
        <v>5</v>
      </c>
      <c r="C56" s="105">
        <v>0</v>
      </c>
      <c r="D56" s="105">
        <v>0</v>
      </c>
      <c r="E56" s="105">
        <v>0</v>
      </c>
      <c r="F56" s="104">
        <v>1</v>
      </c>
      <c r="G56" s="104">
        <f>B56*F56</f>
        <v>5</v>
      </c>
      <c r="H56" s="107">
        <v>0</v>
      </c>
      <c r="I56" s="45">
        <f>G56*H56</f>
        <v>0</v>
      </c>
      <c r="J56" s="45">
        <f>I56*0.1</f>
        <v>0</v>
      </c>
      <c r="K56" s="45">
        <f>I56*0.05</f>
        <v>0</v>
      </c>
      <c r="L56" s="105">
        <f t="shared" si="13"/>
        <v>0</v>
      </c>
      <c r="M56" s="105">
        <f>(C56+D56+E56)*F56*H56</f>
        <v>0</v>
      </c>
      <c r="N56" s="61"/>
      <c r="O56" s="57"/>
    </row>
    <row r="57" spans="1:15" ht="15.75" x14ac:dyDescent="0.2">
      <c r="A57" s="112" t="s">
        <v>293</v>
      </c>
      <c r="B57" s="104">
        <v>20</v>
      </c>
      <c r="C57" s="105">
        <v>0</v>
      </c>
      <c r="D57" s="105">
        <v>0</v>
      </c>
      <c r="E57" s="105">
        <v>0</v>
      </c>
      <c r="F57" s="104">
        <v>2</v>
      </c>
      <c r="G57" s="104">
        <f>B57*F57</f>
        <v>40</v>
      </c>
      <c r="H57" s="107">
        <f>H8</f>
        <v>0</v>
      </c>
      <c r="I57" s="45">
        <f>G57*H57</f>
        <v>0</v>
      </c>
      <c r="J57" s="45">
        <f>I57*0.1</f>
        <v>0</v>
      </c>
      <c r="K57" s="45">
        <f>I57*0.05</f>
        <v>0</v>
      </c>
      <c r="L57" s="105">
        <f t="shared" si="13"/>
        <v>0</v>
      </c>
      <c r="M57" s="105">
        <f>(C57+D57+E57)*F57*H57</f>
        <v>0</v>
      </c>
      <c r="N57" s="61"/>
      <c r="O57" s="57"/>
    </row>
    <row r="58" spans="1:15" s="72" customFormat="1" ht="13.5" x14ac:dyDescent="0.25">
      <c r="A58" s="117" t="s">
        <v>107</v>
      </c>
      <c r="B58" s="118"/>
      <c r="C58" s="119"/>
      <c r="D58" s="119"/>
      <c r="E58" s="119"/>
      <c r="F58" s="118"/>
      <c r="G58" s="118"/>
      <c r="H58" s="116"/>
      <c r="I58" s="237">
        <f>SUM(I8:K57)</f>
        <v>1748</v>
      </c>
      <c r="J58" s="237"/>
      <c r="K58" s="237"/>
      <c r="L58" s="120">
        <f>SUM(L8:L57)</f>
        <v>202448.80000000005</v>
      </c>
      <c r="M58" s="120">
        <f>SUM(M29,M32,M35,M38,M41,M44,M47,M50)</f>
        <v>528752</v>
      </c>
      <c r="N58" s="70"/>
      <c r="O58" s="71"/>
    </row>
    <row r="59" spans="1:15" x14ac:dyDescent="0.2">
      <c r="A59" s="103" t="s">
        <v>49</v>
      </c>
      <c r="B59" s="104"/>
      <c r="C59" s="105"/>
      <c r="D59" s="105"/>
      <c r="E59" s="105"/>
      <c r="F59" s="104"/>
      <c r="G59" s="104"/>
      <c r="H59" s="45"/>
      <c r="I59" s="45"/>
      <c r="J59" s="45"/>
      <c r="K59" s="45"/>
      <c r="L59" s="105"/>
      <c r="M59" s="105"/>
      <c r="N59" s="61"/>
      <c r="O59" s="57"/>
    </row>
    <row r="60" spans="1:15" x14ac:dyDescent="0.2">
      <c r="A60" s="106" t="s">
        <v>339</v>
      </c>
      <c r="B60" s="121" t="s">
        <v>46</v>
      </c>
      <c r="C60" s="105"/>
      <c r="D60" s="105"/>
      <c r="E60" s="105"/>
      <c r="F60" s="104"/>
      <c r="G60" s="104"/>
      <c r="H60" s="45"/>
      <c r="I60" s="45"/>
      <c r="J60" s="45"/>
      <c r="K60" s="45"/>
      <c r="L60" s="105"/>
      <c r="M60" s="105"/>
      <c r="N60" s="61"/>
      <c r="O60" s="57"/>
    </row>
    <row r="61" spans="1:15" x14ac:dyDescent="0.2">
      <c r="A61" s="108" t="s">
        <v>94</v>
      </c>
      <c r="B61" s="104" t="s">
        <v>227</v>
      </c>
      <c r="C61" s="105"/>
      <c r="D61" s="105"/>
      <c r="E61" s="105"/>
      <c r="F61" s="104"/>
      <c r="G61" s="104"/>
      <c r="H61" s="45"/>
      <c r="I61" s="45"/>
      <c r="J61" s="45"/>
      <c r="K61" s="45"/>
      <c r="L61" s="105"/>
      <c r="M61" s="105"/>
      <c r="N61" s="61"/>
      <c r="O61" s="57"/>
    </row>
    <row r="62" spans="1:15" x14ac:dyDescent="0.2">
      <c r="A62" s="108" t="s">
        <v>95</v>
      </c>
      <c r="B62" s="104" t="s">
        <v>227</v>
      </c>
      <c r="C62" s="105"/>
      <c r="D62" s="105"/>
      <c r="E62" s="105"/>
      <c r="F62" s="104"/>
      <c r="G62" s="104"/>
      <c r="H62" s="45"/>
      <c r="I62" s="45"/>
      <c r="J62" s="45"/>
      <c r="K62" s="45"/>
      <c r="L62" s="105"/>
      <c r="M62" s="105"/>
      <c r="N62" s="61"/>
      <c r="O62" s="57"/>
    </row>
    <row r="63" spans="1:15" x14ac:dyDescent="0.2">
      <c r="A63" s="108" t="s">
        <v>96</v>
      </c>
      <c r="B63" s="104"/>
      <c r="C63" s="105"/>
      <c r="D63" s="105"/>
      <c r="E63" s="105"/>
      <c r="F63" s="104"/>
      <c r="G63" s="104"/>
      <c r="H63" s="45"/>
      <c r="I63" s="45"/>
      <c r="J63" s="45"/>
      <c r="K63" s="45"/>
      <c r="L63" s="105"/>
      <c r="M63" s="105"/>
      <c r="N63" s="61"/>
      <c r="O63" s="57"/>
    </row>
    <row r="64" spans="1:15" ht="15.75" x14ac:dyDescent="0.2">
      <c r="A64" s="112" t="s">
        <v>267</v>
      </c>
      <c r="B64" s="104">
        <v>20</v>
      </c>
      <c r="C64" s="105">
        <v>0</v>
      </c>
      <c r="D64" s="105">
        <v>0</v>
      </c>
      <c r="E64" s="105">
        <v>0</v>
      </c>
      <c r="F64" s="104">
        <v>1</v>
      </c>
      <c r="G64" s="104">
        <f t="shared" ref="G64:G70" si="14">B64*F64</f>
        <v>20</v>
      </c>
      <c r="H64" s="107">
        <f>'2019 Changes'!B15</f>
        <v>36</v>
      </c>
      <c r="I64" s="45">
        <f t="shared" ref="I64:I69" si="15">G64*H64</f>
        <v>720</v>
      </c>
      <c r="J64" s="45">
        <f t="shared" ref="J64:J69" si="16">I64*0.1</f>
        <v>72</v>
      </c>
      <c r="K64" s="45">
        <f t="shared" ref="K64:K69" si="17">I64*0.05</f>
        <v>36</v>
      </c>
      <c r="L64" s="105">
        <f t="shared" ref="L64:L70" si="18">(I64*$P$7)+(J64*$P$8)+(K64*$P$6)</f>
        <v>95896.8</v>
      </c>
      <c r="M64" s="105">
        <f t="shared" ref="M64:M69" si="19">(C64+D64+E64)*F64*H64</f>
        <v>0</v>
      </c>
      <c r="N64" s="61"/>
      <c r="O64" s="57"/>
    </row>
    <row r="65" spans="1:16" ht="15.75" x14ac:dyDescent="0.2">
      <c r="A65" s="109" t="s">
        <v>294</v>
      </c>
      <c r="B65" s="104">
        <v>15</v>
      </c>
      <c r="C65" s="105">
        <v>0</v>
      </c>
      <c r="D65" s="105">
        <v>0</v>
      </c>
      <c r="E65" s="105">
        <v>0</v>
      </c>
      <c r="F65" s="104">
        <v>1</v>
      </c>
      <c r="G65" s="104">
        <f t="shared" si="14"/>
        <v>15</v>
      </c>
      <c r="H65" s="107">
        <v>0</v>
      </c>
      <c r="I65" s="45">
        <f t="shared" si="15"/>
        <v>0</v>
      </c>
      <c r="J65" s="45">
        <f t="shared" si="16"/>
        <v>0</v>
      </c>
      <c r="K65" s="45">
        <f t="shared" si="17"/>
        <v>0</v>
      </c>
      <c r="L65" s="105">
        <f t="shared" si="18"/>
        <v>0</v>
      </c>
      <c r="M65" s="105">
        <f t="shared" si="19"/>
        <v>0</v>
      </c>
      <c r="N65" s="61"/>
      <c r="O65" s="57"/>
    </row>
    <row r="66" spans="1:16" ht="15.75" x14ac:dyDescent="0.2">
      <c r="A66" s="112" t="s">
        <v>295</v>
      </c>
      <c r="B66" s="104">
        <v>2</v>
      </c>
      <c r="C66" s="105">
        <v>0</v>
      </c>
      <c r="D66" s="105">
        <v>0</v>
      </c>
      <c r="E66" s="105">
        <v>0</v>
      </c>
      <c r="F66" s="104">
        <v>1</v>
      </c>
      <c r="G66" s="104">
        <f t="shared" si="14"/>
        <v>2</v>
      </c>
      <c r="H66" s="107">
        <v>0</v>
      </c>
      <c r="I66" s="45">
        <f t="shared" si="15"/>
        <v>0</v>
      </c>
      <c r="J66" s="45">
        <f t="shared" si="16"/>
        <v>0</v>
      </c>
      <c r="K66" s="45">
        <f t="shared" si="17"/>
        <v>0</v>
      </c>
      <c r="L66" s="105">
        <f t="shared" si="18"/>
        <v>0</v>
      </c>
      <c r="M66" s="105">
        <f t="shared" si="19"/>
        <v>0</v>
      </c>
      <c r="N66" s="61"/>
      <c r="O66" s="57"/>
    </row>
    <row r="67" spans="1:16" ht="15.75" x14ac:dyDescent="0.2">
      <c r="A67" s="109" t="s">
        <v>266</v>
      </c>
      <c r="B67" s="104">
        <v>2</v>
      </c>
      <c r="C67" s="105">
        <v>0</v>
      </c>
      <c r="D67" s="105">
        <v>0</v>
      </c>
      <c r="E67" s="105">
        <v>0</v>
      </c>
      <c r="F67" s="104">
        <v>1</v>
      </c>
      <c r="G67" s="104">
        <f t="shared" si="14"/>
        <v>2</v>
      </c>
      <c r="H67" s="107">
        <f>H64</f>
        <v>36</v>
      </c>
      <c r="I67" s="45">
        <f t="shared" si="15"/>
        <v>72</v>
      </c>
      <c r="J67" s="45">
        <f t="shared" si="16"/>
        <v>7.2</v>
      </c>
      <c r="K67" s="45">
        <f t="shared" si="17"/>
        <v>3.6</v>
      </c>
      <c r="L67" s="105">
        <f t="shared" si="18"/>
        <v>9589.6800000000021</v>
      </c>
      <c r="M67" s="105">
        <f t="shared" si="19"/>
        <v>0</v>
      </c>
      <c r="N67" s="61"/>
      <c r="O67" s="57"/>
    </row>
    <row r="68" spans="1:16" ht="15.75" x14ac:dyDescent="0.2">
      <c r="A68" s="109" t="s">
        <v>296</v>
      </c>
      <c r="B68" s="104">
        <v>2</v>
      </c>
      <c r="C68" s="105">
        <v>0</v>
      </c>
      <c r="D68" s="105">
        <v>0</v>
      </c>
      <c r="E68" s="105">
        <v>0</v>
      </c>
      <c r="F68" s="104">
        <v>2</v>
      </c>
      <c r="G68" s="104">
        <f t="shared" si="14"/>
        <v>4</v>
      </c>
      <c r="H68" s="107">
        <v>0</v>
      </c>
      <c r="I68" s="45">
        <f t="shared" si="15"/>
        <v>0</v>
      </c>
      <c r="J68" s="45">
        <f t="shared" si="16"/>
        <v>0</v>
      </c>
      <c r="K68" s="45">
        <f t="shared" si="17"/>
        <v>0</v>
      </c>
      <c r="L68" s="105">
        <f t="shared" si="18"/>
        <v>0</v>
      </c>
      <c r="M68" s="105">
        <f t="shared" si="19"/>
        <v>0</v>
      </c>
      <c r="N68" s="61"/>
      <c r="O68" s="57"/>
    </row>
    <row r="69" spans="1:16" ht="15.75" x14ac:dyDescent="0.2">
      <c r="A69" s="109" t="s">
        <v>297</v>
      </c>
      <c r="B69" s="104">
        <v>0.5</v>
      </c>
      <c r="C69" s="105">
        <v>0</v>
      </c>
      <c r="D69" s="105">
        <v>0</v>
      </c>
      <c r="E69" s="105">
        <v>0</v>
      </c>
      <c r="F69" s="104">
        <v>12</v>
      </c>
      <c r="G69" s="104">
        <f t="shared" si="14"/>
        <v>6</v>
      </c>
      <c r="H69" s="107">
        <v>0</v>
      </c>
      <c r="I69" s="45">
        <f t="shared" si="15"/>
        <v>0</v>
      </c>
      <c r="J69" s="45">
        <f t="shared" si="16"/>
        <v>0</v>
      </c>
      <c r="K69" s="45">
        <f t="shared" si="17"/>
        <v>0</v>
      </c>
      <c r="L69" s="105">
        <f t="shared" si="18"/>
        <v>0</v>
      </c>
      <c r="M69" s="105">
        <f t="shared" si="19"/>
        <v>0</v>
      </c>
      <c r="N69" s="61"/>
      <c r="O69" s="57"/>
    </row>
    <row r="70" spans="1:16" ht="15.75" x14ac:dyDescent="0.2">
      <c r="A70" s="108" t="s">
        <v>298</v>
      </c>
      <c r="B70" s="104">
        <v>40</v>
      </c>
      <c r="C70" s="105">
        <v>0</v>
      </c>
      <c r="D70" s="105">
        <v>0</v>
      </c>
      <c r="E70" s="105">
        <v>0</v>
      </c>
      <c r="F70" s="104">
        <v>1</v>
      </c>
      <c r="G70" s="104">
        <f t="shared" si="14"/>
        <v>40</v>
      </c>
      <c r="H70" s="107">
        <v>0</v>
      </c>
      <c r="I70" s="45">
        <f>G70*H70</f>
        <v>0</v>
      </c>
      <c r="J70" s="45">
        <f>I70*0.1</f>
        <v>0</v>
      </c>
      <c r="K70" s="45">
        <f>I70*0.05</f>
        <v>0</v>
      </c>
      <c r="L70" s="105">
        <f t="shared" si="18"/>
        <v>0</v>
      </c>
      <c r="M70" s="105">
        <f>(C70+D70+E70)*F70*H70</f>
        <v>0</v>
      </c>
      <c r="N70" s="61"/>
      <c r="O70" s="57"/>
    </row>
    <row r="71" spans="1:16" x14ac:dyDescent="0.2">
      <c r="A71" s="108" t="s">
        <v>98</v>
      </c>
      <c r="B71" s="104" t="s">
        <v>227</v>
      </c>
      <c r="C71" s="105"/>
      <c r="D71" s="105"/>
      <c r="E71" s="105"/>
      <c r="F71" s="104"/>
      <c r="G71" s="104"/>
      <c r="H71" s="45"/>
      <c r="I71" s="45"/>
      <c r="J71" s="45"/>
      <c r="K71" s="45"/>
      <c r="L71" s="105"/>
      <c r="M71" s="105"/>
      <c r="N71" s="61"/>
      <c r="O71" s="57"/>
    </row>
    <row r="72" spans="1:16" s="72" customFormat="1" ht="13.5" x14ac:dyDescent="0.25">
      <c r="A72" s="122" t="s">
        <v>108</v>
      </c>
      <c r="B72" s="118"/>
      <c r="C72" s="119"/>
      <c r="D72" s="119"/>
      <c r="E72" s="119"/>
      <c r="F72" s="118"/>
      <c r="G72" s="118"/>
      <c r="H72" s="123"/>
      <c r="I72" s="237">
        <f>SUM(I64:K70)</f>
        <v>910.80000000000007</v>
      </c>
      <c r="J72" s="237"/>
      <c r="K72" s="237"/>
      <c r="L72" s="120">
        <f>SUM(L60:L71)</f>
        <v>105486.48000000001</v>
      </c>
      <c r="M72" s="120">
        <f>SUM(M60:M71)</f>
        <v>0</v>
      </c>
      <c r="N72" s="68"/>
    </row>
    <row r="73" spans="1:16" s="72" customFormat="1" ht="15.75" x14ac:dyDescent="0.2">
      <c r="A73" s="56" t="s">
        <v>223</v>
      </c>
      <c r="B73" s="118"/>
      <c r="C73" s="119"/>
      <c r="D73" s="119"/>
      <c r="E73" s="119"/>
      <c r="F73" s="118"/>
      <c r="G73" s="118"/>
      <c r="H73" s="123"/>
      <c r="I73" s="238">
        <f>ROUND(I58+I72,-1)</f>
        <v>2660</v>
      </c>
      <c r="J73" s="238"/>
      <c r="K73" s="238"/>
      <c r="L73" s="119">
        <f>ROUND(L58+L72,-3)</f>
        <v>308000</v>
      </c>
      <c r="M73" s="124"/>
      <c r="N73" s="68"/>
    </row>
    <row r="74" spans="1:16" s="72" customFormat="1" ht="15.75" x14ac:dyDescent="0.2">
      <c r="A74" s="56" t="s">
        <v>346</v>
      </c>
      <c r="B74" s="118"/>
      <c r="C74" s="119"/>
      <c r="D74" s="119"/>
      <c r="E74" s="119"/>
      <c r="F74" s="118"/>
      <c r="G74" s="118"/>
      <c r="H74" s="123"/>
      <c r="I74" s="123"/>
      <c r="J74" s="123"/>
      <c r="K74" s="123"/>
      <c r="L74" s="119"/>
      <c r="M74" s="119">
        <f>ROUND(M58+M72,-3)</f>
        <v>529000</v>
      </c>
      <c r="N74" s="68"/>
    </row>
    <row r="75" spans="1:16" s="72" customFormat="1" ht="15.75" x14ac:dyDescent="0.2">
      <c r="A75" s="56" t="s">
        <v>224</v>
      </c>
      <c r="B75" s="118"/>
      <c r="C75" s="119"/>
      <c r="D75" s="119"/>
      <c r="E75" s="119"/>
      <c r="F75" s="118"/>
      <c r="G75" s="118"/>
      <c r="H75" s="123"/>
      <c r="I75" s="123"/>
      <c r="J75" s="123"/>
      <c r="K75" s="123"/>
      <c r="L75" s="119"/>
      <c r="M75" s="119">
        <f>ROUND(L73+M74,-3)</f>
        <v>837000</v>
      </c>
      <c r="N75" s="68"/>
    </row>
    <row r="76" spans="1:16" s="72" customFormat="1" ht="13.5" x14ac:dyDescent="0.25">
      <c r="A76" s="74"/>
      <c r="B76" s="67"/>
      <c r="C76" s="68"/>
      <c r="D76" s="68"/>
      <c r="E76" s="68"/>
      <c r="F76" s="67"/>
      <c r="G76" s="67"/>
      <c r="H76" s="69"/>
      <c r="I76" s="69"/>
      <c r="J76" s="69"/>
      <c r="K76" s="69"/>
      <c r="L76" s="68"/>
      <c r="M76" s="68"/>
      <c r="N76" s="69"/>
      <c r="O76" s="67"/>
      <c r="P76" s="68"/>
    </row>
    <row r="77" spans="1:16" s="72" customFormat="1" x14ac:dyDescent="0.2">
      <c r="A77" s="75" t="s">
        <v>109</v>
      </c>
      <c r="B77" s="67"/>
      <c r="C77" s="68"/>
      <c r="D77" s="68"/>
      <c r="E77" s="68"/>
      <c r="F77" s="67"/>
      <c r="G77" s="67"/>
      <c r="H77" s="69"/>
      <c r="I77" s="69"/>
      <c r="J77" s="69"/>
      <c r="K77" s="69"/>
      <c r="L77" s="68"/>
      <c r="M77" s="68"/>
      <c r="N77" s="69"/>
      <c r="O77" s="67"/>
      <c r="P77" s="68"/>
    </row>
    <row r="78" spans="1:16" s="72" customFormat="1" x14ac:dyDescent="0.2">
      <c r="A78" s="234" t="s">
        <v>260</v>
      </c>
      <c r="B78" s="234"/>
      <c r="C78" s="234"/>
      <c r="D78" s="234"/>
      <c r="E78" s="234"/>
      <c r="F78" s="234"/>
      <c r="G78" s="234"/>
      <c r="H78" s="234"/>
      <c r="I78" s="234"/>
      <c r="J78" s="234"/>
      <c r="K78" s="234"/>
      <c r="L78" s="234"/>
      <c r="M78" s="234"/>
      <c r="N78" s="69"/>
      <c r="O78" s="67"/>
      <c r="P78" s="68"/>
    </row>
    <row r="79" spans="1:16" s="72" customFormat="1" ht="15.75" customHeight="1" x14ac:dyDescent="0.2">
      <c r="A79" s="242" t="s">
        <v>249</v>
      </c>
      <c r="B79" s="242"/>
      <c r="C79" s="242"/>
      <c r="D79" s="242"/>
      <c r="E79" s="242"/>
      <c r="F79" s="242"/>
      <c r="G79" s="242"/>
      <c r="H79" s="242"/>
      <c r="I79" s="242"/>
      <c r="J79" s="242"/>
      <c r="K79" s="242"/>
      <c r="L79" s="242"/>
      <c r="M79" s="242"/>
      <c r="N79" s="192"/>
      <c r="O79" s="221"/>
      <c r="P79" s="68"/>
    </row>
    <row r="80" spans="1:16" s="72" customFormat="1" ht="28.5" customHeight="1" x14ac:dyDescent="0.2">
      <c r="A80" s="241" t="s">
        <v>273</v>
      </c>
      <c r="B80" s="241"/>
      <c r="C80" s="241"/>
      <c r="D80" s="241"/>
      <c r="E80" s="241"/>
      <c r="F80" s="241"/>
      <c r="G80" s="241"/>
      <c r="H80" s="241"/>
      <c r="I80" s="241"/>
      <c r="J80" s="241"/>
      <c r="K80" s="241"/>
      <c r="L80" s="241"/>
      <c r="M80" s="241"/>
      <c r="N80" s="192"/>
      <c r="O80" s="221"/>
      <c r="P80" s="68"/>
    </row>
    <row r="81" spans="1:20" ht="45" customHeight="1" x14ac:dyDescent="0.2">
      <c r="A81" s="234" t="s">
        <v>348</v>
      </c>
      <c r="B81" s="234"/>
      <c r="C81" s="234"/>
      <c r="D81" s="234"/>
      <c r="E81" s="234"/>
      <c r="F81" s="234"/>
      <c r="G81" s="234"/>
      <c r="H81" s="234"/>
      <c r="I81" s="234"/>
      <c r="J81" s="234"/>
      <c r="K81" s="234"/>
      <c r="L81" s="234"/>
      <c r="M81" s="234"/>
      <c r="N81" s="190"/>
      <c r="Q81" s="53"/>
      <c r="R81" s="194"/>
      <c r="S81" s="194"/>
      <c r="T81" s="61"/>
    </row>
    <row r="82" spans="1:20" ht="30.75" customHeight="1" x14ac:dyDescent="0.2">
      <c r="A82" s="234" t="s">
        <v>262</v>
      </c>
      <c r="B82" s="234"/>
      <c r="C82" s="234"/>
      <c r="D82" s="234"/>
      <c r="E82" s="234"/>
      <c r="F82" s="234"/>
      <c r="G82" s="234"/>
      <c r="H82" s="234"/>
      <c r="I82" s="234"/>
      <c r="J82" s="234"/>
      <c r="K82" s="234"/>
      <c r="L82" s="234"/>
      <c r="M82" s="234"/>
      <c r="N82" s="190"/>
      <c r="Q82" s="53"/>
      <c r="R82" s="4"/>
      <c r="S82" s="4"/>
      <c r="T82" s="61"/>
    </row>
    <row r="83" spans="1:20" ht="30.75" customHeight="1" x14ac:dyDescent="0.2">
      <c r="A83" s="234" t="s">
        <v>263</v>
      </c>
      <c r="B83" s="234"/>
      <c r="C83" s="234"/>
      <c r="D83" s="234"/>
      <c r="E83" s="234"/>
      <c r="F83" s="234"/>
      <c r="G83" s="234"/>
      <c r="H83" s="234"/>
      <c r="I83" s="234"/>
      <c r="J83" s="234"/>
      <c r="K83" s="234"/>
      <c r="L83" s="234"/>
      <c r="M83" s="234"/>
      <c r="N83" s="96"/>
      <c r="Q83" s="53"/>
      <c r="R83" s="4"/>
      <c r="S83" s="4"/>
      <c r="T83" s="61"/>
    </row>
    <row r="84" spans="1:20" x14ac:dyDescent="0.2">
      <c r="A84" s="239" t="s">
        <v>264</v>
      </c>
      <c r="B84" s="239"/>
      <c r="C84" s="239"/>
      <c r="D84" s="239"/>
      <c r="E84" s="239"/>
      <c r="F84" s="239"/>
      <c r="G84" s="239"/>
      <c r="H84" s="239"/>
      <c r="I84" s="239"/>
      <c r="J84" s="239"/>
      <c r="K84" s="239"/>
      <c r="L84" s="239"/>
      <c r="M84" s="239"/>
      <c r="N84" s="96"/>
      <c r="Q84" s="53"/>
      <c r="R84" s="4"/>
      <c r="S84" s="4"/>
      <c r="T84" s="61"/>
    </row>
    <row r="85" spans="1:20" x14ac:dyDescent="0.2">
      <c r="N85" s="193"/>
      <c r="Q85" s="53"/>
      <c r="R85" s="4"/>
      <c r="S85" s="4"/>
      <c r="T85" s="61"/>
    </row>
    <row r="86" spans="1:20" x14ac:dyDescent="0.2">
      <c r="Q86" s="53"/>
      <c r="R86" s="4"/>
      <c r="S86" s="4"/>
      <c r="T86" s="61"/>
    </row>
    <row r="87" spans="1:20" x14ac:dyDescent="0.2">
      <c r="Q87" s="195"/>
      <c r="R87" s="4"/>
      <c r="S87" s="4"/>
      <c r="T87" s="61"/>
    </row>
  </sheetData>
  <mergeCells count="12">
    <mergeCell ref="A82:M82"/>
    <mergeCell ref="A83:M83"/>
    <mergeCell ref="A84:M84"/>
    <mergeCell ref="A1:M1"/>
    <mergeCell ref="A80:M80"/>
    <mergeCell ref="A79:M79"/>
    <mergeCell ref="O5:P5"/>
    <mergeCell ref="I58:K58"/>
    <mergeCell ref="I72:K72"/>
    <mergeCell ref="I73:K73"/>
    <mergeCell ref="A81:M81"/>
    <mergeCell ref="A78:M78"/>
  </mergeCells>
  <pageMargins left="0.25" right="0.25" top="0.5" bottom="0.5" header="0.5" footer="0.5"/>
  <pageSetup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77"/>
  <sheetViews>
    <sheetView topLeftCell="A25" zoomScaleNormal="100" workbookViewId="0">
      <selection activeCell="M54" sqref="M54"/>
    </sheetView>
  </sheetViews>
  <sheetFormatPr defaultColWidth="9.140625" defaultRowHeight="12.75" x14ac:dyDescent="0.2"/>
  <cols>
    <col min="1" max="1" width="41.85546875" style="57" customWidth="1"/>
    <col min="2" max="7" width="11.85546875" style="77" customWidth="1"/>
    <col min="8" max="8" width="11.85546875" style="78" customWidth="1"/>
    <col min="9" max="12" width="11.85546875" style="77" customWidth="1"/>
    <col min="13" max="13" width="12.85546875" style="79" customWidth="1"/>
    <col min="14" max="14" width="3.7109375" style="79" customWidth="1"/>
    <col min="15" max="15" width="14" style="57" customWidth="1"/>
    <col min="16" max="16" width="11.140625" style="57" customWidth="1"/>
    <col min="17" max="17" width="11.5703125" style="57" customWidth="1"/>
    <col min="18" max="18" width="8.140625" style="57" customWidth="1"/>
    <col min="19" max="16384" width="9.140625" style="57"/>
  </cols>
  <sheetData>
    <row r="1" spans="1:16" ht="35.25" customHeight="1" x14ac:dyDescent="0.2">
      <c r="A1" s="235" t="s">
        <v>211</v>
      </c>
      <c r="B1" s="235"/>
      <c r="C1" s="235"/>
      <c r="D1" s="235"/>
      <c r="E1" s="235"/>
      <c r="F1" s="235"/>
      <c r="G1" s="235"/>
      <c r="H1" s="235"/>
      <c r="I1" s="235"/>
      <c r="J1" s="235"/>
      <c r="K1" s="235"/>
      <c r="L1" s="235"/>
      <c r="M1" s="235"/>
      <c r="N1" s="125"/>
    </row>
    <row r="2" spans="1:16" x14ac:dyDescent="0.2">
      <c r="A2" s="83" t="s">
        <v>80</v>
      </c>
      <c r="B2" s="96"/>
      <c r="C2" s="96"/>
      <c r="D2" s="96"/>
      <c r="E2" s="96"/>
      <c r="F2" s="96"/>
      <c r="G2" s="96"/>
      <c r="H2" s="96"/>
      <c r="I2" s="96"/>
      <c r="J2" s="96"/>
      <c r="K2" s="96"/>
      <c r="L2" s="96"/>
      <c r="M2" s="96"/>
      <c r="N2" s="96"/>
    </row>
    <row r="3" spans="1:16" x14ac:dyDescent="0.2">
      <c r="A3" s="83"/>
      <c r="B3" s="83"/>
      <c r="C3" s="83"/>
      <c r="D3" s="83"/>
      <c r="E3" s="83"/>
      <c r="F3" s="83"/>
      <c r="G3" s="83"/>
      <c r="H3" s="83"/>
      <c r="I3" s="83"/>
      <c r="J3" s="83"/>
      <c r="K3" s="83"/>
      <c r="L3" s="83"/>
      <c r="M3" s="83"/>
      <c r="N3" s="83"/>
    </row>
    <row r="4" spans="1:16" s="60" customFormat="1" ht="76.5" x14ac:dyDescent="0.2">
      <c r="A4" s="100" t="s">
        <v>38</v>
      </c>
      <c r="B4" s="100" t="s">
        <v>253</v>
      </c>
      <c r="C4" s="100" t="s">
        <v>130</v>
      </c>
      <c r="D4" s="100" t="s">
        <v>124</v>
      </c>
      <c r="E4" s="100" t="s">
        <v>125</v>
      </c>
      <c r="F4" s="100" t="s">
        <v>129</v>
      </c>
      <c r="G4" s="100" t="s">
        <v>254</v>
      </c>
      <c r="H4" s="101" t="s">
        <v>299</v>
      </c>
      <c r="I4" s="102" t="s">
        <v>256</v>
      </c>
      <c r="J4" s="102" t="s">
        <v>257</v>
      </c>
      <c r="K4" s="102" t="s">
        <v>258</v>
      </c>
      <c r="L4" s="100" t="s">
        <v>300</v>
      </c>
      <c r="M4" s="230" t="s">
        <v>337</v>
      </c>
      <c r="N4" s="44"/>
    </row>
    <row r="5" spans="1:16" x14ac:dyDescent="0.2">
      <c r="A5" s="103" t="s">
        <v>39</v>
      </c>
      <c r="B5" s="104" t="s">
        <v>227</v>
      </c>
      <c r="C5" s="105"/>
      <c r="D5" s="105"/>
      <c r="E5" s="105"/>
      <c r="F5" s="104"/>
      <c r="G5" s="104"/>
      <c r="H5" s="45"/>
      <c r="I5" s="45"/>
      <c r="J5" s="45"/>
      <c r="K5" s="45"/>
      <c r="L5" s="105"/>
      <c r="M5" s="105"/>
      <c r="N5" s="61"/>
      <c r="O5" s="236" t="s">
        <v>122</v>
      </c>
      <c r="P5" s="236"/>
    </row>
    <row r="6" spans="1:16" x14ac:dyDescent="0.2">
      <c r="A6" s="103" t="s">
        <v>40</v>
      </c>
      <c r="B6" s="104" t="s">
        <v>227</v>
      </c>
      <c r="C6" s="105"/>
      <c r="D6" s="105"/>
      <c r="E6" s="105"/>
      <c r="F6" s="104"/>
      <c r="G6" s="104"/>
      <c r="H6" s="45"/>
      <c r="I6" s="45"/>
      <c r="J6" s="45"/>
      <c r="K6" s="45"/>
      <c r="L6" s="105"/>
      <c r="M6" s="105"/>
      <c r="N6" s="61"/>
      <c r="O6" s="46" t="s">
        <v>123</v>
      </c>
      <c r="P6" s="188">
        <v>141.06</v>
      </c>
    </row>
    <row r="7" spans="1:16" x14ac:dyDescent="0.2">
      <c r="A7" s="103" t="s">
        <v>41</v>
      </c>
      <c r="B7" s="104"/>
      <c r="C7" s="105"/>
      <c r="D7" s="105"/>
      <c r="E7" s="105"/>
      <c r="F7" s="104"/>
      <c r="G7" s="104"/>
      <c r="H7" s="45"/>
      <c r="I7" s="45"/>
      <c r="J7" s="45"/>
      <c r="K7" s="45"/>
      <c r="L7" s="105"/>
      <c r="M7" s="105"/>
      <c r="N7" s="61"/>
      <c r="O7" s="46" t="s">
        <v>51</v>
      </c>
      <c r="P7" s="188">
        <v>120.27</v>
      </c>
    </row>
    <row r="8" spans="1:16" ht="18" customHeight="1" x14ac:dyDescent="0.2">
      <c r="A8" s="231" t="s">
        <v>340</v>
      </c>
      <c r="B8" s="104">
        <v>10</v>
      </c>
      <c r="C8" s="105">
        <v>0</v>
      </c>
      <c r="D8" s="105">
        <v>0</v>
      </c>
      <c r="E8" s="105">
        <v>0</v>
      </c>
      <c r="F8" s="104">
        <v>1</v>
      </c>
      <c r="G8" s="104">
        <f>B8*F8</f>
        <v>10</v>
      </c>
      <c r="H8" s="107">
        <f>'2019 Changes'!C3</f>
        <v>3</v>
      </c>
      <c r="I8" s="45">
        <f>G8*H8</f>
        <v>30</v>
      </c>
      <c r="J8" s="45">
        <f>I8*0.1</f>
        <v>3</v>
      </c>
      <c r="K8" s="107">
        <f>I8*0.05</f>
        <v>1.5</v>
      </c>
      <c r="L8" s="105">
        <f>(I8*$P$7)+(J8*$P$8)+(K8*$P$6)</f>
        <v>3995.7</v>
      </c>
      <c r="M8" s="105">
        <f>(C8+D8+E8)*F8*H8</f>
        <v>0</v>
      </c>
      <c r="N8" s="61"/>
      <c r="O8" s="46" t="s">
        <v>52</v>
      </c>
      <c r="P8" s="188">
        <v>58.67</v>
      </c>
    </row>
    <row r="9" spans="1:16" x14ac:dyDescent="0.2">
      <c r="A9" s="121" t="s">
        <v>42</v>
      </c>
      <c r="B9" s="104"/>
      <c r="C9" s="105"/>
      <c r="D9" s="105"/>
      <c r="E9" s="105"/>
      <c r="F9" s="104"/>
      <c r="G9" s="104"/>
      <c r="H9" s="45"/>
      <c r="I9" s="45"/>
      <c r="J9" s="45"/>
      <c r="K9" s="45"/>
      <c r="L9" s="105"/>
      <c r="M9" s="105"/>
      <c r="N9" s="61"/>
      <c r="O9" s="80"/>
    </row>
    <row r="10" spans="1:16" x14ac:dyDescent="0.2">
      <c r="A10" s="109" t="s">
        <v>172</v>
      </c>
      <c r="B10" s="104">
        <v>12</v>
      </c>
      <c r="C10" s="105">
        <v>0</v>
      </c>
      <c r="D10" s="105">
        <f>'TBL1-YR1'!D13</f>
        <v>5000</v>
      </c>
      <c r="E10" s="105">
        <v>0</v>
      </c>
      <c r="F10" s="104">
        <v>1</v>
      </c>
      <c r="G10" s="104">
        <f t="shared" ref="G10:G21" si="0">B10*F10</f>
        <v>12</v>
      </c>
      <c r="H10" s="107">
        <v>0</v>
      </c>
      <c r="I10" s="45">
        <f t="shared" ref="I10:I20" si="1">G10*H10</f>
        <v>0</v>
      </c>
      <c r="J10" s="45">
        <f t="shared" ref="J10:J20" si="2">I10*0.1</f>
        <v>0</v>
      </c>
      <c r="K10" s="45">
        <f t="shared" ref="K10:K20" si="3">I10*0.05</f>
        <v>0</v>
      </c>
      <c r="L10" s="105">
        <f t="shared" ref="L10:L21" si="4">(I10*$P$7)+(J10*$P$8)+(K10*$P$6)</f>
        <v>0</v>
      </c>
      <c r="M10" s="105">
        <f t="shared" ref="M10:M20" si="5">(C10+D10+E10)*F10*H10</f>
        <v>0</v>
      </c>
      <c r="N10" s="61"/>
      <c r="O10" s="80"/>
    </row>
    <row r="11" spans="1:16" x14ac:dyDescent="0.2">
      <c r="A11" s="109" t="s">
        <v>173</v>
      </c>
      <c r="B11" s="104">
        <v>12</v>
      </c>
      <c r="C11" s="105">
        <v>0</v>
      </c>
      <c r="D11" s="105">
        <f>'TBL1-YR1'!D14</f>
        <v>8000</v>
      </c>
      <c r="E11" s="105">
        <v>0</v>
      </c>
      <c r="F11" s="104">
        <v>1</v>
      </c>
      <c r="G11" s="104">
        <f t="shared" si="0"/>
        <v>12</v>
      </c>
      <c r="H11" s="107">
        <v>0</v>
      </c>
      <c r="I11" s="45">
        <f t="shared" si="1"/>
        <v>0</v>
      </c>
      <c r="J11" s="45">
        <f t="shared" si="2"/>
        <v>0</v>
      </c>
      <c r="K11" s="45">
        <f t="shared" si="3"/>
        <v>0</v>
      </c>
      <c r="L11" s="105">
        <f t="shared" si="4"/>
        <v>0</v>
      </c>
      <c r="M11" s="105">
        <f t="shared" si="5"/>
        <v>0</v>
      </c>
      <c r="N11" s="61"/>
      <c r="O11" s="80"/>
    </row>
    <row r="12" spans="1:16" x14ac:dyDescent="0.2">
      <c r="A12" s="109" t="s">
        <v>174</v>
      </c>
      <c r="B12" s="104">
        <v>12</v>
      </c>
      <c r="C12" s="105">
        <v>0</v>
      </c>
      <c r="D12" s="105">
        <f>'TBL1-YR1'!D15</f>
        <v>8000</v>
      </c>
      <c r="E12" s="105">
        <v>0</v>
      </c>
      <c r="F12" s="104">
        <v>1</v>
      </c>
      <c r="G12" s="104">
        <f t="shared" si="0"/>
        <v>12</v>
      </c>
      <c r="H12" s="107">
        <v>0</v>
      </c>
      <c r="I12" s="45">
        <f t="shared" si="1"/>
        <v>0</v>
      </c>
      <c r="J12" s="45">
        <f t="shared" si="2"/>
        <v>0</v>
      </c>
      <c r="K12" s="45">
        <f t="shared" si="3"/>
        <v>0</v>
      </c>
      <c r="L12" s="105">
        <f t="shared" si="4"/>
        <v>0</v>
      </c>
      <c r="M12" s="105">
        <f t="shared" si="5"/>
        <v>0</v>
      </c>
      <c r="N12" s="61"/>
      <c r="O12" s="80"/>
    </row>
    <row r="13" spans="1:16" x14ac:dyDescent="0.2">
      <c r="A13" s="109" t="s">
        <v>175</v>
      </c>
      <c r="B13" s="104">
        <v>12</v>
      </c>
      <c r="C13" s="105">
        <v>0</v>
      </c>
      <c r="D13" s="105">
        <f>'TBL1-YR1'!D16</f>
        <v>7000</v>
      </c>
      <c r="E13" s="105">
        <v>0</v>
      </c>
      <c r="F13" s="104">
        <v>1</v>
      </c>
      <c r="G13" s="104">
        <f t="shared" si="0"/>
        <v>12</v>
      </c>
      <c r="H13" s="107">
        <v>0</v>
      </c>
      <c r="I13" s="45">
        <f t="shared" si="1"/>
        <v>0</v>
      </c>
      <c r="J13" s="45">
        <f t="shared" si="2"/>
        <v>0</v>
      </c>
      <c r="K13" s="45">
        <f t="shared" si="3"/>
        <v>0</v>
      </c>
      <c r="L13" s="105">
        <f t="shared" si="4"/>
        <v>0</v>
      </c>
      <c r="M13" s="105">
        <f t="shared" si="5"/>
        <v>0</v>
      </c>
      <c r="N13" s="61"/>
      <c r="O13" s="80"/>
    </row>
    <row r="14" spans="1:16" ht="13.5" customHeight="1" x14ac:dyDescent="0.2">
      <c r="A14" s="109" t="s">
        <v>176</v>
      </c>
      <c r="B14" s="104">
        <v>12</v>
      </c>
      <c r="C14" s="105">
        <v>0</v>
      </c>
      <c r="D14" s="105">
        <f>'TBL1-YR1'!D17</f>
        <v>5000</v>
      </c>
      <c r="E14" s="105">
        <v>0</v>
      </c>
      <c r="F14" s="104">
        <v>1</v>
      </c>
      <c r="G14" s="104">
        <f t="shared" si="0"/>
        <v>12</v>
      </c>
      <c r="H14" s="107">
        <v>0</v>
      </c>
      <c r="I14" s="45">
        <f t="shared" si="1"/>
        <v>0</v>
      </c>
      <c r="J14" s="45">
        <f t="shared" si="2"/>
        <v>0</v>
      </c>
      <c r="K14" s="45">
        <f t="shared" si="3"/>
        <v>0</v>
      </c>
      <c r="L14" s="105">
        <f t="shared" si="4"/>
        <v>0</v>
      </c>
      <c r="M14" s="105">
        <f t="shared" si="5"/>
        <v>0</v>
      </c>
      <c r="N14" s="61"/>
      <c r="O14" s="80"/>
    </row>
    <row r="15" spans="1:16" ht="13.5" customHeight="1" x14ac:dyDescent="0.2">
      <c r="A15" s="109" t="s">
        <v>177</v>
      </c>
      <c r="B15" s="104">
        <v>12</v>
      </c>
      <c r="C15" s="105">
        <v>0</v>
      </c>
      <c r="D15" s="105">
        <f>'TBL1-YR1'!D18</f>
        <v>8000</v>
      </c>
      <c r="E15" s="105">
        <v>0</v>
      </c>
      <c r="F15" s="104">
        <v>1</v>
      </c>
      <c r="G15" s="104">
        <f t="shared" si="0"/>
        <v>12</v>
      </c>
      <c r="H15" s="107">
        <v>0</v>
      </c>
      <c r="I15" s="45">
        <f t="shared" si="1"/>
        <v>0</v>
      </c>
      <c r="J15" s="45">
        <f t="shared" si="2"/>
        <v>0</v>
      </c>
      <c r="K15" s="45">
        <f t="shared" si="3"/>
        <v>0</v>
      </c>
      <c r="L15" s="105">
        <f t="shared" si="4"/>
        <v>0</v>
      </c>
      <c r="M15" s="105">
        <f t="shared" si="5"/>
        <v>0</v>
      </c>
      <c r="N15" s="61"/>
      <c r="O15" s="80"/>
    </row>
    <row r="16" spans="1:16" ht="13.5" customHeight="1" x14ac:dyDescent="0.2">
      <c r="A16" s="109" t="s">
        <v>178</v>
      </c>
      <c r="B16" s="104">
        <v>12</v>
      </c>
      <c r="C16" s="105">
        <v>0</v>
      </c>
      <c r="D16" s="105">
        <f>'TBL1-YR1'!D19</f>
        <v>8000</v>
      </c>
      <c r="E16" s="105">
        <v>0</v>
      </c>
      <c r="F16" s="104">
        <v>1</v>
      </c>
      <c r="G16" s="104">
        <f t="shared" si="0"/>
        <v>12</v>
      </c>
      <c r="H16" s="107">
        <v>0</v>
      </c>
      <c r="I16" s="45">
        <f t="shared" si="1"/>
        <v>0</v>
      </c>
      <c r="J16" s="45">
        <f t="shared" si="2"/>
        <v>0</v>
      </c>
      <c r="K16" s="45">
        <f t="shared" si="3"/>
        <v>0</v>
      </c>
      <c r="L16" s="105">
        <f t="shared" si="4"/>
        <v>0</v>
      </c>
      <c r="M16" s="105">
        <f t="shared" si="5"/>
        <v>0</v>
      </c>
      <c r="N16" s="61"/>
      <c r="O16" s="80"/>
    </row>
    <row r="17" spans="1:15" ht="13.5" customHeight="1" x14ac:dyDescent="0.2">
      <c r="A17" s="109" t="s">
        <v>179</v>
      </c>
      <c r="B17" s="104">
        <v>12</v>
      </c>
      <c r="C17" s="105">
        <v>0</v>
      </c>
      <c r="D17" s="105">
        <f>'TBL1-YR1'!D20</f>
        <v>7000</v>
      </c>
      <c r="E17" s="105">
        <v>0</v>
      </c>
      <c r="F17" s="104">
        <v>1</v>
      </c>
      <c r="G17" s="104">
        <f t="shared" si="0"/>
        <v>12</v>
      </c>
      <c r="H17" s="107">
        <v>0</v>
      </c>
      <c r="I17" s="45">
        <f t="shared" si="1"/>
        <v>0</v>
      </c>
      <c r="J17" s="45">
        <f t="shared" si="2"/>
        <v>0</v>
      </c>
      <c r="K17" s="45">
        <f t="shared" si="3"/>
        <v>0</v>
      </c>
      <c r="L17" s="105">
        <f t="shared" si="4"/>
        <v>0</v>
      </c>
      <c r="M17" s="105">
        <f t="shared" si="5"/>
        <v>0</v>
      </c>
      <c r="N17" s="61"/>
      <c r="O17" s="80"/>
    </row>
    <row r="18" spans="1:15" ht="25.5" x14ac:dyDescent="0.2">
      <c r="A18" s="109" t="s">
        <v>180</v>
      </c>
      <c r="B18" s="104">
        <v>24</v>
      </c>
      <c r="C18" s="105">
        <v>0</v>
      </c>
      <c r="D18" s="105">
        <f>'TBL1-YR1'!D21</f>
        <v>16000</v>
      </c>
      <c r="E18" s="105">
        <v>0</v>
      </c>
      <c r="F18" s="104">
        <v>1</v>
      </c>
      <c r="G18" s="104">
        <f t="shared" si="0"/>
        <v>24</v>
      </c>
      <c r="H18" s="107">
        <v>0</v>
      </c>
      <c r="I18" s="45">
        <f t="shared" si="1"/>
        <v>0</v>
      </c>
      <c r="J18" s="45">
        <f t="shared" si="2"/>
        <v>0</v>
      </c>
      <c r="K18" s="45">
        <f t="shared" si="3"/>
        <v>0</v>
      </c>
      <c r="L18" s="105">
        <f t="shared" si="4"/>
        <v>0</v>
      </c>
      <c r="M18" s="105">
        <f t="shared" si="5"/>
        <v>0</v>
      </c>
      <c r="N18" s="61"/>
    </row>
    <row r="19" spans="1:15" ht="25.5" x14ac:dyDescent="0.2">
      <c r="A19" s="109" t="s">
        <v>181</v>
      </c>
      <c r="B19" s="104">
        <v>5</v>
      </c>
      <c r="C19" s="105">
        <v>0</v>
      </c>
      <c r="D19" s="105">
        <v>400</v>
      </c>
      <c r="E19" s="105">
        <v>0</v>
      </c>
      <c r="F19" s="104">
        <v>1</v>
      </c>
      <c r="G19" s="104">
        <f t="shared" si="0"/>
        <v>5</v>
      </c>
      <c r="H19" s="107">
        <v>0</v>
      </c>
      <c r="I19" s="45">
        <f t="shared" si="1"/>
        <v>0</v>
      </c>
      <c r="J19" s="45">
        <f t="shared" si="2"/>
        <v>0</v>
      </c>
      <c r="K19" s="45">
        <f t="shared" si="3"/>
        <v>0</v>
      </c>
      <c r="L19" s="105">
        <f t="shared" si="4"/>
        <v>0</v>
      </c>
      <c r="M19" s="105">
        <f t="shared" si="5"/>
        <v>0</v>
      </c>
      <c r="N19" s="61"/>
      <c r="O19" s="80"/>
    </row>
    <row r="20" spans="1:15" ht="25.5" x14ac:dyDescent="0.2">
      <c r="A20" s="109" t="s">
        <v>182</v>
      </c>
      <c r="B20" s="104">
        <v>5</v>
      </c>
      <c r="C20" s="105">
        <v>0</v>
      </c>
      <c r="D20" s="105">
        <v>400</v>
      </c>
      <c r="E20" s="105">
        <v>0</v>
      </c>
      <c r="F20" s="104">
        <v>12</v>
      </c>
      <c r="G20" s="104">
        <f t="shared" si="0"/>
        <v>60</v>
      </c>
      <c r="H20" s="107">
        <v>0</v>
      </c>
      <c r="I20" s="45">
        <f t="shared" si="1"/>
        <v>0</v>
      </c>
      <c r="J20" s="45">
        <f t="shared" si="2"/>
        <v>0</v>
      </c>
      <c r="K20" s="45">
        <f t="shared" si="3"/>
        <v>0</v>
      </c>
      <c r="L20" s="105">
        <f t="shared" si="4"/>
        <v>0</v>
      </c>
      <c r="M20" s="105">
        <f t="shared" si="5"/>
        <v>0</v>
      </c>
      <c r="N20" s="61"/>
      <c r="O20" s="80"/>
    </row>
    <row r="21" spans="1:15" x14ac:dyDescent="0.2">
      <c r="A21" s="112" t="s">
        <v>183</v>
      </c>
      <c r="B21" s="104">
        <v>12</v>
      </c>
      <c r="C21" s="105">
        <v>0</v>
      </c>
      <c r="D21" s="105">
        <v>2875</v>
      </c>
      <c r="E21" s="105">
        <v>0</v>
      </c>
      <c r="F21" s="104">
        <v>1</v>
      </c>
      <c r="G21" s="104">
        <f t="shared" si="0"/>
        <v>12</v>
      </c>
      <c r="H21" s="107">
        <v>0</v>
      </c>
      <c r="I21" s="107">
        <f>G21*H21</f>
        <v>0</v>
      </c>
      <c r="J21" s="107">
        <f>I21*0.1</f>
        <v>0</v>
      </c>
      <c r="K21" s="107">
        <f>I21*0.05</f>
        <v>0</v>
      </c>
      <c r="L21" s="105">
        <f t="shared" si="4"/>
        <v>0</v>
      </c>
      <c r="M21" s="105">
        <f>(C21+D21+E21)*F21*H21</f>
        <v>0</v>
      </c>
      <c r="N21" s="65"/>
    </row>
    <row r="22" spans="1:15" x14ac:dyDescent="0.2">
      <c r="A22" s="109" t="s">
        <v>184</v>
      </c>
      <c r="B22" s="104"/>
      <c r="C22" s="105"/>
      <c r="D22" s="105"/>
      <c r="E22" s="105"/>
      <c r="F22" s="104"/>
      <c r="G22" s="104"/>
      <c r="H22" s="45"/>
      <c r="I22" s="45"/>
      <c r="J22" s="115"/>
      <c r="K22" s="115"/>
      <c r="L22" s="105"/>
      <c r="M22" s="105"/>
      <c r="N22" s="61"/>
      <c r="O22" s="80"/>
    </row>
    <row r="23" spans="1:15" ht="14.25" customHeight="1" x14ac:dyDescent="0.2">
      <c r="A23" s="113" t="s">
        <v>206</v>
      </c>
      <c r="B23" s="104">
        <v>40</v>
      </c>
      <c r="C23" s="105">
        <v>0</v>
      </c>
      <c r="D23" s="105"/>
      <c r="E23" s="105">
        <v>0</v>
      </c>
      <c r="F23" s="104">
        <v>1</v>
      </c>
      <c r="G23" s="104">
        <f>B23*F23</f>
        <v>40</v>
      </c>
      <c r="H23" s="107">
        <v>0</v>
      </c>
      <c r="I23" s="45">
        <f>G23*H23</f>
        <v>0</v>
      </c>
      <c r="J23" s="45">
        <f>I23*0.1</f>
        <v>0</v>
      </c>
      <c r="K23" s="45">
        <f>I23*0.05</f>
        <v>0</v>
      </c>
      <c r="L23" s="105">
        <f>(I23*$P$7)+(J23*$P$8)+(K23*$P$6)</f>
        <v>0</v>
      </c>
      <c r="M23" s="105">
        <f>(C23+D23+E23)*F23*H23</f>
        <v>0</v>
      </c>
      <c r="N23" s="61"/>
      <c r="O23" s="80"/>
    </row>
    <row r="24" spans="1:15" x14ac:dyDescent="0.2">
      <c r="A24" s="114" t="s">
        <v>18</v>
      </c>
      <c r="B24" s="104"/>
      <c r="C24" s="105"/>
      <c r="D24" s="105"/>
      <c r="E24" s="105"/>
      <c r="F24" s="104"/>
      <c r="G24" s="104"/>
      <c r="H24" s="45"/>
      <c r="I24" s="45"/>
      <c r="J24" s="45"/>
      <c r="K24" s="45"/>
      <c r="L24" s="105"/>
      <c r="M24" s="105"/>
      <c r="N24" s="61"/>
      <c r="O24" s="80"/>
    </row>
    <row r="25" spans="1:15" x14ac:dyDescent="0.2">
      <c r="A25" s="111" t="s">
        <v>102</v>
      </c>
      <c r="B25" s="104">
        <v>10</v>
      </c>
      <c r="C25" s="105">
        <v>0</v>
      </c>
      <c r="D25" s="105">
        <v>0</v>
      </c>
      <c r="E25" s="105">
        <v>25812</v>
      </c>
      <c r="F25" s="104">
        <v>1</v>
      </c>
      <c r="G25" s="104">
        <f>B25*F25</f>
        <v>10</v>
      </c>
      <c r="H25" s="107">
        <v>0</v>
      </c>
      <c r="I25" s="45">
        <f>G25*H25</f>
        <v>0</v>
      </c>
      <c r="J25" s="45">
        <f>I25*0.1</f>
        <v>0</v>
      </c>
      <c r="K25" s="45">
        <f>I25*0.05</f>
        <v>0</v>
      </c>
      <c r="L25" s="105">
        <f t="shared" ref="L25:L26" si="6">(I25*$P$7)+(J25*$P$8)+(K25*$P$6)</f>
        <v>0</v>
      </c>
      <c r="M25" s="105">
        <f>(C25+D25+E25)*F25*H25</f>
        <v>0</v>
      </c>
      <c r="N25" s="61"/>
    </row>
    <row r="26" spans="1:15" x14ac:dyDescent="0.2">
      <c r="A26" s="111" t="s">
        <v>103</v>
      </c>
      <c r="B26" s="104">
        <v>10</v>
      </c>
      <c r="C26" s="105">
        <v>0</v>
      </c>
      <c r="D26" s="105">
        <v>0</v>
      </c>
      <c r="E26" s="105">
        <f>'Capital vs. O&amp;M'!E6</f>
        <v>9855</v>
      </c>
      <c r="F26" s="104">
        <v>1</v>
      </c>
      <c r="G26" s="104">
        <f>B26*F26</f>
        <v>10</v>
      </c>
      <c r="H26" s="107">
        <v>0</v>
      </c>
      <c r="I26" s="45">
        <f>G26*H26</f>
        <v>0</v>
      </c>
      <c r="J26" s="45">
        <f>I26*0.1</f>
        <v>0</v>
      </c>
      <c r="K26" s="45">
        <f>I26*0.05</f>
        <v>0</v>
      </c>
      <c r="L26" s="105">
        <f t="shared" si="6"/>
        <v>0</v>
      </c>
      <c r="M26" s="105">
        <f>(C26+D26+E26)*F26*H26</f>
        <v>0</v>
      </c>
      <c r="N26" s="61"/>
    </row>
    <row r="27" spans="1:15" x14ac:dyDescent="0.2">
      <c r="A27" s="113" t="s">
        <v>99</v>
      </c>
      <c r="B27" s="104"/>
      <c r="C27" s="105"/>
      <c r="D27" s="105"/>
      <c r="E27" s="105"/>
      <c r="F27" s="104"/>
      <c r="G27" s="104"/>
      <c r="H27" s="45"/>
      <c r="I27" s="45"/>
      <c r="J27" s="45"/>
      <c r="K27" s="45"/>
      <c r="L27" s="105"/>
      <c r="M27" s="105"/>
      <c r="N27" s="61"/>
      <c r="O27" s="80"/>
    </row>
    <row r="28" spans="1:15" x14ac:dyDescent="0.2">
      <c r="A28" s="111" t="s">
        <v>102</v>
      </c>
      <c r="B28" s="104">
        <v>10</v>
      </c>
      <c r="C28" s="105">
        <v>0</v>
      </c>
      <c r="D28" s="105">
        <v>0</v>
      </c>
      <c r="E28" s="105">
        <v>158000</v>
      </c>
      <c r="F28" s="104">
        <v>1</v>
      </c>
      <c r="G28" s="104">
        <f>B28*F28</f>
        <v>10</v>
      </c>
      <c r="H28" s="107">
        <v>0</v>
      </c>
      <c r="I28" s="45">
        <f>G28*H28</f>
        <v>0</v>
      </c>
      <c r="J28" s="45">
        <f>I28*0.1</f>
        <v>0</v>
      </c>
      <c r="K28" s="45">
        <f>I28*0.05</f>
        <v>0</v>
      </c>
      <c r="L28" s="105">
        <f t="shared" ref="L28:L29" si="7">(I28*$P$7)+(J28*$P$8)+(K28*$P$6)</f>
        <v>0</v>
      </c>
      <c r="M28" s="105">
        <f>(C28+D28+E28)*F28*H28</f>
        <v>0</v>
      </c>
      <c r="N28" s="61"/>
    </row>
    <row r="29" spans="1:15" x14ac:dyDescent="0.2">
      <c r="A29" s="111" t="s">
        <v>103</v>
      </c>
      <c r="B29" s="104">
        <v>10</v>
      </c>
      <c r="C29" s="105">
        <v>0</v>
      </c>
      <c r="D29" s="105">
        <v>0</v>
      </c>
      <c r="E29" s="105">
        <v>56100</v>
      </c>
      <c r="F29" s="104">
        <v>1</v>
      </c>
      <c r="G29" s="104">
        <f>B29*F29</f>
        <v>10</v>
      </c>
      <c r="H29" s="107">
        <v>0</v>
      </c>
      <c r="I29" s="45">
        <f>G29*H29</f>
        <v>0</v>
      </c>
      <c r="J29" s="45">
        <f>I29*0.1</f>
        <v>0</v>
      </c>
      <c r="K29" s="45">
        <f>I29*0.05</f>
        <v>0</v>
      </c>
      <c r="L29" s="105">
        <f t="shared" si="7"/>
        <v>0</v>
      </c>
      <c r="M29" s="105">
        <f>(C29+D29+E29)*F29*H29</f>
        <v>0</v>
      </c>
      <c r="N29" s="61"/>
    </row>
    <row r="30" spans="1:15" x14ac:dyDescent="0.2">
      <c r="A30" s="114" t="s">
        <v>56</v>
      </c>
      <c r="B30" s="104"/>
      <c r="C30" s="105"/>
      <c r="D30" s="105"/>
      <c r="E30" s="105"/>
      <c r="F30" s="104"/>
      <c r="G30" s="104"/>
      <c r="H30" s="107"/>
      <c r="I30" s="45"/>
      <c r="J30" s="45"/>
      <c r="K30" s="45"/>
      <c r="L30" s="105"/>
      <c r="M30" s="105"/>
      <c r="N30" s="61"/>
    </row>
    <row r="31" spans="1:15" x14ac:dyDescent="0.2">
      <c r="A31" s="111" t="s">
        <v>102</v>
      </c>
      <c r="B31" s="104">
        <v>10</v>
      </c>
      <c r="C31" s="105">
        <v>0</v>
      </c>
      <c r="D31" s="105">
        <v>0</v>
      </c>
      <c r="E31" s="105">
        <f>Monitors!$F$32</f>
        <v>8523</v>
      </c>
      <c r="F31" s="104">
        <v>1</v>
      </c>
      <c r="G31" s="104">
        <f>B31*F31</f>
        <v>10</v>
      </c>
      <c r="H31" s="107">
        <v>0</v>
      </c>
      <c r="I31" s="45">
        <f>G31*H31</f>
        <v>0</v>
      </c>
      <c r="J31" s="45">
        <f>I31*0.1</f>
        <v>0</v>
      </c>
      <c r="K31" s="45">
        <f>I31*0.05</f>
        <v>0</v>
      </c>
      <c r="L31" s="105">
        <f t="shared" ref="L31:L32" si="8">(I31*$P$7)+(J31*$P$8)+(K31*$P$6)</f>
        <v>0</v>
      </c>
      <c r="M31" s="105">
        <f>(C31+D31+E31)*F31*H31</f>
        <v>0</v>
      </c>
      <c r="N31" s="61"/>
    </row>
    <row r="32" spans="1:15" x14ac:dyDescent="0.2">
      <c r="A32" s="111" t="s">
        <v>103</v>
      </c>
      <c r="B32" s="104">
        <v>10</v>
      </c>
      <c r="C32" s="105">
        <v>0</v>
      </c>
      <c r="D32" s="105">
        <v>0</v>
      </c>
      <c r="E32" s="105">
        <f>Monitors!$G$32</f>
        <v>1436</v>
      </c>
      <c r="F32" s="104">
        <v>1</v>
      </c>
      <c r="G32" s="104">
        <f>B32*F32</f>
        <v>10</v>
      </c>
      <c r="H32" s="107">
        <v>0</v>
      </c>
      <c r="I32" s="45">
        <f>G32*H32</f>
        <v>0</v>
      </c>
      <c r="J32" s="45">
        <f>I32*0.1</f>
        <v>0</v>
      </c>
      <c r="K32" s="45">
        <f>I32*0.05</f>
        <v>0</v>
      </c>
      <c r="L32" s="105">
        <f t="shared" si="8"/>
        <v>0</v>
      </c>
      <c r="M32" s="105">
        <f>(C32+D32+E32)*F32*H32</f>
        <v>0</v>
      </c>
      <c r="N32" s="61"/>
    </row>
    <row r="33" spans="1:15" ht="28.5" customHeight="1" x14ac:dyDescent="0.2">
      <c r="A33" s="113" t="s">
        <v>301</v>
      </c>
      <c r="B33" s="104"/>
      <c r="C33" s="105"/>
      <c r="D33" s="105"/>
      <c r="E33" s="119"/>
      <c r="F33" s="104"/>
      <c r="G33" s="104"/>
      <c r="H33" s="107"/>
      <c r="I33" s="45"/>
      <c r="J33" s="45"/>
      <c r="K33" s="45"/>
      <c r="L33" s="105"/>
      <c r="M33" s="105"/>
      <c r="N33" s="61"/>
      <c r="O33" s="80"/>
    </row>
    <row r="34" spans="1:15" x14ac:dyDescent="0.2">
      <c r="A34" s="111" t="s">
        <v>102</v>
      </c>
      <c r="B34" s="104">
        <v>10</v>
      </c>
      <c r="C34" s="105">
        <v>0</v>
      </c>
      <c r="D34" s="105">
        <v>0</v>
      </c>
      <c r="E34" s="105">
        <v>25054</v>
      </c>
      <c r="F34" s="104">
        <v>1</v>
      </c>
      <c r="G34" s="104">
        <f>B34*F34</f>
        <v>10</v>
      </c>
      <c r="H34" s="107">
        <v>0</v>
      </c>
      <c r="I34" s="45">
        <f>G34*H34</f>
        <v>0</v>
      </c>
      <c r="J34" s="45">
        <f>I34*0.1</f>
        <v>0</v>
      </c>
      <c r="K34" s="45">
        <f>I34*0.05</f>
        <v>0</v>
      </c>
      <c r="L34" s="105">
        <f t="shared" ref="L34:L35" si="9">(I34*$P$7)+(J34*$P$8)+(K34*$P$6)</f>
        <v>0</v>
      </c>
      <c r="M34" s="105">
        <f>(C34+D34+E34)*F34*H34</f>
        <v>0</v>
      </c>
      <c r="N34" s="61"/>
    </row>
    <row r="35" spans="1:15" x14ac:dyDescent="0.2">
      <c r="A35" s="111" t="s">
        <v>103</v>
      </c>
      <c r="B35" s="104">
        <v>10</v>
      </c>
      <c r="C35" s="105">
        <v>0</v>
      </c>
      <c r="D35" s="105">
        <v>0</v>
      </c>
      <c r="E35" s="105">
        <v>5774</v>
      </c>
      <c r="F35" s="104">
        <v>1</v>
      </c>
      <c r="G35" s="104">
        <f>B35*F35</f>
        <v>10</v>
      </c>
      <c r="H35" s="107">
        <f>H34</f>
        <v>0</v>
      </c>
      <c r="I35" s="45">
        <f>G35*H35</f>
        <v>0</v>
      </c>
      <c r="J35" s="45">
        <f>I35*0.1</f>
        <v>0</v>
      </c>
      <c r="K35" s="45">
        <f>I35*0.05</f>
        <v>0</v>
      </c>
      <c r="L35" s="105">
        <f t="shared" si="9"/>
        <v>0</v>
      </c>
      <c r="M35" s="105">
        <f>(C35+D35+E35)*F35*H35</f>
        <v>0</v>
      </c>
      <c r="N35" s="61"/>
    </row>
    <row r="36" spans="1:15" ht="25.5" x14ac:dyDescent="0.2">
      <c r="A36" s="113" t="s">
        <v>100</v>
      </c>
      <c r="B36" s="104"/>
      <c r="C36" s="105"/>
      <c r="D36" s="105"/>
      <c r="E36" s="105"/>
      <c r="F36" s="104"/>
      <c r="G36" s="104"/>
      <c r="H36" s="107"/>
      <c r="I36" s="45"/>
      <c r="J36" s="45"/>
      <c r="K36" s="45"/>
      <c r="L36" s="105"/>
      <c r="M36" s="103"/>
      <c r="N36" s="61"/>
      <c r="O36" s="80"/>
    </row>
    <row r="37" spans="1:15" x14ac:dyDescent="0.2">
      <c r="A37" s="111" t="s">
        <v>102</v>
      </c>
      <c r="B37" s="104">
        <v>10</v>
      </c>
      <c r="C37" s="105">
        <v>0</v>
      </c>
      <c r="D37" s="105">
        <v>0</v>
      </c>
      <c r="E37" s="105">
        <v>26300</v>
      </c>
      <c r="F37" s="104">
        <v>1</v>
      </c>
      <c r="G37" s="104">
        <f>B37*F37</f>
        <v>10</v>
      </c>
      <c r="H37" s="107">
        <v>0</v>
      </c>
      <c r="I37" s="45">
        <f>G37*H37</f>
        <v>0</v>
      </c>
      <c r="J37" s="45">
        <f>I37*0.1</f>
        <v>0</v>
      </c>
      <c r="K37" s="45">
        <f>I37*0.05</f>
        <v>0</v>
      </c>
      <c r="L37" s="105">
        <f>(I37*$P$7)+(J37*$P$8)+(K37*$P$6)</f>
        <v>0</v>
      </c>
      <c r="M37" s="105">
        <f>(C37+D37+E37)*F37*H37</f>
        <v>0</v>
      </c>
      <c r="N37" s="61"/>
    </row>
    <row r="38" spans="1:15" x14ac:dyDescent="0.2">
      <c r="A38" s="111" t="s">
        <v>103</v>
      </c>
      <c r="B38" s="104">
        <v>10</v>
      </c>
      <c r="C38" s="105">
        <v>0</v>
      </c>
      <c r="D38" s="105">
        <v>0</v>
      </c>
      <c r="E38" s="105">
        <v>10000</v>
      </c>
      <c r="F38" s="104">
        <v>1</v>
      </c>
      <c r="G38" s="104">
        <f>B38*F38</f>
        <v>10</v>
      </c>
      <c r="H38" s="107">
        <v>0</v>
      </c>
      <c r="I38" s="45">
        <f>G38*H38</f>
        <v>0</v>
      </c>
      <c r="J38" s="45">
        <f>I38*0.1</f>
        <v>0</v>
      </c>
      <c r="K38" s="45">
        <f>I38*0.05</f>
        <v>0</v>
      </c>
      <c r="L38" s="105">
        <f>(I38*$P$7)+(J38*$P$8)+(K38*$P$6)</f>
        <v>0</v>
      </c>
      <c r="M38" s="105">
        <f>(C38+D38+E38)*F38*H38</f>
        <v>0</v>
      </c>
      <c r="N38" s="61"/>
    </row>
    <row r="39" spans="1:15" ht="12.75" customHeight="1" x14ac:dyDescent="0.2">
      <c r="A39" s="113" t="s">
        <v>106</v>
      </c>
      <c r="B39" s="104"/>
      <c r="C39" s="105"/>
      <c r="D39" s="105"/>
      <c r="E39" s="105"/>
      <c r="F39" s="104"/>
      <c r="G39" s="104"/>
      <c r="H39" s="107"/>
      <c r="I39" s="45"/>
      <c r="J39" s="45"/>
      <c r="K39" s="115"/>
      <c r="L39" s="105"/>
      <c r="M39" s="103"/>
      <c r="N39" s="61"/>
      <c r="O39" s="80"/>
    </row>
    <row r="40" spans="1:15" x14ac:dyDescent="0.2">
      <c r="A40" s="111" t="s">
        <v>102</v>
      </c>
      <c r="B40" s="104">
        <v>10</v>
      </c>
      <c r="C40" s="105">
        <v>0</v>
      </c>
      <c r="D40" s="105">
        <v>0</v>
      </c>
      <c r="E40" s="105">
        <v>44858</v>
      </c>
      <c r="F40" s="104">
        <v>1</v>
      </c>
      <c r="G40" s="104">
        <f>B40*F40</f>
        <v>10</v>
      </c>
      <c r="H40" s="107">
        <v>0</v>
      </c>
      <c r="I40" s="45">
        <f>G40*H40</f>
        <v>0</v>
      </c>
      <c r="J40" s="45">
        <f>I40*0.1</f>
        <v>0</v>
      </c>
      <c r="K40" s="45">
        <f>I40*0.05</f>
        <v>0</v>
      </c>
      <c r="L40" s="105">
        <f t="shared" ref="L40:L41" si="10">(I40*$P$7)+(J40*$P$8)+(K40*$P$6)</f>
        <v>0</v>
      </c>
      <c r="M40" s="105">
        <f>(C40+D40+E40)*F40*H40</f>
        <v>0</v>
      </c>
      <c r="N40" s="61"/>
    </row>
    <row r="41" spans="1:15" x14ac:dyDescent="0.2">
      <c r="A41" s="111" t="s">
        <v>103</v>
      </c>
      <c r="B41" s="104">
        <v>10</v>
      </c>
      <c r="C41" s="105">
        <v>0</v>
      </c>
      <c r="D41" s="105">
        <v>0</v>
      </c>
      <c r="E41" s="105">
        <v>31500</v>
      </c>
      <c r="F41" s="104">
        <v>1</v>
      </c>
      <c r="G41" s="104">
        <f>B41*F41</f>
        <v>10</v>
      </c>
      <c r="H41" s="107">
        <v>0</v>
      </c>
      <c r="I41" s="45">
        <f>G41*H41</f>
        <v>0</v>
      </c>
      <c r="J41" s="45">
        <f>I41*0.1</f>
        <v>0</v>
      </c>
      <c r="K41" s="45">
        <f>I41*0.05</f>
        <v>0</v>
      </c>
      <c r="L41" s="105">
        <f t="shared" si="10"/>
        <v>0</v>
      </c>
      <c r="M41" s="105">
        <f>(C41+D41+E41)*F41*H41</f>
        <v>0</v>
      </c>
      <c r="N41" s="61"/>
    </row>
    <row r="42" spans="1:15" ht="25.5" x14ac:dyDescent="0.2">
      <c r="A42" s="113" t="s">
        <v>101</v>
      </c>
      <c r="B42" s="104"/>
      <c r="C42" s="105"/>
      <c r="D42" s="105"/>
      <c r="E42" s="105"/>
      <c r="F42" s="104"/>
      <c r="G42" s="104"/>
      <c r="H42" s="107"/>
      <c r="I42" s="45"/>
      <c r="J42" s="45"/>
      <c r="K42" s="45"/>
      <c r="L42" s="105"/>
      <c r="M42" s="105"/>
      <c r="N42" s="61"/>
      <c r="O42" s="80"/>
    </row>
    <row r="43" spans="1:15" x14ac:dyDescent="0.2">
      <c r="A43" s="111" t="s">
        <v>102</v>
      </c>
      <c r="B43" s="104">
        <v>10</v>
      </c>
      <c r="C43" s="105">
        <v>0</v>
      </c>
      <c r="D43" s="105">
        <v>0</v>
      </c>
      <c r="E43" s="105">
        <v>115000</v>
      </c>
      <c r="F43" s="104">
        <v>1</v>
      </c>
      <c r="G43" s="104">
        <f>B43*F43</f>
        <v>10</v>
      </c>
      <c r="H43" s="107">
        <v>0</v>
      </c>
      <c r="I43" s="45">
        <f>G43*H43</f>
        <v>0</v>
      </c>
      <c r="J43" s="45">
        <f>I43*0.1</f>
        <v>0</v>
      </c>
      <c r="K43" s="45">
        <f>I43*0.05</f>
        <v>0</v>
      </c>
      <c r="L43" s="105">
        <f>(I43*$P$7)+(J43*$P$8)+(K43*$P$6)</f>
        <v>0</v>
      </c>
      <c r="M43" s="105">
        <f>(C43+D43+E43)*F43*H43</f>
        <v>0</v>
      </c>
      <c r="N43" s="61"/>
    </row>
    <row r="44" spans="1:15" x14ac:dyDescent="0.2">
      <c r="A44" s="111" t="s">
        <v>103</v>
      </c>
      <c r="B44" s="104">
        <v>10</v>
      </c>
      <c r="C44" s="105">
        <v>0</v>
      </c>
      <c r="D44" s="105">
        <v>0</v>
      </c>
      <c r="E44" s="105">
        <v>9700</v>
      </c>
      <c r="F44" s="104">
        <v>1</v>
      </c>
      <c r="G44" s="104">
        <f>B44*F44</f>
        <v>10</v>
      </c>
      <c r="H44" s="107">
        <v>0</v>
      </c>
      <c r="I44" s="45">
        <f>G44*H44</f>
        <v>0</v>
      </c>
      <c r="J44" s="45">
        <f>I44*0.1</f>
        <v>0</v>
      </c>
      <c r="K44" s="45">
        <f>I44*0.05</f>
        <v>0</v>
      </c>
      <c r="L44" s="105">
        <f>(I44*$P$7)+(J44*$P$8)+(K44*$P$6)</f>
        <v>0</v>
      </c>
      <c r="M44" s="105">
        <f>(C44+D44+E44)*F44*H44</f>
        <v>0</v>
      </c>
      <c r="N44" s="61"/>
    </row>
    <row r="45" spans="1:15" ht="15" customHeight="1" x14ac:dyDescent="0.2">
      <c r="A45" s="114" t="s">
        <v>87</v>
      </c>
      <c r="B45" s="104"/>
      <c r="C45" s="105"/>
      <c r="D45" s="105"/>
      <c r="E45" s="105"/>
      <c r="F45" s="104"/>
      <c r="G45" s="104"/>
      <c r="H45" s="107"/>
      <c r="I45" s="45"/>
      <c r="J45" s="45"/>
      <c r="K45" s="115"/>
      <c r="L45" s="105"/>
      <c r="M45" s="105"/>
      <c r="N45" s="61"/>
    </row>
    <row r="46" spans="1:15" x14ac:dyDescent="0.2">
      <c r="A46" s="111" t="s">
        <v>102</v>
      </c>
      <c r="B46" s="104">
        <v>10</v>
      </c>
      <c r="C46" s="105">
        <v>0</v>
      </c>
      <c r="D46" s="105">
        <v>0</v>
      </c>
      <c r="E46" s="105">
        <v>153700</v>
      </c>
      <c r="F46" s="104">
        <v>1</v>
      </c>
      <c r="G46" s="104">
        <f>B46*F46</f>
        <v>10</v>
      </c>
      <c r="H46" s="107">
        <v>0</v>
      </c>
      <c r="I46" s="45">
        <f>G46*H46</f>
        <v>0</v>
      </c>
      <c r="J46" s="45">
        <f>I46*0.1</f>
        <v>0</v>
      </c>
      <c r="K46" s="45">
        <f>I46*0.05</f>
        <v>0</v>
      </c>
      <c r="L46" s="105">
        <f t="shared" ref="L46:L47" si="11">(I46*$P$7)+(J46*$P$8)+(K46*$P$6)</f>
        <v>0</v>
      </c>
      <c r="M46" s="105">
        <f>(C46+D46+E46)*F46*H46</f>
        <v>0</v>
      </c>
      <c r="N46" s="61"/>
    </row>
    <row r="47" spans="1:15" x14ac:dyDescent="0.2">
      <c r="A47" s="111" t="s">
        <v>103</v>
      </c>
      <c r="B47" s="104">
        <v>10</v>
      </c>
      <c r="C47" s="105">
        <v>0</v>
      </c>
      <c r="D47" s="105">
        <v>0</v>
      </c>
      <c r="E47" s="105">
        <f>'Capital vs. O&amp;M'!E10</f>
        <v>42600</v>
      </c>
      <c r="F47" s="104">
        <v>1</v>
      </c>
      <c r="G47" s="104">
        <f>B47*F47</f>
        <v>10</v>
      </c>
      <c r="H47" s="107">
        <v>0</v>
      </c>
      <c r="I47" s="45">
        <f>G47*H47</f>
        <v>0</v>
      </c>
      <c r="J47" s="45">
        <f>I47*0.1</f>
        <v>0</v>
      </c>
      <c r="K47" s="45">
        <f>I47*0.05</f>
        <v>0</v>
      </c>
      <c r="L47" s="105">
        <f t="shared" si="11"/>
        <v>0</v>
      </c>
      <c r="M47" s="105">
        <f>(C47+D47+E47)*F47*H47</f>
        <v>0</v>
      </c>
      <c r="N47" s="66"/>
    </row>
    <row r="48" spans="1:15" s="72" customFormat="1" x14ac:dyDescent="0.2">
      <c r="A48" s="103" t="s">
        <v>43</v>
      </c>
      <c r="B48" s="104" t="s">
        <v>227</v>
      </c>
      <c r="C48" s="105"/>
      <c r="D48" s="105"/>
      <c r="E48" s="105"/>
      <c r="F48" s="104"/>
      <c r="G48" s="104"/>
      <c r="H48" s="45"/>
      <c r="I48" s="45"/>
      <c r="J48" s="45"/>
      <c r="K48" s="45"/>
      <c r="L48" s="105"/>
      <c r="M48" s="105"/>
      <c r="N48" s="70"/>
    </row>
    <row r="49" spans="1:15" x14ac:dyDescent="0.2">
      <c r="A49" s="103" t="s">
        <v>44</v>
      </c>
      <c r="B49" s="104" t="s">
        <v>227</v>
      </c>
      <c r="C49" s="105"/>
      <c r="D49" s="105"/>
      <c r="E49" s="105"/>
      <c r="F49" s="104"/>
      <c r="G49" s="104"/>
      <c r="H49" s="45"/>
      <c r="I49" s="45"/>
      <c r="J49" s="45"/>
      <c r="K49" s="45"/>
      <c r="L49" s="105"/>
      <c r="M49" s="105"/>
      <c r="N49" s="61"/>
    </row>
    <row r="50" spans="1:15" ht="13.5" customHeight="1" x14ac:dyDescent="0.2">
      <c r="A50" s="103" t="s">
        <v>45</v>
      </c>
      <c r="B50" s="104"/>
      <c r="C50" s="105"/>
      <c r="D50" s="105"/>
      <c r="E50" s="105"/>
      <c r="F50" s="104"/>
      <c r="G50" s="104"/>
      <c r="H50" s="45"/>
      <c r="I50" s="45"/>
      <c r="J50" s="45"/>
      <c r="K50" s="45"/>
      <c r="L50" s="105"/>
      <c r="M50" s="105"/>
      <c r="N50" s="61"/>
    </row>
    <row r="51" spans="1:15" x14ac:dyDescent="0.2">
      <c r="A51" s="109" t="s">
        <v>50</v>
      </c>
      <c r="B51" s="104">
        <v>2</v>
      </c>
      <c r="C51" s="105">
        <v>0</v>
      </c>
      <c r="D51" s="105">
        <v>0</v>
      </c>
      <c r="E51" s="105">
        <v>0</v>
      </c>
      <c r="F51" s="104">
        <v>1</v>
      </c>
      <c r="G51" s="104">
        <f>B51*F51</f>
        <v>2</v>
      </c>
      <c r="H51" s="107">
        <v>0</v>
      </c>
      <c r="I51" s="45">
        <f>G51*H51</f>
        <v>0</v>
      </c>
      <c r="J51" s="45">
        <f>I51*0.1</f>
        <v>0</v>
      </c>
      <c r="K51" s="45">
        <f>I51*0.05</f>
        <v>0</v>
      </c>
      <c r="L51" s="105">
        <f t="shared" ref="L51:L53" si="12">(I51*$P$7)+(J51*$P$8)+(K51*$P$6)</f>
        <v>0</v>
      </c>
      <c r="M51" s="105">
        <f>(C51+D51+E51)*F51*H51</f>
        <v>0</v>
      </c>
      <c r="N51" s="61"/>
    </row>
    <row r="52" spans="1:15" x14ac:dyDescent="0.2">
      <c r="A52" s="109" t="s">
        <v>36</v>
      </c>
      <c r="B52" s="104">
        <v>8</v>
      </c>
      <c r="C52" s="105">
        <v>0</v>
      </c>
      <c r="D52" s="105">
        <v>0</v>
      </c>
      <c r="E52" s="105">
        <v>0</v>
      </c>
      <c r="F52" s="104">
        <v>1</v>
      </c>
      <c r="G52" s="104">
        <f>B52*F52</f>
        <v>8</v>
      </c>
      <c r="H52" s="107">
        <v>0</v>
      </c>
      <c r="I52" s="45">
        <f>G52*H52</f>
        <v>0</v>
      </c>
      <c r="J52" s="45">
        <f>I52*0.1</f>
        <v>0</v>
      </c>
      <c r="K52" s="45">
        <f>I52*0.05</f>
        <v>0</v>
      </c>
      <c r="L52" s="105">
        <f t="shared" si="12"/>
        <v>0</v>
      </c>
      <c r="M52" s="105">
        <f>(C52+D52+E52)*F52*H52</f>
        <v>0</v>
      </c>
      <c r="N52" s="61"/>
    </row>
    <row r="53" spans="1:15" x14ac:dyDescent="0.2">
      <c r="A53" s="112" t="s">
        <v>55</v>
      </c>
      <c r="B53" s="104">
        <v>20</v>
      </c>
      <c r="C53" s="105">
        <v>0</v>
      </c>
      <c r="D53" s="105">
        <v>0</v>
      </c>
      <c r="E53" s="105">
        <v>0</v>
      </c>
      <c r="F53" s="104">
        <v>2</v>
      </c>
      <c r="G53" s="104">
        <f>B53*F53</f>
        <v>40</v>
      </c>
      <c r="H53" s="107">
        <v>0</v>
      </c>
      <c r="I53" s="45">
        <f>G53*H53</f>
        <v>0</v>
      </c>
      <c r="J53" s="45">
        <f>I53*0.1</f>
        <v>0</v>
      </c>
      <c r="K53" s="45">
        <f>I53*0.05</f>
        <v>0</v>
      </c>
      <c r="L53" s="105">
        <f t="shared" si="12"/>
        <v>0</v>
      </c>
      <c r="M53" s="105">
        <f>(C53+D53+E53)*F53*H53</f>
        <v>0</v>
      </c>
      <c r="N53" s="61"/>
    </row>
    <row r="54" spans="1:15" ht="13.5" x14ac:dyDescent="0.25">
      <c r="A54" s="117" t="s">
        <v>107</v>
      </c>
      <c r="B54" s="118"/>
      <c r="C54" s="119"/>
      <c r="D54" s="119"/>
      <c r="E54" s="119"/>
      <c r="F54" s="118"/>
      <c r="G54" s="118"/>
      <c r="H54" s="116"/>
      <c r="I54" s="237">
        <f>SUM(I8:K53)</f>
        <v>34.5</v>
      </c>
      <c r="J54" s="243"/>
      <c r="K54" s="243"/>
      <c r="L54" s="120">
        <f>SUM(L8:L53)</f>
        <v>3995.7</v>
      </c>
      <c r="M54" s="120">
        <f>SUM(M26,M29,M32,M35,M38,M41,M44,M47)</f>
        <v>0</v>
      </c>
      <c r="N54" s="61"/>
    </row>
    <row r="55" spans="1:15" x14ac:dyDescent="0.2">
      <c r="A55" s="103" t="s">
        <v>49</v>
      </c>
      <c r="B55" s="104"/>
      <c r="C55" s="105"/>
      <c r="D55" s="105"/>
      <c r="E55" s="105"/>
      <c r="F55" s="104"/>
      <c r="G55" s="104"/>
      <c r="H55" s="45"/>
      <c r="I55" s="45"/>
      <c r="J55" s="45"/>
      <c r="K55" s="45"/>
      <c r="L55" s="105"/>
      <c r="M55" s="105"/>
      <c r="N55" s="61"/>
    </row>
    <row r="56" spans="1:15" x14ac:dyDescent="0.2">
      <c r="A56" s="106" t="s">
        <v>339</v>
      </c>
      <c r="B56" s="121" t="s">
        <v>46</v>
      </c>
      <c r="C56" s="105"/>
      <c r="D56" s="105"/>
      <c r="E56" s="105"/>
      <c r="F56" s="104"/>
      <c r="G56" s="104"/>
      <c r="H56" s="45"/>
      <c r="I56" s="45"/>
      <c r="J56" s="45"/>
      <c r="K56" s="45"/>
      <c r="L56" s="105"/>
      <c r="M56" s="105"/>
      <c r="N56" s="61"/>
    </row>
    <row r="57" spans="1:15" x14ac:dyDescent="0.2">
      <c r="A57" s="108" t="s">
        <v>94</v>
      </c>
      <c r="B57" s="104" t="s">
        <v>227</v>
      </c>
      <c r="C57" s="105"/>
      <c r="D57" s="105"/>
      <c r="E57" s="105"/>
      <c r="F57" s="104"/>
      <c r="G57" s="104"/>
      <c r="H57" s="45"/>
      <c r="I57" s="45"/>
      <c r="J57" s="45"/>
      <c r="K57" s="45"/>
      <c r="L57" s="105"/>
      <c r="M57" s="105"/>
      <c r="N57" s="61"/>
    </row>
    <row r="58" spans="1:15" x14ac:dyDescent="0.2">
      <c r="A58" s="108" t="s">
        <v>95</v>
      </c>
      <c r="B58" s="104" t="s">
        <v>227</v>
      </c>
      <c r="C58" s="105"/>
      <c r="D58" s="105"/>
      <c r="E58" s="105"/>
      <c r="F58" s="104"/>
      <c r="G58" s="104"/>
      <c r="H58" s="45"/>
      <c r="I58" s="45"/>
      <c r="J58" s="45"/>
      <c r="K58" s="45"/>
      <c r="L58" s="105"/>
      <c r="M58" s="105"/>
      <c r="N58" s="61"/>
    </row>
    <row r="59" spans="1:15" x14ac:dyDescent="0.2">
      <c r="A59" s="108" t="s">
        <v>96</v>
      </c>
      <c r="B59" s="104"/>
      <c r="C59" s="105"/>
      <c r="D59" s="105"/>
      <c r="E59" s="105"/>
      <c r="F59" s="104"/>
      <c r="G59" s="104"/>
      <c r="H59" s="45"/>
      <c r="I59" s="45"/>
      <c r="J59" s="45"/>
      <c r="K59" s="45"/>
      <c r="L59" s="105"/>
      <c r="M59" s="105"/>
      <c r="N59" s="61"/>
    </row>
    <row r="60" spans="1:15" x14ac:dyDescent="0.2">
      <c r="A60" s="112" t="s">
        <v>167</v>
      </c>
      <c r="B60" s="104">
        <v>20</v>
      </c>
      <c r="C60" s="105">
        <v>0</v>
      </c>
      <c r="D60" s="105">
        <v>0</v>
      </c>
      <c r="E60" s="105">
        <v>0</v>
      </c>
      <c r="F60" s="104">
        <v>1</v>
      </c>
      <c r="G60" s="104">
        <f t="shared" ref="G60:G66" si="13">B60*F60</f>
        <v>20</v>
      </c>
      <c r="H60" s="107">
        <v>0</v>
      </c>
      <c r="I60" s="45">
        <f t="shared" ref="I60:I66" si="14">G60*H60</f>
        <v>0</v>
      </c>
      <c r="J60" s="45">
        <f t="shared" ref="J60:J66" si="15">I60*0.1</f>
        <v>0</v>
      </c>
      <c r="K60" s="45">
        <f t="shared" ref="K60:K66" si="16">I60*0.05</f>
        <v>0</v>
      </c>
      <c r="L60" s="105">
        <f t="shared" ref="L60:L66" si="17">(I60*$P$7)+(J60*$P$8)+(K60*$P$6)</f>
        <v>0</v>
      </c>
      <c r="M60" s="105">
        <f t="shared" ref="M60:M66" si="18">(C60+D60+E60)*F60*H60</f>
        <v>0</v>
      </c>
      <c r="N60" s="61"/>
    </row>
    <row r="61" spans="1:15" x14ac:dyDescent="0.2">
      <c r="A61" s="109" t="s">
        <v>35</v>
      </c>
      <c r="B61" s="104">
        <v>15</v>
      </c>
      <c r="C61" s="105">
        <v>0</v>
      </c>
      <c r="D61" s="105">
        <v>0</v>
      </c>
      <c r="E61" s="105">
        <v>0</v>
      </c>
      <c r="F61" s="104">
        <v>1</v>
      </c>
      <c r="G61" s="104">
        <f t="shared" si="13"/>
        <v>15</v>
      </c>
      <c r="H61" s="107">
        <v>0</v>
      </c>
      <c r="I61" s="45">
        <f t="shared" si="14"/>
        <v>0</v>
      </c>
      <c r="J61" s="45">
        <f t="shared" si="15"/>
        <v>0</v>
      </c>
      <c r="K61" s="45">
        <f t="shared" si="16"/>
        <v>0</v>
      </c>
      <c r="L61" s="105">
        <f t="shared" si="17"/>
        <v>0</v>
      </c>
      <c r="M61" s="105">
        <f t="shared" si="18"/>
        <v>0</v>
      </c>
      <c r="N61" s="61"/>
    </row>
    <row r="62" spans="1:15" s="72" customFormat="1" x14ac:dyDescent="0.2">
      <c r="A62" s="112" t="s">
        <v>168</v>
      </c>
      <c r="B62" s="104">
        <v>2</v>
      </c>
      <c r="C62" s="105">
        <v>0</v>
      </c>
      <c r="D62" s="105">
        <v>0</v>
      </c>
      <c r="E62" s="105">
        <v>0</v>
      </c>
      <c r="F62" s="104">
        <v>1</v>
      </c>
      <c r="G62" s="104">
        <f t="shared" si="13"/>
        <v>2</v>
      </c>
      <c r="H62" s="107">
        <v>0</v>
      </c>
      <c r="I62" s="45">
        <f t="shared" si="14"/>
        <v>0</v>
      </c>
      <c r="J62" s="45">
        <f t="shared" si="15"/>
        <v>0</v>
      </c>
      <c r="K62" s="45">
        <f t="shared" si="16"/>
        <v>0</v>
      </c>
      <c r="L62" s="105">
        <f t="shared" si="17"/>
        <v>0</v>
      </c>
      <c r="M62" s="105">
        <f t="shared" si="18"/>
        <v>0</v>
      </c>
      <c r="N62" s="68"/>
    </row>
    <row r="63" spans="1:15" s="72" customFormat="1" x14ac:dyDescent="0.2">
      <c r="A63" s="109" t="s">
        <v>169</v>
      </c>
      <c r="B63" s="104">
        <v>2</v>
      </c>
      <c r="C63" s="105">
        <v>0</v>
      </c>
      <c r="D63" s="105">
        <v>0</v>
      </c>
      <c r="E63" s="105">
        <v>0</v>
      </c>
      <c r="F63" s="104">
        <v>1</v>
      </c>
      <c r="G63" s="104">
        <f t="shared" si="13"/>
        <v>2</v>
      </c>
      <c r="H63" s="107">
        <v>0</v>
      </c>
      <c r="I63" s="45">
        <f t="shared" si="14"/>
        <v>0</v>
      </c>
      <c r="J63" s="45">
        <f t="shared" si="15"/>
        <v>0</v>
      </c>
      <c r="K63" s="45">
        <f t="shared" si="16"/>
        <v>0</v>
      </c>
      <c r="L63" s="105">
        <f t="shared" si="17"/>
        <v>0</v>
      </c>
      <c r="M63" s="105">
        <f t="shared" si="18"/>
        <v>0</v>
      </c>
      <c r="N63" s="67"/>
      <c r="O63" s="75"/>
    </row>
    <row r="64" spans="1:15" s="72" customFormat="1" ht="25.5" x14ac:dyDescent="0.2">
      <c r="A64" s="109" t="s">
        <v>170</v>
      </c>
      <c r="B64" s="104">
        <v>2</v>
      </c>
      <c r="C64" s="105">
        <v>0</v>
      </c>
      <c r="D64" s="105">
        <v>0</v>
      </c>
      <c r="E64" s="105">
        <v>0</v>
      </c>
      <c r="F64" s="104">
        <v>2</v>
      </c>
      <c r="G64" s="104">
        <f t="shared" si="13"/>
        <v>4</v>
      </c>
      <c r="H64" s="107">
        <v>0</v>
      </c>
      <c r="I64" s="45">
        <f t="shared" si="14"/>
        <v>0</v>
      </c>
      <c r="J64" s="45">
        <f t="shared" si="15"/>
        <v>0</v>
      </c>
      <c r="K64" s="45">
        <f t="shared" si="16"/>
        <v>0</v>
      </c>
      <c r="L64" s="105">
        <f t="shared" si="17"/>
        <v>0</v>
      </c>
      <c r="M64" s="105">
        <f t="shared" si="18"/>
        <v>0</v>
      </c>
      <c r="N64" s="67"/>
      <c r="O64" s="75"/>
    </row>
    <row r="65" spans="1:15" s="72" customFormat="1" x14ac:dyDescent="0.2">
      <c r="A65" s="109" t="s">
        <v>171</v>
      </c>
      <c r="B65" s="104">
        <v>0.5</v>
      </c>
      <c r="C65" s="105">
        <v>0</v>
      </c>
      <c r="D65" s="105">
        <v>0</v>
      </c>
      <c r="E65" s="105">
        <v>0</v>
      </c>
      <c r="F65" s="104">
        <v>12</v>
      </c>
      <c r="G65" s="104">
        <f t="shared" si="13"/>
        <v>6</v>
      </c>
      <c r="H65" s="107">
        <v>0</v>
      </c>
      <c r="I65" s="45">
        <f t="shared" si="14"/>
        <v>0</v>
      </c>
      <c r="J65" s="45">
        <f t="shared" si="15"/>
        <v>0</v>
      </c>
      <c r="K65" s="45">
        <f t="shared" si="16"/>
        <v>0</v>
      </c>
      <c r="L65" s="105">
        <f t="shared" si="17"/>
        <v>0</v>
      </c>
      <c r="M65" s="105">
        <f t="shared" si="18"/>
        <v>0</v>
      </c>
      <c r="N65" s="67"/>
      <c r="O65" s="75"/>
    </row>
    <row r="66" spans="1:15" s="72" customFormat="1" x14ac:dyDescent="0.2">
      <c r="A66" s="103" t="s">
        <v>47</v>
      </c>
      <c r="B66" s="104">
        <v>40</v>
      </c>
      <c r="C66" s="105">
        <v>0</v>
      </c>
      <c r="D66" s="105">
        <v>0</v>
      </c>
      <c r="E66" s="105">
        <v>0</v>
      </c>
      <c r="F66" s="104">
        <v>1</v>
      </c>
      <c r="G66" s="104">
        <f t="shared" si="13"/>
        <v>40</v>
      </c>
      <c r="H66" s="107">
        <v>0</v>
      </c>
      <c r="I66" s="45">
        <f t="shared" si="14"/>
        <v>0</v>
      </c>
      <c r="J66" s="45">
        <f t="shared" si="15"/>
        <v>0</v>
      </c>
      <c r="K66" s="45">
        <f t="shared" si="16"/>
        <v>0</v>
      </c>
      <c r="L66" s="105">
        <f t="shared" si="17"/>
        <v>0</v>
      </c>
      <c r="M66" s="105">
        <f t="shared" si="18"/>
        <v>0</v>
      </c>
      <c r="N66" s="67"/>
      <c r="O66" s="75"/>
    </row>
    <row r="67" spans="1:15" ht="14.25" customHeight="1" x14ac:dyDescent="0.2">
      <c r="A67" s="103" t="s">
        <v>48</v>
      </c>
      <c r="B67" s="104" t="s">
        <v>227</v>
      </c>
      <c r="C67" s="105"/>
      <c r="D67" s="105"/>
      <c r="E67" s="105"/>
      <c r="F67" s="104"/>
      <c r="G67" s="104"/>
      <c r="H67" s="45"/>
      <c r="I67" s="45"/>
      <c r="J67" s="45"/>
      <c r="K67" s="45"/>
      <c r="L67" s="105"/>
      <c r="M67" s="105"/>
    </row>
    <row r="68" spans="1:15" s="85" customFormat="1" ht="13.5" x14ac:dyDescent="0.25">
      <c r="A68" s="122" t="s">
        <v>108</v>
      </c>
      <c r="B68" s="118"/>
      <c r="C68" s="119"/>
      <c r="D68" s="119"/>
      <c r="E68" s="119"/>
      <c r="F68" s="118"/>
      <c r="G68" s="118"/>
      <c r="H68" s="123"/>
      <c r="I68" s="237">
        <f>SUM(I60:K67)</f>
        <v>0</v>
      </c>
      <c r="J68" s="243"/>
      <c r="K68" s="243"/>
      <c r="L68" s="120">
        <f>SUM(L56:L67)</f>
        <v>0</v>
      </c>
      <c r="M68" s="120">
        <f>SUM(M56:M67)</f>
        <v>0</v>
      </c>
      <c r="N68" s="84"/>
    </row>
    <row r="69" spans="1:15" s="85" customFormat="1" ht="17.25" customHeight="1" x14ac:dyDescent="0.2">
      <c r="A69" s="56" t="s">
        <v>126</v>
      </c>
      <c r="B69" s="118"/>
      <c r="C69" s="119"/>
      <c r="D69" s="119"/>
      <c r="E69" s="119"/>
      <c r="F69" s="118"/>
      <c r="G69" s="118"/>
      <c r="H69" s="123"/>
      <c r="I69" s="238">
        <f>I54+I68</f>
        <v>34.5</v>
      </c>
      <c r="J69" s="238"/>
      <c r="K69" s="238"/>
      <c r="L69" s="119">
        <f>ROUND(L54+L68,-1)</f>
        <v>4000</v>
      </c>
      <c r="M69" s="119"/>
      <c r="N69" s="86"/>
    </row>
    <row r="70" spans="1:15" ht="15.75" x14ac:dyDescent="0.2">
      <c r="A70" s="56" t="s">
        <v>127</v>
      </c>
      <c r="B70" s="118"/>
      <c r="C70" s="119"/>
      <c r="D70" s="119"/>
      <c r="E70" s="119"/>
      <c r="F70" s="118"/>
      <c r="G70" s="118"/>
      <c r="H70" s="123"/>
      <c r="I70" s="123"/>
      <c r="J70" s="118"/>
      <c r="K70" s="118"/>
      <c r="L70" s="119"/>
      <c r="M70" s="119">
        <f>M54+M68</f>
        <v>0</v>
      </c>
    </row>
    <row r="71" spans="1:15" ht="15.75" x14ac:dyDescent="0.2">
      <c r="A71" s="56" t="s">
        <v>128</v>
      </c>
      <c r="B71" s="118"/>
      <c r="C71" s="119"/>
      <c r="D71" s="119"/>
      <c r="E71" s="119"/>
      <c r="F71" s="118"/>
      <c r="G71" s="118"/>
      <c r="H71" s="123"/>
      <c r="I71" s="123"/>
      <c r="J71" s="118"/>
      <c r="K71" s="118"/>
      <c r="L71" s="119"/>
      <c r="M71" s="119">
        <f>ROUND(M70+L69,-1)</f>
        <v>4000</v>
      </c>
    </row>
    <row r="72" spans="1:15" x14ac:dyDescent="0.2">
      <c r="A72" s="67"/>
      <c r="B72" s="67"/>
      <c r="C72" s="67"/>
      <c r="D72" s="67"/>
      <c r="E72" s="68"/>
      <c r="F72" s="67"/>
      <c r="G72" s="67"/>
      <c r="H72" s="76"/>
      <c r="I72" s="82"/>
      <c r="J72" s="83"/>
      <c r="K72" s="83"/>
      <c r="L72" s="68"/>
      <c r="M72" s="68"/>
    </row>
    <row r="73" spans="1:15" x14ac:dyDescent="0.2">
      <c r="A73" s="72" t="s">
        <v>109</v>
      </c>
    </row>
    <row r="74" spans="1:15" ht="26.25" customHeight="1" x14ac:dyDescent="0.2">
      <c r="A74" s="242" t="s">
        <v>219</v>
      </c>
      <c r="B74" s="242"/>
      <c r="C74" s="242"/>
      <c r="D74" s="242"/>
      <c r="E74" s="242"/>
      <c r="F74" s="242"/>
      <c r="G74" s="242"/>
      <c r="H74" s="242"/>
      <c r="I74" s="242"/>
      <c r="J74" s="242"/>
      <c r="K74" s="242"/>
      <c r="L74" s="242"/>
      <c r="M74" s="242"/>
    </row>
    <row r="75" spans="1:15" ht="26.25" customHeight="1" x14ac:dyDescent="0.2">
      <c r="A75" s="234" t="s">
        <v>202</v>
      </c>
      <c r="B75" s="234"/>
      <c r="C75" s="234"/>
      <c r="D75" s="234"/>
      <c r="E75" s="234"/>
      <c r="F75" s="234"/>
      <c r="G75" s="234"/>
      <c r="H75" s="234"/>
      <c r="I75" s="234"/>
      <c r="J75" s="234"/>
      <c r="K75" s="234"/>
      <c r="L75" s="234"/>
      <c r="M75" s="234"/>
    </row>
    <row r="76" spans="1:15" ht="27" customHeight="1" x14ac:dyDescent="0.2">
      <c r="A76" s="234" t="s">
        <v>345</v>
      </c>
      <c r="B76" s="234"/>
      <c r="C76" s="234"/>
      <c r="D76" s="234"/>
      <c r="E76" s="234"/>
      <c r="F76" s="234"/>
      <c r="G76" s="234"/>
      <c r="H76" s="234"/>
      <c r="I76" s="234"/>
      <c r="J76" s="234"/>
      <c r="K76" s="234"/>
      <c r="L76" s="234"/>
      <c r="M76" s="234"/>
    </row>
    <row r="77" spans="1:15" x14ac:dyDescent="0.2">
      <c r="A77" s="57" t="s">
        <v>330</v>
      </c>
    </row>
  </sheetData>
  <mergeCells count="8">
    <mergeCell ref="A76:M76"/>
    <mergeCell ref="A1:M1"/>
    <mergeCell ref="O5:P5"/>
    <mergeCell ref="A74:M74"/>
    <mergeCell ref="A75:M75"/>
    <mergeCell ref="I54:K54"/>
    <mergeCell ref="I68:K68"/>
    <mergeCell ref="I69:K69"/>
  </mergeCells>
  <phoneticPr fontId="5" type="noConversion"/>
  <pageMargins left="0.25" right="0.25" top="0.5" bottom="0.25" header="0.5" footer="0.5"/>
  <pageSetup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04745-CD9E-43B7-91B2-3753D29B578D}">
  <sheetPr>
    <pageSetUpPr fitToPage="1"/>
  </sheetPr>
  <dimension ref="A1:P76"/>
  <sheetViews>
    <sheetView topLeftCell="A22" zoomScale="85" zoomScaleNormal="85" workbookViewId="0">
      <selection activeCell="M54" sqref="M54"/>
    </sheetView>
  </sheetViews>
  <sheetFormatPr defaultColWidth="9.140625" defaultRowHeight="12.75" x14ac:dyDescent="0.2"/>
  <cols>
    <col min="1" max="1" width="38.28515625" style="57" customWidth="1"/>
    <col min="2" max="7" width="11.5703125" style="77" customWidth="1"/>
    <col min="8" max="8" width="11.5703125" style="78" customWidth="1"/>
    <col min="9" max="12" width="11.5703125" style="77" customWidth="1"/>
    <col min="13" max="13" width="13.28515625" style="79" customWidth="1"/>
    <col min="14" max="14" width="3.7109375" style="79" customWidth="1"/>
    <col min="15" max="15" width="14" style="57" customWidth="1"/>
    <col min="16" max="16" width="11.140625" style="57" customWidth="1"/>
    <col min="17" max="17" width="11.5703125" style="57" customWidth="1"/>
    <col min="18" max="18" width="8.140625" style="57" customWidth="1"/>
    <col min="19" max="16384" width="9.140625" style="57"/>
  </cols>
  <sheetData>
    <row r="1" spans="1:16" ht="38.25" customHeight="1" x14ac:dyDescent="0.2">
      <c r="A1" s="235" t="s">
        <v>212</v>
      </c>
      <c r="B1" s="235"/>
      <c r="C1" s="235"/>
      <c r="D1" s="235"/>
      <c r="E1" s="235"/>
      <c r="F1" s="235"/>
      <c r="G1" s="235"/>
      <c r="H1" s="235"/>
      <c r="I1" s="235"/>
      <c r="J1" s="235"/>
      <c r="K1" s="235"/>
      <c r="L1" s="235"/>
      <c r="M1" s="235"/>
      <c r="N1" s="125"/>
    </row>
    <row r="2" spans="1:16" x14ac:dyDescent="0.2">
      <c r="A2" s="83" t="s">
        <v>81</v>
      </c>
      <c r="B2" s="96"/>
      <c r="C2" s="96"/>
      <c r="D2" s="96"/>
      <c r="E2" s="96"/>
      <c r="F2" s="96"/>
      <c r="G2" s="96"/>
      <c r="H2" s="96"/>
      <c r="I2" s="96"/>
      <c r="J2" s="96"/>
      <c r="K2" s="96"/>
      <c r="L2" s="96"/>
      <c r="M2" s="96"/>
      <c r="N2" s="96"/>
    </row>
    <row r="3" spans="1:16" x14ac:dyDescent="0.2">
      <c r="A3" s="83"/>
      <c r="B3" s="83"/>
      <c r="C3" s="83"/>
      <c r="D3" s="83"/>
      <c r="E3" s="83"/>
      <c r="F3" s="83"/>
      <c r="G3" s="83"/>
      <c r="H3" s="83"/>
      <c r="I3" s="83"/>
      <c r="J3" s="83"/>
      <c r="K3" s="83"/>
      <c r="L3" s="83"/>
      <c r="M3" s="83"/>
      <c r="N3" s="83"/>
    </row>
    <row r="4" spans="1:16" s="60" customFormat="1" ht="76.5" x14ac:dyDescent="0.2">
      <c r="A4" s="100" t="s">
        <v>38</v>
      </c>
      <c r="B4" s="100" t="s">
        <v>253</v>
      </c>
      <c r="C4" s="100" t="s">
        <v>130</v>
      </c>
      <c r="D4" s="100" t="s">
        <v>124</v>
      </c>
      <c r="E4" s="100" t="s">
        <v>125</v>
      </c>
      <c r="F4" s="100" t="s">
        <v>129</v>
      </c>
      <c r="G4" s="100" t="s">
        <v>254</v>
      </c>
      <c r="H4" s="101" t="s">
        <v>299</v>
      </c>
      <c r="I4" s="102" t="s">
        <v>256</v>
      </c>
      <c r="J4" s="102" t="s">
        <v>257</v>
      </c>
      <c r="K4" s="102" t="s">
        <v>258</v>
      </c>
      <c r="L4" s="100" t="s">
        <v>300</v>
      </c>
      <c r="M4" s="230" t="s">
        <v>337</v>
      </c>
      <c r="N4" s="44"/>
    </row>
    <row r="5" spans="1:16" x14ac:dyDescent="0.2">
      <c r="A5" s="103" t="s">
        <v>39</v>
      </c>
      <c r="B5" s="104" t="s">
        <v>227</v>
      </c>
      <c r="C5" s="105"/>
      <c r="D5" s="105"/>
      <c r="E5" s="105"/>
      <c r="F5" s="104"/>
      <c r="G5" s="104"/>
      <c r="H5" s="45"/>
      <c r="I5" s="45"/>
      <c r="J5" s="45"/>
      <c r="K5" s="45"/>
      <c r="L5" s="105"/>
      <c r="M5" s="105"/>
      <c r="N5" s="61"/>
      <c r="O5" s="236" t="s">
        <v>122</v>
      </c>
      <c r="P5" s="236"/>
    </row>
    <row r="6" spans="1:16" x14ac:dyDescent="0.2">
      <c r="A6" s="103" t="s">
        <v>40</v>
      </c>
      <c r="B6" s="104" t="s">
        <v>227</v>
      </c>
      <c r="C6" s="105"/>
      <c r="D6" s="105"/>
      <c r="E6" s="105"/>
      <c r="F6" s="104"/>
      <c r="G6" s="104"/>
      <c r="H6" s="45"/>
      <c r="I6" s="45"/>
      <c r="J6" s="45"/>
      <c r="K6" s="45"/>
      <c r="L6" s="105"/>
      <c r="M6" s="105"/>
      <c r="N6" s="61"/>
      <c r="O6" s="46" t="s">
        <v>123</v>
      </c>
      <c r="P6" s="188">
        <v>141.06</v>
      </c>
    </row>
    <row r="7" spans="1:16" x14ac:dyDescent="0.2">
      <c r="A7" s="103" t="s">
        <v>41</v>
      </c>
      <c r="B7" s="104"/>
      <c r="C7" s="105"/>
      <c r="D7" s="105"/>
      <c r="E7" s="105"/>
      <c r="F7" s="104"/>
      <c r="G7" s="104"/>
      <c r="H7" s="45"/>
      <c r="I7" s="45"/>
      <c r="J7" s="45"/>
      <c r="K7" s="45"/>
      <c r="L7" s="105"/>
      <c r="M7" s="105"/>
      <c r="N7" s="61"/>
      <c r="O7" s="46" t="s">
        <v>51</v>
      </c>
      <c r="P7" s="188">
        <v>120.27</v>
      </c>
    </row>
    <row r="8" spans="1:16" ht="25.5" x14ac:dyDescent="0.2">
      <c r="A8" s="126" t="s">
        <v>341</v>
      </c>
      <c r="B8" s="104">
        <v>10</v>
      </c>
      <c r="C8" s="105">
        <v>0</v>
      </c>
      <c r="D8" s="105">
        <v>0</v>
      </c>
      <c r="E8" s="105">
        <v>0</v>
      </c>
      <c r="F8" s="104">
        <v>1</v>
      </c>
      <c r="G8" s="104">
        <f>B8*F8</f>
        <v>10</v>
      </c>
      <c r="H8" s="107">
        <v>0</v>
      </c>
      <c r="I8" s="45">
        <f>G8*H8</f>
        <v>0</v>
      </c>
      <c r="J8" s="45">
        <f>I8*0.1</f>
        <v>0</v>
      </c>
      <c r="K8" s="107">
        <f>I8*0.05</f>
        <v>0</v>
      </c>
      <c r="L8" s="105">
        <f>(I8*$P$7)+(J8*$P$8)+(K8*$P$6)</f>
        <v>0</v>
      </c>
      <c r="M8" s="105">
        <f>(C8+D8+E8)*F8*H8</f>
        <v>0</v>
      </c>
      <c r="N8" s="61"/>
      <c r="O8" s="46" t="s">
        <v>52</v>
      </c>
      <c r="P8" s="188">
        <v>58.67</v>
      </c>
    </row>
    <row r="9" spans="1:16" x14ac:dyDescent="0.2">
      <c r="A9" s="103" t="s">
        <v>42</v>
      </c>
      <c r="B9" s="104"/>
      <c r="C9" s="105"/>
      <c r="D9" s="105"/>
      <c r="E9" s="105"/>
      <c r="F9" s="104"/>
      <c r="G9" s="104"/>
      <c r="H9" s="45"/>
      <c r="I9" s="45"/>
      <c r="J9" s="45"/>
      <c r="K9" s="45"/>
      <c r="L9" s="105"/>
      <c r="M9" s="105"/>
      <c r="N9" s="61"/>
      <c r="O9" s="80"/>
    </row>
    <row r="10" spans="1:16" x14ac:dyDescent="0.2">
      <c r="A10" s="109" t="s">
        <v>172</v>
      </c>
      <c r="B10" s="104">
        <v>12</v>
      </c>
      <c r="C10" s="105">
        <v>0</v>
      </c>
      <c r="D10" s="105">
        <f>'TBL1-YR1'!D13</f>
        <v>5000</v>
      </c>
      <c r="E10" s="105">
        <v>0</v>
      </c>
      <c r="F10" s="104">
        <v>1</v>
      </c>
      <c r="G10" s="104">
        <f t="shared" ref="G10:G21" si="0">B10*F10</f>
        <v>12</v>
      </c>
      <c r="H10" s="107">
        <v>0</v>
      </c>
      <c r="I10" s="45">
        <f t="shared" ref="I10:I20" si="1">G10*H10</f>
        <v>0</v>
      </c>
      <c r="J10" s="45">
        <f t="shared" ref="J10:J20" si="2">I10*0.1</f>
        <v>0</v>
      </c>
      <c r="K10" s="45">
        <f t="shared" ref="K10:K20" si="3">I10*0.05</f>
        <v>0</v>
      </c>
      <c r="L10" s="105">
        <f t="shared" ref="L10:L21" si="4">(I10*$P$7)+(J10*$P$8)+(K10*$P$6)</f>
        <v>0</v>
      </c>
      <c r="M10" s="105">
        <f t="shared" ref="M10:M20" si="5">(C10+D10+E10)*F10*H10</f>
        <v>0</v>
      </c>
      <c r="N10" s="61"/>
      <c r="O10" s="80"/>
    </row>
    <row r="11" spans="1:16" x14ac:dyDescent="0.2">
      <c r="A11" s="109" t="s">
        <v>173</v>
      </c>
      <c r="B11" s="104">
        <v>12</v>
      </c>
      <c r="C11" s="105">
        <v>0</v>
      </c>
      <c r="D11" s="105">
        <f>'TBL1-YR1'!D14</f>
        <v>8000</v>
      </c>
      <c r="E11" s="105">
        <v>0</v>
      </c>
      <c r="F11" s="104">
        <v>1</v>
      </c>
      <c r="G11" s="104">
        <f t="shared" si="0"/>
        <v>12</v>
      </c>
      <c r="H11" s="107">
        <v>0</v>
      </c>
      <c r="I11" s="45">
        <f t="shared" si="1"/>
        <v>0</v>
      </c>
      <c r="J11" s="45">
        <f t="shared" si="2"/>
        <v>0</v>
      </c>
      <c r="K11" s="45">
        <f t="shared" si="3"/>
        <v>0</v>
      </c>
      <c r="L11" s="105">
        <f t="shared" si="4"/>
        <v>0</v>
      </c>
      <c r="M11" s="105">
        <f t="shared" si="5"/>
        <v>0</v>
      </c>
      <c r="N11" s="61"/>
      <c r="O11" s="80"/>
    </row>
    <row r="12" spans="1:16" x14ac:dyDescent="0.2">
      <c r="A12" s="109" t="s">
        <v>174</v>
      </c>
      <c r="B12" s="104">
        <v>12</v>
      </c>
      <c r="C12" s="105">
        <v>0</v>
      </c>
      <c r="D12" s="105">
        <f>'TBL1-YR1'!D15</f>
        <v>8000</v>
      </c>
      <c r="E12" s="105">
        <v>0</v>
      </c>
      <c r="F12" s="104">
        <v>1</v>
      </c>
      <c r="G12" s="104">
        <f t="shared" si="0"/>
        <v>12</v>
      </c>
      <c r="H12" s="107">
        <v>0</v>
      </c>
      <c r="I12" s="45">
        <f t="shared" si="1"/>
        <v>0</v>
      </c>
      <c r="J12" s="45">
        <f t="shared" si="2"/>
        <v>0</v>
      </c>
      <c r="K12" s="45">
        <f t="shared" si="3"/>
        <v>0</v>
      </c>
      <c r="L12" s="105">
        <f t="shared" si="4"/>
        <v>0</v>
      </c>
      <c r="M12" s="105">
        <f t="shared" si="5"/>
        <v>0</v>
      </c>
      <c r="N12" s="61"/>
      <c r="O12" s="80"/>
    </row>
    <row r="13" spans="1:16" x14ac:dyDescent="0.2">
      <c r="A13" s="109" t="s">
        <v>175</v>
      </c>
      <c r="B13" s="104">
        <v>12</v>
      </c>
      <c r="C13" s="105">
        <v>0</v>
      </c>
      <c r="D13" s="105">
        <f>'TBL1-YR1'!D16</f>
        <v>7000</v>
      </c>
      <c r="E13" s="105">
        <v>0</v>
      </c>
      <c r="F13" s="104">
        <v>1</v>
      </c>
      <c r="G13" s="104">
        <f t="shared" si="0"/>
        <v>12</v>
      </c>
      <c r="H13" s="107">
        <v>0</v>
      </c>
      <c r="I13" s="45">
        <f t="shared" si="1"/>
        <v>0</v>
      </c>
      <c r="J13" s="45">
        <f t="shared" si="2"/>
        <v>0</v>
      </c>
      <c r="K13" s="45">
        <f t="shared" si="3"/>
        <v>0</v>
      </c>
      <c r="L13" s="105">
        <f t="shared" si="4"/>
        <v>0</v>
      </c>
      <c r="M13" s="105">
        <f t="shared" si="5"/>
        <v>0</v>
      </c>
      <c r="N13" s="61"/>
      <c r="O13" s="80"/>
    </row>
    <row r="14" spans="1:16" ht="13.5" customHeight="1" x14ac:dyDescent="0.2">
      <c r="A14" s="109" t="s">
        <v>176</v>
      </c>
      <c r="B14" s="104">
        <v>12</v>
      </c>
      <c r="C14" s="105">
        <v>0</v>
      </c>
      <c r="D14" s="105">
        <f>'TBL1-YR1'!D17</f>
        <v>5000</v>
      </c>
      <c r="E14" s="105">
        <v>0</v>
      </c>
      <c r="F14" s="104">
        <v>1</v>
      </c>
      <c r="G14" s="104">
        <f t="shared" si="0"/>
        <v>12</v>
      </c>
      <c r="H14" s="107">
        <v>0</v>
      </c>
      <c r="I14" s="45">
        <f t="shared" si="1"/>
        <v>0</v>
      </c>
      <c r="J14" s="45">
        <f t="shared" si="2"/>
        <v>0</v>
      </c>
      <c r="K14" s="45">
        <f t="shared" si="3"/>
        <v>0</v>
      </c>
      <c r="L14" s="105">
        <f t="shared" si="4"/>
        <v>0</v>
      </c>
      <c r="M14" s="105">
        <f t="shared" si="5"/>
        <v>0</v>
      </c>
      <c r="N14" s="61"/>
      <c r="O14" s="80"/>
    </row>
    <row r="15" spans="1:16" ht="13.5" customHeight="1" x14ac:dyDescent="0.2">
      <c r="A15" s="109" t="s">
        <v>177</v>
      </c>
      <c r="B15" s="104">
        <v>12</v>
      </c>
      <c r="C15" s="105">
        <v>0</v>
      </c>
      <c r="D15" s="105">
        <f>'TBL1-YR1'!D18</f>
        <v>8000</v>
      </c>
      <c r="E15" s="105">
        <v>0</v>
      </c>
      <c r="F15" s="104">
        <v>1</v>
      </c>
      <c r="G15" s="104">
        <f t="shared" si="0"/>
        <v>12</v>
      </c>
      <c r="H15" s="107">
        <v>0</v>
      </c>
      <c r="I15" s="45">
        <f t="shared" si="1"/>
        <v>0</v>
      </c>
      <c r="J15" s="45">
        <f t="shared" si="2"/>
        <v>0</v>
      </c>
      <c r="K15" s="45">
        <f t="shared" si="3"/>
        <v>0</v>
      </c>
      <c r="L15" s="105">
        <f t="shared" si="4"/>
        <v>0</v>
      </c>
      <c r="M15" s="105">
        <f t="shared" si="5"/>
        <v>0</v>
      </c>
      <c r="N15" s="61"/>
      <c r="O15" s="80"/>
    </row>
    <row r="16" spans="1:16" ht="13.5" customHeight="1" x14ac:dyDescent="0.2">
      <c r="A16" s="109" t="s">
        <v>178</v>
      </c>
      <c r="B16" s="104">
        <v>12</v>
      </c>
      <c r="C16" s="105">
        <v>0</v>
      </c>
      <c r="D16" s="105">
        <f>'TBL1-YR1'!D19</f>
        <v>8000</v>
      </c>
      <c r="E16" s="105">
        <v>0</v>
      </c>
      <c r="F16" s="104">
        <v>1</v>
      </c>
      <c r="G16" s="104">
        <f t="shared" si="0"/>
        <v>12</v>
      </c>
      <c r="H16" s="107">
        <v>0</v>
      </c>
      <c r="I16" s="45">
        <f t="shared" si="1"/>
        <v>0</v>
      </c>
      <c r="J16" s="45">
        <f t="shared" si="2"/>
        <v>0</v>
      </c>
      <c r="K16" s="45">
        <f t="shared" si="3"/>
        <v>0</v>
      </c>
      <c r="L16" s="105">
        <f t="shared" si="4"/>
        <v>0</v>
      </c>
      <c r="M16" s="105">
        <f t="shared" si="5"/>
        <v>0</v>
      </c>
      <c r="N16" s="61"/>
      <c r="O16" s="80"/>
    </row>
    <row r="17" spans="1:15" ht="13.5" customHeight="1" x14ac:dyDescent="0.2">
      <c r="A17" s="109" t="s">
        <v>179</v>
      </c>
      <c r="B17" s="104">
        <v>12</v>
      </c>
      <c r="C17" s="105">
        <v>0</v>
      </c>
      <c r="D17" s="105">
        <f>'TBL1-YR1'!D20</f>
        <v>7000</v>
      </c>
      <c r="E17" s="105">
        <v>0</v>
      </c>
      <c r="F17" s="104">
        <v>1</v>
      </c>
      <c r="G17" s="104">
        <f t="shared" si="0"/>
        <v>12</v>
      </c>
      <c r="H17" s="107">
        <v>0</v>
      </c>
      <c r="I17" s="45">
        <f t="shared" si="1"/>
        <v>0</v>
      </c>
      <c r="J17" s="45">
        <f t="shared" si="2"/>
        <v>0</v>
      </c>
      <c r="K17" s="45">
        <f t="shared" si="3"/>
        <v>0</v>
      </c>
      <c r="L17" s="105">
        <f t="shared" si="4"/>
        <v>0</v>
      </c>
      <c r="M17" s="105">
        <f t="shared" si="5"/>
        <v>0</v>
      </c>
      <c r="N17" s="61"/>
      <c r="O17" s="80"/>
    </row>
    <row r="18" spans="1:15" ht="25.5" x14ac:dyDescent="0.2">
      <c r="A18" s="109" t="s">
        <v>180</v>
      </c>
      <c r="B18" s="104">
        <v>24</v>
      </c>
      <c r="C18" s="105">
        <v>0</v>
      </c>
      <c r="D18" s="105">
        <f>'TBL1-YR1'!D21</f>
        <v>16000</v>
      </c>
      <c r="E18" s="105">
        <v>0</v>
      </c>
      <c r="F18" s="104">
        <v>1</v>
      </c>
      <c r="G18" s="104">
        <f t="shared" si="0"/>
        <v>24</v>
      </c>
      <c r="H18" s="107">
        <v>0</v>
      </c>
      <c r="I18" s="45">
        <f t="shared" si="1"/>
        <v>0</v>
      </c>
      <c r="J18" s="45">
        <f t="shared" si="2"/>
        <v>0</v>
      </c>
      <c r="K18" s="45">
        <f t="shared" si="3"/>
        <v>0</v>
      </c>
      <c r="L18" s="105">
        <f t="shared" si="4"/>
        <v>0</v>
      </c>
      <c r="M18" s="105">
        <f t="shared" si="5"/>
        <v>0</v>
      </c>
      <c r="N18" s="61"/>
    </row>
    <row r="19" spans="1:15" ht="25.5" x14ac:dyDescent="0.2">
      <c r="A19" s="109" t="s">
        <v>181</v>
      </c>
      <c r="B19" s="104">
        <v>5</v>
      </c>
      <c r="C19" s="105">
        <v>0</v>
      </c>
      <c r="D19" s="105">
        <v>400</v>
      </c>
      <c r="E19" s="105">
        <v>0</v>
      </c>
      <c r="F19" s="104">
        <v>1</v>
      </c>
      <c r="G19" s="104">
        <f t="shared" si="0"/>
        <v>5</v>
      </c>
      <c r="H19" s="107">
        <v>0</v>
      </c>
      <c r="I19" s="45">
        <f t="shared" si="1"/>
        <v>0</v>
      </c>
      <c r="J19" s="45">
        <f t="shared" si="2"/>
        <v>0</v>
      </c>
      <c r="K19" s="45">
        <f t="shared" si="3"/>
        <v>0</v>
      </c>
      <c r="L19" s="105">
        <f t="shared" si="4"/>
        <v>0</v>
      </c>
      <c r="M19" s="105">
        <f t="shared" si="5"/>
        <v>0</v>
      </c>
      <c r="N19" s="61"/>
      <c r="O19" s="80"/>
    </row>
    <row r="20" spans="1:15" ht="25.5" x14ac:dyDescent="0.2">
      <c r="A20" s="109" t="s">
        <v>182</v>
      </c>
      <c r="B20" s="104">
        <v>5</v>
      </c>
      <c r="C20" s="105">
        <v>0</v>
      </c>
      <c r="D20" s="105">
        <v>400</v>
      </c>
      <c r="E20" s="105">
        <v>0</v>
      </c>
      <c r="F20" s="104">
        <v>12</v>
      </c>
      <c r="G20" s="104">
        <f t="shared" si="0"/>
        <v>60</v>
      </c>
      <c r="H20" s="107">
        <v>0</v>
      </c>
      <c r="I20" s="45">
        <f t="shared" si="1"/>
        <v>0</v>
      </c>
      <c r="J20" s="45">
        <f t="shared" si="2"/>
        <v>0</v>
      </c>
      <c r="K20" s="45">
        <f t="shared" si="3"/>
        <v>0</v>
      </c>
      <c r="L20" s="105">
        <f t="shared" si="4"/>
        <v>0</v>
      </c>
      <c r="M20" s="105">
        <f t="shared" si="5"/>
        <v>0</v>
      </c>
      <c r="N20" s="61"/>
      <c r="O20" s="80"/>
    </row>
    <row r="21" spans="1:15" x14ac:dyDescent="0.2">
      <c r="A21" s="112" t="s">
        <v>183</v>
      </c>
      <c r="B21" s="104">
        <v>12</v>
      </c>
      <c r="C21" s="105">
        <v>0</v>
      </c>
      <c r="D21" s="105">
        <v>2875</v>
      </c>
      <c r="E21" s="105">
        <v>0</v>
      </c>
      <c r="F21" s="104">
        <v>1</v>
      </c>
      <c r="G21" s="104">
        <f t="shared" si="0"/>
        <v>12</v>
      </c>
      <c r="H21" s="107">
        <v>0</v>
      </c>
      <c r="I21" s="107">
        <f>G21*H21</f>
        <v>0</v>
      </c>
      <c r="J21" s="107">
        <f>I21*0.1</f>
        <v>0</v>
      </c>
      <c r="K21" s="107">
        <f>I21*0.05</f>
        <v>0</v>
      </c>
      <c r="L21" s="105">
        <f t="shared" si="4"/>
        <v>0</v>
      </c>
      <c r="M21" s="105">
        <f>(C21+D21+E21)*F21*H21</f>
        <v>0</v>
      </c>
      <c r="N21" s="65"/>
    </row>
    <row r="22" spans="1:15" x14ac:dyDescent="0.2">
      <c r="A22" s="109" t="s">
        <v>184</v>
      </c>
      <c r="B22" s="104"/>
      <c r="C22" s="105"/>
      <c r="D22" s="105"/>
      <c r="E22" s="105"/>
      <c r="F22" s="104"/>
      <c r="G22" s="104"/>
      <c r="H22" s="45"/>
      <c r="I22" s="45"/>
      <c r="J22" s="115"/>
      <c r="K22" s="115"/>
      <c r="L22" s="105"/>
      <c r="M22" s="105"/>
      <c r="N22" s="61"/>
      <c r="O22" s="80"/>
    </row>
    <row r="23" spans="1:15" ht="14.25" customHeight="1" x14ac:dyDescent="0.2">
      <c r="A23" s="113" t="s">
        <v>206</v>
      </c>
      <c r="B23" s="104">
        <v>40</v>
      </c>
      <c r="C23" s="105">
        <v>0</v>
      </c>
      <c r="D23" s="105"/>
      <c r="E23" s="105">
        <v>0</v>
      </c>
      <c r="F23" s="104">
        <v>1</v>
      </c>
      <c r="G23" s="104">
        <f>B23*F23</f>
        <v>40</v>
      </c>
      <c r="H23" s="107">
        <v>0</v>
      </c>
      <c r="I23" s="45">
        <f>G23*H23</f>
        <v>0</v>
      </c>
      <c r="J23" s="45">
        <f>I23*0.1</f>
        <v>0</v>
      </c>
      <c r="K23" s="45">
        <f>I23*0.05</f>
        <v>0</v>
      </c>
      <c r="L23" s="105">
        <f>(I23*$P$7)+(J23*$P$8)+(K23*$P$6)</f>
        <v>0</v>
      </c>
      <c r="M23" s="105">
        <f>(C23+D23+E23)*F23*H23</f>
        <v>0</v>
      </c>
      <c r="N23" s="61"/>
      <c r="O23" s="80"/>
    </row>
    <row r="24" spans="1:15" x14ac:dyDescent="0.2">
      <c r="A24" s="114" t="s">
        <v>18</v>
      </c>
      <c r="B24" s="104"/>
      <c r="C24" s="105"/>
      <c r="D24" s="105"/>
      <c r="E24" s="105"/>
      <c r="F24" s="104"/>
      <c r="G24" s="104"/>
      <c r="H24" s="45"/>
      <c r="I24" s="45"/>
      <c r="J24" s="45"/>
      <c r="K24" s="45"/>
      <c r="L24" s="105"/>
      <c r="M24" s="105"/>
      <c r="N24" s="61"/>
      <c r="O24" s="80"/>
    </row>
    <row r="25" spans="1:15" x14ac:dyDescent="0.2">
      <c r="A25" s="111" t="s">
        <v>102</v>
      </c>
      <c r="B25" s="104">
        <v>10</v>
      </c>
      <c r="C25" s="105">
        <v>0</v>
      </c>
      <c r="D25" s="105">
        <v>0</v>
      </c>
      <c r="E25" s="105">
        <v>25812</v>
      </c>
      <c r="F25" s="104">
        <v>1</v>
      </c>
      <c r="G25" s="104">
        <f>B25*F25</f>
        <v>10</v>
      </c>
      <c r="H25" s="107">
        <v>0</v>
      </c>
      <c r="I25" s="45">
        <f>G25*H25</f>
        <v>0</v>
      </c>
      <c r="J25" s="45">
        <f>I25*0.1</f>
        <v>0</v>
      </c>
      <c r="K25" s="45">
        <f>I25*0.05</f>
        <v>0</v>
      </c>
      <c r="L25" s="105">
        <f t="shared" ref="L25:L26" si="6">(I25*$P$7)+(J25*$P$8)+(K25*$P$6)</f>
        <v>0</v>
      </c>
      <c r="M25" s="105">
        <f>(C25+D25+E25)*F25*H25</f>
        <v>0</v>
      </c>
      <c r="N25" s="61"/>
    </row>
    <row r="26" spans="1:15" x14ac:dyDescent="0.2">
      <c r="A26" s="111" t="s">
        <v>103</v>
      </c>
      <c r="B26" s="104">
        <v>10</v>
      </c>
      <c r="C26" s="105">
        <v>0</v>
      </c>
      <c r="D26" s="105">
        <v>0</v>
      </c>
      <c r="E26" s="105">
        <f>'Capital vs. O&amp;M'!E6</f>
        <v>9855</v>
      </c>
      <c r="F26" s="104">
        <v>1</v>
      </c>
      <c r="G26" s="104">
        <f>B26*F26</f>
        <v>10</v>
      </c>
      <c r="H26" s="107">
        <v>0</v>
      </c>
      <c r="I26" s="45">
        <f>G26*H26</f>
        <v>0</v>
      </c>
      <c r="J26" s="45">
        <f>I26*0.1</f>
        <v>0</v>
      </c>
      <c r="K26" s="45">
        <f>I26*0.05</f>
        <v>0</v>
      </c>
      <c r="L26" s="105">
        <f t="shared" si="6"/>
        <v>0</v>
      </c>
      <c r="M26" s="105">
        <f>(C26+D26+E26)*F26*H26</f>
        <v>0</v>
      </c>
      <c r="N26" s="61"/>
    </row>
    <row r="27" spans="1:15" ht="25.5" x14ac:dyDescent="0.2">
      <c r="A27" s="113" t="s">
        <v>99</v>
      </c>
      <c r="B27" s="104"/>
      <c r="C27" s="105"/>
      <c r="D27" s="105"/>
      <c r="E27" s="105"/>
      <c r="F27" s="104"/>
      <c r="G27" s="104"/>
      <c r="H27" s="45"/>
      <c r="I27" s="45"/>
      <c r="J27" s="45"/>
      <c r="K27" s="45"/>
      <c r="L27" s="105"/>
      <c r="M27" s="105"/>
      <c r="N27" s="61"/>
      <c r="O27" s="80"/>
    </row>
    <row r="28" spans="1:15" x14ac:dyDescent="0.2">
      <c r="A28" s="111" t="s">
        <v>102</v>
      </c>
      <c r="B28" s="104">
        <v>10</v>
      </c>
      <c r="C28" s="105">
        <v>0</v>
      </c>
      <c r="D28" s="105">
        <v>0</v>
      </c>
      <c r="E28" s="105">
        <v>158000</v>
      </c>
      <c r="F28" s="104">
        <v>1</v>
      </c>
      <c r="G28" s="104">
        <f>B28*F28</f>
        <v>10</v>
      </c>
      <c r="H28" s="107">
        <v>0</v>
      </c>
      <c r="I28" s="45">
        <f>G28*H28</f>
        <v>0</v>
      </c>
      <c r="J28" s="45">
        <f>I28*0.1</f>
        <v>0</v>
      </c>
      <c r="K28" s="45">
        <f>I28*0.05</f>
        <v>0</v>
      </c>
      <c r="L28" s="105">
        <f t="shared" ref="L28:L29" si="7">(I28*$P$7)+(J28*$P$8)+(K28*$P$6)</f>
        <v>0</v>
      </c>
      <c r="M28" s="105">
        <f>(C28+D28+E28)*F28*H28</f>
        <v>0</v>
      </c>
      <c r="N28" s="61"/>
    </row>
    <row r="29" spans="1:15" x14ac:dyDescent="0.2">
      <c r="A29" s="111" t="s">
        <v>103</v>
      </c>
      <c r="B29" s="104">
        <v>10</v>
      </c>
      <c r="C29" s="105">
        <v>0</v>
      </c>
      <c r="D29" s="105">
        <v>0</v>
      </c>
      <c r="E29" s="105">
        <v>56100</v>
      </c>
      <c r="F29" s="104">
        <v>1</v>
      </c>
      <c r="G29" s="104">
        <f>B29*F29</f>
        <v>10</v>
      </c>
      <c r="H29" s="107">
        <v>0</v>
      </c>
      <c r="I29" s="45">
        <f>G29*H29</f>
        <v>0</v>
      </c>
      <c r="J29" s="45">
        <f>I29*0.1</f>
        <v>0</v>
      </c>
      <c r="K29" s="45">
        <f>I29*0.05</f>
        <v>0</v>
      </c>
      <c r="L29" s="105">
        <f t="shared" si="7"/>
        <v>0</v>
      </c>
      <c r="M29" s="105">
        <f>(C29+D29+E29)*F29*H29</f>
        <v>0</v>
      </c>
      <c r="N29" s="61"/>
    </row>
    <row r="30" spans="1:15" x14ac:dyDescent="0.2">
      <c r="A30" s="114" t="s">
        <v>56</v>
      </c>
      <c r="B30" s="104"/>
      <c r="C30" s="105"/>
      <c r="D30" s="105"/>
      <c r="E30" s="105"/>
      <c r="F30" s="104"/>
      <c r="G30" s="104"/>
      <c r="H30" s="107"/>
      <c r="I30" s="45"/>
      <c r="J30" s="45"/>
      <c r="K30" s="45"/>
      <c r="L30" s="105"/>
      <c r="M30" s="105"/>
      <c r="N30" s="61"/>
    </row>
    <row r="31" spans="1:15" x14ac:dyDescent="0.2">
      <c r="A31" s="111" t="s">
        <v>102</v>
      </c>
      <c r="B31" s="104">
        <v>10</v>
      </c>
      <c r="C31" s="105">
        <v>0</v>
      </c>
      <c r="D31" s="105">
        <v>0</v>
      </c>
      <c r="E31" s="105">
        <f>Monitors!$F$32</f>
        <v>8523</v>
      </c>
      <c r="F31" s="104">
        <v>1</v>
      </c>
      <c r="G31" s="104">
        <f>B31*F31</f>
        <v>10</v>
      </c>
      <c r="H31" s="107">
        <v>0</v>
      </c>
      <c r="I31" s="45">
        <f>G31*H31</f>
        <v>0</v>
      </c>
      <c r="J31" s="45">
        <f>I31*0.1</f>
        <v>0</v>
      </c>
      <c r="K31" s="45">
        <f>I31*0.05</f>
        <v>0</v>
      </c>
      <c r="L31" s="105">
        <f t="shared" ref="L31:L32" si="8">(I31*$P$7)+(J31*$P$8)+(K31*$P$6)</f>
        <v>0</v>
      </c>
      <c r="M31" s="105">
        <f>(C31+D31+E31)*F31*H31</f>
        <v>0</v>
      </c>
      <c r="N31" s="61"/>
    </row>
    <row r="32" spans="1:15" x14ac:dyDescent="0.2">
      <c r="A32" s="111" t="s">
        <v>103</v>
      </c>
      <c r="B32" s="104">
        <v>10</v>
      </c>
      <c r="C32" s="105">
        <v>0</v>
      </c>
      <c r="D32" s="105">
        <v>0</v>
      </c>
      <c r="E32" s="105">
        <f>Monitors!$G$32</f>
        <v>1436</v>
      </c>
      <c r="F32" s="104">
        <v>1</v>
      </c>
      <c r="G32" s="104">
        <f>B32*F32</f>
        <v>10</v>
      </c>
      <c r="H32" s="107">
        <v>0</v>
      </c>
      <c r="I32" s="45">
        <f>G32*H32</f>
        <v>0</v>
      </c>
      <c r="J32" s="45">
        <f>I32*0.1</f>
        <v>0</v>
      </c>
      <c r="K32" s="45">
        <f>I32*0.05</f>
        <v>0</v>
      </c>
      <c r="L32" s="105">
        <f t="shared" si="8"/>
        <v>0</v>
      </c>
      <c r="M32" s="105">
        <f>(C32+D32+E32)*F32*H32</f>
        <v>0</v>
      </c>
      <c r="N32" s="61"/>
    </row>
    <row r="33" spans="1:15" ht="28.5" customHeight="1" x14ac:dyDescent="0.2">
      <c r="A33" s="113" t="s">
        <v>301</v>
      </c>
      <c r="B33" s="104"/>
      <c r="C33" s="105"/>
      <c r="D33" s="105"/>
      <c r="E33" s="119"/>
      <c r="F33" s="104"/>
      <c r="G33" s="104"/>
      <c r="H33" s="107"/>
      <c r="I33" s="45"/>
      <c r="J33" s="45"/>
      <c r="K33" s="45"/>
      <c r="L33" s="105"/>
      <c r="M33" s="105"/>
      <c r="N33" s="61"/>
      <c r="O33" s="80"/>
    </row>
    <row r="34" spans="1:15" x14ac:dyDescent="0.2">
      <c r="A34" s="111" t="s">
        <v>102</v>
      </c>
      <c r="B34" s="104">
        <v>10</v>
      </c>
      <c r="C34" s="105">
        <v>0</v>
      </c>
      <c r="D34" s="105">
        <v>0</v>
      </c>
      <c r="E34" s="105">
        <v>25054</v>
      </c>
      <c r="F34" s="104">
        <v>1</v>
      </c>
      <c r="G34" s="104">
        <f>B34*F34</f>
        <v>10</v>
      </c>
      <c r="H34" s="107">
        <v>0</v>
      </c>
      <c r="I34" s="45">
        <f>G34*H34</f>
        <v>0</v>
      </c>
      <c r="J34" s="45">
        <f>I34*0.1</f>
        <v>0</v>
      </c>
      <c r="K34" s="45">
        <f>I34*0.05</f>
        <v>0</v>
      </c>
      <c r="L34" s="105">
        <f t="shared" ref="L34:L35" si="9">(I34*$P$7)+(J34*$P$8)+(K34*$P$6)</f>
        <v>0</v>
      </c>
      <c r="M34" s="105">
        <f>(C34+D34+E34)*F34*H34</f>
        <v>0</v>
      </c>
      <c r="N34" s="61"/>
    </row>
    <row r="35" spans="1:15" x14ac:dyDescent="0.2">
      <c r="A35" s="111" t="s">
        <v>103</v>
      </c>
      <c r="B35" s="104">
        <v>10</v>
      </c>
      <c r="C35" s="105">
        <v>0</v>
      </c>
      <c r="D35" s="105">
        <v>0</v>
      </c>
      <c r="E35" s="105">
        <v>5774</v>
      </c>
      <c r="F35" s="104">
        <v>1</v>
      </c>
      <c r="G35" s="104">
        <f>B35*F35</f>
        <v>10</v>
      </c>
      <c r="H35" s="107">
        <f>H34</f>
        <v>0</v>
      </c>
      <c r="I35" s="45">
        <f>G35*H35</f>
        <v>0</v>
      </c>
      <c r="J35" s="45">
        <f>I35*0.1</f>
        <v>0</v>
      </c>
      <c r="K35" s="45">
        <f>I35*0.05</f>
        <v>0</v>
      </c>
      <c r="L35" s="105">
        <f t="shared" si="9"/>
        <v>0</v>
      </c>
      <c r="M35" s="105">
        <f>(C35+D35+E35)*F35*H35</f>
        <v>0</v>
      </c>
      <c r="N35" s="61"/>
    </row>
    <row r="36" spans="1:15" ht="25.5" x14ac:dyDescent="0.2">
      <c r="A36" s="113" t="s">
        <v>100</v>
      </c>
      <c r="B36" s="104"/>
      <c r="C36" s="105"/>
      <c r="D36" s="105"/>
      <c r="E36" s="105"/>
      <c r="F36" s="104"/>
      <c r="G36" s="104"/>
      <c r="H36" s="107"/>
      <c r="I36" s="45"/>
      <c r="J36" s="45"/>
      <c r="K36" s="45"/>
      <c r="L36" s="105"/>
      <c r="M36" s="103"/>
      <c r="N36" s="61"/>
      <c r="O36" s="80"/>
    </row>
    <row r="37" spans="1:15" x14ac:dyDescent="0.2">
      <c r="A37" s="111" t="s">
        <v>102</v>
      </c>
      <c r="B37" s="104">
        <v>10</v>
      </c>
      <c r="C37" s="105">
        <v>0</v>
      </c>
      <c r="D37" s="105">
        <v>0</v>
      </c>
      <c r="E37" s="105">
        <v>26300</v>
      </c>
      <c r="F37" s="104">
        <v>1</v>
      </c>
      <c r="G37" s="104">
        <f>B37*F37</f>
        <v>10</v>
      </c>
      <c r="H37" s="107">
        <v>0</v>
      </c>
      <c r="I37" s="45">
        <f>G37*H37</f>
        <v>0</v>
      </c>
      <c r="J37" s="45">
        <f>I37*0.1</f>
        <v>0</v>
      </c>
      <c r="K37" s="45">
        <f>I37*0.05</f>
        <v>0</v>
      </c>
      <c r="L37" s="105">
        <f>(I37*$P$7)+(J37*$P$8)+(K37*$P$6)</f>
        <v>0</v>
      </c>
      <c r="M37" s="105">
        <f>(C37+D37+E37)*F37*H37</f>
        <v>0</v>
      </c>
      <c r="N37" s="61"/>
    </row>
    <row r="38" spans="1:15" x14ac:dyDescent="0.2">
      <c r="A38" s="111" t="s">
        <v>103</v>
      </c>
      <c r="B38" s="104">
        <v>10</v>
      </c>
      <c r="C38" s="105">
        <v>0</v>
      </c>
      <c r="D38" s="105">
        <v>0</v>
      </c>
      <c r="E38" s="105">
        <v>10000</v>
      </c>
      <c r="F38" s="104">
        <v>1</v>
      </c>
      <c r="G38" s="104">
        <f>B38*F38</f>
        <v>10</v>
      </c>
      <c r="H38" s="107">
        <v>0</v>
      </c>
      <c r="I38" s="45">
        <f>G38*H38</f>
        <v>0</v>
      </c>
      <c r="J38" s="45">
        <f>I38*0.1</f>
        <v>0</v>
      </c>
      <c r="K38" s="45">
        <f>I38*0.05</f>
        <v>0</v>
      </c>
      <c r="L38" s="105">
        <f>(I38*$P$7)+(J38*$P$8)+(K38*$P$6)</f>
        <v>0</v>
      </c>
      <c r="M38" s="105">
        <f>(C38+D38+E38)*F38*H38</f>
        <v>0</v>
      </c>
      <c r="N38" s="61"/>
    </row>
    <row r="39" spans="1:15" ht="16.5" customHeight="1" x14ac:dyDescent="0.2">
      <c r="A39" s="113" t="s">
        <v>106</v>
      </c>
      <c r="B39" s="104"/>
      <c r="C39" s="105"/>
      <c r="D39" s="105"/>
      <c r="E39" s="105"/>
      <c r="F39" s="104"/>
      <c r="G39" s="104"/>
      <c r="H39" s="107"/>
      <c r="I39" s="45"/>
      <c r="J39" s="45"/>
      <c r="K39" s="115"/>
      <c r="L39" s="105"/>
      <c r="M39" s="103"/>
      <c r="N39" s="61"/>
      <c r="O39" s="80"/>
    </row>
    <row r="40" spans="1:15" x14ac:dyDescent="0.2">
      <c r="A40" s="111" t="s">
        <v>102</v>
      </c>
      <c r="B40" s="104">
        <v>10</v>
      </c>
      <c r="C40" s="105">
        <v>0</v>
      </c>
      <c r="D40" s="105">
        <v>0</v>
      </c>
      <c r="E40" s="105">
        <v>44858</v>
      </c>
      <c r="F40" s="104">
        <v>1</v>
      </c>
      <c r="G40" s="104">
        <f>B40*F40</f>
        <v>10</v>
      </c>
      <c r="H40" s="107">
        <v>0</v>
      </c>
      <c r="I40" s="45">
        <f>G40*H40</f>
        <v>0</v>
      </c>
      <c r="J40" s="45">
        <f>I40*0.1</f>
        <v>0</v>
      </c>
      <c r="K40" s="45">
        <f>I40*0.05</f>
        <v>0</v>
      </c>
      <c r="L40" s="105">
        <f t="shared" ref="L40:L41" si="10">(I40*$P$7)+(J40*$P$8)+(K40*$P$6)</f>
        <v>0</v>
      </c>
      <c r="M40" s="105">
        <f>(C40+D40+E40)*F40*H40</f>
        <v>0</v>
      </c>
      <c r="N40" s="61"/>
    </row>
    <row r="41" spans="1:15" x14ac:dyDescent="0.2">
      <c r="A41" s="111" t="s">
        <v>103</v>
      </c>
      <c r="B41" s="104">
        <v>10</v>
      </c>
      <c r="C41" s="105">
        <v>0</v>
      </c>
      <c r="D41" s="105">
        <v>0</v>
      </c>
      <c r="E41" s="105">
        <v>31500</v>
      </c>
      <c r="F41" s="104">
        <v>1</v>
      </c>
      <c r="G41" s="104">
        <f>B41*F41</f>
        <v>10</v>
      </c>
      <c r="H41" s="107">
        <v>0</v>
      </c>
      <c r="I41" s="45">
        <f>G41*H41</f>
        <v>0</v>
      </c>
      <c r="J41" s="45">
        <f>I41*0.1</f>
        <v>0</v>
      </c>
      <c r="K41" s="45">
        <f>I41*0.05</f>
        <v>0</v>
      </c>
      <c r="L41" s="105">
        <f t="shared" si="10"/>
        <v>0</v>
      </c>
      <c r="M41" s="105">
        <f>(C41+D41+E41)*F41*H41</f>
        <v>0</v>
      </c>
      <c r="N41" s="61"/>
    </row>
    <row r="42" spans="1:15" ht="25.5" x14ac:dyDescent="0.2">
      <c r="A42" s="113" t="s">
        <v>101</v>
      </c>
      <c r="B42" s="104"/>
      <c r="C42" s="105"/>
      <c r="D42" s="105"/>
      <c r="E42" s="105"/>
      <c r="F42" s="104"/>
      <c r="G42" s="104"/>
      <c r="H42" s="107"/>
      <c r="I42" s="45"/>
      <c r="J42" s="45"/>
      <c r="K42" s="45"/>
      <c r="L42" s="105"/>
      <c r="M42" s="105"/>
      <c r="N42" s="61"/>
      <c r="O42" s="80"/>
    </row>
    <row r="43" spans="1:15" x14ac:dyDescent="0.2">
      <c r="A43" s="111" t="s">
        <v>102</v>
      </c>
      <c r="B43" s="104">
        <v>10</v>
      </c>
      <c r="C43" s="105">
        <v>0</v>
      </c>
      <c r="D43" s="105">
        <v>0</v>
      </c>
      <c r="E43" s="105">
        <v>115000</v>
      </c>
      <c r="F43" s="104">
        <v>1</v>
      </c>
      <c r="G43" s="104">
        <f>B43*F43</f>
        <v>10</v>
      </c>
      <c r="H43" s="107">
        <v>0</v>
      </c>
      <c r="I43" s="45">
        <f>G43*H43</f>
        <v>0</v>
      </c>
      <c r="J43" s="45">
        <f>I43*0.1</f>
        <v>0</v>
      </c>
      <c r="K43" s="45">
        <f>I43*0.05</f>
        <v>0</v>
      </c>
      <c r="L43" s="105">
        <f>(I43*$P$7)+(J43*$P$8)+(K43*$P$6)</f>
        <v>0</v>
      </c>
      <c r="M43" s="105">
        <f>(C43+D43+E43)*F43*H43</f>
        <v>0</v>
      </c>
      <c r="N43" s="61"/>
    </row>
    <row r="44" spans="1:15" x14ac:dyDescent="0.2">
      <c r="A44" s="111" t="s">
        <v>103</v>
      </c>
      <c r="B44" s="104">
        <v>10</v>
      </c>
      <c r="C44" s="105">
        <v>0</v>
      </c>
      <c r="D44" s="105">
        <v>0</v>
      </c>
      <c r="E44" s="105">
        <v>9700</v>
      </c>
      <c r="F44" s="104">
        <v>1</v>
      </c>
      <c r="G44" s="104">
        <f>B44*F44</f>
        <v>10</v>
      </c>
      <c r="H44" s="107">
        <v>0</v>
      </c>
      <c r="I44" s="45">
        <f>G44*H44</f>
        <v>0</v>
      </c>
      <c r="J44" s="45">
        <f>I44*0.1</f>
        <v>0</v>
      </c>
      <c r="K44" s="45">
        <f>I44*0.05</f>
        <v>0</v>
      </c>
      <c r="L44" s="105">
        <f>(I44*$P$7)+(J44*$P$8)+(K44*$P$6)</f>
        <v>0</v>
      </c>
      <c r="M44" s="105">
        <f>(C44+D44+E44)*F44*H44</f>
        <v>0</v>
      </c>
      <c r="N44" s="61"/>
    </row>
    <row r="45" spans="1:15" ht="15" customHeight="1" x14ac:dyDescent="0.2">
      <c r="A45" s="114" t="s">
        <v>87</v>
      </c>
      <c r="B45" s="104"/>
      <c r="C45" s="105"/>
      <c r="D45" s="105"/>
      <c r="E45" s="105"/>
      <c r="F45" s="104"/>
      <c r="G45" s="104"/>
      <c r="H45" s="107"/>
      <c r="I45" s="45"/>
      <c r="J45" s="45"/>
      <c r="K45" s="115"/>
      <c r="L45" s="105"/>
      <c r="M45" s="105"/>
      <c r="N45" s="61"/>
    </row>
    <row r="46" spans="1:15" x14ac:dyDescent="0.2">
      <c r="A46" s="111" t="s">
        <v>102</v>
      </c>
      <c r="B46" s="104">
        <v>10</v>
      </c>
      <c r="C46" s="105">
        <v>0</v>
      </c>
      <c r="D46" s="105">
        <v>0</v>
      </c>
      <c r="E46" s="105">
        <v>153700</v>
      </c>
      <c r="F46" s="104">
        <v>1</v>
      </c>
      <c r="G46" s="104">
        <f>B46*F46</f>
        <v>10</v>
      </c>
      <c r="H46" s="107">
        <v>0</v>
      </c>
      <c r="I46" s="45">
        <f>G46*H46</f>
        <v>0</v>
      </c>
      <c r="J46" s="45">
        <f>I46*0.1</f>
        <v>0</v>
      </c>
      <c r="K46" s="45">
        <f>I46*0.05</f>
        <v>0</v>
      </c>
      <c r="L46" s="105">
        <f t="shared" ref="L46:L47" si="11">(I46*$P$7)+(J46*$P$8)+(K46*$P$6)</f>
        <v>0</v>
      </c>
      <c r="M46" s="105">
        <f>(C46+D46+E46)*F46*H46</f>
        <v>0</v>
      </c>
      <c r="N46" s="61"/>
    </row>
    <row r="47" spans="1:15" x14ac:dyDescent="0.2">
      <c r="A47" s="111" t="s">
        <v>103</v>
      </c>
      <c r="B47" s="104">
        <v>10</v>
      </c>
      <c r="C47" s="105">
        <v>0</v>
      </c>
      <c r="D47" s="105">
        <v>0</v>
      </c>
      <c r="E47" s="105">
        <f>'Capital vs. O&amp;M'!E10</f>
        <v>42600</v>
      </c>
      <c r="F47" s="104">
        <v>1</v>
      </c>
      <c r="G47" s="104">
        <f>B47*F47</f>
        <v>10</v>
      </c>
      <c r="H47" s="107">
        <v>0</v>
      </c>
      <c r="I47" s="45">
        <f>G47*H47</f>
        <v>0</v>
      </c>
      <c r="J47" s="45">
        <f>I47*0.1</f>
        <v>0</v>
      </c>
      <c r="K47" s="45">
        <f>I47*0.05</f>
        <v>0</v>
      </c>
      <c r="L47" s="105">
        <f t="shared" si="11"/>
        <v>0</v>
      </c>
      <c r="M47" s="105">
        <f>(C47+D47+E47)*F47*H47</f>
        <v>0</v>
      </c>
      <c r="N47" s="66"/>
    </row>
    <row r="48" spans="1:15" s="72" customFormat="1" x14ac:dyDescent="0.2">
      <c r="A48" s="103" t="s">
        <v>43</v>
      </c>
      <c r="B48" s="104" t="s">
        <v>227</v>
      </c>
      <c r="C48" s="105"/>
      <c r="D48" s="105"/>
      <c r="E48" s="105"/>
      <c r="F48" s="104"/>
      <c r="G48" s="104"/>
      <c r="H48" s="45"/>
      <c r="I48" s="45"/>
      <c r="J48" s="45"/>
      <c r="K48" s="45"/>
      <c r="L48" s="105"/>
      <c r="M48" s="105"/>
      <c r="N48" s="70"/>
    </row>
    <row r="49" spans="1:15" x14ac:dyDescent="0.2">
      <c r="A49" s="103" t="s">
        <v>44</v>
      </c>
      <c r="B49" s="104" t="s">
        <v>227</v>
      </c>
      <c r="C49" s="105"/>
      <c r="D49" s="105"/>
      <c r="E49" s="105"/>
      <c r="F49" s="104"/>
      <c r="G49" s="104"/>
      <c r="H49" s="45"/>
      <c r="I49" s="45"/>
      <c r="J49" s="45"/>
      <c r="K49" s="45"/>
      <c r="L49" s="105"/>
      <c r="M49" s="105"/>
      <c r="N49" s="61"/>
    </row>
    <row r="50" spans="1:15" ht="13.5" customHeight="1" x14ac:dyDescent="0.2">
      <c r="A50" s="103" t="s">
        <v>45</v>
      </c>
      <c r="B50" s="104"/>
      <c r="C50" s="105"/>
      <c r="D50" s="105"/>
      <c r="E50" s="105"/>
      <c r="F50" s="104"/>
      <c r="G50" s="104"/>
      <c r="H50" s="45"/>
      <c r="I50" s="45"/>
      <c r="J50" s="45"/>
      <c r="K50" s="45"/>
      <c r="L50" s="105"/>
      <c r="M50" s="105"/>
      <c r="N50" s="61"/>
    </row>
    <row r="51" spans="1:15" x14ac:dyDescent="0.2">
      <c r="A51" s="109" t="s">
        <v>50</v>
      </c>
      <c r="B51" s="104">
        <v>2</v>
      </c>
      <c r="C51" s="105">
        <v>0</v>
      </c>
      <c r="D51" s="105">
        <v>0</v>
      </c>
      <c r="E51" s="105">
        <v>0</v>
      </c>
      <c r="F51" s="104">
        <v>1</v>
      </c>
      <c r="G51" s="104">
        <f>B51*F51</f>
        <v>2</v>
      </c>
      <c r="H51" s="107">
        <v>0</v>
      </c>
      <c r="I51" s="45">
        <f>G51*H51</f>
        <v>0</v>
      </c>
      <c r="J51" s="45">
        <f>I51*0.1</f>
        <v>0</v>
      </c>
      <c r="K51" s="45">
        <f>I51*0.05</f>
        <v>0</v>
      </c>
      <c r="L51" s="105">
        <f t="shared" ref="L51:L53" si="12">(I51*$P$7)+(J51*$P$8)+(K51*$P$6)</f>
        <v>0</v>
      </c>
      <c r="M51" s="105">
        <f>(C51+D51+E51)*F51*H51</f>
        <v>0</v>
      </c>
      <c r="N51" s="61"/>
    </row>
    <row r="52" spans="1:15" x14ac:dyDescent="0.2">
      <c r="A52" s="109" t="s">
        <v>36</v>
      </c>
      <c r="B52" s="104">
        <v>8</v>
      </c>
      <c r="C52" s="105">
        <v>0</v>
      </c>
      <c r="D52" s="105">
        <v>0</v>
      </c>
      <c r="E52" s="105">
        <v>0</v>
      </c>
      <c r="F52" s="104">
        <v>1</v>
      </c>
      <c r="G52" s="104">
        <f>B52*F52</f>
        <v>8</v>
      </c>
      <c r="H52" s="107">
        <f>$H$8</f>
        <v>0</v>
      </c>
      <c r="I52" s="45">
        <f>G52*H52</f>
        <v>0</v>
      </c>
      <c r="J52" s="45">
        <f>I52*0.1</f>
        <v>0</v>
      </c>
      <c r="K52" s="45">
        <f>I52*0.05</f>
        <v>0</v>
      </c>
      <c r="L52" s="105">
        <f t="shared" si="12"/>
        <v>0</v>
      </c>
      <c r="M52" s="105">
        <f>(C52+D52+E52)*F52*H52</f>
        <v>0</v>
      </c>
      <c r="N52" s="61"/>
    </row>
    <row r="53" spans="1:15" x14ac:dyDescent="0.2">
      <c r="A53" s="112" t="s">
        <v>55</v>
      </c>
      <c r="B53" s="104">
        <v>20</v>
      </c>
      <c r="C53" s="105">
        <v>0</v>
      </c>
      <c r="D53" s="105">
        <v>0</v>
      </c>
      <c r="E53" s="105">
        <v>0</v>
      </c>
      <c r="F53" s="104">
        <v>2</v>
      </c>
      <c r="G53" s="104">
        <f>B53*F53</f>
        <v>40</v>
      </c>
      <c r="H53" s="107">
        <f>$H$8</f>
        <v>0</v>
      </c>
      <c r="I53" s="45">
        <f>G53*H53</f>
        <v>0</v>
      </c>
      <c r="J53" s="45">
        <f>I53*0.1</f>
        <v>0</v>
      </c>
      <c r="K53" s="45">
        <f>I53*0.05</f>
        <v>0</v>
      </c>
      <c r="L53" s="105">
        <f t="shared" si="12"/>
        <v>0</v>
      </c>
      <c r="M53" s="105">
        <f>(C53+D53+E53)*F53*H53</f>
        <v>0</v>
      </c>
      <c r="N53" s="61"/>
    </row>
    <row r="54" spans="1:15" ht="13.5" x14ac:dyDescent="0.25">
      <c r="A54" s="117" t="s">
        <v>107</v>
      </c>
      <c r="B54" s="118"/>
      <c r="C54" s="119"/>
      <c r="D54" s="119"/>
      <c r="E54" s="119"/>
      <c r="F54" s="118"/>
      <c r="G54" s="118"/>
      <c r="H54" s="116"/>
      <c r="I54" s="237">
        <f>SUM(I8:K53)</f>
        <v>0</v>
      </c>
      <c r="J54" s="243"/>
      <c r="K54" s="243"/>
      <c r="L54" s="120">
        <f>SUM(L8:L53)</f>
        <v>0</v>
      </c>
      <c r="M54" s="120">
        <f>SUM(M26,M29,M32,M35,M38,M41,M44,M47)</f>
        <v>0</v>
      </c>
      <c r="N54" s="61"/>
    </row>
    <row r="55" spans="1:15" x14ac:dyDescent="0.2">
      <c r="A55" s="103" t="s">
        <v>49</v>
      </c>
      <c r="B55" s="104"/>
      <c r="C55" s="105"/>
      <c r="D55" s="105"/>
      <c r="E55" s="105"/>
      <c r="F55" s="104"/>
      <c r="G55" s="104"/>
      <c r="H55" s="45"/>
      <c r="I55" s="45"/>
      <c r="J55" s="45"/>
      <c r="K55" s="45"/>
      <c r="L55" s="105"/>
      <c r="M55" s="105"/>
      <c r="N55" s="61"/>
    </row>
    <row r="56" spans="1:15" ht="25.5" x14ac:dyDescent="0.2">
      <c r="A56" s="106" t="s">
        <v>342</v>
      </c>
      <c r="B56" s="121" t="s">
        <v>46</v>
      </c>
      <c r="C56" s="105"/>
      <c r="D56" s="105"/>
      <c r="E56" s="105"/>
      <c r="F56" s="104"/>
      <c r="G56" s="104"/>
      <c r="H56" s="45"/>
      <c r="I56" s="45"/>
      <c r="J56" s="45"/>
      <c r="K56" s="45"/>
      <c r="L56" s="105"/>
      <c r="M56" s="105"/>
      <c r="N56" s="61"/>
    </row>
    <row r="57" spans="1:15" x14ac:dyDescent="0.2">
      <c r="A57" s="108" t="s">
        <v>94</v>
      </c>
      <c r="B57" s="104" t="s">
        <v>227</v>
      </c>
      <c r="C57" s="105"/>
      <c r="D57" s="105"/>
      <c r="E57" s="105"/>
      <c r="F57" s="104"/>
      <c r="G57" s="104"/>
      <c r="H57" s="45"/>
      <c r="I57" s="45"/>
      <c r="J57" s="45"/>
      <c r="K57" s="45"/>
      <c r="L57" s="105"/>
      <c r="M57" s="105"/>
      <c r="N57" s="61"/>
    </row>
    <row r="58" spans="1:15" x14ac:dyDescent="0.2">
      <c r="A58" s="108" t="s">
        <v>95</v>
      </c>
      <c r="B58" s="104" t="s">
        <v>227</v>
      </c>
      <c r="C58" s="105"/>
      <c r="D58" s="105"/>
      <c r="E58" s="105"/>
      <c r="F58" s="104"/>
      <c r="G58" s="104"/>
      <c r="H58" s="45"/>
      <c r="I58" s="45"/>
      <c r="J58" s="45"/>
      <c r="K58" s="45"/>
      <c r="L58" s="105"/>
      <c r="M58" s="105"/>
      <c r="N58" s="61"/>
    </row>
    <row r="59" spans="1:15" x14ac:dyDescent="0.2">
      <c r="A59" s="108" t="s">
        <v>96</v>
      </c>
      <c r="B59" s="104"/>
      <c r="C59" s="105"/>
      <c r="D59" s="105"/>
      <c r="E59" s="105"/>
      <c r="F59" s="104"/>
      <c r="G59" s="104"/>
      <c r="H59" s="45"/>
      <c r="I59" s="45"/>
      <c r="J59" s="45"/>
      <c r="K59" s="45"/>
      <c r="L59" s="105"/>
      <c r="M59" s="105"/>
      <c r="N59" s="61"/>
    </row>
    <row r="60" spans="1:15" x14ac:dyDescent="0.2">
      <c r="A60" s="112" t="s">
        <v>167</v>
      </c>
      <c r="B60" s="104">
        <v>20</v>
      </c>
      <c r="C60" s="105">
        <v>0</v>
      </c>
      <c r="D60" s="105">
        <v>0</v>
      </c>
      <c r="E60" s="105">
        <v>0</v>
      </c>
      <c r="F60" s="104">
        <v>1</v>
      </c>
      <c r="G60" s="104">
        <f t="shared" ref="G60:G66" si="13">B60*F60</f>
        <v>20</v>
      </c>
      <c r="H60" s="107">
        <f t="shared" ref="H60:H65" si="14">$H$10</f>
        <v>0</v>
      </c>
      <c r="I60" s="45">
        <f t="shared" ref="I60:I66" si="15">G60*H60</f>
        <v>0</v>
      </c>
      <c r="J60" s="45">
        <f t="shared" ref="J60:J66" si="16">I60*0.1</f>
        <v>0</v>
      </c>
      <c r="K60" s="45">
        <f t="shared" ref="K60:K66" si="17">I60*0.05</f>
        <v>0</v>
      </c>
      <c r="L60" s="105">
        <f t="shared" ref="L60:L66" si="18">(I60*$P$7)+(J60*$P$8)+(K60*$P$6)</f>
        <v>0</v>
      </c>
      <c r="M60" s="105">
        <f t="shared" ref="M60:M66" si="19">(C60+D60+E60)*F60*H60</f>
        <v>0</v>
      </c>
      <c r="N60" s="61"/>
    </row>
    <row r="61" spans="1:15" ht="25.5" x14ac:dyDescent="0.2">
      <c r="A61" s="109" t="s">
        <v>35</v>
      </c>
      <c r="B61" s="104">
        <v>15</v>
      </c>
      <c r="C61" s="105">
        <v>0</v>
      </c>
      <c r="D61" s="105">
        <v>0</v>
      </c>
      <c r="E61" s="105">
        <v>0</v>
      </c>
      <c r="F61" s="104">
        <v>1</v>
      </c>
      <c r="G61" s="104">
        <f t="shared" si="13"/>
        <v>15</v>
      </c>
      <c r="H61" s="107">
        <f t="shared" si="14"/>
        <v>0</v>
      </c>
      <c r="I61" s="45">
        <f t="shared" si="15"/>
        <v>0</v>
      </c>
      <c r="J61" s="45">
        <f t="shared" si="16"/>
        <v>0</v>
      </c>
      <c r="K61" s="45">
        <f t="shared" si="17"/>
        <v>0</v>
      </c>
      <c r="L61" s="105">
        <f t="shared" si="18"/>
        <v>0</v>
      </c>
      <c r="M61" s="105">
        <f t="shared" si="19"/>
        <v>0</v>
      </c>
      <c r="N61" s="61"/>
    </row>
    <row r="62" spans="1:15" s="72" customFormat="1" x14ac:dyDescent="0.2">
      <c r="A62" s="112" t="s">
        <v>168</v>
      </c>
      <c r="B62" s="104">
        <v>2</v>
      </c>
      <c r="C62" s="105">
        <v>0</v>
      </c>
      <c r="D62" s="105">
        <v>0</v>
      </c>
      <c r="E62" s="105">
        <v>0</v>
      </c>
      <c r="F62" s="104">
        <v>1</v>
      </c>
      <c r="G62" s="104">
        <f t="shared" si="13"/>
        <v>2</v>
      </c>
      <c r="H62" s="107">
        <f t="shared" si="14"/>
        <v>0</v>
      </c>
      <c r="I62" s="45">
        <f t="shared" si="15"/>
        <v>0</v>
      </c>
      <c r="J62" s="45">
        <f t="shared" si="16"/>
        <v>0</v>
      </c>
      <c r="K62" s="45">
        <f t="shared" si="17"/>
        <v>0</v>
      </c>
      <c r="L62" s="105">
        <f t="shared" si="18"/>
        <v>0</v>
      </c>
      <c r="M62" s="105">
        <f t="shared" si="19"/>
        <v>0</v>
      </c>
      <c r="N62" s="68"/>
    </row>
    <row r="63" spans="1:15" s="72" customFormat="1" ht="25.5" x14ac:dyDescent="0.2">
      <c r="A63" s="109" t="s">
        <v>169</v>
      </c>
      <c r="B63" s="104">
        <v>2</v>
      </c>
      <c r="C63" s="105">
        <v>0</v>
      </c>
      <c r="D63" s="105">
        <v>0</v>
      </c>
      <c r="E63" s="105">
        <v>0</v>
      </c>
      <c r="F63" s="104">
        <v>1</v>
      </c>
      <c r="G63" s="104">
        <f t="shared" si="13"/>
        <v>2</v>
      </c>
      <c r="H63" s="107">
        <f t="shared" si="14"/>
        <v>0</v>
      </c>
      <c r="I63" s="45">
        <f t="shared" si="15"/>
        <v>0</v>
      </c>
      <c r="J63" s="45">
        <f t="shared" si="16"/>
        <v>0</v>
      </c>
      <c r="K63" s="45">
        <f t="shared" si="17"/>
        <v>0</v>
      </c>
      <c r="L63" s="105">
        <f t="shared" si="18"/>
        <v>0</v>
      </c>
      <c r="M63" s="105">
        <f t="shared" si="19"/>
        <v>0</v>
      </c>
      <c r="N63" s="67"/>
      <c r="O63" s="75"/>
    </row>
    <row r="64" spans="1:15" s="72" customFormat="1" ht="25.5" x14ac:dyDescent="0.2">
      <c r="A64" s="109" t="s">
        <v>170</v>
      </c>
      <c r="B64" s="104">
        <v>2</v>
      </c>
      <c r="C64" s="105">
        <v>0</v>
      </c>
      <c r="D64" s="105">
        <v>0</v>
      </c>
      <c r="E64" s="105">
        <v>0</v>
      </c>
      <c r="F64" s="104">
        <v>2</v>
      </c>
      <c r="G64" s="104">
        <f t="shared" si="13"/>
        <v>4</v>
      </c>
      <c r="H64" s="107">
        <f t="shared" si="14"/>
        <v>0</v>
      </c>
      <c r="I64" s="45">
        <f t="shared" si="15"/>
        <v>0</v>
      </c>
      <c r="J64" s="45">
        <f t="shared" si="16"/>
        <v>0</v>
      </c>
      <c r="K64" s="45">
        <f t="shared" si="17"/>
        <v>0</v>
      </c>
      <c r="L64" s="105">
        <f t="shared" si="18"/>
        <v>0</v>
      </c>
      <c r="M64" s="105">
        <f t="shared" si="19"/>
        <v>0</v>
      </c>
      <c r="N64" s="67"/>
      <c r="O64" s="75"/>
    </row>
    <row r="65" spans="1:15" s="72" customFormat="1" x14ac:dyDescent="0.2">
      <c r="A65" s="109" t="s">
        <v>171</v>
      </c>
      <c r="B65" s="104">
        <v>0.5</v>
      </c>
      <c r="C65" s="105">
        <v>0</v>
      </c>
      <c r="D65" s="105">
        <v>0</v>
      </c>
      <c r="E65" s="105">
        <v>0</v>
      </c>
      <c r="F65" s="104">
        <v>12</v>
      </c>
      <c r="G65" s="104">
        <f t="shared" si="13"/>
        <v>6</v>
      </c>
      <c r="H65" s="107">
        <f t="shared" si="14"/>
        <v>0</v>
      </c>
      <c r="I65" s="45">
        <f t="shared" si="15"/>
        <v>0</v>
      </c>
      <c r="J65" s="45">
        <f t="shared" si="16"/>
        <v>0</v>
      </c>
      <c r="K65" s="45">
        <f t="shared" si="17"/>
        <v>0</v>
      </c>
      <c r="L65" s="105">
        <f t="shared" si="18"/>
        <v>0</v>
      </c>
      <c r="M65" s="105">
        <f t="shared" si="19"/>
        <v>0</v>
      </c>
      <c r="N65" s="67"/>
      <c r="O65" s="75"/>
    </row>
    <row r="66" spans="1:15" s="72" customFormat="1" x14ac:dyDescent="0.2">
      <c r="A66" s="103" t="s">
        <v>47</v>
      </c>
      <c r="B66" s="104">
        <v>40</v>
      </c>
      <c r="C66" s="105">
        <v>0</v>
      </c>
      <c r="D66" s="105">
        <v>0</v>
      </c>
      <c r="E66" s="105">
        <v>0</v>
      </c>
      <c r="F66" s="104">
        <v>1</v>
      </c>
      <c r="G66" s="104">
        <f t="shared" si="13"/>
        <v>40</v>
      </c>
      <c r="H66" s="107">
        <f>$H$8</f>
        <v>0</v>
      </c>
      <c r="I66" s="45">
        <f t="shared" si="15"/>
        <v>0</v>
      </c>
      <c r="J66" s="45">
        <f t="shared" si="16"/>
        <v>0</v>
      </c>
      <c r="K66" s="45">
        <f t="shared" si="17"/>
        <v>0</v>
      </c>
      <c r="L66" s="105">
        <f t="shared" si="18"/>
        <v>0</v>
      </c>
      <c r="M66" s="105">
        <f t="shared" si="19"/>
        <v>0</v>
      </c>
      <c r="N66" s="67"/>
      <c r="O66" s="75"/>
    </row>
    <row r="67" spans="1:15" ht="14.25" customHeight="1" x14ac:dyDescent="0.2">
      <c r="A67" s="103" t="s">
        <v>48</v>
      </c>
      <c r="B67" s="104" t="s">
        <v>227</v>
      </c>
      <c r="C67" s="105"/>
      <c r="D67" s="105"/>
      <c r="E67" s="105"/>
      <c r="F67" s="104"/>
      <c r="G67" s="104"/>
      <c r="H67" s="45"/>
      <c r="I67" s="45"/>
      <c r="J67" s="45"/>
      <c r="K67" s="45"/>
      <c r="L67" s="105"/>
      <c r="M67" s="105"/>
    </row>
    <row r="68" spans="1:15" s="85" customFormat="1" ht="13.5" x14ac:dyDescent="0.25">
      <c r="A68" s="122" t="s">
        <v>108</v>
      </c>
      <c r="B68" s="118"/>
      <c r="C68" s="119"/>
      <c r="D68" s="119"/>
      <c r="E68" s="119"/>
      <c r="F68" s="118"/>
      <c r="G68" s="118"/>
      <c r="H68" s="123"/>
      <c r="I68" s="237">
        <f>SUM(I60:K67)</f>
        <v>0</v>
      </c>
      <c r="J68" s="243"/>
      <c r="K68" s="243"/>
      <c r="L68" s="120">
        <f>SUM(L56:L67)</f>
        <v>0</v>
      </c>
      <c r="M68" s="120">
        <f>SUM(M56:M67)</f>
        <v>0</v>
      </c>
      <c r="N68" s="84"/>
    </row>
    <row r="69" spans="1:15" s="85" customFormat="1" x14ac:dyDescent="0.2">
      <c r="A69" s="56" t="s">
        <v>220</v>
      </c>
      <c r="B69" s="118"/>
      <c r="C69" s="119"/>
      <c r="D69" s="119"/>
      <c r="E69" s="119"/>
      <c r="F69" s="118"/>
      <c r="G69" s="118"/>
      <c r="H69" s="123"/>
      <c r="I69" s="238">
        <f>I54+I68</f>
        <v>0</v>
      </c>
      <c r="J69" s="238"/>
      <c r="K69" s="238"/>
      <c r="L69" s="119">
        <f>L54+L68</f>
        <v>0</v>
      </c>
      <c r="M69" s="119"/>
      <c r="N69" s="86"/>
    </row>
    <row r="70" spans="1:15" x14ac:dyDescent="0.2">
      <c r="A70" s="56" t="s">
        <v>221</v>
      </c>
      <c r="B70" s="118"/>
      <c r="C70" s="119"/>
      <c r="D70" s="119"/>
      <c r="E70" s="119"/>
      <c r="F70" s="118"/>
      <c r="G70" s="118"/>
      <c r="H70" s="123"/>
      <c r="I70" s="123"/>
      <c r="J70" s="118"/>
      <c r="K70" s="118"/>
      <c r="L70" s="119"/>
      <c r="M70" s="119">
        <f>M54+M68</f>
        <v>0</v>
      </c>
    </row>
    <row r="71" spans="1:15" x14ac:dyDescent="0.2">
      <c r="A71" s="56" t="s">
        <v>222</v>
      </c>
      <c r="B71" s="118"/>
      <c r="C71" s="119"/>
      <c r="D71" s="119"/>
      <c r="E71" s="119"/>
      <c r="F71" s="118"/>
      <c r="G71" s="118"/>
      <c r="H71" s="123"/>
      <c r="I71" s="123"/>
      <c r="J71" s="118"/>
      <c r="K71" s="118"/>
      <c r="L71" s="119"/>
      <c r="M71" s="119">
        <f>ROUND(M70+L69,-2)</f>
        <v>0</v>
      </c>
    </row>
    <row r="72" spans="1:15" x14ac:dyDescent="0.2">
      <c r="A72" s="67"/>
      <c r="B72" s="67"/>
      <c r="C72" s="67"/>
      <c r="D72" s="67"/>
      <c r="E72" s="68"/>
      <c r="F72" s="67"/>
      <c r="G72" s="67"/>
      <c r="H72" s="76"/>
      <c r="I72" s="82"/>
      <c r="J72" s="83"/>
      <c r="K72" s="83"/>
      <c r="L72" s="68"/>
      <c r="M72" s="68"/>
    </row>
    <row r="73" spans="1:15" x14ac:dyDescent="0.2">
      <c r="A73" s="72" t="s">
        <v>109</v>
      </c>
    </row>
    <row r="74" spans="1:15" x14ac:dyDescent="0.2">
      <c r="A74" s="242" t="s">
        <v>219</v>
      </c>
      <c r="B74" s="242"/>
      <c r="C74" s="242"/>
      <c r="D74" s="242"/>
      <c r="E74" s="242"/>
      <c r="F74" s="242"/>
      <c r="G74" s="242"/>
      <c r="H74" s="242"/>
      <c r="I74" s="242"/>
      <c r="J74" s="242"/>
      <c r="K74" s="242"/>
      <c r="L74" s="242"/>
      <c r="M74" s="242"/>
    </row>
    <row r="75" spans="1:15" x14ac:dyDescent="0.2">
      <c r="A75" s="234" t="s">
        <v>202</v>
      </c>
      <c r="B75" s="234"/>
      <c r="C75" s="234"/>
      <c r="D75" s="234"/>
      <c r="E75" s="234"/>
      <c r="F75" s="234"/>
      <c r="G75" s="234"/>
      <c r="H75" s="234"/>
      <c r="I75" s="234"/>
      <c r="J75" s="234"/>
      <c r="K75" s="234"/>
      <c r="L75" s="234"/>
      <c r="M75" s="234"/>
    </row>
    <row r="76" spans="1:15" x14ac:dyDescent="0.2">
      <c r="A76" s="234"/>
      <c r="B76" s="234"/>
      <c r="C76" s="234"/>
      <c r="D76" s="234"/>
      <c r="E76" s="234"/>
      <c r="F76" s="234"/>
      <c r="G76" s="234"/>
      <c r="H76" s="234"/>
      <c r="I76" s="234"/>
      <c r="J76" s="234"/>
      <c r="K76" s="234"/>
      <c r="L76" s="234"/>
      <c r="M76" s="234"/>
    </row>
  </sheetData>
  <mergeCells count="8">
    <mergeCell ref="A75:M75"/>
    <mergeCell ref="A76:M76"/>
    <mergeCell ref="A1:M1"/>
    <mergeCell ref="O5:P5"/>
    <mergeCell ref="I54:K54"/>
    <mergeCell ref="I68:K68"/>
    <mergeCell ref="I69:K69"/>
    <mergeCell ref="A74:M74"/>
  </mergeCells>
  <pageMargins left="0.25" right="0.25" top="0.5" bottom="0.25" header="0.5" footer="0.5"/>
  <pageSetup scale="6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B974-27AD-4314-867B-B8C76C629C8D}">
  <sheetPr>
    <pageSetUpPr fitToPage="1"/>
  </sheetPr>
  <dimension ref="A1:P79"/>
  <sheetViews>
    <sheetView topLeftCell="A31" zoomScaleNormal="100" workbookViewId="0">
      <selection activeCell="M4" sqref="M4"/>
    </sheetView>
  </sheetViews>
  <sheetFormatPr defaultColWidth="9.140625" defaultRowHeight="12.75" x14ac:dyDescent="0.2"/>
  <cols>
    <col min="1" max="1" width="42.5703125" style="57" customWidth="1"/>
    <col min="2" max="7" width="12.42578125" style="77" customWidth="1"/>
    <col min="8" max="8" width="12.42578125" style="78" customWidth="1"/>
    <col min="9" max="12" width="12.42578125" style="77" customWidth="1"/>
    <col min="13" max="13" width="12.42578125" style="79" customWidth="1"/>
    <col min="14" max="14" width="3.7109375" style="79" customWidth="1"/>
    <col min="15" max="15" width="14" style="57" customWidth="1"/>
    <col min="16" max="16" width="9.28515625" style="57" customWidth="1"/>
    <col min="17" max="17" width="11.5703125" style="57" customWidth="1"/>
    <col min="18" max="18" width="8.140625" style="57" customWidth="1"/>
    <col min="19" max="16384" width="9.140625" style="57"/>
  </cols>
  <sheetData>
    <row r="1" spans="1:16" ht="38.25" customHeight="1" x14ac:dyDescent="0.2">
      <c r="A1" s="235" t="s">
        <v>213</v>
      </c>
      <c r="B1" s="235"/>
      <c r="C1" s="235"/>
      <c r="D1" s="235"/>
      <c r="E1" s="235"/>
      <c r="F1" s="235"/>
      <c r="G1" s="235"/>
      <c r="H1" s="235"/>
      <c r="I1" s="235"/>
      <c r="J1" s="235"/>
      <c r="K1" s="235"/>
      <c r="L1" s="235"/>
      <c r="M1" s="235"/>
      <c r="N1" s="125"/>
    </row>
    <row r="2" spans="1:16" x14ac:dyDescent="0.2">
      <c r="A2" s="83" t="s">
        <v>82</v>
      </c>
      <c r="B2" s="96"/>
      <c r="C2" s="96"/>
      <c r="D2" s="96"/>
      <c r="E2" s="96"/>
      <c r="F2" s="96"/>
      <c r="G2" s="96"/>
      <c r="H2" s="96"/>
      <c r="I2" s="96"/>
      <c r="J2" s="96"/>
      <c r="K2" s="96"/>
      <c r="L2" s="96"/>
      <c r="M2" s="96"/>
      <c r="N2" s="96"/>
    </row>
    <row r="3" spans="1:16" x14ac:dyDescent="0.2">
      <c r="A3" s="83"/>
      <c r="B3" s="83"/>
      <c r="C3" s="83"/>
      <c r="D3" s="83"/>
      <c r="E3" s="83"/>
      <c r="F3" s="83"/>
      <c r="G3" s="83"/>
      <c r="H3" s="83"/>
      <c r="I3" s="83"/>
      <c r="J3" s="83"/>
      <c r="K3" s="83"/>
      <c r="L3" s="83"/>
      <c r="M3" s="83"/>
      <c r="N3" s="83"/>
    </row>
    <row r="4" spans="1:16" s="60" customFormat="1" ht="76.5" x14ac:dyDescent="0.2">
      <c r="A4" s="100" t="s">
        <v>38</v>
      </c>
      <c r="B4" s="100" t="s">
        <v>253</v>
      </c>
      <c r="C4" s="100" t="s">
        <v>130</v>
      </c>
      <c r="D4" s="100" t="s">
        <v>124</v>
      </c>
      <c r="E4" s="100" t="s">
        <v>125</v>
      </c>
      <c r="F4" s="100" t="s">
        <v>129</v>
      </c>
      <c r="G4" s="100" t="s">
        <v>254</v>
      </c>
      <c r="H4" s="101" t="s">
        <v>255</v>
      </c>
      <c r="I4" s="102" t="s">
        <v>256</v>
      </c>
      <c r="J4" s="102" t="s">
        <v>257</v>
      </c>
      <c r="K4" s="102" t="s">
        <v>258</v>
      </c>
      <c r="L4" s="100" t="s">
        <v>259</v>
      </c>
      <c r="M4" s="102" t="s">
        <v>337</v>
      </c>
      <c r="N4" s="44"/>
    </row>
    <row r="5" spans="1:16" x14ac:dyDescent="0.2">
      <c r="A5" s="103" t="s">
        <v>39</v>
      </c>
      <c r="B5" s="104" t="s">
        <v>227</v>
      </c>
      <c r="C5" s="105"/>
      <c r="D5" s="105"/>
      <c r="E5" s="105"/>
      <c r="F5" s="104"/>
      <c r="G5" s="104"/>
      <c r="H5" s="45"/>
      <c r="I5" s="45"/>
      <c r="J5" s="45"/>
      <c r="K5" s="45"/>
      <c r="L5" s="105"/>
      <c r="M5" s="105"/>
      <c r="N5" s="61"/>
      <c r="O5" s="236" t="s">
        <v>122</v>
      </c>
      <c r="P5" s="236"/>
    </row>
    <row r="6" spans="1:16" x14ac:dyDescent="0.2">
      <c r="A6" s="103" t="s">
        <v>40</v>
      </c>
      <c r="B6" s="104" t="s">
        <v>227</v>
      </c>
      <c r="C6" s="105"/>
      <c r="D6" s="105"/>
      <c r="E6" s="105"/>
      <c r="F6" s="104"/>
      <c r="G6" s="104"/>
      <c r="H6" s="45"/>
      <c r="I6" s="45"/>
      <c r="J6" s="45"/>
      <c r="K6" s="45"/>
      <c r="L6" s="105"/>
      <c r="M6" s="105"/>
      <c r="N6" s="61"/>
      <c r="O6" s="46" t="s">
        <v>123</v>
      </c>
      <c r="P6" s="188">
        <v>141.06</v>
      </c>
    </row>
    <row r="7" spans="1:16" x14ac:dyDescent="0.2">
      <c r="A7" s="103" t="s">
        <v>41</v>
      </c>
      <c r="B7" s="104"/>
      <c r="C7" s="105"/>
      <c r="D7" s="105"/>
      <c r="E7" s="105"/>
      <c r="F7" s="104"/>
      <c r="G7" s="104"/>
      <c r="H7" s="45"/>
      <c r="I7" s="45"/>
      <c r="J7" s="45"/>
      <c r="K7" s="45"/>
      <c r="L7" s="105"/>
      <c r="M7" s="105"/>
      <c r="N7" s="61"/>
      <c r="O7" s="46" t="s">
        <v>51</v>
      </c>
      <c r="P7" s="188">
        <v>120.27</v>
      </c>
    </row>
    <row r="8" spans="1:16" ht="18" customHeight="1" x14ac:dyDescent="0.2">
      <c r="A8" s="126" t="s">
        <v>341</v>
      </c>
      <c r="B8" s="104">
        <v>10</v>
      </c>
      <c r="C8" s="105">
        <v>0</v>
      </c>
      <c r="D8" s="105">
        <v>0</v>
      </c>
      <c r="E8" s="105">
        <v>0</v>
      </c>
      <c r="F8" s="104">
        <v>1</v>
      </c>
      <c r="G8" s="104">
        <f>B8*F8</f>
        <v>10</v>
      </c>
      <c r="H8" s="107">
        <v>0</v>
      </c>
      <c r="I8" s="45">
        <f>G8*H8</f>
        <v>0</v>
      </c>
      <c r="J8" s="45">
        <f>I8*0.1</f>
        <v>0</v>
      </c>
      <c r="K8" s="107">
        <f>I8*0.05</f>
        <v>0</v>
      </c>
      <c r="L8" s="105">
        <f>(I8*$P$7)+(J8*$P$8)+(K8*$P$6)</f>
        <v>0</v>
      </c>
      <c r="M8" s="105">
        <f>(C8+D8+E8)*F8*H8</f>
        <v>0</v>
      </c>
      <c r="N8" s="61"/>
      <c r="O8" s="46" t="s">
        <v>52</v>
      </c>
      <c r="P8" s="188">
        <v>58.67</v>
      </c>
    </row>
    <row r="9" spans="1:16" x14ac:dyDescent="0.2">
      <c r="A9" s="103" t="s">
        <v>42</v>
      </c>
      <c r="B9" s="104"/>
      <c r="C9" s="105"/>
      <c r="D9" s="105"/>
      <c r="E9" s="105"/>
      <c r="F9" s="104"/>
      <c r="G9" s="104"/>
      <c r="H9" s="45"/>
      <c r="I9" s="45"/>
      <c r="J9" s="45"/>
      <c r="K9" s="45"/>
      <c r="L9" s="105"/>
      <c r="M9" s="105"/>
      <c r="N9" s="61"/>
      <c r="O9" s="80"/>
    </row>
    <row r="10" spans="1:16" ht="15.75" x14ac:dyDescent="0.2">
      <c r="A10" s="109" t="s">
        <v>327</v>
      </c>
      <c r="B10" s="104">
        <v>12</v>
      </c>
      <c r="C10" s="105">
        <v>0</v>
      </c>
      <c r="D10" s="105">
        <f>'TBL1-YR1'!D13</f>
        <v>5000</v>
      </c>
      <c r="E10" s="105">
        <v>0</v>
      </c>
      <c r="F10" s="104">
        <v>1</v>
      </c>
      <c r="G10" s="104">
        <f t="shared" ref="G10:G21" si="0">B10*F10</f>
        <v>12</v>
      </c>
      <c r="H10" s="107">
        <v>0</v>
      </c>
      <c r="I10" s="45">
        <f t="shared" ref="I10:I20" si="1">G10*H10</f>
        <v>0</v>
      </c>
      <c r="J10" s="45">
        <f t="shared" ref="J10:J20" si="2">I10*0.1</f>
        <v>0</v>
      </c>
      <c r="K10" s="45">
        <f t="shared" ref="K10:K20" si="3">I10*0.05</f>
        <v>0</v>
      </c>
      <c r="L10" s="105">
        <f t="shared" ref="L10:L21" si="4">(I10*$P$7)+(J10*$P$8)+(K10*$P$6)</f>
        <v>0</v>
      </c>
      <c r="M10" s="105">
        <f t="shared" ref="M10:M20" si="5">(C10+D10+E10)*F10*H10</f>
        <v>0</v>
      </c>
      <c r="N10" s="61"/>
      <c r="O10" s="80"/>
    </row>
    <row r="11" spans="1:16" ht="15.75" x14ac:dyDescent="0.2">
      <c r="A11" s="109" t="s">
        <v>326</v>
      </c>
      <c r="B11" s="104">
        <v>12</v>
      </c>
      <c r="C11" s="105">
        <v>0</v>
      </c>
      <c r="D11" s="105">
        <f>'TBL1-YR1'!D14</f>
        <v>8000</v>
      </c>
      <c r="E11" s="105">
        <v>0</v>
      </c>
      <c r="F11" s="104">
        <v>1</v>
      </c>
      <c r="G11" s="104">
        <f t="shared" si="0"/>
        <v>12</v>
      </c>
      <c r="H11" s="107">
        <v>0</v>
      </c>
      <c r="I11" s="45">
        <f t="shared" si="1"/>
        <v>0</v>
      </c>
      <c r="J11" s="45">
        <f t="shared" si="2"/>
        <v>0</v>
      </c>
      <c r="K11" s="45">
        <f t="shared" si="3"/>
        <v>0</v>
      </c>
      <c r="L11" s="105">
        <f t="shared" si="4"/>
        <v>0</v>
      </c>
      <c r="M11" s="105">
        <f t="shared" si="5"/>
        <v>0</v>
      </c>
      <c r="N11" s="61"/>
      <c r="O11" s="80"/>
    </row>
    <row r="12" spans="1:16" ht="15.75" x14ac:dyDescent="0.2">
      <c r="A12" s="109" t="s">
        <v>325</v>
      </c>
      <c r="B12" s="104">
        <v>12</v>
      </c>
      <c r="C12" s="105">
        <v>0</v>
      </c>
      <c r="D12" s="105">
        <f>'TBL1-YR1'!D15</f>
        <v>8000</v>
      </c>
      <c r="E12" s="105">
        <v>0</v>
      </c>
      <c r="F12" s="104">
        <v>1</v>
      </c>
      <c r="G12" s="104">
        <f t="shared" si="0"/>
        <v>12</v>
      </c>
      <c r="H12" s="107">
        <v>0</v>
      </c>
      <c r="I12" s="45">
        <f t="shared" si="1"/>
        <v>0</v>
      </c>
      <c r="J12" s="45">
        <f t="shared" si="2"/>
        <v>0</v>
      </c>
      <c r="K12" s="45">
        <f t="shared" si="3"/>
        <v>0</v>
      </c>
      <c r="L12" s="105">
        <f t="shared" si="4"/>
        <v>0</v>
      </c>
      <c r="M12" s="105">
        <f t="shared" si="5"/>
        <v>0</v>
      </c>
      <c r="N12" s="61"/>
      <c r="O12" s="80"/>
    </row>
    <row r="13" spans="1:16" ht="15.75" x14ac:dyDescent="0.2">
      <c r="A13" s="109" t="s">
        <v>324</v>
      </c>
      <c r="B13" s="104">
        <v>12</v>
      </c>
      <c r="C13" s="105">
        <v>0</v>
      </c>
      <c r="D13" s="105">
        <f>'TBL1-YR1'!D16</f>
        <v>7000</v>
      </c>
      <c r="E13" s="105">
        <v>0</v>
      </c>
      <c r="F13" s="104">
        <v>1</v>
      </c>
      <c r="G13" s="104">
        <f t="shared" si="0"/>
        <v>12</v>
      </c>
      <c r="H13" s="107">
        <v>0</v>
      </c>
      <c r="I13" s="45">
        <f t="shared" si="1"/>
        <v>0</v>
      </c>
      <c r="J13" s="45">
        <f t="shared" si="2"/>
        <v>0</v>
      </c>
      <c r="K13" s="45">
        <f t="shared" si="3"/>
        <v>0</v>
      </c>
      <c r="L13" s="105">
        <f t="shared" si="4"/>
        <v>0</v>
      </c>
      <c r="M13" s="105">
        <f t="shared" si="5"/>
        <v>0</v>
      </c>
      <c r="N13" s="61"/>
      <c r="O13" s="80">
        <f>338000-L23-'TBL3-YR3'!L26</f>
        <v>188827.2</v>
      </c>
    </row>
    <row r="14" spans="1:16" ht="13.5" customHeight="1" x14ac:dyDescent="0.2">
      <c r="A14" s="109" t="s">
        <v>323</v>
      </c>
      <c r="B14" s="104">
        <v>12</v>
      </c>
      <c r="C14" s="105">
        <v>0</v>
      </c>
      <c r="D14" s="105">
        <f>'TBL1-YR1'!D17</f>
        <v>5000</v>
      </c>
      <c r="E14" s="105">
        <v>0</v>
      </c>
      <c r="F14" s="104">
        <v>1</v>
      </c>
      <c r="G14" s="104">
        <f t="shared" si="0"/>
        <v>12</v>
      </c>
      <c r="H14" s="107">
        <v>0</v>
      </c>
      <c r="I14" s="45">
        <f t="shared" si="1"/>
        <v>0</v>
      </c>
      <c r="J14" s="45">
        <f t="shared" si="2"/>
        <v>0</v>
      </c>
      <c r="K14" s="45">
        <f t="shared" si="3"/>
        <v>0</v>
      </c>
      <c r="L14" s="105">
        <f t="shared" si="4"/>
        <v>0</v>
      </c>
      <c r="M14" s="105">
        <f t="shared" si="5"/>
        <v>0</v>
      </c>
      <c r="N14" s="61"/>
      <c r="O14" s="80">
        <v>540000</v>
      </c>
    </row>
    <row r="15" spans="1:16" ht="13.5" customHeight="1" x14ac:dyDescent="0.2">
      <c r="A15" s="109" t="s">
        <v>322</v>
      </c>
      <c r="B15" s="104">
        <v>12</v>
      </c>
      <c r="C15" s="105">
        <v>0</v>
      </c>
      <c r="D15" s="105">
        <f>'TBL1-YR1'!D18</f>
        <v>8000</v>
      </c>
      <c r="E15" s="105">
        <v>0</v>
      </c>
      <c r="F15" s="104">
        <v>1</v>
      </c>
      <c r="G15" s="104">
        <f t="shared" si="0"/>
        <v>12</v>
      </c>
      <c r="H15" s="107">
        <v>0</v>
      </c>
      <c r="I15" s="45">
        <f t="shared" si="1"/>
        <v>0</v>
      </c>
      <c r="J15" s="45">
        <f t="shared" si="2"/>
        <v>0</v>
      </c>
      <c r="K15" s="45">
        <f t="shared" si="3"/>
        <v>0</v>
      </c>
      <c r="L15" s="105">
        <f t="shared" si="4"/>
        <v>0</v>
      </c>
      <c r="M15" s="105">
        <f t="shared" si="5"/>
        <v>0</v>
      </c>
      <c r="N15" s="61"/>
      <c r="O15" s="80">
        <f>SUM(O13:O14)</f>
        <v>728827.2</v>
      </c>
    </row>
    <row r="16" spans="1:16" ht="13.5" customHeight="1" x14ac:dyDescent="0.2">
      <c r="A16" s="109" t="s">
        <v>321</v>
      </c>
      <c r="B16" s="104">
        <v>12</v>
      </c>
      <c r="C16" s="105">
        <v>0</v>
      </c>
      <c r="D16" s="105">
        <f>'TBL1-YR1'!D19</f>
        <v>8000</v>
      </c>
      <c r="E16" s="105">
        <v>0</v>
      </c>
      <c r="F16" s="104">
        <v>1</v>
      </c>
      <c r="G16" s="104">
        <f t="shared" si="0"/>
        <v>12</v>
      </c>
      <c r="H16" s="107">
        <v>0</v>
      </c>
      <c r="I16" s="45">
        <f t="shared" si="1"/>
        <v>0</v>
      </c>
      <c r="J16" s="45">
        <f t="shared" si="2"/>
        <v>0</v>
      </c>
      <c r="K16" s="45">
        <f t="shared" si="3"/>
        <v>0</v>
      </c>
      <c r="L16" s="105">
        <f t="shared" si="4"/>
        <v>0</v>
      </c>
      <c r="M16" s="105">
        <f t="shared" si="5"/>
        <v>0</v>
      </c>
      <c r="N16" s="61"/>
      <c r="O16" s="80"/>
    </row>
    <row r="17" spans="1:15" ht="13.5" customHeight="1" x14ac:dyDescent="0.2">
      <c r="A17" s="109" t="s">
        <v>320</v>
      </c>
      <c r="B17" s="104">
        <v>12</v>
      </c>
      <c r="C17" s="105">
        <v>0</v>
      </c>
      <c r="D17" s="105">
        <f>'TBL1-YR1'!D20</f>
        <v>7000</v>
      </c>
      <c r="E17" s="105">
        <v>0</v>
      </c>
      <c r="F17" s="104">
        <v>1</v>
      </c>
      <c r="G17" s="104">
        <f t="shared" si="0"/>
        <v>12</v>
      </c>
      <c r="H17" s="107">
        <v>0</v>
      </c>
      <c r="I17" s="45">
        <f t="shared" si="1"/>
        <v>0</v>
      </c>
      <c r="J17" s="45">
        <f t="shared" si="2"/>
        <v>0</v>
      </c>
      <c r="K17" s="45">
        <f t="shared" si="3"/>
        <v>0</v>
      </c>
      <c r="L17" s="105">
        <f t="shared" si="4"/>
        <v>0</v>
      </c>
      <c r="M17" s="105">
        <f t="shared" si="5"/>
        <v>0</v>
      </c>
      <c r="N17" s="61"/>
      <c r="O17" s="80"/>
    </row>
    <row r="18" spans="1:15" ht="28.5" x14ac:dyDescent="0.2">
      <c r="A18" s="109" t="s">
        <v>319</v>
      </c>
      <c r="B18" s="104">
        <v>24</v>
      </c>
      <c r="C18" s="105">
        <v>0</v>
      </c>
      <c r="D18" s="105">
        <f>'TBL1-YR1'!D21</f>
        <v>16000</v>
      </c>
      <c r="E18" s="105">
        <v>0</v>
      </c>
      <c r="F18" s="104">
        <v>1</v>
      </c>
      <c r="G18" s="104">
        <f t="shared" si="0"/>
        <v>24</v>
      </c>
      <c r="H18" s="107">
        <v>0</v>
      </c>
      <c r="I18" s="45">
        <f t="shared" si="1"/>
        <v>0</v>
      </c>
      <c r="J18" s="45">
        <f t="shared" si="2"/>
        <v>0</v>
      </c>
      <c r="K18" s="45">
        <f t="shared" si="3"/>
        <v>0</v>
      </c>
      <c r="L18" s="105">
        <f t="shared" si="4"/>
        <v>0</v>
      </c>
      <c r="M18" s="105">
        <f t="shared" si="5"/>
        <v>0</v>
      </c>
      <c r="N18" s="61"/>
    </row>
    <row r="19" spans="1:15" ht="28.5" x14ac:dyDescent="0.2">
      <c r="A19" s="109" t="s">
        <v>318</v>
      </c>
      <c r="B19" s="104">
        <v>5</v>
      </c>
      <c r="C19" s="105">
        <v>0</v>
      </c>
      <c r="D19" s="105">
        <v>400</v>
      </c>
      <c r="E19" s="105">
        <v>0</v>
      </c>
      <c r="F19" s="104">
        <v>1</v>
      </c>
      <c r="G19" s="104">
        <f t="shared" si="0"/>
        <v>5</v>
      </c>
      <c r="H19" s="107">
        <v>0</v>
      </c>
      <c r="I19" s="45">
        <f t="shared" si="1"/>
        <v>0</v>
      </c>
      <c r="J19" s="45">
        <f t="shared" si="2"/>
        <v>0</v>
      </c>
      <c r="K19" s="45">
        <f t="shared" si="3"/>
        <v>0</v>
      </c>
      <c r="L19" s="105">
        <f t="shared" si="4"/>
        <v>0</v>
      </c>
      <c r="M19" s="105">
        <f t="shared" si="5"/>
        <v>0</v>
      </c>
      <c r="N19" s="61"/>
      <c r="O19" s="80"/>
    </row>
    <row r="20" spans="1:15" ht="28.5" x14ac:dyDescent="0.2">
      <c r="A20" s="109" t="s">
        <v>317</v>
      </c>
      <c r="B20" s="104">
        <v>5</v>
      </c>
      <c r="C20" s="105">
        <v>0</v>
      </c>
      <c r="D20" s="105">
        <v>400</v>
      </c>
      <c r="E20" s="105">
        <v>0</v>
      </c>
      <c r="F20" s="104">
        <v>12</v>
      </c>
      <c r="G20" s="104">
        <f t="shared" si="0"/>
        <v>60</v>
      </c>
      <c r="H20" s="107">
        <v>0</v>
      </c>
      <c r="I20" s="45">
        <f t="shared" si="1"/>
        <v>0</v>
      </c>
      <c r="J20" s="45">
        <f t="shared" si="2"/>
        <v>0</v>
      </c>
      <c r="K20" s="45">
        <f t="shared" si="3"/>
        <v>0</v>
      </c>
      <c r="L20" s="105">
        <f t="shared" si="4"/>
        <v>0</v>
      </c>
      <c r="M20" s="105">
        <f t="shared" si="5"/>
        <v>0</v>
      </c>
      <c r="N20" s="61"/>
      <c r="O20" s="80"/>
    </row>
    <row r="21" spans="1:15" ht="15.75" x14ac:dyDescent="0.2">
      <c r="A21" s="112" t="s">
        <v>316</v>
      </c>
      <c r="B21" s="104">
        <v>12</v>
      </c>
      <c r="C21" s="105">
        <v>0</v>
      </c>
      <c r="D21" s="105">
        <v>2875</v>
      </c>
      <c r="E21" s="105">
        <v>0</v>
      </c>
      <c r="F21" s="104">
        <v>1</v>
      </c>
      <c r="G21" s="104">
        <f t="shared" si="0"/>
        <v>12</v>
      </c>
      <c r="H21" s="107">
        <v>0</v>
      </c>
      <c r="I21" s="107">
        <f>G21*H21</f>
        <v>0</v>
      </c>
      <c r="J21" s="107">
        <f>I21*0.1</f>
        <v>0</v>
      </c>
      <c r="K21" s="107">
        <f>I21*0.05</f>
        <v>0</v>
      </c>
      <c r="L21" s="105">
        <f t="shared" si="4"/>
        <v>0</v>
      </c>
      <c r="M21" s="105">
        <f>(C21+D21+E21)*F21*H21</f>
        <v>0</v>
      </c>
      <c r="N21" s="61"/>
    </row>
    <row r="22" spans="1:15" x14ac:dyDescent="0.2">
      <c r="A22" s="109" t="s">
        <v>184</v>
      </c>
      <c r="B22" s="104"/>
      <c r="C22" s="105"/>
      <c r="D22" s="105"/>
      <c r="E22" s="105"/>
      <c r="F22" s="104"/>
      <c r="G22" s="104"/>
      <c r="H22" s="45"/>
      <c r="I22" s="45"/>
      <c r="J22" s="115"/>
      <c r="K22" s="115"/>
      <c r="L22" s="105"/>
      <c r="M22" s="105"/>
      <c r="N22" s="61"/>
      <c r="O22" s="80"/>
    </row>
    <row r="23" spans="1:15" ht="17.25" customHeight="1" x14ac:dyDescent="0.2">
      <c r="A23" s="113" t="s">
        <v>272</v>
      </c>
      <c r="B23" s="104">
        <v>40</v>
      </c>
      <c r="C23" s="105">
        <v>0</v>
      </c>
      <c r="D23" s="105"/>
      <c r="E23" s="105">
        <v>0</v>
      </c>
      <c r="F23" s="104">
        <v>1</v>
      </c>
      <c r="G23" s="104">
        <f>B23*F23</f>
        <v>40</v>
      </c>
      <c r="H23" s="107">
        <f>'2019 Changes'!C3</f>
        <v>3</v>
      </c>
      <c r="I23" s="45">
        <f>G23*H23</f>
        <v>120</v>
      </c>
      <c r="J23" s="45">
        <f>I23*0.1</f>
        <v>12</v>
      </c>
      <c r="K23" s="45">
        <f>I23*0.05</f>
        <v>6</v>
      </c>
      <c r="L23" s="105">
        <f>(I23*$P$7)+(J23*$P$8)+(K23*$P$6)</f>
        <v>15982.8</v>
      </c>
      <c r="M23" s="105">
        <f>(C23+D23+E23)*F23*H23</f>
        <v>0</v>
      </c>
      <c r="N23" s="61"/>
      <c r="O23" s="80"/>
    </row>
    <row r="24" spans="1:15" ht="15.75" x14ac:dyDescent="0.2">
      <c r="A24" s="114" t="s">
        <v>315</v>
      </c>
      <c r="B24" s="104"/>
      <c r="C24" s="105"/>
      <c r="D24" s="105"/>
      <c r="E24" s="105"/>
      <c r="F24" s="104"/>
      <c r="G24" s="104"/>
      <c r="H24" s="45"/>
      <c r="I24" s="45"/>
      <c r="J24" s="45"/>
      <c r="K24" s="45"/>
      <c r="L24" s="105"/>
      <c r="M24" s="105"/>
      <c r="N24" s="61"/>
      <c r="O24" s="80"/>
    </row>
    <row r="25" spans="1:15" x14ac:dyDescent="0.2">
      <c r="A25" s="111" t="s">
        <v>102</v>
      </c>
      <c r="B25" s="104">
        <v>10</v>
      </c>
      <c r="C25" s="105">
        <v>0</v>
      </c>
      <c r="D25" s="105">
        <v>0</v>
      </c>
      <c r="E25" s="105">
        <v>25812</v>
      </c>
      <c r="F25" s="104">
        <v>1</v>
      </c>
      <c r="G25" s="104">
        <f>B25*F25</f>
        <v>10</v>
      </c>
      <c r="H25" s="107">
        <v>0</v>
      </c>
      <c r="I25" s="45">
        <f>G25*H25</f>
        <v>0</v>
      </c>
      <c r="J25" s="45">
        <f>I25*0.1</f>
        <v>0</v>
      </c>
      <c r="K25" s="45">
        <f>I25*0.05</f>
        <v>0</v>
      </c>
      <c r="L25" s="105">
        <f t="shared" ref="L25:L26" si="6">(I25*$P$7)+(J25*$P$8)+(K25*$P$6)</f>
        <v>0</v>
      </c>
      <c r="M25" s="105">
        <f>(C25+D25+E25)*F25*H25</f>
        <v>0</v>
      </c>
      <c r="N25" s="61"/>
    </row>
    <row r="26" spans="1:15" x14ac:dyDescent="0.2">
      <c r="A26" s="111" t="s">
        <v>103</v>
      </c>
      <c r="B26" s="104">
        <v>10</v>
      </c>
      <c r="C26" s="105">
        <v>0</v>
      </c>
      <c r="D26" s="105">
        <v>0</v>
      </c>
      <c r="E26" s="105">
        <f>'Capital vs. O&amp;M'!E6</f>
        <v>9855</v>
      </c>
      <c r="F26" s="104">
        <v>1</v>
      </c>
      <c r="G26" s="104">
        <f>B26*F26</f>
        <v>10</v>
      </c>
      <c r="H26" s="107">
        <v>0</v>
      </c>
      <c r="I26" s="45">
        <f>G26*H26</f>
        <v>0</v>
      </c>
      <c r="J26" s="45">
        <f>I26*0.1</f>
        <v>0</v>
      </c>
      <c r="K26" s="45">
        <f>I26*0.05</f>
        <v>0</v>
      </c>
      <c r="L26" s="105">
        <f t="shared" si="6"/>
        <v>0</v>
      </c>
      <c r="M26" s="105">
        <f>(C26+D26+E26)*F26*H26</f>
        <v>0</v>
      </c>
      <c r="N26" s="61"/>
    </row>
    <row r="27" spans="1:15" ht="28.5" x14ac:dyDescent="0.2">
      <c r="A27" s="113" t="s">
        <v>287</v>
      </c>
      <c r="B27" s="104"/>
      <c r="C27" s="105"/>
      <c r="D27" s="105"/>
      <c r="E27" s="105"/>
      <c r="F27" s="104"/>
      <c r="G27" s="104"/>
      <c r="H27" s="45"/>
      <c r="I27" s="45"/>
      <c r="J27" s="45"/>
      <c r="K27" s="45"/>
      <c r="L27" s="105"/>
      <c r="M27" s="105"/>
      <c r="N27" s="61"/>
      <c r="O27" s="80"/>
    </row>
    <row r="28" spans="1:15" x14ac:dyDescent="0.2">
      <c r="A28" s="111" t="s">
        <v>102</v>
      </c>
      <c r="B28" s="104">
        <v>10</v>
      </c>
      <c r="C28" s="105">
        <v>0</v>
      </c>
      <c r="D28" s="105">
        <v>0</v>
      </c>
      <c r="E28" s="105">
        <v>158000</v>
      </c>
      <c r="F28" s="104">
        <v>1</v>
      </c>
      <c r="G28" s="104">
        <f>B28*F28</f>
        <v>10</v>
      </c>
      <c r="H28" s="107">
        <v>0</v>
      </c>
      <c r="I28" s="45">
        <f>G28*H28</f>
        <v>0</v>
      </c>
      <c r="J28" s="45">
        <f>I28*0.1</f>
        <v>0</v>
      </c>
      <c r="K28" s="45">
        <f>I28*0.05</f>
        <v>0</v>
      </c>
      <c r="L28" s="105">
        <f t="shared" ref="L28:L29" si="7">(I28*$P$7)+(J28*$P$8)+(K28*$P$6)</f>
        <v>0</v>
      </c>
      <c r="M28" s="105">
        <f>(C28+D28+E28)*F28*H28</f>
        <v>0</v>
      </c>
      <c r="N28" s="61"/>
    </row>
    <row r="29" spans="1:15" x14ac:dyDescent="0.2">
      <c r="A29" s="111" t="s">
        <v>103</v>
      </c>
      <c r="B29" s="104">
        <v>10</v>
      </c>
      <c r="C29" s="105">
        <v>0</v>
      </c>
      <c r="D29" s="105">
        <v>0</v>
      </c>
      <c r="E29" s="105">
        <v>56100</v>
      </c>
      <c r="F29" s="104">
        <v>1</v>
      </c>
      <c r="G29" s="104">
        <f>B29*F29</f>
        <v>10</v>
      </c>
      <c r="H29" s="107">
        <v>0</v>
      </c>
      <c r="I29" s="45">
        <f>G29*H29</f>
        <v>0</v>
      </c>
      <c r="J29" s="45">
        <f>I29*0.1</f>
        <v>0</v>
      </c>
      <c r="K29" s="45">
        <f>I29*0.05</f>
        <v>0</v>
      </c>
      <c r="L29" s="105">
        <f t="shared" si="7"/>
        <v>0</v>
      </c>
      <c r="M29" s="105">
        <f>(C29+D29+E29)*F29*H29</f>
        <v>0</v>
      </c>
      <c r="N29" s="61"/>
    </row>
    <row r="30" spans="1:15" ht="15.75" x14ac:dyDescent="0.2">
      <c r="A30" s="114" t="s">
        <v>288</v>
      </c>
      <c r="B30" s="104"/>
      <c r="C30" s="105"/>
      <c r="D30" s="105"/>
      <c r="E30" s="105"/>
      <c r="F30" s="104"/>
      <c r="G30" s="104"/>
      <c r="H30" s="107"/>
      <c r="I30" s="45"/>
      <c r="J30" s="45"/>
      <c r="K30" s="45"/>
      <c r="L30" s="105"/>
      <c r="M30" s="105"/>
      <c r="N30" s="61"/>
    </row>
    <row r="31" spans="1:15" x14ac:dyDescent="0.2">
      <c r="A31" s="111" t="s">
        <v>102</v>
      </c>
      <c r="B31" s="104">
        <v>10</v>
      </c>
      <c r="C31" s="105">
        <v>0</v>
      </c>
      <c r="D31" s="105">
        <v>0</v>
      </c>
      <c r="E31" s="105">
        <f>Monitors!$F$32</f>
        <v>8523</v>
      </c>
      <c r="F31" s="104">
        <v>1</v>
      </c>
      <c r="G31" s="104">
        <f>B31*F31</f>
        <v>10</v>
      </c>
      <c r="H31" s="107">
        <v>0</v>
      </c>
      <c r="I31" s="45">
        <f>G31*H31</f>
        <v>0</v>
      </c>
      <c r="J31" s="45">
        <f>I31*0.1</f>
        <v>0</v>
      </c>
      <c r="K31" s="45">
        <f>I31*0.05</f>
        <v>0</v>
      </c>
      <c r="L31" s="105">
        <f t="shared" ref="L31:L32" si="8">(I31*$P$7)+(J31*$P$8)+(K31*$P$6)</f>
        <v>0</v>
      </c>
      <c r="M31" s="105">
        <f>(C31+D31+E31)*F31*H31</f>
        <v>0</v>
      </c>
      <c r="N31" s="61"/>
    </row>
    <row r="32" spans="1:15" x14ac:dyDescent="0.2">
      <c r="A32" s="111" t="s">
        <v>103</v>
      </c>
      <c r="B32" s="104">
        <v>10</v>
      </c>
      <c r="C32" s="105">
        <v>0</v>
      </c>
      <c r="D32" s="105">
        <v>0</v>
      </c>
      <c r="E32" s="105">
        <f>Monitors!$G$32</f>
        <v>1436</v>
      </c>
      <c r="F32" s="104">
        <v>1</v>
      </c>
      <c r="G32" s="104">
        <f>B32*F32</f>
        <v>10</v>
      </c>
      <c r="H32" s="107">
        <v>0</v>
      </c>
      <c r="I32" s="45">
        <f>G32*H32</f>
        <v>0</v>
      </c>
      <c r="J32" s="45">
        <f>I32*0.1</f>
        <v>0</v>
      </c>
      <c r="K32" s="45">
        <f>I32*0.05</f>
        <v>0</v>
      </c>
      <c r="L32" s="105">
        <f t="shared" si="8"/>
        <v>0</v>
      </c>
      <c r="M32" s="105">
        <f>(C32+D32+E32)*F32*H32</f>
        <v>0</v>
      </c>
      <c r="N32" s="61"/>
    </row>
    <row r="33" spans="1:15" ht="28.5" customHeight="1" x14ac:dyDescent="0.2">
      <c r="A33" s="113" t="s">
        <v>309</v>
      </c>
      <c r="B33" s="104"/>
      <c r="C33" s="105"/>
      <c r="D33" s="105"/>
      <c r="E33" s="119"/>
      <c r="F33" s="104"/>
      <c r="G33" s="104"/>
      <c r="H33" s="107"/>
      <c r="I33" s="45"/>
      <c r="J33" s="45"/>
      <c r="K33" s="45"/>
      <c r="L33" s="105"/>
      <c r="M33" s="105"/>
      <c r="N33" s="61"/>
      <c r="O33" s="80"/>
    </row>
    <row r="34" spans="1:15" x14ac:dyDescent="0.2">
      <c r="A34" s="111" t="s">
        <v>102</v>
      </c>
      <c r="B34" s="104">
        <v>10</v>
      </c>
      <c r="C34" s="105">
        <v>0</v>
      </c>
      <c r="D34" s="105">
        <v>0</v>
      </c>
      <c r="E34" s="105">
        <v>25054</v>
      </c>
      <c r="F34" s="104">
        <v>1</v>
      </c>
      <c r="G34" s="104">
        <f>B34*F34</f>
        <v>10</v>
      </c>
      <c r="H34" s="107">
        <v>2</v>
      </c>
      <c r="I34" s="45">
        <f>G34*H34</f>
        <v>20</v>
      </c>
      <c r="J34" s="45">
        <f>I34*0.1</f>
        <v>2</v>
      </c>
      <c r="K34" s="45">
        <f>I34*0.05</f>
        <v>1</v>
      </c>
      <c r="L34" s="105">
        <f t="shared" ref="L34" si="9">(I34*$P$7)+(J34*$P$8)+(K34*$P$6)</f>
        <v>2663.8</v>
      </c>
      <c r="M34" s="105">
        <f>(C34+D34+E34)*F34*H34</f>
        <v>50108</v>
      </c>
      <c r="N34" s="61"/>
    </row>
    <row r="35" spans="1:15" x14ac:dyDescent="0.2">
      <c r="A35" s="111" t="s">
        <v>103</v>
      </c>
      <c r="B35" s="104">
        <v>10</v>
      </c>
      <c r="C35" s="105">
        <v>0</v>
      </c>
      <c r="D35" s="105">
        <v>0</v>
      </c>
      <c r="E35" s="105">
        <v>5774</v>
      </c>
      <c r="F35" s="104">
        <v>1</v>
      </c>
      <c r="G35" s="104">
        <f>B35*F35</f>
        <v>10</v>
      </c>
      <c r="H35" s="107">
        <v>2</v>
      </c>
      <c r="I35" s="45">
        <f>G35*H35</f>
        <v>20</v>
      </c>
      <c r="J35" s="45">
        <f>I35*0.1</f>
        <v>2</v>
      </c>
      <c r="K35" s="45">
        <f>I35*0.05</f>
        <v>1</v>
      </c>
      <c r="L35" s="105">
        <f>(I35*$P$7)+(J35*$P$8)+(K35*$P$6)</f>
        <v>2663.8</v>
      </c>
      <c r="M35" s="105">
        <f>(C35+D35+E35)*F35*H35</f>
        <v>11548</v>
      </c>
      <c r="N35" s="61"/>
    </row>
    <row r="36" spans="1:15" ht="28.5" x14ac:dyDescent="0.2">
      <c r="A36" s="113" t="s">
        <v>314</v>
      </c>
      <c r="B36" s="104"/>
      <c r="C36" s="105"/>
      <c r="D36" s="105"/>
      <c r="E36" s="105"/>
      <c r="F36" s="104"/>
      <c r="G36" s="104"/>
      <c r="H36" s="107"/>
      <c r="I36" s="45"/>
      <c r="J36" s="45"/>
      <c r="K36" s="45"/>
      <c r="L36" s="105"/>
      <c r="M36" s="103"/>
      <c r="N36" s="61"/>
      <c r="O36" s="80"/>
    </row>
    <row r="37" spans="1:15" x14ac:dyDescent="0.2">
      <c r="A37" s="111" t="s">
        <v>102</v>
      </c>
      <c r="B37" s="104">
        <v>10</v>
      </c>
      <c r="C37" s="105">
        <v>0</v>
      </c>
      <c r="D37" s="105">
        <v>0</v>
      </c>
      <c r="E37" s="105">
        <v>26300</v>
      </c>
      <c r="F37" s="104">
        <v>1</v>
      </c>
      <c r="G37" s="104">
        <f>B37*F37</f>
        <v>10</v>
      </c>
      <c r="H37" s="107">
        <v>0</v>
      </c>
      <c r="I37" s="45">
        <f>G37*H37</f>
        <v>0</v>
      </c>
      <c r="J37" s="45">
        <f>I37*0.1</f>
        <v>0</v>
      </c>
      <c r="K37" s="45">
        <f>I37*0.05</f>
        <v>0</v>
      </c>
      <c r="L37" s="105">
        <f>(I37*$P$7)+(J37*$P$8)+(K37*$P$6)</f>
        <v>0</v>
      </c>
      <c r="M37" s="105">
        <f>(C37+D37+E37)*F37*H37</f>
        <v>0</v>
      </c>
      <c r="N37" s="61"/>
    </row>
    <row r="38" spans="1:15" x14ac:dyDescent="0.2">
      <c r="A38" s="111" t="s">
        <v>103</v>
      </c>
      <c r="B38" s="104">
        <v>10</v>
      </c>
      <c r="C38" s="105">
        <v>0</v>
      </c>
      <c r="D38" s="105">
        <v>0</v>
      </c>
      <c r="E38" s="105">
        <v>10000</v>
      </c>
      <c r="F38" s="104">
        <v>1</v>
      </c>
      <c r="G38" s="104">
        <f>B38*F38</f>
        <v>10</v>
      </c>
      <c r="H38" s="107">
        <v>0</v>
      </c>
      <c r="I38" s="45">
        <f>G38*H38</f>
        <v>0</v>
      </c>
      <c r="J38" s="45">
        <f>I38*0.1</f>
        <v>0</v>
      </c>
      <c r="K38" s="45">
        <f>I38*0.05</f>
        <v>0</v>
      </c>
      <c r="L38" s="105">
        <f>(I38*$P$7)+(J38*$P$8)+(K38*$P$6)</f>
        <v>0</v>
      </c>
      <c r="M38" s="105">
        <f>(C38+D38+E38)*F38*H38</f>
        <v>0</v>
      </c>
      <c r="N38" s="61"/>
    </row>
    <row r="39" spans="1:15" ht="14.25" customHeight="1" x14ac:dyDescent="0.2">
      <c r="A39" s="113" t="s">
        <v>328</v>
      </c>
      <c r="B39" s="104"/>
      <c r="C39" s="105"/>
      <c r="D39" s="105"/>
      <c r="E39" s="105"/>
      <c r="F39" s="104"/>
      <c r="G39" s="104"/>
      <c r="H39" s="107"/>
      <c r="I39" s="45"/>
      <c r="J39" s="45"/>
      <c r="K39" s="115"/>
      <c r="L39" s="105"/>
      <c r="M39" s="103"/>
      <c r="N39" s="61"/>
    </row>
    <row r="40" spans="1:15" x14ac:dyDescent="0.2">
      <c r="A40" s="111" t="s">
        <v>102</v>
      </c>
      <c r="B40" s="104">
        <v>10</v>
      </c>
      <c r="C40" s="105">
        <v>0</v>
      </c>
      <c r="D40" s="105">
        <v>0</v>
      </c>
      <c r="E40" s="105">
        <v>44858</v>
      </c>
      <c r="F40" s="104">
        <v>1</v>
      </c>
      <c r="G40" s="104">
        <f>B40*F40</f>
        <v>10</v>
      </c>
      <c r="H40" s="107">
        <v>0</v>
      </c>
      <c r="I40" s="45">
        <f>G40*H40</f>
        <v>0</v>
      </c>
      <c r="J40" s="45">
        <f>I40*0.1</f>
        <v>0</v>
      </c>
      <c r="K40" s="45">
        <f>I40*0.05</f>
        <v>0</v>
      </c>
      <c r="L40" s="105">
        <f t="shared" ref="L40:L41" si="10">(I40*$P$7)+(J40*$P$8)+(K40*$P$6)</f>
        <v>0</v>
      </c>
      <c r="M40" s="105">
        <f>(C40+D40+E40)*F40*H40</f>
        <v>0</v>
      </c>
      <c r="N40" s="61"/>
    </row>
    <row r="41" spans="1:15" x14ac:dyDescent="0.2">
      <c r="A41" s="111" t="s">
        <v>103</v>
      </c>
      <c r="B41" s="104">
        <v>10</v>
      </c>
      <c r="C41" s="105">
        <v>0</v>
      </c>
      <c r="D41" s="105">
        <v>0</v>
      </c>
      <c r="E41" s="105">
        <v>31500</v>
      </c>
      <c r="F41" s="104">
        <v>1</v>
      </c>
      <c r="G41" s="104">
        <f>B41*F41</f>
        <v>10</v>
      </c>
      <c r="H41" s="107">
        <v>0</v>
      </c>
      <c r="I41" s="45">
        <f>G41*H41</f>
        <v>0</v>
      </c>
      <c r="J41" s="45">
        <f>I41*0.1</f>
        <v>0</v>
      </c>
      <c r="K41" s="45">
        <f>I41*0.05</f>
        <v>0</v>
      </c>
      <c r="L41" s="105">
        <f t="shared" si="10"/>
        <v>0</v>
      </c>
      <c r="M41" s="105">
        <f>(C41+D41+E41)*F41*H41</f>
        <v>0</v>
      </c>
      <c r="N41" s="61"/>
    </row>
    <row r="42" spans="1:15" ht="28.5" x14ac:dyDescent="0.2">
      <c r="A42" s="113" t="s">
        <v>289</v>
      </c>
      <c r="B42" s="104"/>
      <c r="C42" s="105"/>
      <c r="D42" s="105"/>
      <c r="E42" s="105"/>
      <c r="F42" s="104"/>
      <c r="G42" s="104"/>
      <c r="H42" s="107"/>
      <c r="I42" s="45"/>
      <c r="J42" s="45"/>
      <c r="K42" s="45"/>
      <c r="L42" s="105"/>
      <c r="M42" s="105"/>
      <c r="N42" s="61"/>
      <c r="O42" s="222"/>
    </row>
    <row r="43" spans="1:15" x14ac:dyDescent="0.2">
      <c r="A43" s="111" t="s">
        <v>102</v>
      </c>
      <c r="B43" s="104">
        <v>10</v>
      </c>
      <c r="C43" s="105">
        <v>0</v>
      </c>
      <c r="D43" s="105">
        <v>0</v>
      </c>
      <c r="E43" s="105">
        <v>115000</v>
      </c>
      <c r="F43" s="104">
        <v>1</v>
      </c>
      <c r="G43" s="104">
        <f>B43*F43</f>
        <v>10</v>
      </c>
      <c r="H43" s="107">
        <v>0</v>
      </c>
      <c r="I43" s="45">
        <f>G43*H43</f>
        <v>0</v>
      </c>
      <c r="J43" s="45">
        <f>I43*0.1</f>
        <v>0</v>
      </c>
      <c r="K43" s="45">
        <f>I43*0.05</f>
        <v>0</v>
      </c>
      <c r="L43" s="105">
        <f>(I43*$P$7)+(J43*$P$8)+(K43*$P$6)</f>
        <v>0</v>
      </c>
      <c r="M43" s="105">
        <f>(C43+D43+E43)*F43*H43</f>
        <v>0</v>
      </c>
      <c r="N43" s="61"/>
    </row>
    <row r="44" spans="1:15" x14ac:dyDescent="0.2">
      <c r="A44" s="111" t="s">
        <v>103</v>
      </c>
      <c r="B44" s="104">
        <v>10</v>
      </c>
      <c r="C44" s="105">
        <v>0</v>
      </c>
      <c r="D44" s="105">
        <v>0</v>
      </c>
      <c r="E44" s="105">
        <v>9700</v>
      </c>
      <c r="F44" s="104">
        <v>1</v>
      </c>
      <c r="G44" s="104">
        <f>B44*F44</f>
        <v>10</v>
      </c>
      <c r="H44" s="107">
        <v>0</v>
      </c>
      <c r="I44" s="45">
        <f>G44*H44</f>
        <v>0</v>
      </c>
      <c r="J44" s="45">
        <f>I44*0.1</f>
        <v>0</v>
      </c>
      <c r="K44" s="45">
        <f>I44*0.05</f>
        <v>0</v>
      </c>
      <c r="L44" s="105">
        <f>(I44*$P$7)+(J44*$P$8)+(K44*$P$6)</f>
        <v>0</v>
      </c>
      <c r="M44" s="105">
        <f>(C44+D44+E44)*F44*H44</f>
        <v>0</v>
      </c>
      <c r="N44" s="61"/>
    </row>
    <row r="45" spans="1:15" ht="15" customHeight="1" x14ac:dyDescent="0.2">
      <c r="A45" s="114" t="s">
        <v>329</v>
      </c>
      <c r="B45" s="104"/>
      <c r="C45" s="105"/>
      <c r="D45" s="105"/>
      <c r="E45" s="105"/>
      <c r="F45" s="104"/>
      <c r="G45" s="104"/>
      <c r="H45" s="107"/>
      <c r="I45" s="45"/>
      <c r="J45" s="45"/>
      <c r="K45" s="115"/>
      <c r="L45" s="105"/>
      <c r="M45" s="105"/>
      <c r="N45" s="61"/>
    </row>
    <row r="46" spans="1:15" x14ac:dyDescent="0.2">
      <c r="A46" s="111" t="s">
        <v>102</v>
      </c>
      <c r="B46" s="104">
        <v>10</v>
      </c>
      <c r="C46" s="105">
        <v>0</v>
      </c>
      <c r="D46" s="105">
        <v>0</v>
      </c>
      <c r="E46" s="105">
        <v>153700</v>
      </c>
      <c r="F46" s="104">
        <v>1</v>
      </c>
      <c r="G46" s="104">
        <f>B46*F46</f>
        <v>10</v>
      </c>
      <c r="H46" s="107">
        <v>0</v>
      </c>
      <c r="I46" s="45">
        <f>G46*H46</f>
        <v>0</v>
      </c>
      <c r="J46" s="45">
        <f>I46*0.1</f>
        <v>0</v>
      </c>
      <c r="K46" s="45">
        <f>I46*0.05</f>
        <v>0</v>
      </c>
      <c r="L46" s="105">
        <f t="shared" ref="L46:L47" si="11">(I46*$P$7)+(J46*$P$8)+(K46*$P$6)</f>
        <v>0</v>
      </c>
      <c r="M46" s="105">
        <f>(C46+D46+E46)*F46*H46</f>
        <v>0</v>
      </c>
      <c r="N46" s="61"/>
    </row>
    <row r="47" spans="1:15" x14ac:dyDescent="0.2">
      <c r="A47" s="111" t="s">
        <v>103</v>
      </c>
      <c r="B47" s="104">
        <v>10</v>
      </c>
      <c r="C47" s="105">
        <v>0</v>
      </c>
      <c r="D47" s="105">
        <v>0</v>
      </c>
      <c r="E47" s="105">
        <f>'Capital vs. O&amp;M'!E10</f>
        <v>42600</v>
      </c>
      <c r="F47" s="104">
        <v>1</v>
      </c>
      <c r="G47" s="104">
        <f>B47*F47</f>
        <v>10</v>
      </c>
      <c r="H47" s="107">
        <v>0</v>
      </c>
      <c r="I47" s="45">
        <f>G47*H47</f>
        <v>0</v>
      </c>
      <c r="J47" s="45">
        <f>I47*0.1</f>
        <v>0</v>
      </c>
      <c r="K47" s="45">
        <f>I47*0.05</f>
        <v>0</v>
      </c>
      <c r="L47" s="105">
        <f t="shared" si="11"/>
        <v>0</v>
      </c>
      <c r="M47" s="105">
        <f>(C47+D47+E47)*F47*H47</f>
        <v>0</v>
      </c>
      <c r="N47" s="61"/>
    </row>
    <row r="48" spans="1:15" s="72" customFormat="1" x14ac:dyDescent="0.2">
      <c r="A48" s="103" t="s">
        <v>43</v>
      </c>
      <c r="B48" s="104" t="s">
        <v>227</v>
      </c>
      <c r="C48" s="105"/>
      <c r="D48" s="105"/>
      <c r="E48" s="105"/>
      <c r="F48" s="104"/>
      <c r="G48" s="104"/>
      <c r="H48" s="45"/>
      <c r="I48" s="45"/>
      <c r="J48" s="45"/>
      <c r="K48" s="45"/>
      <c r="L48" s="105"/>
      <c r="M48" s="105"/>
      <c r="N48" s="61"/>
    </row>
    <row r="49" spans="1:15" x14ac:dyDescent="0.2">
      <c r="A49" s="103" t="s">
        <v>44</v>
      </c>
      <c r="B49" s="104" t="s">
        <v>227</v>
      </c>
      <c r="C49" s="105"/>
      <c r="D49" s="105"/>
      <c r="E49" s="105"/>
      <c r="F49" s="104"/>
      <c r="G49" s="104"/>
      <c r="H49" s="45"/>
      <c r="I49" s="45"/>
      <c r="J49" s="45"/>
      <c r="K49" s="45"/>
      <c r="L49" s="105"/>
      <c r="M49" s="105"/>
      <c r="N49" s="61"/>
    </row>
    <row r="50" spans="1:15" ht="13.5" customHeight="1" x14ac:dyDescent="0.2">
      <c r="A50" s="103" t="s">
        <v>45</v>
      </c>
      <c r="B50" s="104"/>
      <c r="C50" s="105"/>
      <c r="D50" s="105"/>
      <c r="E50" s="105"/>
      <c r="F50" s="104"/>
      <c r="G50" s="104"/>
      <c r="H50" s="45"/>
      <c r="I50" s="45"/>
      <c r="J50" s="45"/>
      <c r="K50" s="45"/>
      <c r="L50" s="105"/>
      <c r="M50" s="105"/>
      <c r="N50" s="61"/>
    </row>
    <row r="51" spans="1:15" ht="15.75" customHeight="1" x14ac:dyDescent="0.2">
      <c r="A51" s="109" t="s">
        <v>290</v>
      </c>
      <c r="B51" s="104">
        <v>2</v>
      </c>
      <c r="C51" s="105">
        <v>0</v>
      </c>
      <c r="D51" s="105">
        <v>0</v>
      </c>
      <c r="E51" s="105">
        <v>0</v>
      </c>
      <c r="F51" s="104">
        <v>1</v>
      </c>
      <c r="G51" s="104">
        <f>B51*F51</f>
        <v>2</v>
      </c>
      <c r="H51" s="107">
        <v>0</v>
      </c>
      <c r="I51" s="45">
        <f>G51*H51</f>
        <v>0</v>
      </c>
      <c r="J51" s="45">
        <f>I51*0.1</f>
        <v>0</v>
      </c>
      <c r="K51" s="45">
        <f>I51*0.05</f>
        <v>0</v>
      </c>
      <c r="L51" s="105">
        <f t="shared" ref="L51:L53" si="12">(I51*$P$7)+(J51*$P$8)+(K51*$P$6)</f>
        <v>0</v>
      </c>
      <c r="M51" s="105">
        <f>(C51+D51+E51)*F51*H51</f>
        <v>0</v>
      </c>
      <c r="N51" s="61"/>
    </row>
    <row r="52" spans="1:15" ht="15.75" x14ac:dyDescent="0.2">
      <c r="A52" s="109" t="s">
        <v>311</v>
      </c>
      <c r="B52" s="104">
        <v>8</v>
      </c>
      <c r="C52" s="105">
        <v>0</v>
      </c>
      <c r="D52" s="105">
        <v>0</v>
      </c>
      <c r="E52" s="105">
        <v>0</v>
      </c>
      <c r="F52" s="104">
        <v>1</v>
      </c>
      <c r="G52" s="104">
        <f>B52*F52</f>
        <v>8</v>
      </c>
      <c r="H52" s="107">
        <v>0</v>
      </c>
      <c r="I52" s="45">
        <f>G52*H52</f>
        <v>0</v>
      </c>
      <c r="J52" s="45">
        <f>I52*0.1</f>
        <v>0</v>
      </c>
      <c r="K52" s="45">
        <f>I52*0.05</f>
        <v>0</v>
      </c>
      <c r="L52" s="105">
        <f t="shared" si="12"/>
        <v>0</v>
      </c>
      <c r="M52" s="105">
        <f>(C52+D52+E52)*F52*H52</f>
        <v>0</v>
      </c>
      <c r="N52" s="61"/>
    </row>
    <row r="53" spans="1:15" ht="15.75" x14ac:dyDescent="0.2">
      <c r="A53" s="112" t="s">
        <v>312</v>
      </c>
      <c r="B53" s="104">
        <v>20</v>
      </c>
      <c r="C53" s="105">
        <v>0</v>
      </c>
      <c r="D53" s="105">
        <v>0</v>
      </c>
      <c r="E53" s="105">
        <v>0</v>
      </c>
      <c r="F53" s="104">
        <v>2</v>
      </c>
      <c r="G53" s="104">
        <f>B53*F53</f>
        <v>40</v>
      </c>
      <c r="H53" s="107">
        <f>$H$8</f>
        <v>0</v>
      </c>
      <c r="I53" s="45">
        <f>G53*H53</f>
        <v>0</v>
      </c>
      <c r="J53" s="45">
        <f>I53*0.1</f>
        <v>0</v>
      </c>
      <c r="K53" s="45">
        <f>I53*0.05</f>
        <v>0</v>
      </c>
      <c r="L53" s="105">
        <f t="shared" si="12"/>
        <v>0</v>
      </c>
      <c r="M53" s="105">
        <f>(C53+D53+E53)*F53*H53</f>
        <v>0</v>
      </c>
      <c r="N53" s="61"/>
    </row>
    <row r="54" spans="1:15" ht="13.5" x14ac:dyDescent="0.25">
      <c r="A54" s="117" t="s">
        <v>107</v>
      </c>
      <c r="B54" s="118"/>
      <c r="C54" s="119"/>
      <c r="D54" s="119"/>
      <c r="E54" s="119"/>
      <c r="F54" s="118"/>
      <c r="G54" s="118"/>
      <c r="H54" s="116"/>
      <c r="I54" s="237">
        <f>SUM(I8:K53)</f>
        <v>184</v>
      </c>
      <c r="J54" s="243"/>
      <c r="K54" s="243"/>
      <c r="L54" s="120">
        <f>SUM(L8:L53)</f>
        <v>21310.399999999998</v>
      </c>
      <c r="M54" s="120">
        <f>SUM(M26,M29,M32,M35,M38,M41,M44,M47)</f>
        <v>11548</v>
      </c>
      <c r="N54" s="61"/>
    </row>
    <row r="55" spans="1:15" x14ac:dyDescent="0.2">
      <c r="A55" s="103" t="s">
        <v>49</v>
      </c>
      <c r="B55" s="104"/>
      <c r="C55" s="105"/>
      <c r="D55" s="105"/>
      <c r="E55" s="105"/>
      <c r="F55" s="104"/>
      <c r="G55" s="104"/>
      <c r="H55" s="45"/>
      <c r="I55" s="45"/>
      <c r="J55" s="45"/>
      <c r="K55" s="45"/>
      <c r="L55" s="105"/>
      <c r="M55" s="105"/>
      <c r="N55" s="61"/>
    </row>
    <row r="56" spans="1:15" x14ac:dyDescent="0.2">
      <c r="A56" s="106" t="s">
        <v>339</v>
      </c>
      <c r="B56" s="121" t="s">
        <v>46</v>
      </c>
      <c r="C56" s="105"/>
      <c r="D56" s="105"/>
      <c r="E56" s="105"/>
      <c r="F56" s="104"/>
      <c r="G56" s="104"/>
      <c r="H56" s="45"/>
      <c r="I56" s="45"/>
      <c r="J56" s="45"/>
      <c r="K56" s="45"/>
      <c r="L56" s="105"/>
      <c r="M56" s="105"/>
      <c r="N56" s="61"/>
    </row>
    <row r="57" spans="1:15" x14ac:dyDescent="0.2">
      <c r="A57" s="108" t="s">
        <v>94</v>
      </c>
      <c r="B57" s="104" t="s">
        <v>227</v>
      </c>
      <c r="C57" s="105"/>
      <c r="D57" s="105"/>
      <c r="E57" s="105"/>
      <c r="F57" s="104"/>
      <c r="G57" s="104"/>
      <c r="H57" s="45"/>
      <c r="I57" s="45"/>
      <c r="J57" s="45"/>
      <c r="K57" s="45"/>
      <c r="L57" s="105"/>
      <c r="M57" s="105"/>
      <c r="N57" s="61"/>
    </row>
    <row r="58" spans="1:15" x14ac:dyDescent="0.2">
      <c r="A58" s="108" t="s">
        <v>95</v>
      </c>
      <c r="B58" s="104" t="s">
        <v>227</v>
      </c>
      <c r="C58" s="105"/>
      <c r="D58" s="105"/>
      <c r="E58" s="105"/>
      <c r="F58" s="104"/>
      <c r="G58" s="104"/>
      <c r="H58" s="45"/>
      <c r="I58" s="45"/>
      <c r="J58" s="45"/>
      <c r="K58" s="45"/>
      <c r="L58" s="105"/>
      <c r="M58" s="105"/>
      <c r="N58" s="61"/>
    </row>
    <row r="59" spans="1:15" x14ac:dyDescent="0.2">
      <c r="A59" s="108" t="s">
        <v>96</v>
      </c>
      <c r="B59" s="104"/>
      <c r="C59" s="105"/>
      <c r="D59" s="105"/>
      <c r="E59" s="105"/>
      <c r="F59" s="104"/>
      <c r="G59" s="104"/>
      <c r="H59" s="45"/>
      <c r="I59" s="45"/>
      <c r="J59" s="45"/>
      <c r="K59" s="45"/>
      <c r="L59" s="105"/>
      <c r="M59" s="105"/>
      <c r="N59" s="61"/>
    </row>
    <row r="60" spans="1:15" ht="15.75" x14ac:dyDescent="0.2">
      <c r="A60" s="112" t="s">
        <v>306</v>
      </c>
      <c r="B60" s="104">
        <v>20</v>
      </c>
      <c r="C60" s="105">
        <v>0</v>
      </c>
      <c r="D60" s="105">
        <v>0</v>
      </c>
      <c r="E60" s="105">
        <v>0</v>
      </c>
      <c r="F60" s="104">
        <v>1</v>
      </c>
      <c r="G60" s="104">
        <f t="shared" ref="G60:G66" si="13">B60*F60</f>
        <v>20</v>
      </c>
      <c r="H60" s="107">
        <f>'2019 Changes'!C15</f>
        <v>3</v>
      </c>
      <c r="I60" s="45">
        <f t="shared" ref="I60:I66" si="14">G60*H60</f>
        <v>60</v>
      </c>
      <c r="J60" s="45">
        <f t="shared" ref="J60:J66" si="15">I60*0.1</f>
        <v>6</v>
      </c>
      <c r="K60" s="45">
        <f t="shared" ref="K60:K66" si="16">I60*0.05</f>
        <v>3</v>
      </c>
      <c r="L60" s="105">
        <f t="shared" ref="L60:L66" si="17">(I60*$P$7)+(J60*$P$8)+(K60*$P$6)</f>
        <v>7991.4</v>
      </c>
      <c r="M60" s="105">
        <f t="shared" ref="M60:M66" si="18">(C60+D60+E60)*F60*H60</f>
        <v>0</v>
      </c>
      <c r="N60" s="61"/>
    </row>
    <row r="61" spans="1:15" ht="15.75" x14ac:dyDescent="0.2">
      <c r="A61" s="109" t="s">
        <v>294</v>
      </c>
      <c r="B61" s="104">
        <v>15</v>
      </c>
      <c r="C61" s="105">
        <v>0</v>
      </c>
      <c r="D61" s="105">
        <v>0</v>
      </c>
      <c r="E61" s="105">
        <v>0</v>
      </c>
      <c r="F61" s="104">
        <v>1</v>
      </c>
      <c r="G61" s="104">
        <f t="shared" si="13"/>
        <v>15</v>
      </c>
      <c r="H61" s="107">
        <f t="shared" ref="H61:H65" si="19">$H$10</f>
        <v>0</v>
      </c>
      <c r="I61" s="45">
        <f t="shared" si="14"/>
        <v>0</v>
      </c>
      <c r="J61" s="45">
        <f t="shared" si="15"/>
        <v>0</v>
      </c>
      <c r="K61" s="45">
        <f t="shared" si="16"/>
        <v>0</v>
      </c>
      <c r="L61" s="105">
        <f t="shared" si="17"/>
        <v>0</v>
      </c>
      <c r="M61" s="105">
        <f t="shared" si="18"/>
        <v>0</v>
      </c>
      <c r="N61" s="61"/>
    </row>
    <row r="62" spans="1:15" s="72" customFormat="1" ht="15.75" x14ac:dyDescent="0.2">
      <c r="A62" s="112" t="s">
        <v>295</v>
      </c>
      <c r="B62" s="104">
        <v>2</v>
      </c>
      <c r="C62" s="105">
        <v>0</v>
      </c>
      <c r="D62" s="105">
        <v>0</v>
      </c>
      <c r="E62" s="105">
        <v>0</v>
      </c>
      <c r="F62" s="104">
        <v>1</v>
      </c>
      <c r="G62" s="104">
        <f t="shared" si="13"/>
        <v>2</v>
      </c>
      <c r="H62" s="107">
        <f t="shared" si="19"/>
        <v>0</v>
      </c>
      <c r="I62" s="45">
        <f t="shared" si="14"/>
        <v>0</v>
      </c>
      <c r="J62" s="45">
        <f t="shared" si="15"/>
        <v>0</v>
      </c>
      <c r="K62" s="45">
        <f t="shared" si="16"/>
        <v>0</v>
      </c>
      <c r="L62" s="105">
        <f t="shared" si="17"/>
        <v>0</v>
      </c>
      <c r="M62" s="105">
        <f t="shared" si="18"/>
        <v>0</v>
      </c>
      <c r="N62" s="61"/>
    </row>
    <row r="63" spans="1:15" s="72" customFormat="1" ht="15.75" x14ac:dyDescent="0.2">
      <c r="A63" s="109" t="s">
        <v>305</v>
      </c>
      <c r="B63" s="104">
        <v>2</v>
      </c>
      <c r="C63" s="105">
        <v>0</v>
      </c>
      <c r="D63" s="105">
        <v>0</v>
      </c>
      <c r="E63" s="105">
        <v>0</v>
      </c>
      <c r="F63" s="104">
        <v>1</v>
      </c>
      <c r="G63" s="104">
        <f t="shared" si="13"/>
        <v>2</v>
      </c>
      <c r="H63" s="107">
        <f>H60</f>
        <v>3</v>
      </c>
      <c r="I63" s="45">
        <f t="shared" si="14"/>
        <v>6</v>
      </c>
      <c r="J63" s="115">
        <f t="shared" si="15"/>
        <v>0.60000000000000009</v>
      </c>
      <c r="K63" s="115">
        <f t="shared" si="16"/>
        <v>0.30000000000000004</v>
      </c>
      <c r="L63" s="105">
        <f t="shared" si="17"/>
        <v>799.14</v>
      </c>
      <c r="M63" s="105">
        <f t="shared" si="18"/>
        <v>0</v>
      </c>
      <c r="N63" s="61"/>
      <c r="O63" s="75"/>
    </row>
    <row r="64" spans="1:15" s="72" customFormat="1" ht="28.5" x14ac:dyDescent="0.2">
      <c r="A64" s="109" t="s">
        <v>296</v>
      </c>
      <c r="B64" s="104">
        <v>2</v>
      </c>
      <c r="C64" s="105">
        <v>0</v>
      </c>
      <c r="D64" s="105">
        <v>0</v>
      </c>
      <c r="E64" s="105">
        <v>0</v>
      </c>
      <c r="F64" s="104">
        <v>2</v>
      </c>
      <c r="G64" s="104">
        <f t="shared" si="13"/>
        <v>4</v>
      </c>
      <c r="H64" s="107">
        <f t="shared" si="19"/>
        <v>0</v>
      </c>
      <c r="I64" s="45">
        <f t="shared" si="14"/>
        <v>0</v>
      </c>
      <c r="J64" s="45">
        <f t="shared" si="15"/>
        <v>0</v>
      </c>
      <c r="K64" s="45">
        <f t="shared" si="16"/>
        <v>0</v>
      </c>
      <c r="L64" s="105">
        <f t="shared" si="17"/>
        <v>0</v>
      </c>
      <c r="M64" s="105">
        <f t="shared" si="18"/>
        <v>0</v>
      </c>
      <c r="N64" s="61"/>
      <c r="O64" s="75"/>
    </row>
    <row r="65" spans="1:15" s="72" customFormat="1" ht="15.75" x14ac:dyDescent="0.2">
      <c r="A65" s="109" t="s">
        <v>297</v>
      </c>
      <c r="B65" s="104">
        <v>0.5</v>
      </c>
      <c r="C65" s="105">
        <v>0</v>
      </c>
      <c r="D65" s="105">
        <v>0</v>
      </c>
      <c r="E65" s="105">
        <v>0</v>
      </c>
      <c r="F65" s="104">
        <v>12</v>
      </c>
      <c r="G65" s="104">
        <f t="shared" si="13"/>
        <v>6</v>
      </c>
      <c r="H65" s="107">
        <f t="shared" si="19"/>
        <v>0</v>
      </c>
      <c r="I65" s="45">
        <f t="shared" si="14"/>
        <v>0</v>
      </c>
      <c r="J65" s="45">
        <f t="shared" si="15"/>
        <v>0</v>
      </c>
      <c r="K65" s="45">
        <f t="shared" si="16"/>
        <v>0</v>
      </c>
      <c r="L65" s="105">
        <f t="shared" si="17"/>
        <v>0</v>
      </c>
      <c r="M65" s="105">
        <f t="shared" si="18"/>
        <v>0</v>
      </c>
      <c r="N65" s="61"/>
      <c r="O65" s="75"/>
    </row>
    <row r="66" spans="1:15" s="72" customFormat="1" ht="15.75" x14ac:dyDescent="0.2">
      <c r="A66" s="103" t="s">
        <v>313</v>
      </c>
      <c r="B66" s="104">
        <v>40</v>
      </c>
      <c r="C66" s="105">
        <v>0</v>
      </c>
      <c r="D66" s="105">
        <v>0</v>
      </c>
      <c r="E66" s="105">
        <v>0</v>
      </c>
      <c r="F66" s="104">
        <v>1</v>
      </c>
      <c r="G66" s="104">
        <f t="shared" si="13"/>
        <v>40</v>
      </c>
      <c r="H66" s="107">
        <f>$H$8</f>
        <v>0</v>
      </c>
      <c r="I66" s="45">
        <f t="shared" si="14"/>
        <v>0</v>
      </c>
      <c r="J66" s="45">
        <f t="shared" si="15"/>
        <v>0</v>
      </c>
      <c r="K66" s="45">
        <f t="shared" si="16"/>
        <v>0</v>
      </c>
      <c r="L66" s="105">
        <f t="shared" si="17"/>
        <v>0</v>
      </c>
      <c r="M66" s="105">
        <f t="shared" si="18"/>
        <v>0</v>
      </c>
      <c r="N66" s="67"/>
      <c r="O66" s="75"/>
    </row>
    <row r="67" spans="1:15" ht="14.25" customHeight="1" x14ac:dyDescent="0.2">
      <c r="A67" s="103" t="s">
        <v>48</v>
      </c>
      <c r="B67" s="104" t="s">
        <v>227</v>
      </c>
      <c r="C67" s="105"/>
      <c r="D67" s="105"/>
      <c r="E67" s="105"/>
      <c r="F67" s="104"/>
      <c r="G67" s="104"/>
      <c r="H67" s="45"/>
      <c r="I67" s="45"/>
      <c r="J67" s="45"/>
      <c r="K67" s="45"/>
      <c r="L67" s="105"/>
      <c r="M67" s="105"/>
    </row>
    <row r="68" spans="1:15" ht="14.25" customHeight="1" x14ac:dyDescent="0.25">
      <c r="A68" s="122" t="s">
        <v>108</v>
      </c>
      <c r="B68" s="118"/>
      <c r="C68" s="119"/>
      <c r="D68" s="119"/>
      <c r="E68" s="119"/>
      <c r="F68" s="118"/>
      <c r="G68" s="118"/>
      <c r="H68" s="123"/>
      <c r="I68" s="237">
        <f>SUM(I60:K67)</f>
        <v>75.899999999999991</v>
      </c>
      <c r="J68" s="243"/>
      <c r="K68" s="243"/>
      <c r="L68" s="120">
        <f>SUM(L56:L67)</f>
        <v>8790.5399999999991</v>
      </c>
      <c r="M68" s="120">
        <f>SUM(M56:M67)</f>
        <v>0</v>
      </c>
    </row>
    <row r="69" spans="1:15" ht="14.25" customHeight="1" x14ac:dyDescent="0.2">
      <c r="A69" s="56" t="s">
        <v>302</v>
      </c>
      <c r="B69" s="118"/>
      <c r="C69" s="119"/>
      <c r="D69" s="119"/>
      <c r="E69" s="119"/>
      <c r="F69" s="118"/>
      <c r="G69" s="118"/>
      <c r="H69" s="123"/>
      <c r="I69" s="238">
        <f>I54+I68</f>
        <v>259.89999999999998</v>
      </c>
      <c r="J69" s="238"/>
      <c r="K69" s="238"/>
      <c r="L69" s="119">
        <f>ROUND(L54+L68,-2)</f>
        <v>30100</v>
      </c>
      <c r="M69" s="119"/>
      <c r="N69" s="193"/>
    </row>
    <row r="70" spans="1:15" ht="15.75" x14ac:dyDescent="0.2">
      <c r="A70" s="56" t="s">
        <v>303</v>
      </c>
      <c r="B70" s="118"/>
      <c r="C70" s="119"/>
      <c r="D70" s="119"/>
      <c r="E70" s="119"/>
      <c r="F70" s="118"/>
      <c r="G70" s="118"/>
      <c r="H70" s="123"/>
      <c r="I70" s="123"/>
      <c r="J70" s="118"/>
      <c r="K70" s="118"/>
      <c r="L70" s="119"/>
      <c r="M70" s="119">
        <f>ROUND(M54+M68,-2)</f>
        <v>11500</v>
      </c>
      <c r="N70" s="193"/>
    </row>
    <row r="71" spans="1:15" s="85" customFormat="1" ht="15.75" x14ac:dyDescent="0.2">
      <c r="A71" s="56" t="s">
        <v>304</v>
      </c>
      <c r="B71" s="118"/>
      <c r="C71" s="119"/>
      <c r="D71" s="119"/>
      <c r="E71" s="119"/>
      <c r="F71" s="118"/>
      <c r="G71" s="118"/>
      <c r="H71" s="123"/>
      <c r="I71" s="123"/>
      <c r="J71" s="118"/>
      <c r="K71" s="118"/>
      <c r="L71" s="119"/>
      <c r="M71" s="119">
        <f>ROUND(M70+L69,-2)</f>
        <v>41600</v>
      </c>
      <c r="N71" s="191"/>
    </row>
    <row r="72" spans="1:15" s="85" customFormat="1" ht="17.25" customHeight="1" x14ac:dyDescent="0.2">
      <c r="A72" s="67"/>
      <c r="B72" s="67"/>
      <c r="C72" s="67"/>
      <c r="D72" s="67"/>
      <c r="E72" s="68"/>
      <c r="F72" s="67"/>
      <c r="G72" s="67"/>
      <c r="H72" s="76"/>
      <c r="I72" s="82"/>
      <c r="J72" s="83"/>
      <c r="K72" s="83"/>
      <c r="L72" s="68"/>
      <c r="M72" s="68"/>
      <c r="N72" s="189"/>
    </row>
    <row r="73" spans="1:15" x14ac:dyDescent="0.2">
      <c r="A73" s="72" t="s">
        <v>109</v>
      </c>
    </row>
    <row r="74" spans="1:15" ht="29.25" customHeight="1" x14ac:dyDescent="0.2">
      <c r="A74" s="234" t="s">
        <v>261</v>
      </c>
      <c r="B74" s="234"/>
      <c r="C74" s="234"/>
      <c r="D74" s="234"/>
      <c r="E74" s="234"/>
      <c r="F74" s="234"/>
      <c r="G74" s="234"/>
      <c r="H74" s="234"/>
      <c r="I74" s="234"/>
      <c r="J74" s="234"/>
      <c r="K74" s="234"/>
      <c r="L74" s="234"/>
      <c r="M74" s="234"/>
    </row>
    <row r="75" spans="1:15" x14ac:dyDescent="0.2">
      <c r="A75" s="57" t="s">
        <v>249</v>
      </c>
    </row>
    <row r="76" spans="1:15" ht="25.5" customHeight="1" x14ac:dyDescent="0.2">
      <c r="A76" s="244" t="s">
        <v>310</v>
      </c>
      <c r="B76" s="244"/>
      <c r="C76" s="244"/>
      <c r="D76" s="244"/>
      <c r="E76" s="244"/>
      <c r="F76" s="244"/>
      <c r="G76" s="244"/>
      <c r="H76" s="244"/>
      <c r="I76" s="244"/>
      <c r="J76" s="244"/>
      <c r="K76" s="244"/>
      <c r="L76" s="244"/>
      <c r="M76" s="244"/>
    </row>
    <row r="77" spans="1:15" ht="28.5" customHeight="1" x14ac:dyDescent="0.2">
      <c r="A77" s="242" t="s">
        <v>347</v>
      </c>
      <c r="B77" s="242"/>
      <c r="C77" s="242"/>
      <c r="D77" s="242"/>
      <c r="E77" s="242"/>
      <c r="F77" s="242"/>
      <c r="G77" s="242"/>
      <c r="H77" s="242"/>
      <c r="I77" s="242"/>
      <c r="J77" s="242"/>
      <c r="K77" s="242"/>
      <c r="L77" s="242"/>
      <c r="M77" s="242"/>
    </row>
    <row r="78" spans="1:15" ht="24" customHeight="1" x14ac:dyDescent="0.2">
      <c r="A78" s="234" t="s">
        <v>307</v>
      </c>
      <c r="B78" s="234"/>
      <c r="C78" s="234"/>
      <c r="D78" s="234"/>
      <c r="E78" s="234"/>
      <c r="F78" s="234"/>
      <c r="G78" s="234"/>
      <c r="H78" s="234"/>
      <c r="I78" s="234"/>
      <c r="J78" s="234"/>
      <c r="K78" s="234"/>
      <c r="L78" s="234"/>
      <c r="M78" s="234"/>
    </row>
    <row r="79" spans="1:15" x14ac:dyDescent="0.2">
      <c r="A79" s="234" t="s">
        <v>308</v>
      </c>
      <c r="B79" s="234"/>
      <c r="C79" s="234"/>
      <c r="D79" s="234"/>
      <c r="E79" s="234"/>
      <c r="F79" s="234"/>
      <c r="G79" s="234"/>
      <c r="H79" s="234"/>
      <c r="I79" s="234"/>
      <c r="J79" s="234"/>
      <c r="K79" s="234"/>
      <c r="L79" s="234"/>
      <c r="M79" s="234"/>
    </row>
  </sheetData>
  <mergeCells count="10">
    <mergeCell ref="A74:M74"/>
    <mergeCell ref="A78:M78"/>
    <mergeCell ref="A79:M79"/>
    <mergeCell ref="A1:M1"/>
    <mergeCell ref="O5:P5"/>
    <mergeCell ref="I54:K54"/>
    <mergeCell ref="I68:K68"/>
    <mergeCell ref="I69:K69"/>
    <mergeCell ref="A77:M77"/>
    <mergeCell ref="A76:M76"/>
  </mergeCells>
  <pageMargins left="0.25" right="0.25" top="0.5" bottom="0.25" header="0.5" footer="0.5"/>
  <pageSetup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zoomScaleNormal="100" workbookViewId="0">
      <selection activeCell="F12" sqref="F12"/>
    </sheetView>
  </sheetViews>
  <sheetFormatPr defaultRowHeight="12.75" x14ac:dyDescent="0.2"/>
  <cols>
    <col min="1" max="1" width="25.7109375" style="52" customWidth="1"/>
    <col min="2" max="2" width="13.7109375" style="52" customWidth="1"/>
    <col min="3" max="4" width="12.7109375" style="52" customWidth="1"/>
    <col min="5" max="5" width="9.85546875" style="52" customWidth="1"/>
    <col min="6" max="6" width="9.42578125" style="52" customWidth="1"/>
    <col min="7" max="7" width="13" style="52" customWidth="1"/>
    <col min="8" max="8" width="10.7109375" style="52" customWidth="1"/>
    <col min="9" max="9" width="17.140625" style="52" customWidth="1"/>
    <col min="10" max="10" width="12.7109375" style="52" customWidth="1"/>
    <col min="11" max="16384" width="9.140625" style="52"/>
  </cols>
  <sheetData>
    <row r="1" spans="1:8" ht="39" customHeight="1" x14ac:dyDescent="0.2">
      <c r="A1" s="245" t="s">
        <v>214</v>
      </c>
      <c r="B1" s="245"/>
      <c r="C1" s="245"/>
      <c r="D1" s="245"/>
      <c r="E1" s="245"/>
      <c r="F1" s="245"/>
      <c r="G1" s="245"/>
      <c r="H1" s="245"/>
    </row>
    <row r="2" spans="1:8" ht="78.75" customHeight="1" thickBot="1" x14ac:dyDescent="0.25">
      <c r="A2" s="148" t="s">
        <v>146</v>
      </c>
      <c r="B2" s="148" t="s">
        <v>111</v>
      </c>
      <c r="C2" s="148" t="s">
        <v>113</v>
      </c>
      <c r="D2" s="148" t="s">
        <v>112</v>
      </c>
      <c r="E2" s="148" t="s">
        <v>84</v>
      </c>
      <c r="F2" s="148" t="s">
        <v>114</v>
      </c>
      <c r="G2" s="198" t="s">
        <v>336</v>
      </c>
      <c r="H2" s="148" t="s">
        <v>79</v>
      </c>
    </row>
    <row r="3" spans="1:8" ht="13.5" thickTop="1" x14ac:dyDescent="0.2">
      <c r="A3" s="162" t="s">
        <v>75</v>
      </c>
      <c r="B3" s="161"/>
      <c r="C3" s="161"/>
      <c r="D3" s="161"/>
      <c r="E3" s="161"/>
      <c r="F3" s="161"/>
      <c r="G3" s="199"/>
      <c r="H3" s="161"/>
    </row>
    <row r="4" spans="1:8" x14ac:dyDescent="0.2">
      <c r="A4" s="149" t="s">
        <v>80</v>
      </c>
      <c r="B4" s="87">
        <f>SUM('TBL1-YR1'!I8:I57)+SUM('TBL1-YR1'!I61:I71)</f>
        <v>250</v>
      </c>
      <c r="C4" s="87">
        <f>SUM('TBL1-YR1'!J8:J57)+SUM('TBL1-YR1'!J61:J71)</f>
        <v>25</v>
      </c>
      <c r="D4" s="87">
        <f>SUM('TBL1-YR1'!K8:K57)+SUM('TBL1-YR1'!K61:K71)</f>
        <v>12.5</v>
      </c>
      <c r="E4" s="87">
        <f>SUM(B4:D4)</f>
        <v>287.5</v>
      </c>
      <c r="F4" s="89">
        <f>'TBL1-YR1'!L58+'TBL1-YR1'!L72</f>
        <v>33297.5</v>
      </c>
      <c r="G4" s="200">
        <f>'TBL1-YR1'!M58+'TBL1-YR1'!M72</f>
        <v>0</v>
      </c>
      <c r="H4" s="89">
        <f>F4+G4</f>
        <v>33297.5</v>
      </c>
    </row>
    <row r="5" spans="1:8" x14ac:dyDescent="0.2">
      <c r="A5" s="149" t="s">
        <v>81</v>
      </c>
      <c r="B5" s="88">
        <f>SUM('TBL2-YR2'!I8:I57)+SUM('TBL2-YR2'!I61:I71)</f>
        <v>0</v>
      </c>
      <c r="C5" s="88">
        <f>SUM('TBL2-YR2'!J8:J57)+SUM('TBL2-YR2'!J61:J71)</f>
        <v>0</v>
      </c>
      <c r="D5" s="88">
        <f>SUM('TBL2-YR2'!K8:K57)+SUM('TBL2-YR2'!K61:K71)</f>
        <v>0</v>
      </c>
      <c r="E5" s="87">
        <f t="shared" ref="E5:E6" si="0">SUM(B5:D5)</f>
        <v>0</v>
      </c>
      <c r="F5" s="90">
        <f>'TBL2-YR2'!L58+'TBL2-YR2'!L72</f>
        <v>0</v>
      </c>
      <c r="G5" s="201">
        <f>'TBL2-YR2'!M58+'TBL2-YR2'!M72</f>
        <v>0</v>
      </c>
      <c r="H5" s="89">
        <f t="shared" ref="H5:H9" si="1">F5+G5</f>
        <v>0</v>
      </c>
    </row>
    <row r="6" spans="1:8" x14ac:dyDescent="0.2">
      <c r="A6" s="149" t="s">
        <v>82</v>
      </c>
      <c r="B6" s="154">
        <f>SUM('TBL3-YR3'!I8:I57)+SUM('TBL3-YR3'!I61:I71)</f>
        <v>2312</v>
      </c>
      <c r="C6" s="154">
        <f>SUM('TBL3-YR3'!J8:J57)+SUM('TBL3-YR3'!J61:J71)</f>
        <v>231.2</v>
      </c>
      <c r="D6" s="154">
        <f>SUM('TBL3-YR3'!K8:K57)+SUM('TBL3-YR3'!K61:K71)</f>
        <v>115.6</v>
      </c>
      <c r="E6" s="87">
        <f t="shared" si="0"/>
        <v>2658.7999999999997</v>
      </c>
      <c r="F6" s="155">
        <f>'TBL3-YR3'!L58+'TBL3-YR3'!L72</f>
        <v>307935.28000000003</v>
      </c>
      <c r="G6" s="232">
        <f>SUM('Capital vs. O&amp;M'!G24:G28)</f>
        <v>528752</v>
      </c>
      <c r="H6" s="89">
        <f>F6+G6</f>
        <v>836687.28</v>
      </c>
    </row>
    <row r="7" spans="1:8" x14ac:dyDescent="0.2">
      <c r="A7" s="171" t="s">
        <v>76</v>
      </c>
      <c r="B7" s="154"/>
      <c r="C7" s="154"/>
      <c r="D7" s="154"/>
      <c r="E7" s="88"/>
      <c r="F7" s="155"/>
      <c r="G7" s="202"/>
      <c r="H7" s="90"/>
    </row>
    <row r="8" spans="1:8" x14ac:dyDescent="0.2">
      <c r="A8" s="149" t="s">
        <v>80</v>
      </c>
      <c r="B8" s="154">
        <f>SUM('TBL4-YR1'!I8:I53)+SUM('TBL4-YR1'!I56:I67)</f>
        <v>30</v>
      </c>
      <c r="C8" s="154">
        <f>SUM('TBL4-YR1'!J8:J53)+SUM('TBL4-YR1'!J56:J67)</f>
        <v>3</v>
      </c>
      <c r="D8" s="154">
        <f>SUM('TBL4-YR1'!K8:K53)+SUM('TBL4-YR1'!K56:K67)</f>
        <v>1.5</v>
      </c>
      <c r="E8" s="87">
        <f>SUM(B8:D8)</f>
        <v>34.5</v>
      </c>
      <c r="F8" s="155">
        <f>'TBL4-YR1'!L69</f>
        <v>4000</v>
      </c>
      <c r="G8" s="202">
        <f>'TBL4-YR1'!M70</f>
        <v>0</v>
      </c>
      <c r="H8" s="89">
        <f t="shared" si="1"/>
        <v>4000</v>
      </c>
    </row>
    <row r="9" spans="1:8" x14ac:dyDescent="0.2">
      <c r="A9" s="149" t="s">
        <v>81</v>
      </c>
      <c r="B9" s="154">
        <f>SUM('TBL5-YR2'!I8:I53)+SUM('TBL5-YR2'!I56:I67)</f>
        <v>0</v>
      </c>
      <c r="C9" s="154">
        <f>SUM('TBL5-YR2'!J8:J53)+SUM('TBL5-YR2'!J56:J67)</f>
        <v>0</v>
      </c>
      <c r="D9" s="154">
        <f>SUM('TBL5-YR2'!K8:K53)+SUM('TBL5-YR2'!K56:K67)</f>
        <v>0</v>
      </c>
      <c r="E9" s="87">
        <f t="shared" ref="E9" si="2">SUM(B9:D9)</f>
        <v>0</v>
      </c>
      <c r="F9" s="155">
        <f>'TBL5-YR2'!L69</f>
        <v>0</v>
      </c>
      <c r="G9" s="202">
        <f>'TBL5-YR2'!M70</f>
        <v>0</v>
      </c>
      <c r="H9" s="89">
        <f t="shared" si="1"/>
        <v>0</v>
      </c>
    </row>
    <row r="10" spans="1:8" ht="13.5" thickBot="1" x14ac:dyDescent="0.25">
      <c r="A10" s="151" t="s">
        <v>82</v>
      </c>
      <c r="B10" s="91">
        <f>SUM('TBL6-YR3'!I8:I53)+SUM('TBL6-YR3'!I56:I67)</f>
        <v>226</v>
      </c>
      <c r="C10" s="91">
        <f>SUM('TBL6-YR3'!J8:J53)+SUM('TBL6-YR3'!J56:J67)</f>
        <v>22.6</v>
      </c>
      <c r="D10" s="91">
        <f>SUM('TBL6-YR3'!K8:K53)+SUM('TBL6-YR3'!K56:K67)</f>
        <v>11.3</v>
      </c>
      <c r="E10" s="91">
        <f>SUM(B10:D10)</f>
        <v>259.89999999999998</v>
      </c>
      <c r="F10" s="92">
        <f>'TBL6-YR3'!L69</f>
        <v>30100</v>
      </c>
      <c r="G10" s="233">
        <f>SUM('Capital vs. O&amp;M'!G30)</f>
        <v>11548</v>
      </c>
      <c r="H10" s="92">
        <f>F10+G10</f>
        <v>41648</v>
      </c>
    </row>
    <row r="11" spans="1:8" ht="13.5" thickTop="1" x14ac:dyDescent="0.2">
      <c r="A11" s="149" t="s">
        <v>53</v>
      </c>
      <c r="B11" s="87">
        <f>SUM(B4:B10)</f>
        <v>2818</v>
      </c>
      <c r="C11" s="87">
        <f>SUM(C4:C10)</f>
        <v>281.8</v>
      </c>
      <c r="D11" s="87">
        <f>SUM(D4:D10)</f>
        <v>140.9</v>
      </c>
      <c r="E11" s="87">
        <f>SUM(E4:E10)</f>
        <v>3240.7</v>
      </c>
      <c r="F11" s="89">
        <f>ROUND(SUM(F4:F10),-3)</f>
        <v>375000</v>
      </c>
      <c r="G11" s="200">
        <f>ROUND(SUM(G4:G10),-4)</f>
        <v>540000</v>
      </c>
      <c r="H11" s="89">
        <f>ROUND(SUM(H4:H10),-4)</f>
        <v>920000</v>
      </c>
    </row>
    <row r="12" spans="1:8" x14ac:dyDescent="0.2">
      <c r="A12" s="153" t="s">
        <v>85</v>
      </c>
      <c r="B12" s="154">
        <f>B11/3</f>
        <v>939.33333333333337</v>
      </c>
      <c r="C12" s="154">
        <f t="shared" ref="C12:D12" si="3">C11/3</f>
        <v>93.933333333333337</v>
      </c>
      <c r="D12" s="154">
        <f t="shared" si="3"/>
        <v>46.966666666666669</v>
      </c>
      <c r="E12" s="154">
        <f>E11/3</f>
        <v>1080.2333333333333</v>
      </c>
      <c r="F12" s="154">
        <f>ROUND(F11/3,-3)</f>
        <v>125000</v>
      </c>
      <c r="G12" s="202">
        <f>ROUND(G11/3,-3)</f>
        <v>180000</v>
      </c>
      <c r="H12" s="155">
        <f>ROUND(H11/3,-3)</f>
        <v>307000</v>
      </c>
    </row>
    <row r="13" spans="1:8" x14ac:dyDescent="0.2">
      <c r="A13" s="158"/>
      <c r="B13" s="159"/>
      <c r="C13" s="159"/>
      <c r="D13" s="159"/>
      <c r="E13" s="159"/>
      <c r="F13" s="159"/>
      <c r="G13" s="203"/>
      <c r="H13" s="160"/>
    </row>
    <row r="14" spans="1:8" ht="42" customHeight="1" thickBot="1" x14ac:dyDescent="0.25">
      <c r="A14" s="156" t="s">
        <v>146</v>
      </c>
      <c r="B14" s="156" t="s">
        <v>86</v>
      </c>
      <c r="C14" s="156" t="s">
        <v>31</v>
      </c>
      <c r="D14" s="156" t="s">
        <v>77</v>
      </c>
      <c r="E14" s="156" t="s">
        <v>78</v>
      </c>
      <c r="F14" s="156" t="s">
        <v>115</v>
      </c>
      <c r="G14" s="204" t="s">
        <v>116</v>
      </c>
      <c r="H14" s="157" t="s">
        <v>117</v>
      </c>
    </row>
    <row r="15" spans="1:8" ht="13.5" thickTop="1" x14ac:dyDescent="0.2">
      <c r="A15" s="163" t="str">
        <f>A3</f>
        <v>Existing Large Solid Fuel Units</v>
      </c>
      <c r="B15" s="164"/>
      <c r="C15" s="164"/>
      <c r="D15" s="164"/>
      <c r="E15" s="164"/>
      <c r="F15" s="164"/>
      <c r="G15" s="205"/>
      <c r="H15" s="165"/>
    </row>
    <row r="16" spans="1:8" x14ac:dyDescent="0.2">
      <c r="A16" s="149" t="s">
        <v>80</v>
      </c>
      <c r="B16" s="223">
        <f>'TBL1-YR1'!H26</f>
        <v>0</v>
      </c>
      <c r="C16" s="224">
        <v>0</v>
      </c>
      <c r="D16" s="87">
        <f>'TBL1-YR1'!I58</f>
        <v>287.5</v>
      </c>
      <c r="E16" s="87">
        <f>'TBL1-YR1'!I72</f>
        <v>0</v>
      </c>
      <c r="F16" s="87">
        <f>D16+E16</f>
        <v>287.5</v>
      </c>
      <c r="G16" s="206" t="s">
        <v>118</v>
      </c>
      <c r="H16" s="152" t="s">
        <v>118</v>
      </c>
    </row>
    <row r="17" spans="1:8" x14ac:dyDescent="0.2">
      <c r="A17" s="149" t="s">
        <v>81</v>
      </c>
      <c r="B17" s="45">
        <f>'TBL2-YR2'!H26</f>
        <v>0</v>
      </c>
      <c r="C17" s="224">
        <v>0</v>
      </c>
      <c r="D17" s="88">
        <f>'TBL2-YR2'!I58</f>
        <v>0</v>
      </c>
      <c r="E17" s="88">
        <f>'TBL2-YR2'!I72</f>
        <v>0</v>
      </c>
      <c r="F17" s="87">
        <f>D17+E17</f>
        <v>0</v>
      </c>
      <c r="G17" s="207" t="s">
        <v>118</v>
      </c>
      <c r="H17" s="152" t="s">
        <v>118</v>
      </c>
    </row>
    <row r="18" spans="1:8" x14ac:dyDescent="0.2">
      <c r="A18" s="149" t="s">
        <v>82</v>
      </c>
      <c r="B18" s="225">
        <f>'TBL3-YR3'!H26</f>
        <v>25</v>
      </c>
      <c r="C18" s="226">
        <f>SUM('TBL3-YR3'!H26*'TBL3-YR3'!F26,'TBL3-YR3'!H29*'TBL3-YR3'!F29,'TBL3-YR3'!H38*'TBL3-YR3'!F38,'TBL3-YR3'!H41*'TBL3-YR3'!F41,'TBL3-YR3'!H44*'TBL3-YR3'!F44,'TBL3-YR3'!H50*'TBL3-YR3'!F50)</f>
        <v>51</v>
      </c>
      <c r="D18" s="154">
        <f>'TBL3-YR3'!I58</f>
        <v>1748</v>
      </c>
      <c r="E18" s="154">
        <f>'TBL3-YR3'!I72</f>
        <v>910.80000000000007</v>
      </c>
      <c r="F18" s="87">
        <f>D18+E18</f>
        <v>2658.8</v>
      </c>
      <c r="G18" s="208">
        <f>F18/C18</f>
        <v>52.13333333333334</v>
      </c>
      <c r="H18" s="88">
        <f>F18/B18</f>
        <v>106.352</v>
      </c>
    </row>
    <row r="19" spans="1:8" x14ac:dyDescent="0.2">
      <c r="A19" s="172" t="str">
        <f>A7</f>
        <v>New Large Solid Fuel Units</v>
      </c>
      <c r="B19" s="225"/>
      <c r="C19" s="226"/>
      <c r="D19" s="154"/>
      <c r="E19" s="154"/>
      <c r="F19" s="87"/>
      <c r="G19" s="208"/>
      <c r="H19" s="95"/>
    </row>
    <row r="20" spans="1:8" x14ac:dyDescent="0.2">
      <c r="A20" s="149" t="s">
        <v>80</v>
      </c>
      <c r="B20" s="225">
        <f>'TBL4-YR1'!H23</f>
        <v>0</v>
      </c>
      <c r="C20" s="226">
        <v>0</v>
      </c>
      <c r="D20" s="154">
        <f>'TBL4-YR1'!I54</f>
        <v>34.5</v>
      </c>
      <c r="E20" s="154">
        <f>'TBL4-YR1'!I68</f>
        <v>0</v>
      </c>
      <c r="F20" s="87">
        <f>D20+E20</f>
        <v>34.5</v>
      </c>
      <c r="G20" s="208" t="s">
        <v>118</v>
      </c>
      <c r="H20" s="95" t="s">
        <v>118</v>
      </c>
    </row>
    <row r="21" spans="1:8" x14ac:dyDescent="0.2">
      <c r="A21" s="149" t="s">
        <v>81</v>
      </c>
      <c r="B21" s="225">
        <f>'TBL4-YR1'!H23</f>
        <v>0</v>
      </c>
      <c r="C21" s="226">
        <v>0</v>
      </c>
      <c r="D21" s="154">
        <f>'TBL5-YR2'!I54</f>
        <v>0</v>
      </c>
      <c r="E21" s="154">
        <f>'TBL5-YR2'!I68</f>
        <v>0</v>
      </c>
      <c r="F21" s="87">
        <f>D21+E21</f>
        <v>0</v>
      </c>
      <c r="G21" s="208" t="s">
        <v>118</v>
      </c>
      <c r="H21" s="95" t="s">
        <v>118</v>
      </c>
    </row>
    <row r="22" spans="1:8" ht="13.5" thickBot="1" x14ac:dyDescent="0.25">
      <c r="A22" s="151" t="s">
        <v>82</v>
      </c>
      <c r="B22" s="227">
        <f>'TBL6-YR3'!H23</f>
        <v>3</v>
      </c>
      <c r="C22" s="227">
        <f>'TBL6-YR3'!F23*'TBL6-YR3'!H23+'TBL6-YR3'!F35*'TBL6-YR3'!H35</f>
        <v>5</v>
      </c>
      <c r="D22" s="91">
        <f>'TBL6-YR3'!I54</f>
        <v>184</v>
      </c>
      <c r="E22" s="91">
        <f>'TBL6-YR3'!I68</f>
        <v>75.899999999999991</v>
      </c>
      <c r="F22" s="91">
        <f>D22+E22</f>
        <v>259.89999999999998</v>
      </c>
      <c r="G22" s="209">
        <f>F22/C22</f>
        <v>51.98</v>
      </c>
      <c r="H22" s="91">
        <f>F22/B22</f>
        <v>86.633333333333326</v>
      </c>
    </row>
    <row r="23" spans="1:8" ht="13.5" thickTop="1" x14ac:dyDescent="0.2">
      <c r="A23" s="149" t="s">
        <v>53</v>
      </c>
      <c r="B23" s="87">
        <f>SUM(B16:B22)</f>
        <v>28</v>
      </c>
      <c r="C23" s="87">
        <f>SUM(C16:C22)</f>
        <v>56</v>
      </c>
      <c r="D23" s="87">
        <f>SUM(D16:D22)</f>
        <v>2254</v>
      </c>
      <c r="E23" s="87">
        <f>SUM(E16:E22)</f>
        <v>986.7</v>
      </c>
      <c r="F23" s="87">
        <f>SUM(F16:F22)</f>
        <v>3240.7000000000003</v>
      </c>
      <c r="G23" s="206" t="s">
        <v>118</v>
      </c>
      <c r="H23" s="94" t="s">
        <v>118</v>
      </c>
    </row>
    <row r="24" spans="1:8" x14ac:dyDescent="0.2">
      <c r="A24" s="150" t="s">
        <v>85</v>
      </c>
      <c r="B24" s="88">
        <f>B23/3</f>
        <v>9.3333333333333339</v>
      </c>
      <c r="C24" s="88">
        <f>C23/3</f>
        <v>18.666666666666668</v>
      </c>
      <c r="D24" s="88">
        <f>D23/3</f>
        <v>751.33333333333337</v>
      </c>
      <c r="E24" s="88">
        <f>E23/3</f>
        <v>328.90000000000003</v>
      </c>
      <c r="F24" s="88">
        <f>F23/3</f>
        <v>1080.2333333333333</v>
      </c>
      <c r="G24" s="210">
        <f>F24/C24</f>
        <v>57.869642857142857</v>
      </c>
      <c r="H24" s="95">
        <f>F24/B24</f>
        <v>115.73928571428571</v>
      </c>
    </row>
    <row r="25" spans="1:8" x14ac:dyDescent="0.2">
      <c r="A25" s="93" t="s">
        <v>119</v>
      </c>
      <c r="B25" s="93"/>
      <c r="C25" s="166">
        <f>ROUND(H12/B24,-3)</f>
        <v>33000</v>
      </c>
      <c r="D25" s="93"/>
      <c r="F25" s="93"/>
      <c r="G25" s="93"/>
      <c r="H25" s="93"/>
    </row>
    <row r="26" spans="1:8" x14ac:dyDescent="0.2">
      <c r="A26" s="93" t="s">
        <v>120</v>
      </c>
      <c r="B26" s="93"/>
      <c r="C26" s="95">
        <f>F24/B24</f>
        <v>115.73928571428571</v>
      </c>
      <c r="D26" s="93"/>
      <c r="F26" s="93"/>
      <c r="G26" s="93"/>
      <c r="H26" s="93"/>
    </row>
    <row r="27" spans="1:8" x14ac:dyDescent="0.2">
      <c r="A27" s="93" t="s">
        <v>121</v>
      </c>
      <c r="B27" s="93"/>
      <c r="C27" s="88">
        <f>F24/C24</f>
        <v>57.869642857142857</v>
      </c>
      <c r="D27" s="93"/>
      <c r="F27" s="93"/>
      <c r="G27" s="93"/>
      <c r="H27" s="93"/>
    </row>
  </sheetData>
  <mergeCells count="1">
    <mergeCell ref="A1:H1"/>
  </mergeCells>
  <phoneticPr fontId="4"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6"/>
  <sheetViews>
    <sheetView zoomScaleNormal="100" workbookViewId="0">
      <selection activeCell="A6" sqref="A6"/>
    </sheetView>
  </sheetViews>
  <sheetFormatPr defaultColWidth="9.140625" defaultRowHeight="12.75" x14ac:dyDescent="0.2"/>
  <cols>
    <col min="1" max="1" width="35.140625" style="57" customWidth="1"/>
    <col min="2" max="2" width="12" style="97" customWidth="1"/>
    <col min="3" max="3" width="13" style="97" customWidth="1"/>
    <col min="4" max="4" width="14.42578125" style="97" customWidth="1"/>
    <col min="5" max="5" width="10.5703125" style="97" customWidth="1"/>
    <col min="6" max="6" width="11" style="97" customWidth="1"/>
    <col min="7" max="7" width="14" style="97" customWidth="1"/>
    <col min="8" max="8" width="13" style="143" customWidth="1"/>
    <col min="9" max="9" width="3.85546875" style="77" bestFit="1" customWidth="1"/>
    <col min="10" max="10" width="11" style="57" bestFit="1" customWidth="1"/>
    <col min="11" max="11" width="8.140625" style="57" customWidth="1"/>
    <col min="12" max="12" width="9.140625" style="57"/>
    <col min="13" max="13" width="9.140625" style="63"/>
    <col min="14" max="16384" width="9.140625" style="57"/>
  </cols>
  <sheetData>
    <row r="1" spans="1:13" ht="36.75" customHeight="1" x14ac:dyDescent="0.2">
      <c r="A1" s="235" t="s">
        <v>215</v>
      </c>
      <c r="B1" s="235"/>
      <c r="C1" s="235"/>
      <c r="D1" s="235"/>
      <c r="E1" s="235"/>
      <c r="F1" s="235"/>
      <c r="G1" s="235"/>
      <c r="H1" s="235"/>
      <c r="I1" s="131"/>
    </row>
    <row r="2" spans="1:13" ht="12" customHeight="1" x14ac:dyDescent="0.2">
      <c r="A2" s="131" t="s">
        <v>80</v>
      </c>
      <c r="B2" s="131"/>
      <c r="C2" s="131"/>
      <c r="D2" s="131"/>
      <c r="E2" s="131"/>
      <c r="F2" s="131"/>
      <c r="G2" s="131"/>
      <c r="H2" s="131"/>
      <c r="I2" s="131"/>
    </row>
    <row r="3" spans="1:13" ht="15" customHeight="1" x14ac:dyDescent="0.2">
      <c r="A3" s="246" t="s">
        <v>38</v>
      </c>
      <c r="B3" s="100" t="s">
        <v>23</v>
      </c>
      <c r="C3" s="100" t="s">
        <v>24</v>
      </c>
      <c r="D3" s="100" t="s">
        <v>25</v>
      </c>
      <c r="E3" s="100" t="s">
        <v>27</v>
      </c>
      <c r="F3" s="100" t="s">
        <v>26</v>
      </c>
      <c r="G3" s="102" t="s">
        <v>137</v>
      </c>
      <c r="H3" s="102" t="s">
        <v>143</v>
      </c>
      <c r="I3" s="62"/>
    </row>
    <row r="4" spans="1:13" s="72" customFormat="1" ht="51" x14ac:dyDescent="0.2">
      <c r="A4" s="246"/>
      <c r="B4" s="100" t="s">
        <v>140</v>
      </c>
      <c r="C4" s="100" t="s">
        <v>229</v>
      </c>
      <c r="D4" s="100" t="s">
        <v>3</v>
      </c>
      <c r="E4" s="100" t="s">
        <v>141</v>
      </c>
      <c r="F4" s="100" t="s">
        <v>145</v>
      </c>
      <c r="G4" s="100" t="s">
        <v>142</v>
      </c>
      <c r="H4" s="102" t="s">
        <v>231</v>
      </c>
      <c r="I4" s="132"/>
      <c r="J4" s="73"/>
      <c r="M4" s="73"/>
    </row>
    <row r="5" spans="1:13" ht="15" customHeight="1" x14ac:dyDescent="0.2">
      <c r="A5" s="133" t="s">
        <v>343</v>
      </c>
      <c r="B5" s="100">
        <v>10</v>
      </c>
      <c r="C5" s="100">
        <v>0</v>
      </c>
      <c r="D5" s="102">
        <f>B5*C5</f>
        <v>0</v>
      </c>
      <c r="E5" s="102">
        <f>D5</f>
        <v>0</v>
      </c>
      <c r="F5" s="102">
        <f>E5*0.05</f>
        <v>0</v>
      </c>
      <c r="G5" s="102">
        <f>E5*0.1</f>
        <v>0</v>
      </c>
      <c r="H5" s="139">
        <f>(E5*$K$7)+(F5*$K$6)+(G5*$K$8)</f>
        <v>0</v>
      </c>
      <c r="I5" s="62"/>
      <c r="J5" s="236" t="s">
        <v>122</v>
      </c>
      <c r="K5" s="236"/>
    </row>
    <row r="6" spans="1:13" ht="27" customHeight="1" x14ac:dyDescent="0.2">
      <c r="A6" s="135" t="s">
        <v>232</v>
      </c>
      <c r="B6" s="100">
        <v>2</v>
      </c>
      <c r="C6" s="102">
        <v>0</v>
      </c>
      <c r="D6" s="102">
        <f>B6*C6</f>
        <v>0</v>
      </c>
      <c r="E6" s="102">
        <f>D6</f>
        <v>0</v>
      </c>
      <c r="F6" s="102">
        <f>E6*0.05</f>
        <v>0</v>
      </c>
      <c r="G6" s="102">
        <f>E6*0.1</f>
        <v>0</v>
      </c>
      <c r="H6" s="139">
        <f>(E6*$K$7)+(F6*$K$6)+(G6*$K$8)</f>
        <v>0</v>
      </c>
      <c r="I6" s="62"/>
      <c r="J6" s="46" t="s">
        <v>123</v>
      </c>
      <c r="K6" s="188">
        <v>66.62</v>
      </c>
    </row>
    <row r="7" spans="1:13" ht="15" customHeight="1" x14ac:dyDescent="0.2">
      <c r="A7" s="137" t="s">
        <v>138</v>
      </c>
      <c r="B7" s="100"/>
      <c r="C7" s="100"/>
      <c r="D7" s="102"/>
      <c r="E7" s="102"/>
      <c r="F7" s="102"/>
      <c r="G7" s="102"/>
      <c r="H7" s="139">
        <f t="shared" ref="H7:H24" si="0">(E7*$K$7)+(F7*$K$6)+(G7*$K$8)</f>
        <v>0</v>
      </c>
      <c r="I7" s="62"/>
      <c r="J7" s="46" t="s">
        <v>51</v>
      </c>
      <c r="K7" s="188">
        <v>49.44</v>
      </c>
    </row>
    <row r="8" spans="1:13" ht="15" customHeight="1" x14ac:dyDescent="0.2">
      <c r="A8" s="138" t="s">
        <v>245</v>
      </c>
      <c r="B8" s="100">
        <v>20</v>
      </c>
      <c r="C8" s="102">
        <v>0</v>
      </c>
      <c r="D8" s="102">
        <f t="shared" ref="D8:D13" si="1">B8*C8</f>
        <v>0</v>
      </c>
      <c r="E8" s="102">
        <f t="shared" ref="E8:E14" si="2">D8</f>
        <v>0</v>
      </c>
      <c r="F8" s="102">
        <f t="shared" ref="F8:F14" si="3">E8*0.05</f>
        <v>0</v>
      </c>
      <c r="G8" s="102">
        <f t="shared" ref="G8:G14" si="4">E8*0.1</f>
        <v>0</v>
      </c>
      <c r="H8" s="139">
        <f t="shared" si="0"/>
        <v>0</v>
      </c>
      <c r="I8" s="62"/>
      <c r="J8" s="46" t="s">
        <v>52</v>
      </c>
      <c r="K8" s="188">
        <v>26.75</v>
      </c>
    </row>
    <row r="9" spans="1:13" ht="28.5" customHeight="1" x14ac:dyDescent="0.2">
      <c r="A9" s="138" t="s">
        <v>233</v>
      </c>
      <c r="B9" s="100">
        <v>20</v>
      </c>
      <c r="C9" s="102">
        <v>0</v>
      </c>
      <c r="D9" s="102">
        <f t="shared" si="1"/>
        <v>0</v>
      </c>
      <c r="E9" s="102">
        <f t="shared" si="2"/>
        <v>0</v>
      </c>
      <c r="F9" s="102">
        <f t="shared" si="3"/>
        <v>0</v>
      </c>
      <c r="G9" s="102">
        <f t="shared" si="4"/>
        <v>0</v>
      </c>
      <c r="H9" s="139">
        <f t="shared" si="0"/>
        <v>0</v>
      </c>
      <c r="I9" s="62"/>
      <c r="J9" s="63"/>
    </row>
    <row r="10" spans="1:13" ht="15" customHeight="1" x14ac:dyDescent="0.2">
      <c r="A10" s="138" t="s">
        <v>234</v>
      </c>
      <c r="B10" s="100">
        <v>40</v>
      </c>
      <c r="C10" s="102">
        <v>0</v>
      </c>
      <c r="D10" s="102">
        <f t="shared" si="1"/>
        <v>0</v>
      </c>
      <c r="E10" s="102">
        <f t="shared" si="2"/>
        <v>0</v>
      </c>
      <c r="F10" s="102">
        <f t="shared" si="3"/>
        <v>0</v>
      </c>
      <c r="G10" s="102">
        <f t="shared" si="4"/>
        <v>0</v>
      </c>
      <c r="H10" s="139">
        <f t="shared" si="0"/>
        <v>0</v>
      </c>
      <c r="I10" s="62"/>
      <c r="J10" s="63"/>
    </row>
    <row r="11" spans="1:13" ht="15" customHeight="1" x14ac:dyDescent="0.2">
      <c r="A11" s="138" t="s">
        <v>235</v>
      </c>
      <c r="B11" s="100">
        <v>40</v>
      </c>
      <c r="C11" s="102">
        <v>0</v>
      </c>
      <c r="D11" s="102">
        <f t="shared" si="1"/>
        <v>0</v>
      </c>
      <c r="E11" s="102">
        <f t="shared" si="2"/>
        <v>0</v>
      </c>
      <c r="F11" s="102">
        <f t="shared" si="3"/>
        <v>0</v>
      </c>
      <c r="G11" s="102">
        <f t="shared" si="4"/>
        <v>0</v>
      </c>
      <c r="H11" s="139">
        <f t="shared" si="0"/>
        <v>0</v>
      </c>
      <c r="I11" s="62"/>
      <c r="J11" s="63"/>
    </row>
    <row r="12" spans="1:13" ht="15" customHeight="1" x14ac:dyDescent="0.2">
      <c r="A12" s="138" t="s">
        <v>247</v>
      </c>
      <c r="B12" s="100">
        <v>2</v>
      </c>
      <c r="C12" s="102">
        <f>C8</f>
        <v>0</v>
      </c>
      <c r="D12" s="102">
        <f t="shared" si="1"/>
        <v>0</v>
      </c>
      <c r="E12" s="102">
        <f t="shared" si="2"/>
        <v>0</v>
      </c>
      <c r="F12" s="102">
        <f t="shared" si="3"/>
        <v>0</v>
      </c>
      <c r="G12" s="102">
        <f t="shared" si="4"/>
        <v>0</v>
      </c>
      <c r="H12" s="139">
        <f t="shared" si="0"/>
        <v>0</v>
      </c>
      <c r="I12" s="62"/>
      <c r="J12" s="63"/>
    </row>
    <row r="13" spans="1:13" ht="28.5" customHeight="1" x14ac:dyDescent="0.2">
      <c r="A13" s="138" t="s">
        <v>248</v>
      </c>
      <c r="B13" s="100">
        <v>2</v>
      </c>
      <c r="C13" s="102">
        <f>C8</f>
        <v>0</v>
      </c>
      <c r="D13" s="102">
        <f t="shared" si="1"/>
        <v>0</v>
      </c>
      <c r="E13" s="102">
        <f t="shared" si="2"/>
        <v>0</v>
      </c>
      <c r="F13" s="102">
        <f t="shared" si="3"/>
        <v>0</v>
      </c>
      <c r="G13" s="102">
        <f t="shared" si="4"/>
        <v>0</v>
      </c>
      <c r="H13" s="139">
        <f t="shared" si="0"/>
        <v>0</v>
      </c>
      <c r="I13" s="62"/>
      <c r="J13" s="63"/>
    </row>
    <row r="14" spans="1:13" ht="27.75" customHeight="1" x14ac:dyDescent="0.2">
      <c r="A14" s="137" t="s">
        <v>236</v>
      </c>
      <c r="B14" s="100">
        <v>24</v>
      </c>
      <c r="C14" s="102">
        <v>0</v>
      </c>
      <c r="D14" s="102">
        <v>0</v>
      </c>
      <c r="E14" s="102">
        <f t="shared" si="2"/>
        <v>0</v>
      </c>
      <c r="F14" s="102">
        <f t="shared" si="3"/>
        <v>0</v>
      </c>
      <c r="G14" s="102">
        <f t="shared" si="4"/>
        <v>0</v>
      </c>
      <c r="H14" s="139">
        <f t="shared" si="0"/>
        <v>0</v>
      </c>
      <c r="I14" s="62"/>
      <c r="J14" s="63"/>
    </row>
    <row r="15" spans="1:13" ht="15.75" customHeight="1" x14ac:dyDescent="0.2">
      <c r="A15" s="137" t="s">
        <v>152</v>
      </c>
      <c r="B15" s="100"/>
      <c r="C15" s="102"/>
      <c r="D15" s="102"/>
      <c r="E15" s="102"/>
      <c r="F15" s="102"/>
      <c r="G15" s="102"/>
      <c r="H15" s="139">
        <f t="shared" si="0"/>
        <v>0</v>
      </c>
      <c r="I15" s="62"/>
      <c r="J15" s="63"/>
    </row>
    <row r="16" spans="1:13" ht="27" customHeight="1" x14ac:dyDescent="0.2">
      <c r="A16" s="140" t="s">
        <v>237</v>
      </c>
      <c r="B16" s="100">
        <v>2</v>
      </c>
      <c r="C16" s="102">
        <f>C6</f>
        <v>0</v>
      </c>
      <c r="D16" s="102">
        <f t="shared" ref="D16:D23" si="5">B16*C16</f>
        <v>0</v>
      </c>
      <c r="E16" s="102">
        <f>D16</f>
        <v>0</v>
      </c>
      <c r="F16" s="102">
        <f t="shared" ref="F16:F23" si="6">E16*0.05</f>
        <v>0</v>
      </c>
      <c r="G16" s="102">
        <f t="shared" ref="G16:G23" si="7">E16*0.1</f>
        <v>0</v>
      </c>
      <c r="H16" s="139">
        <f t="shared" si="0"/>
        <v>0</v>
      </c>
      <c r="I16" s="62"/>
      <c r="J16" s="63"/>
    </row>
    <row r="17" spans="1:10" ht="27" customHeight="1" x14ac:dyDescent="0.2">
      <c r="A17" s="140" t="s">
        <v>238</v>
      </c>
      <c r="B17" s="100">
        <v>20</v>
      </c>
      <c r="C17" s="102">
        <v>0</v>
      </c>
      <c r="D17" s="102">
        <f t="shared" si="5"/>
        <v>0</v>
      </c>
      <c r="E17" s="102">
        <f>D17</f>
        <v>0</v>
      </c>
      <c r="F17" s="102">
        <f t="shared" si="6"/>
        <v>0</v>
      </c>
      <c r="G17" s="102">
        <f t="shared" si="7"/>
        <v>0</v>
      </c>
      <c r="H17" s="139">
        <f t="shared" si="0"/>
        <v>0</v>
      </c>
      <c r="I17" s="62"/>
      <c r="J17" s="63"/>
    </row>
    <row r="18" spans="1:10" ht="31.5" customHeight="1" x14ac:dyDescent="0.2">
      <c r="A18" s="138" t="s">
        <v>239</v>
      </c>
      <c r="B18" s="100">
        <v>2</v>
      </c>
      <c r="C18" s="102">
        <f>C8</f>
        <v>0</v>
      </c>
      <c r="D18" s="102">
        <f t="shared" si="5"/>
        <v>0</v>
      </c>
      <c r="E18" s="102">
        <f>D18</f>
        <v>0</v>
      </c>
      <c r="F18" s="102">
        <f t="shared" si="6"/>
        <v>0</v>
      </c>
      <c r="G18" s="102">
        <f t="shared" si="7"/>
        <v>0</v>
      </c>
      <c r="H18" s="139">
        <f t="shared" si="0"/>
        <v>0</v>
      </c>
      <c r="I18" s="62"/>
      <c r="J18" s="63"/>
    </row>
    <row r="19" spans="1:10" ht="15" customHeight="1" x14ac:dyDescent="0.2">
      <c r="A19" s="137" t="s">
        <v>139</v>
      </c>
      <c r="B19" s="100"/>
      <c r="C19" s="102"/>
      <c r="D19" s="102"/>
      <c r="E19" s="102"/>
      <c r="F19" s="102"/>
      <c r="G19" s="102"/>
      <c r="H19" s="139">
        <f t="shared" si="0"/>
        <v>0</v>
      </c>
      <c r="I19" s="62"/>
      <c r="J19" s="63"/>
    </row>
    <row r="20" spans="1:10" ht="15" customHeight="1" x14ac:dyDescent="0.2">
      <c r="A20" s="138" t="s">
        <v>240</v>
      </c>
      <c r="B20" s="100">
        <v>4</v>
      </c>
      <c r="C20" s="102">
        <v>0</v>
      </c>
      <c r="D20" s="102">
        <f t="shared" si="5"/>
        <v>0</v>
      </c>
      <c r="E20" s="102">
        <f>D20</f>
        <v>0</v>
      </c>
      <c r="F20" s="102">
        <f t="shared" si="6"/>
        <v>0</v>
      </c>
      <c r="G20" s="102">
        <f t="shared" si="7"/>
        <v>0</v>
      </c>
      <c r="H20" s="139">
        <f t="shared" si="0"/>
        <v>0</v>
      </c>
      <c r="I20" s="62"/>
      <c r="J20" s="63"/>
    </row>
    <row r="21" spans="1:10" ht="12" customHeight="1" x14ac:dyDescent="0.2">
      <c r="A21" s="138" t="s">
        <v>241</v>
      </c>
      <c r="B21" s="100">
        <v>2</v>
      </c>
      <c r="C21" s="102">
        <v>0</v>
      </c>
      <c r="D21" s="102">
        <f t="shared" si="5"/>
        <v>0</v>
      </c>
      <c r="E21" s="102">
        <f>D21</f>
        <v>0</v>
      </c>
      <c r="F21" s="102">
        <f t="shared" si="6"/>
        <v>0</v>
      </c>
      <c r="G21" s="102">
        <f t="shared" si="7"/>
        <v>0</v>
      </c>
      <c r="H21" s="139">
        <f t="shared" si="0"/>
        <v>0</v>
      </c>
      <c r="I21" s="62"/>
      <c r="J21" s="63"/>
    </row>
    <row r="22" spans="1:10" ht="15" customHeight="1" x14ac:dyDescent="0.2">
      <c r="A22" s="138" t="s">
        <v>242</v>
      </c>
      <c r="B22" s="100">
        <v>1</v>
      </c>
      <c r="C22" s="102">
        <v>0</v>
      </c>
      <c r="D22" s="102">
        <f t="shared" si="5"/>
        <v>0</v>
      </c>
      <c r="E22" s="102">
        <f>D22</f>
        <v>0</v>
      </c>
      <c r="F22" s="102">
        <f t="shared" si="6"/>
        <v>0</v>
      </c>
      <c r="G22" s="102">
        <f t="shared" si="7"/>
        <v>0</v>
      </c>
      <c r="H22" s="139">
        <f t="shared" si="0"/>
        <v>0</v>
      </c>
      <c r="I22" s="62"/>
      <c r="J22" s="63"/>
    </row>
    <row r="23" spans="1:10" ht="27.75" customHeight="1" x14ac:dyDescent="0.2">
      <c r="A23" s="138" t="s">
        <v>243</v>
      </c>
      <c r="B23" s="100">
        <v>2</v>
      </c>
      <c r="C23" s="102">
        <v>0</v>
      </c>
      <c r="D23" s="102">
        <f t="shared" si="5"/>
        <v>0</v>
      </c>
      <c r="E23" s="102">
        <f>D23</f>
        <v>0</v>
      </c>
      <c r="F23" s="102">
        <f t="shared" si="6"/>
        <v>0</v>
      </c>
      <c r="G23" s="102">
        <f t="shared" si="7"/>
        <v>0</v>
      </c>
      <c r="H23" s="139">
        <f t="shared" si="0"/>
        <v>0</v>
      </c>
      <c r="I23" s="62"/>
      <c r="J23" s="63"/>
    </row>
    <row r="24" spans="1:10" ht="27.75" customHeight="1" x14ac:dyDescent="0.2">
      <c r="A24" s="133" t="s">
        <v>244</v>
      </c>
      <c r="B24" s="247" t="s">
        <v>83</v>
      </c>
      <c r="C24" s="248"/>
      <c r="D24" s="249"/>
      <c r="E24" s="102">
        <f>0</f>
        <v>0</v>
      </c>
      <c r="F24" s="102">
        <f t="shared" ref="F24" si="8">E24*0.05</f>
        <v>0</v>
      </c>
      <c r="G24" s="102">
        <f>E24*0.1</f>
        <v>0</v>
      </c>
      <c r="H24" s="139">
        <f t="shared" si="0"/>
        <v>0</v>
      </c>
      <c r="I24" s="62"/>
    </row>
    <row r="25" spans="1:10" ht="18.75" customHeight="1" x14ac:dyDescent="0.2">
      <c r="A25" s="141" t="s">
        <v>246</v>
      </c>
      <c r="B25" s="100"/>
      <c r="C25" s="100"/>
      <c r="D25" s="100"/>
      <c r="E25" s="250">
        <f>ROUND((SUM(E5:E23))+(SUM(F5:F23))+(SUM(G5:G23)),-2)</f>
        <v>0</v>
      </c>
      <c r="F25" s="250"/>
      <c r="G25" s="250"/>
      <c r="H25" s="142">
        <f>ROUND(SUM(H5:H24),-4)</f>
        <v>0</v>
      </c>
      <c r="I25" s="62"/>
    </row>
    <row r="26" spans="1:10" ht="10.5" customHeight="1" x14ac:dyDescent="0.2">
      <c r="A26" s="61"/>
      <c r="B26" s="61"/>
      <c r="C26" s="61"/>
      <c r="D26" s="61"/>
      <c r="E26" s="58"/>
      <c r="F26" s="58"/>
      <c r="G26" s="58"/>
      <c r="H26" s="59"/>
      <c r="I26" s="62"/>
    </row>
    <row r="27" spans="1:10" ht="14.25" customHeight="1" x14ac:dyDescent="0.2">
      <c r="A27" s="75" t="s">
        <v>109</v>
      </c>
      <c r="B27" s="61"/>
      <c r="C27" s="61"/>
      <c r="D27" s="61"/>
      <c r="E27" s="58"/>
      <c r="F27" s="58"/>
      <c r="G27" s="58"/>
      <c r="H27" s="59"/>
      <c r="I27" s="62"/>
    </row>
    <row r="28" spans="1:10" ht="42.75" customHeight="1" x14ac:dyDescent="0.2">
      <c r="A28" s="234" t="s">
        <v>230</v>
      </c>
      <c r="B28" s="234"/>
      <c r="C28" s="234"/>
      <c r="D28" s="234"/>
      <c r="E28" s="234"/>
      <c r="F28" s="234"/>
      <c r="G28" s="234"/>
      <c r="H28" s="234"/>
      <c r="I28" s="44"/>
    </row>
    <row r="29" spans="1:10" ht="30" customHeight="1" x14ac:dyDescent="0.2">
      <c r="A29" s="241" t="s">
        <v>249</v>
      </c>
      <c r="B29" s="241"/>
      <c r="C29" s="241"/>
      <c r="D29" s="241"/>
      <c r="E29" s="241"/>
      <c r="F29" s="241"/>
      <c r="G29" s="241"/>
      <c r="H29" s="241"/>
      <c r="I29" s="44"/>
    </row>
    <row r="30" spans="1:10" ht="43.5" customHeight="1" x14ac:dyDescent="0.2">
      <c r="A30" s="241" t="s">
        <v>250</v>
      </c>
      <c r="B30" s="241"/>
      <c r="C30" s="241"/>
      <c r="D30" s="241"/>
      <c r="E30" s="241"/>
      <c r="F30" s="241"/>
      <c r="G30" s="241"/>
      <c r="H30" s="241"/>
      <c r="I30" s="60"/>
    </row>
    <row r="31" spans="1:10" ht="46.5" customHeight="1" x14ac:dyDescent="0.2">
      <c r="A31" s="241" t="s">
        <v>251</v>
      </c>
      <c r="B31" s="241"/>
      <c r="C31" s="241"/>
      <c r="D31" s="241"/>
      <c r="E31" s="241"/>
      <c r="F31" s="241"/>
      <c r="G31" s="241"/>
      <c r="H31" s="241"/>
      <c r="I31" s="60"/>
    </row>
    <row r="32" spans="1:10" ht="19.5" customHeight="1" x14ac:dyDescent="0.2">
      <c r="A32" s="239" t="s">
        <v>252</v>
      </c>
      <c r="B32" s="239"/>
      <c r="C32" s="239"/>
      <c r="D32" s="239"/>
      <c r="E32" s="239"/>
      <c r="F32" s="239"/>
      <c r="G32" s="239"/>
      <c r="H32" s="239"/>
      <c r="I32" s="60"/>
    </row>
    <row r="33" spans="1:10" ht="22.5" customHeight="1" x14ac:dyDescent="0.2">
      <c r="A33" s="98"/>
      <c r="B33" s="57"/>
      <c r="C33" s="57"/>
      <c r="D33" s="57"/>
      <c r="J33" s="63"/>
    </row>
    <row r="34" spans="1:10" ht="22.5" customHeight="1" x14ac:dyDescent="0.2">
      <c r="A34" s="98"/>
      <c r="B34" s="57"/>
      <c r="C34" s="57"/>
      <c r="D34" s="57"/>
    </row>
    <row r="35" spans="1:10" ht="22.5" customHeight="1" x14ac:dyDescent="0.2">
      <c r="A35" s="98"/>
      <c r="B35" s="60"/>
      <c r="C35" s="60"/>
      <c r="D35" s="60"/>
      <c r="E35" s="60"/>
      <c r="F35" s="60"/>
      <c r="G35" s="60"/>
      <c r="H35" s="60"/>
      <c r="I35" s="60"/>
    </row>
    <row r="36" spans="1:10" ht="22.5" customHeight="1" x14ac:dyDescent="0.2">
      <c r="A36" s="98"/>
      <c r="B36" s="57"/>
      <c r="C36" s="57"/>
      <c r="D36" s="57"/>
    </row>
    <row r="37" spans="1:10" ht="22.5" customHeight="1" x14ac:dyDescent="0.2">
      <c r="A37" s="98"/>
      <c r="B37" s="57"/>
      <c r="C37" s="57"/>
      <c r="D37" s="57"/>
    </row>
    <row r="38" spans="1:10" ht="22.5" customHeight="1" x14ac:dyDescent="0.2">
      <c r="A38" s="98"/>
      <c r="B38" s="60"/>
      <c r="C38" s="60"/>
      <c r="D38" s="60"/>
      <c r="E38" s="60"/>
      <c r="F38" s="60"/>
      <c r="G38" s="60"/>
      <c r="H38" s="60"/>
      <c r="I38" s="60"/>
    </row>
    <row r="39" spans="1:10" ht="22.5" customHeight="1" x14ac:dyDescent="0.2">
      <c r="A39" s="81"/>
    </row>
    <row r="40" spans="1:10" ht="22.5" customHeight="1" x14ac:dyDescent="0.2">
      <c r="A40" s="98"/>
      <c r="B40" s="60"/>
      <c r="C40" s="60"/>
      <c r="D40" s="60"/>
      <c r="E40" s="60"/>
      <c r="F40" s="60"/>
      <c r="G40" s="60"/>
      <c r="H40" s="60"/>
      <c r="I40" s="60"/>
    </row>
    <row r="41" spans="1:10" ht="22.5" customHeight="1" x14ac:dyDescent="0.2">
      <c r="A41" s="81"/>
    </row>
    <row r="42" spans="1:10" ht="22.5" customHeight="1" x14ac:dyDescent="0.2">
      <c r="A42" s="81"/>
      <c r="C42" s="59"/>
      <c r="D42" s="144"/>
      <c r="E42" s="143"/>
      <c r="G42" s="145"/>
    </row>
    <row r="43" spans="1:10" ht="22.5" customHeight="1" x14ac:dyDescent="0.2">
      <c r="A43" s="81"/>
      <c r="D43" s="143"/>
      <c r="E43" s="143"/>
    </row>
    <row r="44" spans="1:10" x14ac:dyDescent="0.2">
      <c r="D44" s="144"/>
      <c r="E44" s="143"/>
    </row>
    <row r="45" spans="1:10" x14ac:dyDescent="0.2">
      <c r="D45" s="143"/>
    </row>
    <row r="46" spans="1:10" x14ac:dyDescent="0.2">
      <c r="E46" s="143"/>
    </row>
  </sheetData>
  <mergeCells count="10">
    <mergeCell ref="A30:H30"/>
    <mergeCell ref="A31:H31"/>
    <mergeCell ref="A32:H32"/>
    <mergeCell ref="J5:K5"/>
    <mergeCell ref="A1:H1"/>
    <mergeCell ref="A3:A4"/>
    <mergeCell ref="B24:D24"/>
    <mergeCell ref="A28:H28"/>
    <mergeCell ref="E25:G25"/>
    <mergeCell ref="A29:H29"/>
  </mergeCells>
  <phoneticPr fontId="5" type="noConversion"/>
  <printOptions horizontalCentered="1"/>
  <pageMargins left="0.5" right="0.5" top="0.5" bottom="0.5" header="0.5" footer="0.5"/>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9DE9-5E22-46ED-8FFF-78328E0D16DD}">
  <sheetPr>
    <pageSetUpPr fitToPage="1"/>
  </sheetPr>
  <dimension ref="A1:M46"/>
  <sheetViews>
    <sheetView tabSelected="1" zoomScaleNormal="100" workbookViewId="0">
      <selection activeCell="A6" sqref="A6"/>
    </sheetView>
  </sheetViews>
  <sheetFormatPr defaultColWidth="9.140625" defaultRowHeight="12.75" x14ac:dyDescent="0.2"/>
  <cols>
    <col min="1" max="1" width="35.140625" style="57" customWidth="1"/>
    <col min="2" max="2" width="12" style="97" customWidth="1"/>
    <col min="3" max="3" width="13" style="97" customWidth="1"/>
    <col min="4" max="4" width="14.42578125" style="97" customWidth="1"/>
    <col min="5" max="5" width="10.5703125" style="97" customWidth="1"/>
    <col min="6" max="6" width="11" style="97" customWidth="1"/>
    <col min="7" max="7" width="14" style="97" customWidth="1"/>
    <col min="8" max="8" width="13" style="143" customWidth="1"/>
    <col min="9" max="9" width="3.85546875" style="77" bestFit="1" customWidth="1"/>
    <col min="10" max="10" width="11" style="57" bestFit="1" customWidth="1"/>
    <col min="11" max="11" width="8.140625" style="57" customWidth="1"/>
    <col min="12" max="12" width="9.140625" style="57"/>
    <col min="13" max="13" width="9.140625" style="63"/>
    <col min="14" max="16384" width="9.140625" style="57"/>
  </cols>
  <sheetData>
    <row r="1" spans="1:13" ht="36.75" customHeight="1" x14ac:dyDescent="0.2">
      <c r="A1" s="235" t="s">
        <v>216</v>
      </c>
      <c r="B1" s="235"/>
      <c r="C1" s="235"/>
      <c r="D1" s="235"/>
      <c r="E1" s="235"/>
      <c r="F1" s="235"/>
      <c r="G1" s="235"/>
      <c r="H1" s="235"/>
      <c r="I1" s="131"/>
    </row>
    <row r="2" spans="1:13" ht="12" customHeight="1" x14ac:dyDescent="0.2">
      <c r="A2" s="131" t="s">
        <v>81</v>
      </c>
      <c r="B2" s="131"/>
      <c r="C2" s="131"/>
      <c r="D2" s="131"/>
      <c r="E2" s="131"/>
      <c r="F2" s="131"/>
      <c r="G2" s="131"/>
      <c r="H2" s="131"/>
      <c r="I2" s="131"/>
    </row>
    <row r="3" spans="1:13" ht="15" customHeight="1" x14ac:dyDescent="0.2">
      <c r="A3" s="246" t="s">
        <v>38</v>
      </c>
      <c r="B3" s="100" t="s">
        <v>23</v>
      </c>
      <c r="C3" s="100" t="s">
        <v>24</v>
      </c>
      <c r="D3" s="100" t="s">
        <v>25</v>
      </c>
      <c r="E3" s="100" t="s">
        <v>27</v>
      </c>
      <c r="F3" s="100" t="s">
        <v>26</v>
      </c>
      <c r="G3" s="102" t="s">
        <v>137</v>
      </c>
      <c r="H3" s="102" t="s">
        <v>143</v>
      </c>
      <c r="I3" s="62"/>
    </row>
    <row r="4" spans="1:13" s="72" customFormat="1" ht="51" x14ac:dyDescent="0.2">
      <c r="A4" s="246"/>
      <c r="B4" s="100" t="s">
        <v>140</v>
      </c>
      <c r="C4" s="100" t="s">
        <v>229</v>
      </c>
      <c r="D4" s="100" t="s">
        <v>3</v>
      </c>
      <c r="E4" s="100" t="s">
        <v>141</v>
      </c>
      <c r="F4" s="100" t="s">
        <v>145</v>
      </c>
      <c r="G4" s="100" t="s">
        <v>142</v>
      </c>
      <c r="H4" s="102" t="s">
        <v>231</v>
      </c>
      <c r="I4" s="132"/>
      <c r="J4" s="73"/>
      <c r="M4" s="73"/>
    </row>
    <row r="5" spans="1:13" ht="15" customHeight="1" x14ac:dyDescent="0.2">
      <c r="A5" s="133" t="s">
        <v>343</v>
      </c>
      <c r="B5" s="100">
        <v>10</v>
      </c>
      <c r="C5" s="100">
        <v>0</v>
      </c>
      <c r="D5" s="102">
        <f>B5*C5</f>
        <v>0</v>
      </c>
      <c r="E5" s="102">
        <f>D5</f>
        <v>0</v>
      </c>
      <c r="F5" s="102">
        <f>E5*0.05</f>
        <v>0</v>
      </c>
      <c r="G5" s="102">
        <f>E5*0.1</f>
        <v>0</v>
      </c>
      <c r="H5" s="139">
        <f>(E5*$K$7)+(F5*$K$6)+(G5*$K$8)</f>
        <v>0</v>
      </c>
      <c r="I5" s="62"/>
      <c r="J5" s="236" t="s">
        <v>122</v>
      </c>
      <c r="K5" s="236"/>
    </row>
    <row r="6" spans="1:13" ht="27" customHeight="1" x14ac:dyDescent="0.2">
      <c r="A6" s="135" t="s">
        <v>232</v>
      </c>
      <c r="B6" s="100">
        <v>2</v>
      </c>
      <c r="C6" s="102">
        <v>0</v>
      </c>
      <c r="D6" s="102">
        <f>B6*C6</f>
        <v>0</v>
      </c>
      <c r="E6" s="102">
        <f>D6</f>
        <v>0</v>
      </c>
      <c r="F6" s="102">
        <f>E6*0.05</f>
        <v>0</v>
      </c>
      <c r="G6" s="102">
        <f>E6*0.1</f>
        <v>0</v>
      </c>
      <c r="H6" s="139">
        <f>(E6*$K$7)+(F6*$K$6)+(G6*$K$8)</f>
        <v>0</v>
      </c>
      <c r="I6" s="62"/>
      <c r="J6" s="46" t="s">
        <v>123</v>
      </c>
      <c r="K6" s="188">
        <v>66.62</v>
      </c>
    </row>
    <row r="7" spans="1:13" ht="15" customHeight="1" x14ac:dyDescent="0.2">
      <c r="A7" s="137" t="s">
        <v>138</v>
      </c>
      <c r="B7" s="100"/>
      <c r="C7" s="100"/>
      <c r="D7" s="102"/>
      <c r="E7" s="102"/>
      <c r="F7" s="102"/>
      <c r="G7" s="102"/>
      <c r="H7" s="139">
        <f t="shared" ref="H7:H24" si="0">(E7*$K$7)+(F7*$K$6)+(G7*$K$8)</f>
        <v>0</v>
      </c>
      <c r="I7" s="62"/>
      <c r="J7" s="46" t="s">
        <v>51</v>
      </c>
      <c r="K7" s="188">
        <v>49.44</v>
      </c>
    </row>
    <row r="8" spans="1:13" ht="18.75" customHeight="1" x14ac:dyDescent="0.2">
      <c r="A8" s="138" t="s">
        <v>245</v>
      </c>
      <c r="B8" s="100">
        <v>20</v>
      </c>
      <c r="C8" s="102">
        <v>0</v>
      </c>
      <c r="D8" s="102">
        <f t="shared" ref="D8:D13" si="1">B8*C8</f>
        <v>0</v>
      </c>
      <c r="E8" s="102">
        <f t="shared" ref="E8:E14" si="2">D8</f>
        <v>0</v>
      </c>
      <c r="F8" s="102">
        <f t="shared" ref="F8:F14" si="3">E8*0.05</f>
        <v>0</v>
      </c>
      <c r="G8" s="102">
        <f t="shared" ref="G8:G14" si="4">E8*0.1</f>
        <v>0</v>
      </c>
      <c r="H8" s="139">
        <f t="shared" si="0"/>
        <v>0</v>
      </c>
      <c r="I8" s="62"/>
      <c r="J8" s="46" t="s">
        <v>52</v>
      </c>
      <c r="K8" s="188">
        <v>26.75</v>
      </c>
    </row>
    <row r="9" spans="1:13" ht="28.5" customHeight="1" x14ac:dyDescent="0.2">
      <c r="A9" s="138" t="s">
        <v>233</v>
      </c>
      <c r="B9" s="100">
        <v>20</v>
      </c>
      <c r="C9" s="102">
        <v>0</v>
      </c>
      <c r="D9" s="102">
        <f t="shared" si="1"/>
        <v>0</v>
      </c>
      <c r="E9" s="102">
        <f t="shared" si="2"/>
        <v>0</v>
      </c>
      <c r="F9" s="102">
        <f t="shared" si="3"/>
        <v>0</v>
      </c>
      <c r="G9" s="102">
        <f t="shared" si="4"/>
        <v>0</v>
      </c>
      <c r="H9" s="139">
        <f t="shared" si="0"/>
        <v>0</v>
      </c>
      <c r="I9" s="62"/>
      <c r="J9" s="63"/>
    </row>
    <row r="10" spans="1:13" ht="15" customHeight="1" x14ac:dyDescent="0.2">
      <c r="A10" s="138" t="s">
        <v>234</v>
      </c>
      <c r="B10" s="100">
        <v>40</v>
      </c>
      <c r="C10" s="102">
        <v>0</v>
      </c>
      <c r="D10" s="102">
        <f t="shared" si="1"/>
        <v>0</v>
      </c>
      <c r="E10" s="102">
        <f t="shared" si="2"/>
        <v>0</v>
      </c>
      <c r="F10" s="102">
        <f t="shared" si="3"/>
        <v>0</v>
      </c>
      <c r="G10" s="102">
        <f t="shared" si="4"/>
        <v>0</v>
      </c>
      <c r="H10" s="139">
        <f t="shared" si="0"/>
        <v>0</v>
      </c>
      <c r="I10" s="62"/>
      <c r="J10" s="63"/>
    </row>
    <row r="11" spans="1:13" ht="15" customHeight="1" x14ac:dyDescent="0.2">
      <c r="A11" s="138" t="s">
        <v>235</v>
      </c>
      <c r="B11" s="100">
        <v>40</v>
      </c>
      <c r="C11" s="102">
        <v>0</v>
      </c>
      <c r="D11" s="102">
        <f t="shared" si="1"/>
        <v>0</v>
      </c>
      <c r="E11" s="102">
        <f t="shared" si="2"/>
        <v>0</v>
      </c>
      <c r="F11" s="102">
        <f t="shared" si="3"/>
        <v>0</v>
      </c>
      <c r="G11" s="102">
        <f t="shared" si="4"/>
        <v>0</v>
      </c>
      <c r="H11" s="139">
        <f t="shared" si="0"/>
        <v>0</v>
      </c>
      <c r="I11" s="62"/>
      <c r="J11" s="63"/>
    </row>
    <row r="12" spans="1:13" ht="15" customHeight="1" x14ac:dyDescent="0.2">
      <c r="A12" s="138" t="s">
        <v>247</v>
      </c>
      <c r="B12" s="100">
        <v>2</v>
      </c>
      <c r="C12" s="102">
        <f>C8</f>
        <v>0</v>
      </c>
      <c r="D12" s="102">
        <f t="shared" si="1"/>
        <v>0</v>
      </c>
      <c r="E12" s="102">
        <f t="shared" si="2"/>
        <v>0</v>
      </c>
      <c r="F12" s="102">
        <f t="shared" si="3"/>
        <v>0</v>
      </c>
      <c r="G12" s="102">
        <f t="shared" si="4"/>
        <v>0</v>
      </c>
      <c r="H12" s="139">
        <f t="shared" si="0"/>
        <v>0</v>
      </c>
      <c r="I12" s="62"/>
      <c r="J12" s="63"/>
    </row>
    <row r="13" spans="1:13" ht="28.5" customHeight="1" x14ac:dyDescent="0.2">
      <c r="A13" s="138" t="s">
        <v>248</v>
      </c>
      <c r="B13" s="100">
        <v>2</v>
      </c>
      <c r="C13" s="102">
        <f>C8</f>
        <v>0</v>
      </c>
      <c r="D13" s="102">
        <f t="shared" si="1"/>
        <v>0</v>
      </c>
      <c r="E13" s="102">
        <f t="shared" si="2"/>
        <v>0</v>
      </c>
      <c r="F13" s="102">
        <f t="shared" si="3"/>
        <v>0</v>
      </c>
      <c r="G13" s="102">
        <f t="shared" si="4"/>
        <v>0</v>
      </c>
      <c r="H13" s="139">
        <f t="shared" si="0"/>
        <v>0</v>
      </c>
      <c r="I13" s="62"/>
      <c r="J13" s="63"/>
    </row>
    <row r="14" spans="1:13" ht="27.75" customHeight="1" x14ac:dyDescent="0.2">
      <c r="A14" s="137" t="s">
        <v>236</v>
      </c>
      <c r="B14" s="100">
        <v>24</v>
      </c>
      <c r="C14" s="102">
        <v>0</v>
      </c>
      <c r="D14" s="102">
        <v>0</v>
      </c>
      <c r="E14" s="102">
        <f t="shared" si="2"/>
        <v>0</v>
      </c>
      <c r="F14" s="102">
        <f t="shared" si="3"/>
        <v>0</v>
      </c>
      <c r="G14" s="102">
        <f t="shared" si="4"/>
        <v>0</v>
      </c>
      <c r="H14" s="139">
        <f t="shared" si="0"/>
        <v>0</v>
      </c>
      <c r="I14" s="62"/>
      <c r="J14" s="63"/>
    </row>
    <row r="15" spans="1:13" ht="15.75" customHeight="1" x14ac:dyDescent="0.2">
      <c r="A15" s="137" t="s">
        <v>152</v>
      </c>
      <c r="B15" s="100"/>
      <c r="C15" s="102"/>
      <c r="D15" s="102"/>
      <c r="E15" s="102"/>
      <c r="F15" s="102"/>
      <c r="G15" s="102"/>
      <c r="H15" s="139">
        <f t="shared" si="0"/>
        <v>0</v>
      </c>
      <c r="I15" s="62"/>
      <c r="J15" s="63"/>
    </row>
    <row r="16" spans="1:13" ht="27" customHeight="1" x14ac:dyDescent="0.2">
      <c r="A16" s="140" t="s">
        <v>237</v>
      </c>
      <c r="B16" s="100">
        <v>2</v>
      </c>
      <c r="C16" s="102">
        <f>C6</f>
        <v>0</v>
      </c>
      <c r="D16" s="102">
        <f t="shared" ref="D16:D23" si="5">B16*C16</f>
        <v>0</v>
      </c>
      <c r="E16" s="102">
        <f>D16</f>
        <v>0</v>
      </c>
      <c r="F16" s="102">
        <f t="shared" ref="F16:F24" si="6">E16*0.05</f>
        <v>0</v>
      </c>
      <c r="G16" s="102">
        <f t="shared" ref="G16:G23" si="7">E16*0.1</f>
        <v>0</v>
      </c>
      <c r="H16" s="139">
        <f t="shared" si="0"/>
        <v>0</v>
      </c>
      <c r="I16" s="62"/>
      <c r="J16" s="63"/>
    </row>
    <row r="17" spans="1:10" ht="27" customHeight="1" x14ac:dyDescent="0.2">
      <c r="A17" s="140" t="s">
        <v>238</v>
      </c>
      <c r="B17" s="100">
        <v>20</v>
      </c>
      <c r="C17" s="102">
        <v>0</v>
      </c>
      <c r="D17" s="102">
        <f t="shared" si="5"/>
        <v>0</v>
      </c>
      <c r="E17" s="102">
        <f>D17</f>
        <v>0</v>
      </c>
      <c r="F17" s="102">
        <f t="shared" si="6"/>
        <v>0</v>
      </c>
      <c r="G17" s="102">
        <f t="shared" si="7"/>
        <v>0</v>
      </c>
      <c r="H17" s="139">
        <f t="shared" si="0"/>
        <v>0</v>
      </c>
      <c r="I17" s="62"/>
      <c r="J17" s="63"/>
    </row>
    <row r="18" spans="1:10" ht="31.5" customHeight="1" x14ac:dyDescent="0.2">
      <c r="A18" s="138" t="s">
        <v>239</v>
      </c>
      <c r="B18" s="100">
        <v>2</v>
      </c>
      <c r="C18" s="102">
        <f>C8</f>
        <v>0</v>
      </c>
      <c r="D18" s="102">
        <f t="shared" si="5"/>
        <v>0</v>
      </c>
      <c r="E18" s="102">
        <f>D18</f>
        <v>0</v>
      </c>
      <c r="F18" s="102">
        <f t="shared" si="6"/>
        <v>0</v>
      </c>
      <c r="G18" s="102">
        <f t="shared" si="7"/>
        <v>0</v>
      </c>
      <c r="H18" s="139">
        <f t="shared" si="0"/>
        <v>0</v>
      </c>
      <c r="I18" s="62"/>
      <c r="J18" s="63"/>
    </row>
    <row r="19" spans="1:10" ht="15" customHeight="1" x14ac:dyDescent="0.2">
      <c r="A19" s="137" t="s">
        <v>139</v>
      </c>
      <c r="B19" s="100"/>
      <c r="C19" s="102"/>
      <c r="D19" s="102"/>
      <c r="E19" s="102"/>
      <c r="F19" s="102"/>
      <c r="G19" s="102"/>
      <c r="H19" s="139">
        <f t="shared" si="0"/>
        <v>0</v>
      </c>
      <c r="I19" s="62"/>
      <c r="J19" s="63"/>
    </row>
    <row r="20" spans="1:10" ht="18" customHeight="1" x14ac:dyDescent="0.2">
      <c r="A20" s="138" t="s">
        <v>240</v>
      </c>
      <c r="B20" s="100">
        <v>4</v>
      </c>
      <c r="C20" s="102">
        <v>0</v>
      </c>
      <c r="D20" s="102">
        <f t="shared" si="5"/>
        <v>0</v>
      </c>
      <c r="E20" s="102">
        <f>D20</f>
        <v>0</v>
      </c>
      <c r="F20" s="102">
        <f t="shared" si="6"/>
        <v>0</v>
      </c>
      <c r="G20" s="102">
        <f t="shared" si="7"/>
        <v>0</v>
      </c>
      <c r="H20" s="139">
        <f t="shared" si="0"/>
        <v>0</v>
      </c>
      <c r="I20" s="62"/>
      <c r="J20" s="63"/>
    </row>
    <row r="21" spans="1:10" ht="18" customHeight="1" x14ac:dyDescent="0.2">
      <c r="A21" s="138" t="s">
        <v>241</v>
      </c>
      <c r="B21" s="100">
        <v>2</v>
      </c>
      <c r="C21" s="102">
        <v>0</v>
      </c>
      <c r="D21" s="102">
        <f t="shared" si="5"/>
        <v>0</v>
      </c>
      <c r="E21" s="102">
        <f>D21</f>
        <v>0</v>
      </c>
      <c r="F21" s="102">
        <f t="shared" si="6"/>
        <v>0</v>
      </c>
      <c r="G21" s="102">
        <f t="shared" si="7"/>
        <v>0</v>
      </c>
      <c r="H21" s="139">
        <f t="shared" si="0"/>
        <v>0</v>
      </c>
      <c r="I21" s="62"/>
      <c r="J21" s="63"/>
    </row>
    <row r="22" spans="1:10" ht="15" customHeight="1" x14ac:dyDescent="0.2">
      <c r="A22" s="138" t="s">
        <v>242</v>
      </c>
      <c r="B22" s="100">
        <v>1</v>
      </c>
      <c r="C22" s="102">
        <v>0</v>
      </c>
      <c r="D22" s="102">
        <f t="shared" si="5"/>
        <v>0</v>
      </c>
      <c r="E22" s="102">
        <f>D22</f>
        <v>0</v>
      </c>
      <c r="F22" s="102">
        <f t="shared" si="6"/>
        <v>0</v>
      </c>
      <c r="G22" s="102">
        <f t="shared" si="7"/>
        <v>0</v>
      </c>
      <c r="H22" s="139">
        <f t="shared" si="0"/>
        <v>0</v>
      </c>
      <c r="I22" s="62"/>
      <c r="J22" s="63"/>
    </row>
    <row r="23" spans="1:10" ht="27.75" customHeight="1" x14ac:dyDescent="0.2">
      <c r="A23" s="138" t="s">
        <v>243</v>
      </c>
      <c r="B23" s="100">
        <v>2</v>
      </c>
      <c r="C23" s="102">
        <v>0</v>
      </c>
      <c r="D23" s="102">
        <f t="shared" si="5"/>
        <v>0</v>
      </c>
      <c r="E23" s="102">
        <f>D23</f>
        <v>0</v>
      </c>
      <c r="F23" s="102">
        <f t="shared" si="6"/>
        <v>0</v>
      </c>
      <c r="G23" s="102">
        <f t="shared" si="7"/>
        <v>0</v>
      </c>
      <c r="H23" s="139">
        <f t="shared" si="0"/>
        <v>0</v>
      </c>
      <c r="I23" s="62"/>
      <c r="J23" s="63"/>
    </row>
    <row r="24" spans="1:10" ht="27.75" customHeight="1" x14ac:dyDescent="0.2">
      <c r="A24" s="133" t="s">
        <v>244</v>
      </c>
      <c r="B24" s="247" t="s">
        <v>83</v>
      </c>
      <c r="C24" s="248"/>
      <c r="D24" s="249"/>
      <c r="E24" s="102">
        <f>0</f>
        <v>0</v>
      </c>
      <c r="F24" s="102">
        <f t="shared" si="6"/>
        <v>0</v>
      </c>
      <c r="G24" s="102">
        <f>E24*0.1</f>
        <v>0</v>
      </c>
      <c r="H24" s="139">
        <f t="shared" si="0"/>
        <v>0</v>
      </c>
      <c r="I24" s="62"/>
    </row>
    <row r="25" spans="1:10" ht="18.75" customHeight="1" x14ac:dyDescent="0.2">
      <c r="A25" s="141" t="s">
        <v>246</v>
      </c>
      <c r="B25" s="100"/>
      <c r="C25" s="100"/>
      <c r="D25" s="100"/>
      <c r="E25" s="250">
        <f>ROUND((SUM(E5:E23))+(SUM(F5:F23))+(SUM(G5:G23)),-2)</f>
        <v>0</v>
      </c>
      <c r="F25" s="250"/>
      <c r="G25" s="250"/>
      <c r="H25" s="142">
        <f>ROUND(SUM(H5:H24),-4)</f>
        <v>0</v>
      </c>
      <c r="I25" s="62"/>
    </row>
    <row r="26" spans="1:10" ht="9.75" customHeight="1" x14ac:dyDescent="0.2">
      <c r="A26" s="61"/>
      <c r="B26" s="61"/>
      <c r="C26" s="61"/>
      <c r="D26" s="61"/>
      <c r="E26" s="58"/>
      <c r="F26" s="58"/>
      <c r="G26" s="58"/>
      <c r="H26" s="59"/>
      <c r="I26" s="62"/>
    </row>
    <row r="27" spans="1:10" ht="13.5" customHeight="1" x14ac:dyDescent="0.2">
      <c r="A27" s="75" t="s">
        <v>109</v>
      </c>
      <c r="B27" s="61"/>
      <c r="C27" s="61"/>
      <c r="D27" s="61"/>
      <c r="E27" s="58"/>
      <c r="F27" s="58"/>
      <c r="G27" s="58"/>
      <c r="H27" s="59"/>
      <c r="I27" s="62"/>
    </row>
    <row r="28" spans="1:10" ht="43.5" customHeight="1" x14ac:dyDescent="0.2">
      <c r="A28" s="234" t="s">
        <v>230</v>
      </c>
      <c r="B28" s="234"/>
      <c r="C28" s="234"/>
      <c r="D28" s="234"/>
      <c r="E28" s="234"/>
      <c r="F28" s="234"/>
      <c r="G28" s="234"/>
      <c r="H28" s="234"/>
      <c r="I28" s="44"/>
    </row>
    <row r="29" spans="1:10" ht="31.5" customHeight="1" x14ac:dyDescent="0.2">
      <c r="A29" s="241" t="s">
        <v>249</v>
      </c>
      <c r="B29" s="241"/>
      <c r="C29" s="241"/>
      <c r="D29" s="241"/>
      <c r="E29" s="241"/>
      <c r="F29" s="241"/>
      <c r="G29" s="241"/>
      <c r="H29" s="241"/>
      <c r="I29" s="44"/>
    </row>
    <row r="30" spans="1:10" ht="37.5" customHeight="1" x14ac:dyDescent="0.2">
      <c r="A30" s="242" t="s">
        <v>250</v>
      </c>
      <c r="B30" s="242"/>
      <c r="C30" s="242"/>
      <c r="D30" s="242"/>
      <c r="E30" s="242"/>
      <c r="F30" s="242"/>
      <c r="G30" s="242"/>
      <c r="H30" s="242"/>
      <c r="I30" s="60"/>
    </row>
    <row r="31" spans="1:10" ht="43.5" customHeight="1" x14ac:dyDescent="0.2">
      <c r="A31" s="242" t="s">
        <v>251</v>
      </c>
      <c r="B31" s="242"/>
      <c r="C31" s="242"/>
      <c r="D31" s="242"/>
      <c r="E31" s="242"/>
      <c r="F31" s="242"/>
      <c r="G31" s="242"/>
      <c r="H31" s="242"/>
      <c r="I31" s="60"/>
    </row>
    <row r="32" spans="1:10" ht="15.75" customHeight="1" x14ac:dyDescent="0.2">
      <c r="A32" s="239" t="s">
        <v>252</v>
      </c>
      <c r="B32" s="239"/>
      <c r="C32" s="239"/>
      <c r="D32" s="239"/>
      <c r="E32" s="239"/>
      <c r="F32" s="239"/>
      <c r="G32" s="239"/>
      <c r="H32" s="239"/>
      <c r="I32" s="60"/>
    </row>
    <row r="33" spans="1:10" ht="22.5" customHeight="1" x14ac:dyDescent="0.2">
      <c r="A33" s="98"/>
      <c r="B33" s="57"/>
      <c r="C33" s="57"/>
      <c r="D33" s="57"/>
      <c r="J33" s="63"/>
    </row>
    <row r="34" spans="1:10" ht="22.5" customHeight="1" x14ac:dyDescent="0.2">
      <c r="A34" s="98"/>
      <c r="B34" s="57"/>
      <c r="C34" s="57"/>
      <c r="D34" s="57"/>
    </row>
    <row r="35" spans="1:10" ht="22.5" customHeight="1" x14ac:dyDescent="0.2">
      <c r="A35" s="98"/>
      <c r="B35" s="60"/>
      <c r="C35" s="60"/>
      <c r="D35" s="60"/>
      <c r="E35" s="60"/>
      <c r="F35" s="60"/>
      <c r="G35" s="60"/>
      <c r="H35" s="60"/>
      <c r="I35" s="60"/>
    </row>
    <row r="36" spans="1:10" ht="22.5" customHeight="1" x14ac:dyDescent="0.2">
      <c r="A36" s="98"/>
      <c r="B36" s="57"/>
      <c r="C36" s="57"/>
      <c r="D36" s="57"/>
    </row>
    <row r="37" spans="1:10" ht="22.5" customHeight="1" x14ac:dyDescent="0.2">
      <c r="A37" s="98"/>
      <c r="B37" s="57"/>
      <c r="C37" s="57"/>
      <c r="D37" s="57"/>
    </row>
    <row r="38" spans="1:10" ht="22.5" customHeight="1" x14ac:dyDescent="0.2">
      <c r="A38" s="98"/>
      <c r="B38" s="60"/>
      <c r="C38" s="60"/>
      <c r="D38" s="60"/>
      <c r="E38" s="60"/>
      <c r="F38" s="60"/>
      <c r="G38" s="60"/>
      <c r="H38" s="60"/>
      <c r="I38" s="60"/>
    </row>
    <row r="39" spans="1:10" ht="22.5" customHeight="1" x14ac:dyDescent="0.2">
      <c r="A39" s="81"/>
    </row>
    <row r="40" spans="1:10" ht="22.5" customHeight="1" x14ac:dyDescent="0.2">
      <c r="A40" s="98"/>
      <c r="B40" s="60"/>
      <c r="C40" s="60"/>
      <c r="D40" s="60"/>
      <c r="E40" s="60"/>
      <c r="F40" s="60"/>
      <c r="G40" s="60"/>
      <c r="H40" s="60"/>
      <c r="I40" s="60"/>
    </row>
    <row r="41" spans="1:10" ht="22.5" customHeight="1" x14ac:dyDescent="0.2">
      <c r="A41" s="81"/>
    </row>
    <row r="42" spans="1:10" ht="22.5" customHeight="1" x14ac:dyDescent="0.2">
      <c r="A42" s="81"/>
      <c r="C42" s="59"/>
      <c r="D42" s="144"/>
      <c r="E42" s="143"/>
      <c r="G42" s="145"/>
    </row>
    <row r="43" spans="1:10" ht="22.5" customHeight="1" x14ac:dyDescent="0.2">
      <c r="A43" s="81"/>
      <c r="D43" s="143"/>
      <c r="E43" s="143"/>
    </row>
    <row r="44" spans="1:10" x14ac:dyDescent="0.2">
      <c r="D44" s="144"/>
      <c r="E44" s="143"/>
    </row>
    <row r="45" spans="1:10" x14ac:dyDescent="0.2">
      <c r="D45" s="143"/>
    </row>
    <row r="46" spans="1:10" x14ac:dyDescent="0.2">
      <c r="E46" s="143"/>
    </row>
  </sheetData>
  <mergeCells count="10">
    <mergeCell ref="A30:H30"/>
    <mergeCell ref="A31:H31"/>
    <mergeCell ref="A32:H32"/>
    <mergeCell ref="A1:H1"/>
    <mergeCell ref="A3:A4"/>
    <mergeCell ref="J5:K5"/>
    <mergeCell ref="B24:D24"/>
    <mergeCell ref="E25:G25"/>
    <mergeCell ref="A28:H28"/>
    <mergeCell ref="A29:H29"/>
  </mergeCells>
  <printOptions horizontalCentered="1"/>
  <pageMargins left="0.5" right="0.5" top="0.5" bottom="0.5" header="0.5" footer="0.5"/>
  <pageSetup scale="7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TBL1-YR1</vt:lpstr>
      <vt:lpstr>TBL2-YR2</vt:lpstr>
      <vt:lpstr>TBL3-YR3</vt:lpstr>
      <vt:lpstr>TBL4-YR1</vt:lpstr>
      <vt:lpstr>TBL5-YR2</vt:lpstr>
      <vt:lpstr>TBL6-YR3</vt:lpstr>
      <vt:lpstr>TBL7-SUMMARY</vt:lpstr>
      <vt:lpstr>TBL8-YR1</vt:lpstr>
      <vt:lpstr>TBL9-YR2</vt:lpstr>
      <vt:lpstr>TBL10-YR3</vt:lpstr>
      <vt:lpstr>TBL11-SUMMARY</vt:lpstr>
      <vt:lpstr>Monitors</vt:lpstr>
      <vt:lpstr>Capital vs. O&amp;M</vt:lpstr>
      <vt:lpstr>2019 Changes</vt:lpstr>
      <vt:lpstr>'Capital vs. O&amp;M'!_Hlk505256713</vt:lpstr>
      <vt:lpstr>'2019 Changes'!Print_Area</vt:lpstr>
      <vt:lpstr>'TBL10-YR3'!Print_Area</vt:lpstr>
      <vt:lpstr>'TBL8-YR1'!Print_Area</vt:lpstr>
      <vt:lpstr>'TBL9-YR2'!Print_Area</vt:lpstr>
      <vt:lpstr>'TBL1-YR1'!Print_Titles</vt:lpstr>
      <vt:lpstr>'TBL2-YR2'!Print_Titles</vt:lpstr>
      <vt:lpstr>'TBL3-YR3'!Print_Titles</vt:lpstr>
      <vt:lpstr>'TBL4-YR1'!Print_Titles</vt:lpstr>
      <vt:lpstr>'TBL5-YR2'!Print_Titles</vt:lpstr>
      <vt:lpstr>'TBL6-YR3'!Print_Titles</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Courtney Kerwin</cp:lastModifiedBy>
  <cp:lastPrinted>2019-06-11T14:16:31Z</cp:lastPrinted>
  <dcterms:created xsi:type="dcterms:W3CDTF">2000-08-03T19:32:28Z</dcterms:created>
  <dcterms:modified xsi:type="dcterms:W3CDTF">2019-10-30T19:52:06Z</dcterms:modified>
</cp:coreProperties>
</file>