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4.xml" ContentType="application/vnd.openxmlformats-officedocument.spreadsheetml.worksheet+xml"/>
  <Override PartName="/xl/drawings/drawing6.xml" ContentType="application/vnd.openxmlformats-officedocument.drawing+xml"/>
  <Override PartName="/xl/vbaProject.bin" ContentType="application/vnd.ms-office.vbaProject"/>
  <Override PartName="/xl/worksheets/sheet3.xml" ContentType="application/vnd.openxmlformats-officedocument.spreadsheetml.worksheet+xml"/>
  <Override PartName="/xl/drawings/drawing5.xml" ContentType="application/vnd.openxmlformats-officedocument.drawing+xml"/>
  <Override PartName="/xl/drawings/drawing4.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15.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2.xml" ContentType="application/vnd.openxmlformats-officedocument.drawing+xml"/>
  <Override PartName="/xl/sharedStrings.xml" ContentType="application/vnd.openxmlformats-officedocument.spreadsheetml.sharedStrings+xml"/>
  <Override PartName="/xl/worksheets/sheet14.xml" ContentType="application/vnd.openxmlformats-officedocument.spreadsheetml.worksheet+xml"/>
  <Override PartName="/xl/worksheets/sheet16.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ctrlProps/ctrlProp6.xml" ContentType="application/vnd.ms-excel.controlproperties+xml"/>
  <Override PartName="/xl/ctrlProps/ctrlProp30.xml" ContentType="application/vnd.ms-excel.controlproperties+xml"/>
  <Override PartName="/xl/ctrlProps/ctrlProp29.xml" ContentType="application/vnd.ms-excel.controlproperties+xml"/>
  <Override PartName="/xl/ctrlProps/ctrlProp28.xml" ContentType="application/vnd.ms-excel.controlproperties+xml"/>
  <Override PartName="/xl/ctrlProps/ctrlProp27.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4.xml" ContentType="application/vnd.ms-excel.contro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trlProps/ctrlProp21.xml" ContentType="application/vnd.ms-excel.controlproperties+xml"/>
  <Override PartName="/xl/ctrlProps/ctrlProp22.xml" ContentType="application/vnd.ms-excel.controlproperties+xml"/>
  <Override PartName="/xl/ctrlProps/ctrlProp4.xml" ContentType="application/vnd.ms-excel.controlproperties+xml"/>
  <Override PartName="/xl/ctrlProps/ctrlProp3.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2.xml" ContentType="application/vnd.ms-excel.controlproperties+xml"/>
  <Override PartName="/xl/ctrlProps/ctrlProp11.xml" ContentType="application/vnd.ms-excel.controlproperties+xml"/>
  <Override PartName="/xl/ctrlProps/ctrlProp10.xml" ContentType="application/vnd.ms-excel.controlproperties+xml"/>
  <Override PartName="/xl/activeX/activeX1.xml" ContentType="application/vnd.ms-office.activeX+xml"/>
  <Override PartName="/xl/activeX/activeX1.bin" ContentType="application/vnd.ms-office.activeX"/>
  <Override PartName="/xl/ctrlProps/ctrlProp5.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activeX/activeX2.bin" ContentType="application/vnd.ms-office.activeX"/>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activeX/activeX2.xml" ContentType="application/vnd.ms-office.activeX+xml"/>
  <Override PartName="/xl/ctrlProps/ctrlProp1.xml" ContentType="application/vnd.ms-excel.controlproperties+xml"/>
  <Override PartName="/xl/comments2.xml" ContentType="application/vnd.openxmlformats-officedocument.spreadsheetml.comments+xml"/>
  <Override PartName="/xl/ctrlProps/ctrlProp2.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23.xml" ContentType="application/vnd.ms-excel.contro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53222"/>
  <mc:AlternateContent xmlns:mc="http://schemas.openxmlformats.org/markup-compatibility/2006">
    <mc:Choice Requires="x15">
      <x15ac:absPath xmlns:x15ac="http://schemas.microsoft.com/office/spreadsheetml/2010/11/ac" url="\\sun\Active\Projects\CMS_Financial_Management_Analysis\SBC\Update_2018\SBC_Drafts\"/>
    </mc:Choice>
  </mc:AlternateContent>
  <bookViews>
    <workbookView xWindow="0" yWindow="0" windowWidth="21870" windowHeight="11760"/>
  </bookViews>
  <sheets>
    <sheet name="WELCOME" sheetId="22" r:id="rId1"/>
    <sheet name="MULTIPLE_PLAN_MODE" sheetId="21" state="hidden" r:id="rId2"/>
    <sheet name="BENEFIT_DESIGN" sheetId="11" state="hidden" r:id="rId3"/>
    <sheet name="PLAN_INPUT_DATA" sheetId="20" state="hidden" r:id="rId4"/>
    <sheet name="HelperTab" sheetId="26" state="hidden" r:id="rId5"/>
    <sheet name="BENEFIT_DESIGN_ERRORS" sheetId="24" state="hidden" r:id="rId6"/>
    <sheet name="BENEFIT_PARAMETERS" sheetId="5" state="hidden" r:id="rId7"/>
    <sheet name="PLAN_OUTPUT_DATA" sheetId="17" state="hidden" r:id="rId8"/>
    <sheet name="RESULTS_SUMMARY" sheetId="8" state="hidden" r:id="rId9"/>
    <sheet name="MATERNITY_SUMMARY" sheetId="12" state="hidden" r:id="rId10"/>
    <sheet name="MATERNITY_LINE_ITEM" sheetId="9" state="hidden" r:id="rId11"/>
    <sheet name="DIABETES_SUMMARY" sheetId="7" state="hidden" r:id="rId12"/>
    <sheet name="MATERNITY_TIMELINE" sheetId="10" state="hidden" r:id="rId13"/>
    <sheet name="DIABETES_TIMELINE" sheetId="3" state="hidden" r:id="rId14"/>
    <sheet name="DIABETES_LINE_ITEM" sheetId="6" state="hidden" r:id="rId15"/>
    <sheet name="FRACTURE_SUMMARY" sheetId="13" state="hidden" r:id="rId16"/>
    <sheet name="FRACTURE_TIMELINE" sheetId="14" state="hidden" r:id="rId17"/>
    <sheet name="FRACTURE_LINE_ITEM" sheetId="15" state="hidden" r:id="rId18"/>
  </sheets>
  <functionGroups builtInGroupCount="18"/>
  <definedNames>
    <definedName name="_xlnm._FilterDatabase" localSheetId="14" hidden="1">DIABETES_LINE_ITEM!$G$1:$G$31</definedName>
    <definedName name="_xlnm._FilterDatabase" localSheetId="13" hidden="1">DIABETES_TIMELINE!$A$3:$BU$125</definedName>
    <definedName name="_xlnm._FilterDatabase" localSheetId="17" hidden="1">FRACTURE_LINE_ITEM!$A$1:$I$17</definedName>
    <definedName name="_xlnm._FilterDatabase" localSheetId="10" hidden="1">MATERNITY_LINE_ITEM!$A$1:$H$34</definedName>
    <definedName name="_xlnm._FilterDatabase" localSheetId="12" hidden="1">MATERNITY_TIMELINE!$A$3:$G$78</definedName>
    <definedName name="AllowedAmt" localSheetId="13">DIABETES_TIMELINE!$H:$H</definedName>
    <definedName name="AllowedAmt" localSheetId="16">FRACTURE_TIMELINE!$H:$H</definedName>
    <definedName name="AllowedAmt" localSheetId="12">MATERNITY_TIMELINE!$H:$H</definedName>
    <definedName name="AllowedAmtAfterCopayCoins" localSheetId="13">DIABETES_TIMELINE!$BT:$BT</definedName>
    <definedName name="AllowedAmtAfterCopayCoins" localSheetId="16">FRACTURE_TIMELINE!#REF!</definedName>
    <definedName name="AllowedAmtAfterCopayCoins" localSheetId="12">MATERNITY_TIMELINE!#REF!</definedName>
    <definedName name="AmountSubjectToOPL" localSheetId="16">FRACTURE_TIMELINE!#REF!</definedName>
    <definedName name="AmountSubjectToOPL" localSheetId="12">MATERNITY_TIMELINE!#REF!</definedName>
    <definedName name="AmtExceedAnnualLimit" localSheetId="13">DIABETES_TIMELINE!$AK:$AK</definedName>
    <definedName name="AmtExceedAnnualLimit" localSheetId="16">FRACTURE_TIMELINE!#REF!</definedName>
    <definedName name="AmtExceedAnnualLimit" localSheetId="12">MATERNITY_TIMELINE!#REF!</definedName>
    <definedName name="AmtExceedMonthLimit" localSheetId="13">DIABETES_TIMELINE!$AG:$AG</definedName>
    <definedName name="AmtExceedMonthLimit" localSheetId="16">FRACTURE_TIMELINE!#REF!</definedName>
    <definedName name="AmtExceedMonthLimit" localSheetId="12">MATERNITY_TIMELINE!#REF!</definedName>
    <definedName name="AnnualLimit" localSheetId="13">DIABETES_TIMELINE!$AI:$AI</definedName>
    <definedName name="AnnualLimit" localSheetId="16">FRACTURE_TIMELINE!#REF!</definedName>
    <definedName name="AnnualLimit" localSheetId="12">MATERNITY_TIMELINE!#REF!</definedName>
    <definedName name="BenefitCategory" localSheetId="13">DIABETES_TIMELINE!$F:$F</definedName>
    <definedName name="BenefitCategory" localSheetId="16">FRACTURE_TIMELINE!$F:$F</definedName>
    <definedName name="BenefitCategory" localSheetId="12">MATERNITY_TIMELINE!$F:$F</definedName>
    <definedName name="BenefitCategoryList">BENEFIT_PARAMETERS!$A$51:$A$73</definedName>
    <definedName name="BenefitCoins">BENEFIT_PARAMETERS!$J$51:$J$73</definedName>
    <definedName name="BenefitCopay">BENEFIT_PARAMETERS!$I$51:$I$73</definedName>
    <definedName name="BenefitCostSharing">BENEFIT_PARAMETERS!$B$51:$B$73</definedName>
    <definedName name="BenefitDeductible">BENEFIT_PARAMETERS!$H$51:$H$73</definedName>
    <definedName name="BenefitDeductiblePayment" localSheetId="13">DIABETES_TIMELINE!$BG:$BG</definedName>
    <definedName name="BenefitDeductiblePayment" localSheetId="16">FRACTURE_TIMELINE!#REF!</definedName>
    <definedName name="BenefitDeductiblePayment" localSheetId="12">MATERNITY_TIMELINE!#REF!</definedName>
    <definedName name="BenefitDedutibleApplies" localSheetId="13">DIABETES_TIMELINE!$BD:$BD</definedName>
    <definedName name="BenefitDedutibleApplies" localSheetId="16">FRACTURE_TIMELINE!#REF!</definedName>
    <definedName name="BenefitDedutibleApplies" localSheetId="12">MATERNITY_TIMELINE!#REF!</definedName>
    <definedName name="BenefitDesignTable">BENEFIT_PARAMETERS!$A$52:$M$73</definedName>
    <definedName name="BenefitLimitAnnual">BENEFIT_PARAMETERS!$L$51:$L$73</definedName>
    <definedName name="BenefitLimithMonth">BENEFIT_PARAMETERS!$K$51:$K$73</definedName>
    <definedName name="BenefitOOPLimitApplies">BENEFIT_PARAMETERS!$M$51:$M$73</definedName>
    <definedName name="ClaimDate" localSheetId="13">DIABETES_TIMELINE!$B:$B</definedName>
    <definedName name="ClaimDate" localSheetId="16">FRACTURE_TIMELINE!$B:$B</definedName>
    <definedName name="ClaimDate" localSheetId="12">MATERNITY_TIMELINE!$B:$B</definedName>
    <definedName name="ClaimMonth" localSheetId="13">DIABETES_TIMELINE!$C:$C</definedName>
    <definedName name="ClaimMonth" localSheetId="16">FRACTURE_TIMELINE!$C:$C</definedName>
    <definedName name="ClaimMonth" localSheetId="12">MATERNITY_TIMELINE!$C:$C</definedName>
    <definedName name="ClaimNumber" localSheetId="13">DIABETES_TIMELINE!$A:$A</definedName>
    <definedName name="ClaimNumber" localSheetId="16">FRACTURE_TIMELINE!$A:$A</definedName>
    <definedName name="ClaimNumber" localSheetId="12">MATERNITY_TIMELINE!$A:$A</definedName>
    <definedName name="CoInsAmount" localSheetId="13">DIABETES_TIMELINE!$BQ:$BQ</definedName>
    <definedName name="CoInsAmount" localSheetId="16">FRACTURE_TIMELINE!#REF!</definedName>
    <definedName name="CoInsAmount" localSheetId="12">MATERNITY_TIMELINE!#REF!</definedName>
    <definedName name="CoInsRate" localSheetId="16">FRACTURE_TIMELINE!#REF!</definedName>
    <definedName name="CoInsRate" localSheetId="12">MATERNITY_TIMELINE!#REF!</definedName>
    <definedName name="CoPayAmount" localSheetId="13">DIABETES_TIMELINE!$BM:$BM</definedName>
    <definedName name="CoPayAmount" localSheetId="16">FRACTURE_TIMELINE!#REF!</definedName>
    <definedName name="CoPayAmount" localSheetId="12">MATERNITY_TIMELINE!#REF!</definedName>
    <definedName name="CostSharingType" localSheetId="13">DIABETES_TIMELINE!$G:$G</definedName>
    <definedName name="CostSharingType" localSheetId="16">FRACTURE_TIMELINE!$G:$G</definedName>
    <definedName name="CostSharingType" localSheetId="12">MATERNITY_TIMELINE!$G:$G</definedName>
    <definedName name="CoveredAmt" localSheetId="13">DIABETES_TIMELINE!$AM:$AM</definedName>
    <definedName name="CoveredAmt" localSheetId="16">FRACTURE_TIMELINE!#REF!</definedName>
    <definedName name="CoveredAmt" localSheetId="12">MATERNITY_TIMELINE!#REF!</definedName>
    <definedName name="CoveredAmtAfterDeductibles" localSheetId="13">DIABETES_TIMELINE!$BK:$BK</definedName>
    <definedName name="CoveredAmtAfterDeductibles" localSheetId="16">FRACTURE_TIMELINE!#REF!</definedName>
    <definedName name="CoveredAmtAfterDeductibles" localSheetId="12">MATERNITY_TIMELINE!#REF!</definedName>
    <definedName name="DeductibleCApplies" localSheetId="13">DIABETES_TIMELINE!$AV:$AV</definedName>
    <definedName name="DeductibleCApplies" localSheetId="16">FRACTURE_TIMELINE!#REF!</definedName>
    <definedName name="DeductibleCApplies" localSheetId="12">MATERNITY_TIMELINE!#REF!</definedName>
    <definedName name="DeductibleCPayment" localSheetId="13">DIABETES_TIMELINE!$AY:$AY</definedName>
    <definedName name="DeductibleCPayment" localSheetId="16">FRACTURE_TIMELINE!#REF!</definedName>
    <definedName name="DeductibleCPayment" localSheetId="12">MATERNITY_TIMELINE!#REF!</definedName>
    <definedName name="DeductibleDApplies" localSheetId="13">DIABETES_TIMELINE!$AZ:$AZ</definedName>
    <definedName name="DeductibleDApplies" localSheetId="16">FRACTURE_TIMELINE!#REF!</definedName>
    <definedName name="DeductibleDApplies" localSheetId="12">MATERNITY_TIMELINE!#REF!</definedName>
    <definedName name="DeductibleDPayment" localSheetId="13">DIABETES_TIMELINE!$BC:$BC</definedName>
    <definedName name="DeductibleDPayment" localSheetId="16">FRACTURE_TIMELINE!#REF!</definedName>
    <definedName name="DeductibleDPayment" localSheetId="12">MATERNITY_TIMELINE!#REF!</definedName>
    <definedName name="DiabetesFeeSchedule">DIABETES_LINE_ITEM!$A$2:$J$51</definedName>
    <definedName name="FractureFeeSchedule">FRACTURE_LINE_ITEM!$A$2:$G$31</definedName>
    <definedName name="MaternityFeeSchedule">MATERNITY_LINE_ITEM!$A$2:$G$48</definedName>
    <definedName name="MonthLimit" localSheetId="13">DIABETES_TIMELINE!$AE:$AE</definedName>
    <definedName name="MonthLimit" localSheetId="16">FRACTURE_TIMELINE!#REF!</definedName>
    <definedName name="MonthLimit" localSheetId="12">MATERNITY_TIMELINE!#REF!</definedName>
    <definedName name="NotCoveredAmt" localSheetId="13">DIABETES_TIMELINE!$I:$I</definedName>
    <definedName name="NotCoveredAmt" localSheetId="16">FRACTURE_TIMELINE!#REF!</definedName>
    <definedName name="NotCoveredAmt" localSheetId="12">MATERNITY_TIMELINE!#REF!</definedName>
    <definedName name="nrAddtlOpts">BENEFIT_DESIGN!$B$39:$D$40</definedName>
    <definedName name="nrAnnualLimitValid">BENEFIT_PARAMETERS!$E$3:$E$25</definedName>
    <definedName name="nrBC_TYPES">BENEFIT_DESIGN!$B$10:$B$31</definedName>
    <definedName name="nrBENEFIT_PARAMETERS">BENEFIT_DESIGN!$D$10:$F$31</definedName>
    <definedName name="nrCBPlanName">HelperTab!$B$4</definedName>
    <definedName name="nrCBPlanNameRS">HelperTab!$B$10</definedName>
    <definedName name="nrCostShareType">HelperTab!$D$2:$D$20</definedName>
    <definedName name="nrCOV_LIMIT">BENEFIT_DESIGN!$G$10:$H$31</definedName>
    <definedName name="nrCoverageTable">BENEFIT_PARAMETERS!$A$3:$M$25</definedName>
    <definedName name="nrCovTypeValid">BENEFIT_PARAMETERS!$C$3:$C$25</definedName>
    <definedName name="nrCurrentPlan">HelperTab!$B$3</definedName>
    <definedName name="nrCurrentPlanRS">HelperTab!$B$9</definedName>
    <definedName name="nrDEDMOOP">BENEFIT_DESIGN!$C$32:$C$36</definedName>
    <definedName name="nrDIAB_PatientPays">RESULTS_SUMMARY!$I$13:$I$17</definedName>
    <definedName name="nrDIAB_PlanPays">RESULTS_SUMMARY!$I$10</definedName>
    <definedName name="nrDM_TYPES">BENEFIT_DESIGN!$B$32:$B$36</definedName>
    <definedName name="nrFF_PatientPays">RESULTS_SUMMARY!$D$27:$D$31</definedName>
    <definedName name="nrFF_PlanPays">RESULTS_SUMMARY!$D$24</definedName>
    <definedName name="nrMAT_PatientPays">RESULTS_SUMMARY!$D$13:$D$17</definedName>
    <definedName name="nrMAT_PlanPays">RESULTS_SUMMARY!$D$10</definedName>
    <definedName name="nrMonthlyLimitValid">BENEFIT_PARAMETERS!$D$3:$D$25</definedName>
    <definedName name="nrOOPLimitValid">BENEFIT_PARAMETERS!$F$3:$F$25</definedName>
    <definedName name="nrOPL">BENEFIT_DESIGN!$I$10:$I$31</definedName>
    <definedName name="nrParamChanged">HelperTab!$B$5</definedName>
    <definedName name="nrPlanBenefitParameters">BENEFIT_DESIGN!$C$10:$I$36</definedName>
    <definedName name="nrPlanInput">BENEFIT_DESIGN!$A$1:$J$44</definedName>
    <definedName name="nrPlanName">BENEFIT_DESIGN!$C$6</definedName>
    <definedName name="nrSVC_CS">BENEFIT_DESIGN!$D$10:$I$31</definedName>
    <definedName name="nrTotPlanCount">HelperTab!$B$2</definedName>
    <definedName name="nrTotPlanCountRS">HelperTab!$B$8</definedName>
    <definedName name="nrTYPE_CS">BENEFIT_DESIGN!$C$10:$C$31</definedName>
    <definedName name="nrUsesBenDeduct">BENEFIT_PARAMETERS!$K$3:$K$25</definedName>
    <definedName name="nrUsesCoins">BENEFIT_PARAMETERS!$M$3:$M$25</definedName>
    <definedName name="nrUsesCopay">BENEFIT_PARAMETERS!$L$3:$L$25</definedName>
    <definedName name="nrUsesDeductC">BENEFIT_PARAMETERS!$I$3:$I$25</definedName>
    <definedName name="nrUsesDeductD">BENEFIT_PARAMETERS!$J$3:$J$25</definedName>
    <definedName name="nrUsesPlanDeduct">BENEFIT_PARAMETERS!$G$3:$G$25</definedName>
    <definedName name="nrUsesRxDeduct">BENEFIT_PARAMETERS!$H$3:$H$25</definedName>
    <definedName name="OPLApplies" localSheetId="16">FRACTURE_TIMELINE!#REF!</definedName>
    <definedName name="OPLApplies" localSheetId="12">MATERNITY_TIMELINE!#REF!</definedName>
    <definedName name="OPLimit">BENEFIT_PARAMETERS!$G$51:$G$73</definedName>
    <definedName name="OptDeductibleC">BENEFIT_PARAMETERS!$E$51:$E$73</definedName>
    <definedName name="OptDeductibleD">BENEFIT_PARAMETERS!$F$51:$F$73</definedName>
    <definedName name="PaymentTowardDeductibles" localSheetId="13">DIABETES_TIMELINE!$BH:$BH</definedName>
    <definedName name="PaymentTowardDeductibles" localSheetId="16">FRACTURE_TIMELINE!#REF!</definedName>
    <definedName name="PaymentTowardDeductibles" localSheetId="12">MATERNITY_TIMELINE!#REF!</definedName>
    <definedName name="PlanDeductible">BENEFIT_PARAMETERS!$C$51:$C$73</definedName>
    <definedName name="PlanDeductibleApplies" localSheetId="13">DIABETES_TIMELINE!$AN:$AN</definedName>
    <definedName name="PlanDeductibleApplies" localSheetId="16">FRACTURE_TIMELINE!#REF!</definedName>
    <definedName name="PlanDeductibleApplies" localSheetId="12">MATERNITY_TIMELINE!#REF!</definedName>
    <definedName name="PlanDeductiblePayment" localSheetId="13">DIABETES_TIMELINE!$AQ:$AQ</definedName>
    <definedName name="PlanDeductiblePayment" localSheetId="16">FRACTURE_TIMELINE!#REF!</definedName>
    <definedName name="PlanDeductiblePayment" localSheetId="12">MATERNITY_TIMELINE!#REF!</definedName>
    <definedName name="PlanPaymentAmt" localSheetId="13">DIABETES_TIMELINE!$BV:$BV</definedName>
    <definedName name="PlanPaymentAmt" localSheetId="16">FRACTURE_TIMELINE!$BV:$BV</definedName>
    <definedName name="PlanPaymentAmt" localSheetId="12">MATERNITY_TIMELINE!$BV:$BV</definedName>
    <definedName name="PriorUseAnnual" localSheetId="13">DIABETES_TIMELINE!$AJ:$AJ</definedName>
    <definedName name="PriorUseAnnual" localSheetId="16">FRACTURE_TIMELINE!#REF!</definedName>
    <definedName name="PriorUseAnnual" localSheetId="12">MATERNITY_TIMELINE!#REF!</definedName>
    <definedName name="PriorUseMonth" localSheetId="13">DIABETES_TIMELINE!$AF:$AF</definedName>
    <definedName name="PriorUseMonth" localSheetId="16">FRACTURE_TIMELINE!#REF!</definedName>
    <definedName name="PriorUseMonth" localSheetId="12">MATERNITY_TIMELINE!#REF!</definedName>
    <definedName name="RemainingBenefitDeduc" localSheetId="13">DIABETES_TIMELINE!$BF:$BF</definedName>
    <definedName name="RemainingBenefitDeduc" localSheetId="16">FRACTURE_TIMELINE!#REF!</definedName>
    <definedName name="RemainingBenefitDeduc" localSheetId="12">MATERNITY_TIMELINE!#REF!</definedName>
    <definedName name="RemainingDeductibleC" localSheetId="13">DIABETES_TIMELINE!$AX:$AX</definedName>
    <definedName name="RemainingDeductibleC" localSheetId="16">FRACTURE_TIMELINE!#REF!</definedName>
    <definedName name="RemainingDeductibleC" localSheetId="12">MATERNITY_TIMELINE!#REF!</definedName>
    <definedName name="RemainingDeductibleD" localSheetId="13">DIABETES_TIMELINE!$BB:$BB</definedName>
    <definedName name="RemainingDeductibleD" localSheetId="16">FRACTURE_TIMELINE!#REF!</definedName>
    <definedName name="RemainingDeductibleD" localSheetId="12">MATERNITY_TIMELINE!#REF!</definedName>
    <definedName name="RemainingOPL" localSheetId="16">FRACTURE_TIMELINE!#REF!</definedName>
    <definedName name="RemainingOPL" localSheetId="12">MATERNITY_TIMELINE!#REF!</definedName>
    <definedName name="RemainingPlanDeduc" localSheetId="13">DIABETES_TIMELINE!$AP:$AP</definedName>
    <definedName name="RemainingPlanDeduc" localSheetId="16">FRACTURE_TIMELINE!#REF!</definedName>
    <definedName name="RemainingPlanDeduc" localSheetId="12">MATERNITY_TIMELINE!#REF!</definedName>
    <definedName name="RemainingRxDeduc" localSheetId="13">DIABETES_TIMELINE!$AT:$AT</definedName>
    <definedName name="RemainingRxDeduc" localSheetId="16">FRACTURE_TIMELINE!#REF!</definedName>
    <definedName name="RemainingRxDeduc" localSheetId="12">MATERNITY_TIMELINE!#REF!</definedName>
    <definedName name="RxDeductible">BENEFIT_PARAMETERS!$D$51:$D$73</definedName>
    <definedName name="RxDeductibleApplies" localSheetId="13">DIABETES_TIMELINE!$AR:$AR</definedName>
    <definedName name="RxDeductibleApplies" localSheetId="16">FRACTURE_TIMELINE!#REF!</definedName>
    <definedName name="RxDeductibleApplies" localSheetId="12">MATERNITY_TIMELINE!#REF!</definedName>
    <definedName name="RxDeductiblePayment" localSheetId="13">DIABETES_TIMELINE!$AU:$AU</definedName>
    <definedName name="RxDeductiblePayment" localSheetId="16">FRACTURE_TIMELINE!#REF!</definedName>
    <definedName name="RxDeductiblePayment" localSheetId="12">MATERNITY_TIMELINE!#REF!</definedName>
    <definedName name="ServiceCode" localSheetId="13">DIABETES_TIMELINE!$D:$D</definedName>
    <definedName name="ServiceCode" localSheetId="16">FRACTURE_TIMELINE!$D:$D</definedName>
    <definedName name="ServiceCode" localSheetId="12">MATERNITY_TIMELINE!$D:$D</definedName>
    <definedName name="SubscriberPayCoins" localSheetId="13">DIABETES_TIMELINE!$CA:$CA</definedName>
    <definedName name="SubscriberPayCoins" localSheetId="16">FRACTURE_TIMELINE!$CA:$CA</definedName>
    <definedName name="SubscriberPayCoins" localSheetId="12">MATERNITY_TIMELINE!$CA:$CA</definedName>
    <definedName name="SubscriberPayCopay" localSheetId="13">DIABETES_TIMELINE!$BZ:$BZ</definedName>
    <definedName name="SubscriberPayCopay" localSheetId="16">FRACTURE_TIMELINE!$BZ:$BZ</definedName>
    <definedName name="SubscriberPayCopay" localSheetId="12">MATERNITY_TIMELINE!$BZ:$BZ</definedName>
    <definedName name="SubscriberPayDeduc" localSheetId="13">DIABETES_TIMELINE!$BY:$BY</definedName>
    <definedName name="SubscriberPayDeduc" localSheetId="16">FRACTURE_TIMELINE!$BY:$BY</definedName>
    <definedName name="SubscriberPayDeduc" localSheetId="12">MATERNITY_TIMELINE!$BY:$BY</definedName>
    <definedName name="SubscriberPayExclusion" localSheetId="13">DIABETES_TIMELINE!$BX:$BX</definedName>
    <definedName name="SubscriberPayExclusion" localSheetId="16">FRACTURE_TIMELINE!$BX:$BX</definedName>
    <definedName name="SubscriberPayExclusion" localSheetId="12">MATERNITY_TIMELINE!$BX:$BX</definedName>
    <definedName name="SubscriberPayNonCov" localSheetId="13">DIABETES_TIMELINE!$BW:$BW</definedName>
    <definedName name="SubscriberPayNonCov" localSheetId="16">FRACTURE_TIMELINE!$BW:$BW</definedName>
    <definedName name="SubscriberPayNonCov" localSheetId="12">MATERNITY_TIMELINE!$BW:$BW</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21" i="14" l="1"/>
  <c r="AF21" i="14"/>
  <c r="H21" i="14"/>
  <c r="F21" i="14"/>
  <c r="U21" i="14" s="1"/>
  <c r="E21" i="14"/>
  <c r="AJ20" i="14"/>
  <c r="AF20" i="14"/>
  <c r="H20" i="14"/>
  <c r="F20" i="14"/>
  <c r="U20" i="14" s="1"/>
  <c r="E20" i="14"/>
  <c r="AJ19" i="14"/>
  <c r="AF19" i="14"/>
  <c r="H19" i="14"/>
  <c r="F19" i="14"/>
  <c r="U19" i="14" s="1"/>
  <c r="E19" i="14"/>
  <c r="O21" i="14" l="1"/>
  <c r="X21" i="14" s="1"/>
  <c r="O20" i="14"/>
  <c r="X20" i="14" s="1"/>
  <c r="O19" i="14"/>
  <c r="P19" i="14" s="1"/>
  <c r="S19" i="14" s="1"/>
  <c r="V20" i="14"/>
  <c r="R20" i="14"/>
  <c r="P20" i="14"/>
  <c r="AJ53" i="10"/>
  <c r="AF53" i="10"/>
  <c r="H53" i="10"/>
  <c r="F53" i="10"/>
  <c r="E53" i="10"/>
  <c r="AJ52" i="10"/>
  <c r="AF52" i="10"/>
  <c r="H52" i="10"/>
  <c r="F52" i="10"/>
  <c r="E52" i="10"/>
  <c r="AJ51" i="10"/>
  <c r="AF51" i="10"/>
  <c r="H51" i="10"/>
  <c r="F51" i="10"/>
  <c r="E51" i="10"/>
  <c r="AJ18" i="14"/>
  <c r="AF18" i="14"/>
  <c r="H18" i="14"/>
  <c r="AJ17" i="14"/>
  <c r="AF17" i="14"/>
  <c r="H17" i="14"/>
  <c r="AJ16" i="14"/>
  <c r="AF16" i="14"/>
  <c r="H16" i="14"/>
  <c r="AJ15" i="14"/>
  <c r="AF15" i="14"/>
  <c r="H15" i="14"/>
  <c r="AJ14" i="14"/>
  <c r="AF14" i="14"/>
  <c r="H14" i="14"/>
  <c r="AJ13" i="14"/>
  <c r="AF13" i="14"/>
  <c r="H13" i="14"/>
  <c r="AJ12" i="14"/>
  <c r="AF12" i="14"/>
  <c r="H12" i="14"/>
  <c r="AJ11" i="14"/>
  <c r="AF11" i="14"/>
  <c r="H11" i="14"/>
  <c r="F11" i="14"/>
  <c r="E11" i="14"/>
  <c r="J7" i="15"/>
  <c r="R21" i="14" l="1"/>
  <c r="V19" i="14"/>
  <c r="W19" i="14" s="1"/>
  <c r="V21" i="14"/>
  <c r="P21" i="14"/>
  <c r="Q19" i="14"/>
  <c r="X19" i="14"/>
  <c r="R19" i="14"/>
  <c r="Q20" i="14"/>
  <c r="S20" i="14"/>
  <c r="Y20" i="14"/>
  <c r="W20" i="14"/>
  <c r="Z20" i="14" s="1"/>
  <c r="U51" i="10"/>
  <c r="U52" i="10"/>
  <c r="U53" i="10"/>
  <c r="O51" i="10"/>
  <c r="O52" i="10"/>
  <c r="O53" i="10"/>
  <c r="U11" i="14"/>
  <c r="O11" i="14"/>
  <c r="P11" i="14" s="1"/>
  <c r="Y19" i="14" l="1"/>
  <c r="S21" i="14"/>
  <c r="Q21" i="14"/>
  <c r="Y21" i="14"/>
  <c r="W21" i="14"/>
  <c r="Z21" i="14" s="1"/>
  <c r="AA21" i="14" s="1"/>
  <c r="Z19" i="14"/>
  <c r="AA19" i="14" s="1"/>
  <c r="AA20" i="14"/>
  <c r="R51" i="10"/>
  <c r="V51" i="10"/>
  <c r="X51" i="10"/>
  <c r="P51" i="10"/>
  <c r="V53" i="10"/>
  <c r="R53" i="10"/>
  <c r="X53" i="10"/>
  <c r="P53" i="10"/>
  <c r="X52" i="10"/>
  <c r="P52" i="10"/>
  <c r="V52" i="10"/>
  <c r="R52" i="10"/>
  <c r="X11" i="14"/>
  <c r="R11" i="14"/>
  <c r="V11" i="14"/>
  <c r="Q11" i="14"/>
  <c r="S11" i="14"/>
  <c r="B12" i="12"/>
  <c r="B12" i="7"/>
  <c r="B12" i="13"/>
  <c r="S53" i="10" l="1"/>
  <c r="Q53" i="10"/>
  <c r="W52" i="10"/>
  <c r="Z52" i="10" s="1"/>
  <c r="Y52" i="10"/>
  <c r="S52" i="10"/>
  <c r="Q52" i="10"/>
  <c r="W53" i="10"/>
  <c r="Z53" i="10" s="1"/>
  <c r="Y53" i="10"/>
  <c r="S51" i="10"/>
  <c r="Q51" i="10"/>
  <c r="W51" i="10"/>
  <c r="Z51" i="10" s="1"/>
  <c r="Y51" i="10"/>
  <c r="W11" i="14"/>
  <c r="Z11" i="14" s="1"/>
  <c r="AA11" i="14" s="1"/>
  <c r="Y11" i="14"/>
  <c r="B58" i="5"/>
  <c r="A58" i="5"/>
  <c r="B10" i="5"/>
  <c r="A10" i="5"/>
  <c r="AA51" i="10" l="1"/>
  <c r="AA53" i="10"/>
  <c r="AA52" i="10"/>
  <c r="AJ50" i="10"/>
  <c r="AF50" i="10"/>
  <c r="H50" i="10"/>
  <c r="F50" i="10"/>
  <c r="E50" i="10"/>
  <c r="AJ49" i="10"/>
  <c r="AF49" i="10"/>
  <c r="H49" i="10"/>
  <c r="F49" i="10"/>
  <c r="E49" i="10"/>
  <c r="AJ48" i="10"/>
  <c r="AF48" i="10"/>
  <c r="H48" i="10"/>
  <c r="F48" i="10"/>
  <c r="E48" i="10"/>
  <c r="AJ47" i="10"/>
  <c r="AF47" i="10"/>
  <c r="H47" i="10"/>
  <c r="F47" i="10"/>
  <c r="E47" i="10"/>
  <c r="U47" i="10" l="1"/>
  <c r="O47" i="10"/>
  <c r="U50" i="10"/>
  <c r="O50" i="10"/>
  <c r="U48" i="10"/>
  <c r="O48" i="10"/>
  <c r="U49" i="10"/>
  <c r="O49" i="10"/>
  <c r="X49" i="10" s="1"/>
  <c r="J6" i="15"/>
  <c r="R49" i="10" l="1"/>
  <c r="V49" i="10"/>
  <c r="R50" i="10"/>
  <c r="X50" i="10"/>
  <c r="P50" i="10"/>
  <c r="V50" i="10"/>
  <c r="Y50" i="10" s="1"/>
  <c r="R48" i="10"/>
  <c r="V48" i="10"/>
  <c r="P48" i="10"/>
  <c r="X48" i="10"/>
  <c r="R47" i="10"/>
  <c r="V47" i="10"/>
  <c r="P47" i="10"/>
  <c r="X47" i="10"/>
  <c r="P49" i="10"/>
  <c r="Q49" i="10" s="1"/>
  <c r="T22" i="24"/>
  <c r="S22" i="24"/>
  <c r="R22" i="24"/>
  <c r="Q22" i="24"/>
  <c r="P22" i="24"/>
  <c r="O22" i="24"/>
  <c r="B22" i="24"/>
  <c r="B27" i="7"/>
  <c r="B26" i="7"/>
  <c r="B25" i="7"/>
  <c r="B24" i="7"/>
  <c r="B23" i="7"/>
  <c r="B22" i="7"/>
  <c r="B21" i="7"/>
  <c r="B27" i="13"/>
  <c r="B26" i="13"/>
  <c r="B25" i="13"/>
  <c r="B24" i="13"/>
  <c r="B23" i="13"/>
  <c r="B22" i="13"/>
  <c r="B21" i="13"/>
  <c r="B27" i="12"/>
  <c r="B26" i="12"/>
  <c r="B25" i="12"/>
  <c r="B24" i="12"/>
  <c r="B23" i="12"/>
  <c r="B22" i="12"/>
  <c r="B21" i="12"/>
  <c r="B19" i="5"/>
  <c r="A19" i="5"/>
  <c r="B67" i="5"/>
  <c r="A67" i="5"/>
  <c r="W50" i="10" l="1"/>
  <c r="Z50" i="10" s="1"/>
  <c r="AA50" i="10" s="1"/>
  <c r="W47" i="10"/>
  <c r="Z47" i="10" s="1"/>
  <c r="AA47" i="10" s="1"/>
  <c r="Y47" i="10"/>
  <c r="Q48" i="10"/>
  <c r="S48" i="10"/>
  <c r="Y48" i="10"/>
  <c r="W48" i="10"/>
  <c r="Z48" i="10" s="1"/>
  <c r="AA48" i="10" s="1"/>
  <c r="S49" i="10"/>
  <c r="Y49" i="10"/>
  <c r="W49" i="10"/>
  <c r="Z49" i="10" s="1"/>
  <c r="AA49" i="10" s="1"/>
  <c r="S47" i="10"/>
  <c r="Q47" i="10"/>
  <c r="Q50" i="10"/>
  <c r="S50" i="10"/>
  <c r="AJ46" i="10"/>
  <c r="AF46" i="10"/>
  <c r="H46" i="10"/>
  <c r="F46" i="10"/>
  <c r="E46" i="10"/>
  <c r="AJ45" i="10"/>
  <c r="AF45" i="10"/>
  <c r="H45" i="10"/>
  <c r="F45" i="10"/>
  <c r="E45" i="10"/>
  <c r="AJ44" i="10"/>
  <c r="AF44" i="10"/>
  <c r="H44" i="10"/>
  <c r="F44" i="10"/>
  <c r="E44" i="10"/>
  <c r="AJ43" i="10"/>
  <c r="AF43" i="10"/>
  <c r="H43" i="10"/>
  <c r="F43" i="10"/>
  <c r="E43" i="10"/>
  <c r="AJ42" i="10"/>
  <c r="AF42" i="10"/>
  <c r="H42" i="10"/>
  <c r="F42" i="10"/>
  <c r="E42" i="10"/>
  <c r="AJ41" i="10"/>
  <c r="AF41" i="10"/>
  <c r="H41" i="10"/>
  <c r="F41" i="10"/>
  <c r="E41" i="10"/>
  <c r="AJ40" i="10"/>
  <c r="AF40" i="10"/>
  <c r="H40" i="10"/>
  <c r="F40" i="10"/>
  <c r="E40" i="10"/>
  <c r="AJ39" i="10"/>
  <c r="AF39" i="10"/>
  <c r="H39" i="10"/>
  <c r="F39" i="10"/>
  <c r="E39" i="10"/>
  <c r="AJ38" i="10"/>
  <c r="AF38" i="10"/>
  <c r="H38" i="10"/>
  <c r="F38" i="10"/>
  <c r="E38" i="10"/>
  <c r="AJ37" i="10"/>
  <c r="AF37" i="10"/>
  <c r="H37" i="10"/>
  <c r="F37" i="10"/>
  <c r="E37" i="10"/>
  <c r="U43" i="10" l="1"/>
  <c r="O43" i="10"/>
  <c r="V43" i="10" s="1"/>
  <c r="U38" i="10"/>
  <c r="O38" i="10"/>
  <c r="X38" i="10" s="1"/>
  <c r="U40" i="10"/>
  <c r="O40" i="10"/>
  <c r="P40" i="10" s="1"/>
  <c r="S40" i="10" s="1"/>
  <c r="U45" i="10"/>
  <c r="O45" i="10"/>
  <c r="X45" i="10" s="1"/>
  <c r="U39" i="10"/>
  <c r="O39" i="10"/>
  <c r="X39" i="10" s="1"/>
  <c r="U41" i="10"/>
  <c r="O41" i="10"/>
  <c r="R41" i="10" s="1"/>
  <c r="U37" i="10"/>
  <c r="O37" i="10"/>
  <c r="R37" i="10" s="1"/>
  <c r="U42" i="10"/>
  <c r="O42" i="10"/>
  <c r="X42" i="10" s="1"/>
  <c r="U44" i="10"/>
  <c r="O44" i="10"/>
  <c r="V44" i="10" s="1"/>
  <c r="Y44" i="10" s="1"/>
  <c r="U46" i="10"/>
  <c r="O46" i="10"/>
  <c r="P46" i="10" s="1"/>
  <c r="P38" i="10"/>
  <c r="S38" i="10" s="1"/>
  <c r="P43" i="10"/>
  <c r="S43" i="10" s="1"/>
  <c r="P39" i="10" l="1"/>
  <c r="S39" i="10" s="1"/>
  <c r="V46" i="10"/>
  <c r="W46" i="10" s="1"/>
  <c r="X41" i="10"/>
  <c r="V40" i="10"/>
  <c r="Y40" i="10" s="1"/>
  <c r="P44" i="10"/>
  <c r="S44" i="10" s="1"/>
  <c r="P41" i="10"/>
  <c r="S41" i="10" s="1"/>
  <c r="P37" i="10"/>
  <c r="S37" i="10" s="1"/>
  <c r="X37" i="10"/>
  <c r="V37" i="10"/>
  <c r="Y37" i="10" s="1"/>
  <c r="R46" i="10"/>
  <c r="X46" i="10"/>
  <c r="R42" i="10"/>
  <c r="V42" i="10"/>
  <c r="R45" i="10"/>
  <c r="V45" i="10"/>
  <c r="R38" i="10"/>
  <c r="V38" i="10"/>
  <c r="V41" i="10"/>
  <c r="W41" i="10" s="1"/>
  <c r="R44" i="10"/>
  <c r="X44" i="10"/>
  <c r="R39" i="10"/>
  <c r="V39" i="10"/>
  <c r="R40" i="10"/>
  <c r="X40" i="10"/>
  <c r="R43" i="10"/>
  <c r="X43" i="10"/>
  <c r="P42" i="10"/>
  <c r="Q42" i="10" s="1"/>
  <c r="P45" i="10"/>
  <c r="S45" i="10" s="1"/>
  <c r="Q40" i="10"/>
  <c r="W44" i="10"/>
  <c r="Q38" i="10"/>
  <c r="Q43" i="10"/>
  <c r="S46" i="10"/>
  <c r="Q46" i="10"/>
  <c r="Y43" i="10"/>
  <c r="W43" i="10"/>
  <c r="Q39" i="10" l="1"/>
  <c r="Y46" i="10"/>
  <c r="Z41" i="10"/>
  <c r="AA41" i="10" s="1"/>
  <c r="Q37" i="10"/>
  <c r="W37" i="10"/>
  <c r="Z37" i="10" s="1"/>
  <c r="AA37" i="10" s="1"/>
  <c r="Z46" i="10"/>
  <c r="AA46" i="10" s="1"/>
  <c r="Q44" i="10"/>
  <c r="Q41" i="10"/>
  <c r="W40" i="10"/>
  <c r="Z40" i="10" s="1"/>
  <c r="AA40" i="10" s="1"/>
  <c r="Z43" i="10"/>
  <c r="AA43" i="10" s="1"/>
  <c r="S42" i="10"/>
  <c r="Y41" i="10"/>
  <c r="W38" i="10"/>
  <c r="Z38" i="10" s="1"/>
  <c r="AA38" i="10" s="1"/>
  <c r="Y38" i="10"/>
  <c r="W42" i="10"/>
  <c r="Z42" i="10" s="1"/>
  <c r="AA42" i="10" s="1"/>
  <c r="Y42" i="10"/>
  <c r="Y45" i="10"/>
  <c r="W45" i="10"/>
  <c r="Z45" i="10" s="1"/>
  <c r="AA45" i="10" s="1"/>
  <c r="Z44" i="10"/>
  <c r="AA44" i="10" s="1"/>
  <c r="Q45" i="10"/>
  <c r="Y39" i="10"/>
  <c r="W39" i="10"/>
  <c r="Z39" i="10" s="1"/>
  <c r="AA39" i="10" s="1"/>
  <c r="F18" i="14" l="1"/>
  <c r="E18" i="14"/>
  <c r="F17" i="14"/>
  <c r="E17" i="14"/>
  <c r="F16" i="14"/>
  <c r="E16" i="14"/>
  <c r="F15" i="14"/>
  <c r="E15" i="14"/>
  <c r="F14" i="14"/>
  <c r="E14" i="14"/>
  <c r="F13" i="14"/>
  <c r="E13" i="14"/>
  <c r="F12" i="14"/>
  <c r="E12" i="14"/>
  <c r="AJ10" i="14"/>
  <c r="AF10" i="14"/>
  <c r="H10" i="14"/>
  <c r="F10" i="14"/>
  <c r="E10" i="14"/>
  <c r="AJ9" i="14"/>
  <c r="AF9" i="14"/>
  <c r="H9" i="14"/>
  <c r="F9" i="14"/>
  <c r="E9" i="14"/>
  <c r="AJ8" i="14"/>
  <c r="AF8" i="14"/>
  <c r="H8" i="14"/>
  <c r="F8" i="14"/>
  <c r="E8" i="14"/>
  <c r="AJ7" i="14"/>
  <c r="AF7" i="14"/>
  <c r="H7" i="14"/>
  <c r="F7" i="14"/>
  <c r="E7" i="14"/>
  <c r="AJ6" i="14"/>
  <c r="AF6" i="14"/>
  <c r="H6" i="14"/>
  <c r="F6" i="14"/>
  <c r="E6" i="14"/>
  <c r="AJ5" i="14"/>
  <c r="AF5" i="14"/>
  <c r="H5" i="14"/>
  <c r="F5" i="14"/>
  <c r="E5" i="14"/>
  <c r="O14" i="14" l="1"/>
  <c r="U14" i="14"/>
  <c r="U16" i="14"/>
  <c r="O16" i="14"/>
  <c r="O12" i="14"/>
  <c r="U12" i="14"/>
  <c r="O18" i="14"/>
  <c r="U18" i="14"/>
  <c r="O13" i="14"/>
  <c r="U13" i="14"/>
  <c r="O15" i="14"/>
  <c r="U15" i="14"/>
  <c r="U17" i="14"/>
  <c r="O17" i="14"/>
  <c r="U5" i="14"/>
  <c r="O5" i="14"/>
  <c r="P5" i="14" s="1"/>
  <c r="S5" i="14" s="1"/>
  <c r="U9" i="14"/>
  <c r="O9" i="14"/>
  <c r="V9" i="14" s="1"/>
  <c r="U6" i="14"/>
  <c r="O6" i="14"/>
  <c r="P6" i="14" s="1"/>
  <c r="S6" i="14" s="1"/>
  <c r="U8" i="14"/>
  <c r="O8" i="14"/>
  <c r="P8" i="14" s="1"/>
  <c r="S8" i="14" s="1"/>
  <c r="U7" i="14"/>
  <c r="O7" i="14"/>
  <c r="R7" i="14" s="1"/>
  <c r="U10" i="14"/>
  <c r="O10" i="14"/>
  <c r="P10" i="14" s="1"/>
  <c r="S10" i="14" s="1"/>
  <c r="X13" i="14" l="1"/>
  <c r="P13" i="14"/>
  <c r="V13" i="14"/>
  <c r="R13" i="14"/>
  <c r="V15" i="14"/>
  <c r="X15" i="14"/>
  <c r="P15" i="14"/>
  <c r="R15" i="14"/>
  <c r="V12" i="14"/>
  <c r="X12" i="14"/>
  <c r="P12" i="14"/>
  <c r="R12" i="14"/>
  <c r="P16" i="14"/>
  <c r="V16" i="14"/>
  <c r="R16" i="14"/>
  <c r="X16" i="14"/>
  <c r="X14" i="14"/>
  <c r="R14" i="14"/>
  <c r="V14" i="14"/>
  <c r="P14" i="14"/>
  <c r="X17" i="14"/>
  <c r="R17" i="14"/>
  <c r="V17" i="14"/>
  <c r="P17" i="14"/>
  <c r="R18" i="14"/>
  <c r="X18" i="14"/>
  <c r="P18" i="14"/>
  <c r="V18" i="14"/>
  <c r="X5" i="14"/>
  <c r="P7" i="14"/>
  <c r="S7" i="14" s="1"/>
  <c r="X9" i="14"/>
  <c r="V7" i="14"/>
  <c r="W7" i="14" s="1"/>
  <c r="X7" i="14"/>
  <c r="X10" i="14"/>
  <c r="R8" i="14"/>
  <c r="V8" i="14"/>
  <c r="X8" i="14"/>
  <c r="R9" i="14"/>
  <c r="P9" i="14"/>
  <c r="R10" i="14"/>
  <c r="V10" i="14"/>
  <c r="R6" i="14"/>
  <c r="X6" i="14"/>
  <c r="V6" i="14"/>
  <c r="R5" i="14"/>
  <c r="V5" i="14"/>
  <c r="Q8" i="14"/>
  <c r="Q10" i="14"/>
  <c r="Q6" i="14"/>
  <c r="Q5" i="14"/>
  <c r="Y9" i="14"/>
  <c r="W9" i="14"/>
  <c r="Q7" i="14" l="1"/>
  <c r="Y7" i="14"/>
  <c r="Q17" i="14"/>
  <c r="S17" i="14"/>
  <c r="Y16" i="14"/>
  <c r="W16" i="14"/>
  <c r="Z16" i="14" s="1"/>
  <c r="S15" i="14"/>
  <c r="Q15" i="14"/>
  <c r="Y14" i="14"/>
  <c r="W14" i="14"/>
  <c r="Z14" i="14" s="1"/>
  <c r="W12" i="14"/>
  <c r="Z12" i="14" s="1"/>
  <c r="Y12" i="14"/>
  <c r="W15" i="14"/>
  <c r="Z15" i="14" s="1"/>
  <c r="Y15" i="14"/>
  <c r="W13" i="14"/>
  <c r="Z13" i="14" s="1"/>
  <c r="AA13" i="14" s="1"/>
  <c r="Y13" i="14"/>
  <c r="S13" i="14"/>
  <c r="Q13" i="14"/>
  <c r="W17" i="14"/>
  <c r="Z17" i="14" s="1"/>
  <c r="AA17" i="14" s="1"/>
  <c r="Y17" i="14"/>
  <c r="Y18" i="14"/>
  <c r="W18" i="14"/>
  <c r="Z18" i="14" s="1"/>
  <c r="Q16" i="14"/>
  <c r="S16" i="14"/>
  <c r="S12" i="14"/>
  <c r="Q12" i="14"/>
  <c r="Q18" i="14"/>
  <c r="S18" i="14"/>
  <c r="S14" i="14"/>
  <c r="Q14" i="14"/>
  <c r="Z9" i="14"/>
  <c r="AA9" i="14" s="1"/>
  <c r="Z7" i="14"/>
  <c r="AA7" i="14" s="1"/>
  <c r="Y10" i="14"/>
  <c r="W10" i="14"/>
  <c r="Z10" i="14" s="1"/>
  <c r="AA10" i="14" s="1"/>
  <c r="Y5" i="14"/>
  <c r="W5" i="14"/>
  <c r="Z5" i="14" s="1"/>
  <c r="AA5" i="14" s="1"/>
  <c r="Y6" i="14"/>
  <c r="W6" i="14"/>
  <c r="Z6" i="14" s="1"/>
  <c r="AA6" i="14" s="1"/>
  <c r="W8" i="14"/>
  <c r="Z8" i="14" s="1"/>
  <c r="AA8" i="14" s="1"/>
  <c r="Y8" i="14"/>
  <c r="S9" i="14"/>
  <c r="Q9" i="14"/>
  <c r="AA12" i="14" l="1"/>
  <c r="AA14" i="14"/>
  <c r="AA16" i="14"/>
  <c r="AA15" i="14"/>
  <c r="AA18" i="14"/>
  <c r="E4" i="10"/>
  <c r="E5" i="10"/>
  <c r="E6" i="10"/>
  <c r="E7" i="10"/>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O37" i="24" l="1"/>
  <c r="O36" i="24"/>
  <c r="H4" i="14"/>
  <c r="AJ4" i="14"/>
  <c r="AF4" i="14"/>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 r="AJ36" i="10"/>
  <c r="AF36" i="10"/>
  <c r="AJ35" i="10"/>
  <c r="AF35" i="10"/>
  <c r="AJ34" i="10"/>
  <c r="AF34" i="10"/>
  <c r="AJ33" i="10"/>
  <c r="AF33" i="10"/>
  <c r="AJ32" i="10"/>
  <c r="AF32" i="10"/>
  <c r="AJ31" i="10"/>
  <c r="AF31" i="10"/>
  <c r="AJ30" i="10"/>
  <c r="AF30" i="10"/>
  <c r="AJ29" i="10"/>
  <c r="AF29" i="10"/>
  <c r="AJ28" i="10"/>
  <c r="AF28" i="10"/>
  <c r="AJ27" i="10"/>
  <c r="AF27" i="10"/>
  <c r="AJ26" i="10"/>
  <c r="AF26" i="10"/>
  <c r="AJ25" i="10"/>
  <c r="AF25" i="10"/>
  <c r="AJ24" i="10"/>
  <c r="AF24" i="10"/>
  <c r="AJ23" i="10"/>
  <c r="AF23" i="10"/>
  <c r="AJ22" i="10"/>
  <c r="AF22" i="10"/>
  <c r="AJ21" i="10"/>
  <c r="AF21" i="10"/>
  <c r="AJ20" i="10"/>
  <c r="AF20" i="10"/>
  <c r="AJ19" i="10"/>
  <c r="AF19" i="10"/>
  <c r="AJ18" i="10"/>
  <c r="AF18" i="10"/>
  <c r="AJ17" i="10"/>
  <c r="AF17" i="10"/>
  <c r="AJ16" i="10"/>
  <c r="AF16" i="10"/>
  <c r="AJ15" i="10"/>
  <c r="AF15" i="10"/>
  <c r="AJ14" i="10"/>
  <c r="AF14" i="10"/>
  <c r="AJ13" i="10"/>
  <c r="AF13" i="10"/>
  <c r="AJ12" i="10"/>
  <c r="AF12" i="10"/>
  <c r="AJ11" i="10"/>
  <c r="AF11" i="10"/>
  <c r="AJ10" i="10"/>
  <c r="AF10" i="10"/>
  <c r="AJ9" i="10"/>
  <c r="AF9" i="10"/>
  <c r="AJ8" i="10"/>
  <c r="AF8" i="10"/>
  <c r="AJ7" i="10"/>
  <c r="AF7" i="10"/>
  <c r="AJ6" i="10"/>
  <c r="AF6" i="10"/>
  <c r="AJ5" i="10"/>
  <c r="AF5" i="10"/>
  <c r="AJ4" i="10"/>
  <c r="AF4" i="10"/>
  <c r="A47" i="5"/>
  <c r="A46" i="5"/>
  <c r="A45" i="5"/>
  <c r="A44" i="5"/>
  <c r="A42" i="5"/>
  <c r="A41" i="5"/>
  <c r="A40" i="5"/>
  <c r="A39" i="5"/>
  <c r="P37" i="24"/>
  <c r="P36" i="24"/>
  <c r="P15" i="24" l="1"/>
  <c r="A35" i="5" l="1"/>
  <c r="A34" i="5"/>
  <c r="A33" i="5"/>
  <c r="A32" i="5"/>
  <c r="B25" i="5"/>
  <c r="L25" i="5" s="1"/>
  <c r="I73" i="5" s="1"/>
  <c r="A25" i="5"/>
  <c r="B24" i="5"/>
  <c r="D24" i="5" s="1"/>
  <c r="K72" i="5" s="1"/>
  <c r="A24" i="5"/>
  <c r="B23" i="5"/>
  <c r="A23" i="5"/>
  <c r="B22" i="5"/>
  <c r="A22" i="5"/>
  <c r="B21" i="5"/>
  <c r="A21" i="5"/>
  <c r="B20" i="5"/>
  <c r="H20" i="5" s="1"/>
  <c r="A20" i="5"/>
  <c r="B18" i="5"/>
  <c r="A18" i="5"/>
  <c r="B17" i="5"/>
  <c r="A17" i="5"/>
  <c r="B16" i="5"/>
  <c r="A16" i="5"/>
  <c r="B15" i="5"/>
  <c r="A15" i="5"/>
  <c r="B14" i="5"/>
  <c r="A14" i="5"/>
  <c r="B13" i="5"/>
  <c r="A13" i="5"/>
  <c r="B12" i="5"/>
  <c r="A12" i="5"/>
  <c r="B11" i="5"/>
  <c r="A11" i="5"/>
  <c r="B9" i="5"/>
  <c r="A9" i="5"/>
  <c r="B8" i="5"/>
  <c r="A8" i="5"/>
  <c r="B7" i="5"/>
  <c r="A7" i="5"/>
  <c r="B6" i="5"/>
  <c r="A6" i="5"/>
  <c r="B5" i="5"/>
  <c r="A5" i="5"/>
  <c r="B4" i="5"/>
  <c r="A4" i="5"/>
  <c r="L10" i="5" l="1"/>
  <c r="I58" i="5" s="1"/>
  <c r="K10" i="5"/>
  <c r="H58" i="5" s="1"/>
  <c r="H10" i="5"/>
  <c r="D58" i="5" s="1"/>
  <c r="J10" i="5"/>
  <c r="F58" i="5" s="1"/>
  <c r="I10" i="5"/>
  <c r="E58" i="5" s="1"/>
  <c r="C10" i="5"/>
  <c r="M10" i="5"/>
  <c r="J58" i="5" s="1"/>
  <c r="G10" i="5"/>
  <c r="C58" i="5" s="1"/>
  <c r="D10" i="5"/>
  <c r="K58" i="5" s="1"/>
  <c r="G22" i="5"/>
  <c r="C70" i="5" s="1"/>
  <c r="D25" i="24" s="1"/>
  <c r="D68" i="5"/>
  <c r="E23" i="24" s="1"/>
  <c r="AR50" i="10"/>
  <c r="G23" i="5"/>
  <c r="C71" i="5" s="1"/>
  <c r="D26" i="24" s="1"/>
  <c r="C19" i="5"/>
  <c r="C22" i="24" s="1"/>
  <c r="I19" i="5"/>
  <c r="E67" i="5" s="1"/>
  <c r="F22" i="24" s="1"/>
  <c r="D19" i="5"/>
  <c r="J19" i="5"/>
  <c r="F67" i="5" s="1"/>
  <c r="G22" i="24" s="1"/>
  <c r="M19" i="5"/>
  <c r="G19" i="5"/>
  <c r="C67" i="5" s="1"/>
  <c r="D22" i="24" s="1"/>
  <c r="K19" i="5"/>
  <c r="H19" i="5"/>
  <c r="D67" i="5" s="1"/>
  <c r="E22" i="24" s="1"/>
  <c r="L19" i="5"/>
  <c r="I67" i="5" s="1"/>
  <c r="I22" i="24" s="1"/>
  <c r="I9" i="5"/>
  <c r="E57" i="5" s="1"/>
  <c r="F13" i="24" s="1"/>
  <c r="AR37" i="10"/>
  <c r="AS37" i="10" s="1"/>
  <c r="AT37" i="10" s="1"/>
  <c r="AU37" i="10" s="1"/>
  <c r="M15" i="5"/>
  <c r="I17" i="5"/>
  <c r="D8" i="5"/>
  <c r="F8" i="5" s="1"/>
  <c r="G56" i="5" s="1"/>
  <c r="L8" i="5"/>
  <c r="D11" i="5"/>
  <c r="M13" i="5"/>
  <c r="I12" i="5"/>
  <c r="AV53" i="10" s="1"/>
  <c r="AW53" i="10" s="1"/>
  <c r="AX53" i="10" s="1"/>
  <c r="AY53" i="10" s="1"/>
  <c r="M14" i="5"/>
  <c r="G17" i="5"/>
  <c r="G18" i="5"/>
  <c r="G15" i="5"/>
  <c r="H17" i="5"/>
  <c r="G14" i="5"/>
  <c r="G13" i="5"/>
  <c r="K9" i="5"/>
  <c r="L9" i="5"/>
  <c r="C17" i="5"/>
  <c r="C20" i="24" s="1"/>
  <c r="J9" i="5"/>
  <c r="H11" i="5"/>
  <c r="J17" i="5"/>
  <c r="K17" i="5"/>
  <c r="L17" i="5"/>
  <c r="D9" i="5"/>
  <c r="E9" i="5" s="1"/>
  <c r="G21" i="5"/>
  <c r="G6" i="5"/>
  <c r="D12" i="5"/>
  <c r="AD53" i="10" s="1"/>
  <c r="D13" i="5"/>
  <c r="K7" i="5"/>
  <c r="I21" i="5"/>
  <c r="D14" i="5"/>
  <c r="D17" i="5"/>
  <c r="K20" i="5"/>
  <c r="H6" i="5"/>
  <c r="I22" i="5"/>
  <c r="E70" i="5" s="1"/>
  <c r="J22" i="5"/>
  <c r="F70" i="5" s="1"/>
  <c r="M11" i="5"/>
  <c r="L12" i="5"/>
  <c r="BL53" i="10" s="1"/>
  <c r="I13" i="5"/>
  <c r="H7" i="5"/>
  <c r="H14" i="5"/>
  <c r="K22" i="5"/>
  <c r="H70" i="5" s="1"/>
  <c r="K11" i="5"/>
  <c r="J12" i="5"/>
  <c r="AZ53" i="10" s="1"/>
  <c r="BA53" i="10" s="1"/>
  <c r="BB53" i="10" s="1"/>
  <c r="BC53" i="10" s="1"/>
  <c r="I6" i="5"/>
  <c r="H13" i="5"/>
  <c r="L22" i="5"/>
  <c r="I70" i="5" s="1"/>
  <c r="I11" i="5"/>
  <c r="L21" i="5"/>
  <c r="L13" i="5"/>
  <c r="BL47" i="10" s="1"/>
  <c r="M22" i="5"/>
  <c r="J70" i="5" s="1"/>
  <c r="J11" i="5"/>
  <c r="L11" i="5"/>
  <c r="L20" i="5"/>
  <c r="J21" i="5"/>
  <c r="H22" i="5"/>
  <c r="D70" i="5" s="1"/>
  <c r="C8" i="5"/>
  <c r="C12" i="24" s="1"/>
  <c r="I14" i="5"/>
  <c r="M7" i="5"/>
  <c r="H23" i="5"/>
  <c r="D71" i="5" s="1"/>
  <c r="H21" i="5"/>
  <c r="K6" i="5"/>
  <c r="C9" i="5"/>
  <c r="C13" i="24" s="1"/>
  <c r="C12" i="5"/>
  <c r="C15" i="24" s="1"/>
  <c r="I23" i="5"/>
  <c r="E71" i="5" s="1"/>
  <c r="G11" i="5"/>
  <c r="D22" i="5"/>
  <c r="K70" i="5" s="1"/>
  <c r="J6" i="5"/>
  <c r="C4" i="5"/>
  <c r="C8" i="24" s="1"/>
  <c r="M6" i="5"/>
  <c r="C7" i="5"/>
  <c r="C11" i="24" s="1"/>
  <c r="J7" i="5"/>
  <c r="L7" i="5"/>
  <c r="J23" i="5"/>
  <c r="F71" i="5" s="1"/>
  <c r="J20" i="5"/>
  <c r="K21" i="5"/>
  <c r="K23" i="5"/>
  <c r="H71" i="5" s="1"/>
  <c r="D18" i="5"/>
  <c r="D23" i="5"/>
  <c r="K71" i="5" s="1"/>
  <c r="K12" i="5"/>
  <c r="BD53" i="10" s="1"/>
  <c r="BE53" i="10" s="1"/>
  <c r="BF53" i="10" s="1"/>
  <c r="BG53" i="10" s="1"/>
  <c r="M12" i="5"/>
  <c r="BO53" i="10" s="1"/>
  <c r="L6" i="5"/>
  <c r="C6" i="5"/>
  <c r="C10" i="24" s="1"/>
  <c r="C11" i="5"/>
  <c r="C14" i="24" s="1"/>
  <c r="K14" i="5"/>
  <c r="D21" i="5"/>
  <c r="C21" i="5"/>
  <c r="C24" i="24" s="1"/>
  <c r="K8" i="5"/>
  <c r="I15" i="5"/>
  <c r="L23" i="5"/>
  <c r="I71" i="5" s="1"/>
  <c r="M17" i="5"/>
  <c r="G8" i="5"/>
  <c r="K13" i="5"/>
  <c r="J13" i="5"/>
  <c r="I7" i="5"/>
  <c r="J14" i="5"/>
  <c r="C14" i="5"/>
  <c r="C17" i="24" s="1"/>
  <c r="H8" i="5"/>
  <c r="L14" i="5"/>
  <c r="J8" i="5"/>
  <c r="H15" i="5"/>
  <c r="C22" i="5"/>
  <c r="C25" i="24" s="1"/>
  <c r="J15" i="5"/>
  <c r="M23" i="5"/>
  <c r="J71" i="5" s="1"/>
  <c r="G12" i="5"/>
  <c r="AN53" i="10" s="1"/>
  <c r="G9" i="5"/>
  <c r="AN8" i="14" s="1"/>
  <c r="H12" i="5"/>
  <c r="AR53" i="10" s="1"/>
  <c r="AS53" i="10" s="1"/>
  <c r="AT53" i="10" s="1"/>
  <c r="AU53" i="10" s="1"/>
  <c r="G7" i="5"/>
  <c r="D25" i="5"/>
  <c r="K73" i="5" s="1"/>
  <c r="K18" i="5"/>
  <c r="H4" i="5"/>
  <c r="AR48" i="10" s="1"/>
  <c r="C23" i="5"/>
  <c r="C26" i="24" s="1"/>
  <c r="M8" i="5"/>
  <c r="K15" i="5"/>
  <c r="D6" i="5"/>
  <c r="I20" i="5"/>
  <c r="M21" i="5"/>
  <c r="G20" i="5"/>
  <c r="C15" i="5"/>
  <c r="C18" i="24" s="1"/>
  <c r="I8" i="5"/>
  <c r="H9" i="5"/>
  <c r="L15" i="5"/>
  <c r="D7" i="5"/>
  <c r="M9" i="5"/>
  <c r="D15" i="5"/>
  <c r="D20" i="5"/>
  <c r="M16" i="5"/>
  <c r="BO39" i="10" s="1"/>
  <c r="C13" i="5"/>
  <c r="C16" i="24" s="1"/>
  <c r="I5" i="5"/>
  <c r="AV15" i="14" s="1"/>
  <c r="AW15" i="14" s="1"/>
  <c r="AX15" i="14" s="1"/>
  <c r="AY15" i="14" s="1"/>
  <c r="C20" i="5"/>
  <c r="C23" i="24" s="1"/>
  <c r="M20" i="5"/>
  <c r="I4" i="5"/>
  <c r="AV48" i="10" s="1"/>
  <c r="AW48" i="10" s="1"/>
  <c r="AX48" i="10" s="1"/>
  <c r="AY48" i="10" s="1"/>
  <c r="L4" i="5"/>
  <c r="BL48" i="10" s="1"/>
  <c r="K4" i="5"/>
  <c r="BD48" i="10" s="1"/>
  <c r="J4" i="5"/>
  <c r="AZ48" i="10" s="1"/>
  <c r="G4" i="5"/>
  <c r="AN48" i="10" s="1"/>
  <c r="M4" i="5"/>
  <c r="BO48" i="10" s="1"/>
  <c r="D4" i="5"/>
  <c r="AD48" i="10" s="1"/>
  <c r="L5" i="5"/>
  <c r="BL15" i="14" s="1"/>
  <c r="J5" i="5"/>
  <c r="AZ15" i="14" s="1"/>
  <c r="BA15" i="14" s="1"/>
  <c r="BB15" i="14" s="1"/>
  <c r="BC15" i="14" s="1"/>
  <c r="K5" i="5"/>
  <c r="BD15" i="14" s="1"/>
  <c r="BE15" i="14" s="1"/>
  <c r="BF15" i="14" s="1"/>
  <c r="BG15" i="14" s="1"/>
  <c r="M5" i="5"/>
  <c r="BO15" i="14" s="1"/>
  <c r="G5" i="5"/>
  <c r="AN15" i="14" s="1"/>
  <c r="D5" i="5"/>
  <c r="AD15" i="14" s="1"/>
  <c r="H5" i="5"/>
  <c r="AR15" i="14" s="1"/>
  <c r="AS15" i="14" s="1"/>
  <c r="AT15" i="14" s="1"/>
  <c r="AU15" i="14" s="1"/>
  <c r="C5" i="5"/>
  <c r="C9" i="24" s="1"/>
  <c r="I18" i="5"/>
  <c r="H18" i="5"/>
  <c r="J18" i="5"/>
  <c r="M18" i="5"/>
  <c r="C18" i="5"/>
  <c r="C21" i="24" s="1"/>
  <c r="L18" i="5"/>
  <c r="H25" i="5"/>
  <c r="D73" i="5" s="1"/>
  <c r="I25" i="5"/>
  <c r="E73" i="5" s="1"/>
  <c r="K25" i="5"/>
  <c r="H73" i="5" s="1"/>
  <c r="M25" i="5"/>
  <c r="J73" i="5" s="1"/>
  <c r="C25" i="5"/>
  <c r="C28" i="24" s="1"/>
  <c r="J25" i="5"/>
  <c r="F73" i="5" s="1"/>
  <c r="G25" i="5"/>
  <c r="C73" i="5" s="1"/>
  <c r="F24" i="5"/>
  <c r="E24" i="5"/>
  <c r="L72" i="5" s="1"/>
  <c r="J24" i="5"/>
  <c r="F72" i="5" s="1"/>
  <c r="K24" i="5"/>
  <c r="H72" i="5" s="1"/>
  <c r="H24" i="5"/>
  <c r="D72" i="5" s="1"/>
  <c r="G24" i="5"/>
  <c r="C72" i="5" s="1"/>
  <c r="I24" i="5"/>
  <c r="E72" i="5" s="1"/>
  <c r="C24" i="5"/>
  <c r="C27" i="24" s="1"/>
  <c r="M24" i="5"/>
  <c r="J72" i="5" s="1"/>
  <c r="L24" i="5"/>
  <c r="I72" i="5" s="1"/>
  <c r="H16" i="5"/>
  <c r="AR39" i="10" s="1"/>
  <c r="D16" i="5"/>
  <c r="AD39" i="10" s="1"/>
  <c r="J16" i="5"/>
  <c r="AZ39" i="10" s="1"/>
  <c r="BA39" i="10" s="1"/>
  <c r="BB39" i="10" s="1"/>
  <c r="BC39" i="10" s="1"/>
  <c r="C16" i="5"/>
  <c r="C19" i="24" s="1"/>
  <c r="I16" i="5"/>
  <c r="AV39" i="10" s="1"/>
  <c r="AW39" i="10" s="1"/>
  <c r="AX39" i="10" s="1"/>
  <c r="AY39" i="10" s="1"/>
  <c r="K16" i="5"/>
  <c r="BD39" i="10" s="1"/>
  <c r="BE39" i="10" s="1"/>
  <c r="BF39" i="10" s="1"/>
  <c r="BG39" i="10" s="1"/>
  <c r="G16" i="5"/>
  <c r="AN39" i="10" s="1"/>
  <c r="L16" i="5"/>
  <c r="BL39" i="10" s="1"/>
  <c r="AJ5" i="3"/>
  <c r="AJ6" i="3"/>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68" i="3"/>
  <c r="AJ69" i="3"/>
  <c r="AJ70" i="3"/>
  <c r="AJ71" i="3"/>
  <c r="AJ72" i="3"/>
  <c r="AJ73" i="3"/>
  <c r="AJ74" i="3"/>
  <c r="AJ75" i="3"/>
  <c r="AJ76" i="3"/>
  <c r="AJ77" i="3"/>
  <c r="AJ78" i="3"/>
  <c r="AJ79" i="3"/>
  <c r="AJ80" i="3"/>
  <c r="AJ81" i="3"/>
  <c r="AJ82" i="3"/>
  <c r="AJ83" i="3"/>
  <c r="AJ84" i="3"/>
  <c r="AJ85" i="3"/>
  <c r="AJ86" i="3"/>
  <c r="AJ87" i="3"/>
  <c r="AJ88" i="3"/>
  <c r="AJ89" i="3"/>
  <c r="AJ90" i="3"/>
  <c r="AJ91" i="3"/>
  <c r="AJ92" i="3"/>
  <c r="AJ93" i="3"/>
  <c r="AJ94" i="3"/>
  <c r="AJ95" i="3"/>
  <c r="AJ96" i="3"/>
  <c r="AJ97" i="3"/>
  <c r="AJ98" i="3"/>
  <c r="AJ99" i="3"/>
  <c r="AJ100" i="3"/>
  <c r="AJ4" i="3"/>
  <c r="AF5" i="3"/>
  <c r="AF6" i="3"/>
  <c r="AF7" i="3"/>
  <c r="AF8" i="3"/>
  <c r="AF9" i="3"/>
  <c r="AF10" i="3"/>
  <c r="AF11" i="3"/>
  <c r="AF12" i="3"/>
  <c r="AF13" i="3"/>
  <c r="AF14" i="3"/>
  <c r="AF15" i="3"/>
  <c r="AF16" i="3"/>
  <c r="AF17" i="3"/>
  <c r="AF18" i="3"/>
  <c r="AF19" i="3"/>
  <c r="AF20" i="3"/>
  <c r="AF21" i="3"/>
  <c r="AF22" i="3"/>
  <c r="AF23" i="3"/>
  <c r="AF24" i="3"/>
  <c r="AF25" i="3"/>
  <c r="AF26" i="3"/>
  <c r="AF27" i="3"/>
  <c r="AF28" i="3"/>
  <c r="AF29" i="3"/>
  <c r="AF30" i="3"/>
  <c r="AF31" i="3"/>
  <c r="AF32" i="3"/>
  <c r="AF33" i="3"/>
  <c r="AF34" i="3"/>
  <c r="AF35" i="3"/>
  <c r="AF36" i="3"/>
  <c r="AF37" i="3"/>
  <c r="AF38" i="3"/>
  <c r="AF39" i="3"/>
  <c r="AF40" i="3"/>
  <c r="AF41" i="3"/>
  <c r="AF42" i="3"/>
  <c r="AF43" i="3"/>
  <c r="AF44" i="3"/>
  <c r="AF45" i="3"/>
  <c r="AF46" i="3"/>
  <c r="AF47" i="3"/>
  <c r="AF48" i="3"/>
  <c r="AF49" i="3"/>
  <c r="AF50" i="3"/>
  <c r="AF51" i="3"/>
  <c r="AF52" i="3"/>
  <c r="AF53" i="3"/>
  <c r="AF54" i="3"/>
  <c r="AF55" i="3"/>
  <c r="AF56" i="3"/>
  <c r="AF57" i="3"/>
  <c r="AF58" i="3"/>
  <c r="AF59" i="3"/>
  <c r="AF60" i="3"/>
  <c r="AF61" i="3"/>
  <c r="AF62" i="3"/>
  <c r="AF63" i="3"/>
  <c r="AF64" i="3"/>
  <c r="AF65" i="3"/>
  <c r="AF66" i="3"/>
  <c r="AF67" i="3"/>
  <c r="AF68" i="3"/>
  <c r="AF69" i="3"/>
  <c r="AF70" i="3"/>
  <c r="AF71" i="3"/>
  <c r="AF72" i="3"/>
  <c r="AF73" i="3"/>
  <c r="AF74" i="3"/>
  <c r="AF75" i="3"/>
  <c r="AF76" i="3"/>
  <c r="AF77" i="3"/>
  <c r="AF78" i="3"/>
  <c r="AF79" i="3"/>
  <c r="AF80" i="3"/>
  <c r="AF81" i="3"/>
  <c r="AF82" i="3"/>
  <c r="AF83" i="3"/>
  <c r="AF84" i="3"/>
  <c r="AF85" i="3"/>
  <c r="AF86" i="3"/>
  <c r="AF87" i="3"/>
  <c r="AF88" i="3"/>
  <c r="AF89" i="3"/>
  <c r="AF90" i="3"/>
  <c r="AF91" i="3"/>
  <c r="AF92" i="3"/>
  <c r="AF93" i="3"/>
  <c r="AF94" i="3"/>
  <c r="AF95" i="3"/>
  <c r="AF96" i="3"/>
  <c r="AF97" i="3"/>
  <c r="AF98" i="3"/>
  <c r="AF99" i="3"/>
  <c r="AF100" i="3"/>
  <c r="AF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4" i="3"/>
  <c r="F4" i="3"/>
  <c r="AD47" i="10" l="1"/>
  <c r="BD47" i="10"/>
  <c r="BE47" i="10" s="1"/>
  <c r="BF47" i="10" s="1"/>
  <c r="BG47" i="10" s="1"/>
  <c r="AV47" i="10"/>
  <c r="AW47" i="10" s="1"/>
  <c r="BD20" i="14"/>
  <c r="BE20" i="14" s="1"/>
  <c r="BF20" i="14" s="1"/>
  <c r="BG20" i="14" s="1"/>
  <c r="BD21" i="14"/>
  <c r="BE21" i="14" s="1"/>
  <c r="BF21" i="14" s="1"/>
  <c r="BG21" i="14" s="1"/>
  <c r="BD19" i="14"/>
  <c r="AR20" i="14"/>
  <c r="AS20" i="14" s="1"/>
  <c r="AT20" i="14" s="1"/>
  <c r="AU20" i="14" s="1"/>
  <c r="AR21" i="14"/>
  <c r="AS21" i="14" s="1"/>
  <c r="AT21" i="14" s="1"/>
  <c r="AU21" i="14" s="1"/>
  <c r="AR19" i="14"/>
  <c r="AS19" i="14" s="1"/>
  <c r="AT19" i="14" s="1"/>
  <c r="AU19" i="14" s="1"/>
  <c r="BO21" i="14"/>
  <c r="BO19" i="14"/>
  <c r="BO20" i="14"/>
  <c r="AZ20" i="14"/>
  <c r="BA20" i="14" s="1"/>
  <c r="BB20" i="14" s="1"/>
  <c r="BC20" i="14" s="1"/>
  <c r="AZ21" i="14"/>
  <c r="BA21" i="14" s="1"/>
  <c r="BB21" i="14" s="1"/>
  <c r="BC21" i="14" s="1"/>
  <c r="AZ19" i="14"/>
  <c r="BA19" i="14" s="1"/>
  <c r="BB19" i="14" s="1"/>
  <c r="BC19" i="14" s="1"/>
  <c r="BL21" i="14"/>
  <c r="BL19" i="14"/>
  <c r="BL20" i="14"/>
  <c r="AD21" i="14"/>
  <c r="AD20" i="14"/>
  <c r="AD19" i="14"/>
  <c r="AV21" i="14"/>
  <c r="AW21" i="14" s="1"/>
  <c r="AX21" i="14" s="1"/>
  <c r="AY21" i="14" s="1"/>
  <c r="AV19" i="14"/>
  <c r="AV20" i="14"/>
  <c r="AW20" i="14" s="1"/>
  <c r="AX20" i="14" s="1"/>
  <c r="AY20" i="14" s="1"/>
  <c r="AN20" i="14"/>
  <c r="AN21" i="14"/>
  <c r="AN19" i="14"/>
  <c r="AZ47" i="10"/>
  <c r="BA47" i="10" s="1"/>
  <c r="BB47" i="10" s="1"/>
  <c r="BC47" i="10" s="1"/>
  <c r="AR47" i="10"/>
  <c r="AS47" i="10" s="1"/>
  <c r="AT47" i="10" s="1"/>
  <c r="AU47" i="10" s="1"/>
  <c r="AN47" i="10"/>
  <c r="AZ51" i="10"/>
  <c r="BA51" i="10" s="1"/>
  <c r="BB51" i="10" s="1"/>
  <c r="BC51" i="10" s="1"/>
  <c r="AZ52" i="10"/>
  <c r="BA52" i="10" s="1"/>
  <c r="BB52" i="10" s="1"/>
  <c r="BC52" i="10" s="1"/>
  <c r="AZ11" i="14"/>
  <c r="BA11" i="14" s="1"/>
  <c r="BB11" i="14" s="1"/>
  <c r="BC11" i="14" s="1"/>
  <c r="AR52" i="10"/>
  <c r="AR51" i="10"/>
  <c r="AR11" i="14"/>
  <c r="AD52" i="10"/>
  <c r="AD51" i="10"/>
  <c r="AD11" i="14"/>
  <c r="BO52" i="10"/>
  <c r="BO51" i="10"/>
  <c r="BO11" i="14"/>
  <c r="BL52" i="10"/>
  <c r="BL51" i="10"/>
  <c r="BL11" i="14"/>
  <c r="AV52" i="10"/>
  <c r="AW52" i="10" s="1"/>
  <c r="AX52" i="10" s="1"/>
  <c r="AY52" i="10" s="1"/>
  <c r="AV51" i="10"/>
  <c r="AW51" i="10" s="1"/>
  <c r="AX51" i="10" s="1"/>
  <c r="AY51" i="10" s="1"/>
  <c r="AV11" i="14"/>
  <c r="AW11" i="14" s="1"/>
  <c r="AX11" i="14" s="1"/>
  <c r="AY11" i="14" s="1"/>
  <c r="BD51" i="10"/>
  <c r="BE51" i="10" s="1"/>
  <c r="BF51" i="10" s="1"/>
  <c r="BG51" i="10" s="1"/>
  <c r="BD52" i="10"/>
  <c r="BE52" i="10" s="1"/>
  <c r="BF52" i="10" s="1"/>
  <c r="BG52" i="10" s="1"/>
  <c r="BD11" i="14"/>
  <c r="AN51" i="10"/>
  <c r="AO51" i="10" s="1"/>
  <c r="AP51" i="10" s="1"/>
  <c r="AQ51" i="10" s="1"/>
  <c r="AN52" i="10"/>
  <c r="AO52" i="10" s="1"/>
  <c r="AP52" i="10" s="1"/>
  <c r="AQ52" i="10" s="1"/>
  <c r="AN11" i="14"/>
  <c r="AO11" i="14" s="1"/>
  <c r="AP11" i="14" s="1"/>
  <c r="AQ11" i="14" s="1"/>
  <c r="AD16" i="14"/>
  <c r="AD13" i="14"/>
  <c r="AR13" i="14"/>
  <c r="AS13" i="14" s="1"/>
  <c r="AT13" i="14" s="1"/>
  <c r="AU13" i="14" s="1"/>
  <c r="AR16" i="14"/>
  <c r="AS16" i="14" s="1"/>
  <c r="AT16" i="14" s="1"/>
  <c r="AU16" i="14" s="1"/>
  <c r="AN13" i="14"/>
  <c r="AN16" i="14"/>
  <c r="AV16" i="14"/>
  <c r="AW16" i="14" s="1"/>
  <c r="AX16" i="14" s="1"/>
  <c r="AY16" i="14" s="1"/>
  <c r="AV13" i="14"/>
  <c r="AW13" i="14" s="1"/>
  <c r="AX13" i="14" s="1"/>
  <c r="AY13" i="14" s="1"/>
  <c r="AZ13" i="14"/>
  <c r="BA13" i="14" s="1"/>
  <c r="BB13" i="14" s="1"/>
  <c r="BC13" i="14" s="1"/>
  <c r="AZ16" i="14"/>
  <c r="BA16" i="14" s="1"/>
  <c r="BB16" i="14" s="1"/>
  <c r="BC16" i="14" s="1"/>
  <c r="BL16" i="14"/>
  <c r="BL13" i="14"/>
  <c r="BD16" i="14"/>
  <c r="BE16" i="14" s="1"/>
  <c r="BF16" i="14" s="1"/>
  <c r="BG16" i="14" s="1"/>
  <c r="BD13" i="14"/>
  <c r="BE13" i="14" s="1"/>
  <c r="BF13" i="14" s="1"/>
  <c r="BG13" i="14" s="1"/>
  <c r="J63" i="5"/>
  <c r="BO13" i="14"/>
  <c r="BO16" i="14"/>
  <c r="BD18" i="14"/>
  <c r="BE18" i="14" s="1"/>
  <c r="BF18" i="14" s="1"/>
  <c r="BG18" i="14" s="1"/>
  <c r="AR18" i="14"/>
  <c r="AS18" i="14" s="1"/>
  <c r="AT18" i="14" s="1"/>
  <c r="AU18" i="14" s="1"/>
  <c r="BO18" i="14"/>
  <c r="AZ18" i="14"/>
  <c r="BA18" i="14" s="1"/>
  <c r="BB18" i="14" s="1"/>
  <c r="BC18" i="14" s="1"/>
  <c r="BL18" i="14"/>
  <c r="F14" i="5"/>
  <c r="AD18" i="14"/>
  <c r="AV18" i="14"/>
  <c r="AW18" i="14" s="1"/>
  <c r="AX18" i="14" s="1"/>
  <c r="AY18" i="14" s="1"/>
  <c r="AN18" i="14"/>
  <c r="BM53" i="10"/>
  <c r="BZ53" i="10"/>
  <c r="BL14" i="14"/>
  <c r="BL17" i="14"/>
  <c r="BL12" i="14"/>
  <c r="BO14" i="14"/>
  <c r="BO12" i="14"/>
  <c r="BO17" i="14"/>
  <c r="AZ12" i="14"/>
  <c r="BA12" i="14" s="1"/>
  <c r="BB12" i="14" s="1"/>
  <c r="BC12" i="14" s="1"/>
  <c r="AZ14" i="14"/>
  <c r="BA14" i="14" s="1"/>
  <c r="BB14" i="14" s="1"/>
  <c r="BC14" i="14" s="1"/>
  <c r="AZ17" i="14"/>
  <c r="BA17" i="14" s="1"/>
  <c r="BB17" i="14" s="1"/>
  <c r="BC17" i="14" s="1"/>
  <c r="AV17" i="14"/>
  <c r="AW17" i="14" s="1"/>
  <c r="AX17" i="14" s="1"/>
  <c r="AY17" i="14" s="1"/>
  <c r="AV14" i="14"/>
  <c r="AW14" i="14" s="1"/>
  <c r="AX14" i="14" s="1"/>
  <c r="AY14" i="14" s="1"/>
  <c r="AV12" i="14"/>
  <c r="AW12" i="14" s="1"/>
  <c r="AX12" i="14" s="1"/>
  <c r="AY12" i="14" s="1"/>
  <c r="AR17" i="14"/>
  <c r="AS17" i="14" s="1"/>
  <c r="AT17" i="14" s="1"/>
  <c r="AU17" i="14" s="1"/>
  <c r="AR12" i="14"/>
  <c r="AS12" i="14" s="1"/>
  <c r="AT12" i="14" s="1"/>
  <c r="AU12" i="14" s="1"/>
  <c r="AR14" i="14"/>
  <c r="AS14" i="14" s="1"/>
  <c r="AT14" i="14" s="1"/>
  <c r="AU14" i="14" s="1"/>
  <c r="BD14" i="14"/>
  <c r="BE14" i="14" s="1"/>
  <c r="BF14" i="14" s="1"/>
  <c r="BG14" i="14" s="1"/>
  <c r="BD12" i="14"/>
  <c r="BE12" i="14" s="1"/>
  <c r="BF12" i="14" s="1"/>
  <c r="BG12" i="14" s="1"/>
  <c r="BD17" i="14"/>
  <c r="BE17" i="14" s="1"/>
  <c r="BF17" i="14" s="1"/>
  <c r="BG17" i="14" s="1"/>
  <c r="AN12" i="14"/>
  <c r="AN14" i="14"/>
  <c r="AN17" i="14"/>
  <c r="F11" i="5"/>
  <c r="M59" i="5" s="1"/>
  <c r="AD12" i="14"/>
  <c r="AD17" i="14"/>
  <c r="AD14" i="14"/>
  <c r="BO47" i="10"/>
  <c r="BM15" i="14"/>
  <c r="BZ15" i="14"/>
  <c r="AS50" i="10"/>
  <c r="AT50" i="10" s="1"/>
  <c r="AU50" i="10" s="1"/>
  <c r="U4" i="3"/>
  <c r="O4" i="3"/>
  <c r="AN10" i="14"/>
  <c r="F10" i="5"/>
  <c r="E10" i="5"/>
  <c r="L58" i="5" s="1"/>
  <c r="J68" i="5"/>
  <c r="BO50" i="10"/>
  <c r="F68" i="5"/>
  <c r="G23" i="24" s="1"/>
  <c r="AZ50" i="10"/>
  <c r="BA50" i="10" s="1"/>
  <c r="BB50" i="10" s="1"/>
  <c r="BC50" i="10" s="1"/>
  <c r="K68" i="5"/>
  <c r="AD50" i="10"/>
  <c r="C68" i="5"/>
  <c r="D23" i="24" s="1"/>
  <c r="AN50" i="10"/>
  <c r="AO50" i="10" s="1"/>
  <c r="AP50" i="10" s="1"/>
  <c r="AQ50" i="10" s="1"/>
  <c r="I68" i="5"/>
  <c r="BL50" i="10"/>
  <c r="H68" i="5"/>
  <c r="BD50" i="10"/>
  <c r="BE50" i="10" s="1"/>
  <c r="BF50" i="10" s="1"/>
  <c r="BG50" i="10" s="1"/>
  <c r="E68" i="5"/>
  <c r="F23" i="24" s="1"/>
  <c r="AV50" i="10"/>
  <c r="AW50" i="10" s="1"/>
  <c r="AX50" i="10" s="1"/>
  <c r="AY50" i="10" s="1"/>
  <c r="E65" i="5"/>
  <c r="F20" i="24" s="1"/>
  <c r="BM47" i="10"/>
  <c r="BZ47" i="10"/>
  <c r="BD40" i="10"/>
  <c r="BD49" i="10"/>
  <c r="AV44" i="10"/>
  <c r="AW44" i="10" s="1"/>
  <c r="AX44" i="10" s="1"/>
  <c r="AY44" i="10" s="1"/>
  <c r="AV49" i="10"/>
  <c r="AW49" i="10" s="1"/>
  <c r="AX49" i="10" s="1"/>
  <c r="AY49" i="10" s="1"/>
  <c r="AN38" i="10"/>
  <c r="AN49" i="10"/>
  <c r="BO49" i="10"/>
  <c r="AZ44" i="10"/>
  <c r="BA44" i="10" s="1"/>
  <c r="BB44" i="10" s="1"/>
  <c r="BC44" i="10" s="1"/>
  <c r="AZ49" i="10"/>
  <c r="BA49" i="10" s="1"/>
  <c r="BB49" i="10" s="1"/>
  <c r="BC49" i="10" s="1"/>
  <c r="AR38" i="10"/>
  <c r="AS38" i="10" s="1"/>
  <c r="AT38" i="10" s="1"/>
  <c r="AU38" i="10" s="1"/>
  <c r="AR49" i="10"/>
  <c r="AS49" i="10" s="1"/>
  <c r="AT49" i="10" s="1"/>
  <c r="AU49" i="10" s="1"/>
  <c r="AD43" i="10"/>
  <c r="AD49" i="10"/>
  <c r="BL43" i="10"/>
  <c r="BL49" i="10"/>
  <c r="BM48" i="10"/>
  <c r="BZ48" i="10"/>
  <c r="BA48" i="10"/>
  <c r="BB48" i="10" s="1"/>
  <c r="BC48" i="10" s="1"/>
  <c r="AS48" i="10"/>
  <c r="AT48" i="10" s="1"/>
  <c r="AU48" i="10" s="1"/>
  <c r="BE48" i="10"/>
  <c r="BF48" i="10" s="1"/>
  <c r="BG48" i="10" s="1"/>
  <c r="AN7" i="14"/>
  <c r="BD9" i="14"/>
  <c r="BE9" i="14" s="1"/>
  <c r="BF9" i="14" s="1"/>
  <c r="BG9" i="14" s="1"/>
  <c r="H22" i="24"/>
  <c r="H67" i="5"/>
  <c r="E19" i="5"/>
  <c r="L67" i="5" s="1"/>
  <c r="L22" i="24" s="1"/>
  <c r="K67" i="5"/>
  <c r="K22" i="24" s="1"/>
  <c r="F19" i="5"/>
  <c r="J67" i="5"/>
  <c r="J22" i="24" s="1"/>
  <c r="AD9" i="14"/>
  <c r="AN9" i="14"/>
  <c r="BL9" i="14"/>
  <c r="BO9" i="14"/>
  <c r="AZ9" i="14"/>
  <c r="BA9" i="14" s="1"/>
  <c r="BB9" i="14" s="1"/>
  <c r="BC9" i="14" s="1"/>
  <c r="AR9" i="14"/>
  <c r="AV9" i="14"/>
  <c r="G72" i="5"/>
  <c r="M72" i="5"/>
  <c r="BD41" i="10"/>
  <c r="BE41" i="10" s="1"/>
  <c r="BF41" i="10" s="1"/>
  <c r="BG41" i="10" s="1"/>
  <c r="H69" i="5"/>
  <c r="AV41" i="10"/>
  <c r="AW41" i="10" s="1"/>
  <c r="AX41" i="10" s="1"/>
  <c r="AY41" i="10" s="1"/>
  <c r="E69" i="5"/>
  <c r="F24" i="24" s="1"/>
  <c r="AR42" i="10"/>
  <c r="AS42" i="10" s="1"/>
  <c r="AT42" i="10" s="1"/>
  <c r="AU42" i="10" s="1"/>
  <c r="D69" i="5"/>
  <c r="E24" i="24" s="1"/>
  <c r="AN42" i="10"/>
  <c r="C69" i="5"/>
  <c r="D24" i="24" s="1"/>
  <c r="AZ41" i="10"/>
  <c r="BA41" i="10" s="1"/>
  <c r="BB41" i="10" s="1"/>
  <c r="BC41" i="10" s="1"/>
  <c r="F69" i="5"/>
  <c r="G24" i="24" s="1"/>
  <c r="AD41" i="10"/>
  <c r="K69" i="5"/>
  <c r="BO42" i="10"/>
  <c r="J69" i="5"/>
  <c r="BL42" i="10"/>
  <c r="BM42" i="10" s="1"/>
  <c r="I69" i="5"/>
  <c r="BO37" i="10"/>
  <c r="BP37" i="10" s="1"/>
  <c r="BL37" i="10"/>
  <c r="BM37" i="10" s="1"/>
  <c r="BO41" i="10"/>
  <c r="AD44" i="10"/>
  <c r="AD38" i="10"/>
  <c r="AZ42" i="10"/>
  <c r="BA42" i="10" s="1"/>
  <c r="BB42" i="10" s="1"/>
  <c r="BC42" i="10" s="1"/>
  <c r="AR41" i="10"/>
  <c r="AS41" i="10" s="1"/>
  <c r="AT41" i="10" s="1"/>
  <c r="AU41" i="10" s="1"/>
  <c r="AD45" i="10"/>
  <c r="BL45" i="10"/>
  <c r="BL41" i="10"/>
  <c r="BD43" i="10"/>
  <c r="BL40" i="10"/>
  <c r="AZ45" i="10"/>
  <c r="BA45" i="10" s="1"/>
  <c r="BB45" i="10" s="1"/>
  <c r="BC45" i="10" s="1"/>
  <c r="AZ37" i="10"/>
  <c r="BA37" i="10" s="1"/>
  <c r="BB37" i="10" s="1"/>
  <c r="BC37" i="10" s="1"/>
  <c r="AV45" i="10"/>
  <c r="AW45" i="10" s="1"/>
  <c r="AX45" i="10" s="1"/>
  <c r="AY45" i="10" s="1"/>
  <c r="BO45" i="10"/>
  <c r="AV42" i="10"/>
  <c r="AW42" i="10" s="1"/>
  <c r="AX42" i="10" s="1"/>
  <c r="AY42" i="10" s="1"/>
  <c r="AR40" i="10"/>
  <c r="AS40" i="10" s="1"/>
  <c r="AT40" i="10" s="1"/>
  <c r="AU40" i="10" s="1"/>
  <c r="AN41" i="10"/>
  <c r="AR46" i="10"/>
  <c r="AV40" i="10"/>
  <c r="AW40" i="10" s="1"/>
  <c r="AX40" i="10" s="1"/>
  <c r="AY40" i="10" s="1"/>
  <c r="AN37" i="10"/>
  <c r="AO37" i="10" s="1"/>
  <c r="AP37" i="10" s="1"/>
  <c r="AQ37" i="10" s="1"/>
  <c r="AZ43" i="10"/>
  <c r="BA43" i="10" s="1"/>
  <c r="BB43" i="10" s="1"/>
  <c r="BC43" i="10" s="1"/>
  <c r="BD42" i="10"/>
  <c r="BE42" i="10" s="1"/>
  <c r="BF42" i="10" s="1"/>
  <c r="BG42" i="10" s="1"/>
  <c r="BO44" i="10"/>
  <c r="AD37" i="10"/>
  <c r="BO46" i="10"/>
  <c r="BL46" i="10"/>
  <c r="AV37" i="10"/>
  <c r="AW37" i="10" s="1"/>
  <c r="AX37" i="10" s="1"/>
  <c r="AY37" i="10" s="1"/>
  <c r="AV46" i="10"/>
  <c r="AW46" i="10" s="1"/>
  <c r="AX46" i="10" s="1"/>
  <c r="AY46" i="10" s="1"/>
  <c r="AD42" i="10"/>
  <c r="AN45" i="10"/>
  <c r="AV38" i="10"/>
  <c r="AW38" i="10" s="1"/>
  <c r="AX38" i="10" s="1"/>
  <c r="AY38" i="10" s="1"/>
  <c r="BL44" i="10"/>
  <c r="AZ38" i="10"/>
  <c r="BA38" i="10" s="1"/>
  <c r="BB38" i="10" s="1"/>
  <c r="BC38" i="10" s="1"/>
  <c r="AZ46" i="10"/>
  <c r="BA46" i="10" s="1"/>
  <c r="BB46" i="10" s="1"/>
  <c r="BC46" i="10" s="1"/>
  <c r="AR45" i="10"/>
  <c r="AS45" i="10" s="1"/>
  <c r="AT45" i="10" s="1"/>
  <c r="AU45" i="10" s="1"/>
  <c r="BD46" i="10"/>
  <c r="AR44" i="10"/>
  <c r="AS44" i="10" s="1"/>
  <c r="AT44" i="10" s="1"/>
  <c r="AU44" i="10" s="1"/>
  <c r="AN40" i="10"/>
  <c r="BO40" i="10"/>
  <c r="BD38" i="10"/>
  <c r="AD46" i="10"/>
  <c r="BD37" i="10"/>
  <c r="BE37" i="10" s="1"/>
  <c r="BF37" i="10" s="1"/>
  <c r="BG37" i="10" s="1"/>
  <c r="AN43" i="10"/>
  <c r="AZ40" i="10"/>
  <c r="BA40" i="10" s="1"/>
  <c r="BB40" i="10" s="1"/>
  <c r="BC40" i="10" s="1"/>
  <c r="BO43" i="10"/>
  <c r="AN46" i="10"/>
  <c r="AN44" i="10"/>
  <c r="AR43" i="10"/>
  <c r="AS43" i="10" s="1"/>
  <c r="AT43" i="10" s="1"/>
  <c r="AU43" i="10" s="1"/>
  <c r="AD40" i="10"/>
  <c r="BO38" i="10"/>
  <c r="BD44" i="10"/>
  <c r="BD45" i="10"/>
  <c r="BL38" i="10"/>
  <c r="AV43" i="10"/>
  <c r="AW43" i="10" s="1"/>
  <c r="AX43" i="10" s="1"/>
  <c r="AY43" i="10" s="1"/>
  <c r="AV8" i="14"/>
  <c r="AV7" i="14"/>
  <c r="AV10" i="14"/>
  <c r="AW10" i="14" s="1"/>
  <c r="AX10" i="14" s="1"/>
  <c r="AY10" i="14" s="1"/>
  <c r="AR8" i="14"/>
  <c r="AS8" i="14" s="1"/>
  <c r="AR7" i="14"/>
  <c r="AS7" i="14" s="1"/>
  <c r="AT7" i="14" s="1"/>
  <c r="AU7" i="14" s="1"/>
  <c r="AR10" i="14"/>
  <c r="AS10" i="14" s="1"/>
  <c r="AT10" i="14" s="1"/>
  <c r="AU10" i="14" s="1"/>
  <c r="BL7" i="14"/>
  <c r="BL8" i="14"/>
  <c r="BL10" i="14"/>
  <c r="BO7" i="14"/>
  <c r="BO8" i="14"/>
  <c r="BO10" i="14"/>
  <c r="AD8" i="14"/>
  <c r="AD7" i="14"/>
  <c r="AD10" i="14"/>
  <c r="BD8" i="14"/>
  <c r="BD10" i="14"/>
  <c r="BE10" i="14" s="1"/>
  <c r="BF10" i="14" s="1"/>
  <c r="BG10" i="14" s="1"/>
  <c r="BD7" i="14"/>
  <c r="BE7" i="14" s="1"/>
  <c r="BF7" i="14" s="1"/>
  <c r="BG7" i="14" s="1"/>
  <c r="AZ10" i="14"/>
  <c r="BA10" i="14" s="1"/>
  <c r="BB10" i="14" s="1"/>
  <c r="BC10" i="14" s="1"/>
  <c r="AZ7" i="14"/>
  <c r="AZ8" i="14"/>
  <c r="BA8" i="14" s="1"/>
  <c r="BB8" i="14" s="1"/>
  <c r="BC8" i="14" s="1"/>
  <c r="AN5" i="14"/>
  <c r="AN6" i="14"/>
  <c r="BD6" i="14"/>
  <c r="BD5" i="14"/>
  <c r="BE5" i="14" s="1"/>
  <c r="BF5" i="14" s="1"/>
  <c r="BG5" i="14" s="1"/>
  <c r="AV5" i="14"/>
  <c r="AV6" i="14"/>
  <c r="AW6" i="14" s="1"/>
  <c r="BL5" i="14"/>
  <c r="BL6" i="14"/>
  <c r="AZ6" i="14"/>
  <c r="AZ5" i="14"/>
  <c r="AD5" i="14"/>
  <c r="AD6" i="14"/>
  <c r="AR5" i="14"/>
  <c r="AR6" i="14"/>
  <c r="AS6" i="14" s="1"/>
  <c r="BO5" i="14"/>
  <c r="BO6" i="14"/>
  <c r="K56" i="5"/>
  <c r="E8" i="5"/>
  <c r="E11" i="5"/>
  <c r="F9" i="5"/>
  <c r="G57" i="5" s="1"/>
  <c r="H53" i="5"/>
  <c r="H66" i="5"/>
  <c r="E59" i="5"/>
  <c r="F14" i="24" s="1"/>
  <c r="D59" i="5"/>
  <c r="E14" i="24" s="1"/>
  <c r="F64" i="5"/>
  <c r="G19" i="24" s="1"/>
  <c r="F53" i="5"/>
  <c r="G9" i="24" s="1"/>
  <c r="K66" i="5"/>
  <c r="F57" i="5"/>
  <c r="G13" i="24" s="1"/>
  <c r="D64" i="5"/>
  <c r="E19" i="24" s="1"/>
  <c r="F4" i="5"/>
  <c r="K48" i="10" s="1"/>
  <c r="K52" i="5"/>
  <c r="D60" i="5"/>
  <c r="E15" i="24" s="1"/>
  <c r="E54" i="5"/>
  <c r="F10" i="24" s="1"/>
  <c r="I57" i="5"/>
  <c r="F52" i="5"/>
  <c r="I55" i="5"/>
  <c r="C62" i="5"/>
  <c r="D17" i="24" s="1"/>
  <c r="K64" i="5"/>
  <c r="F27" i="24"/>
  <c r="H52" i="5"/>
  <c r="F63" i="5"/>
  <c r="G18" i="24" s="1"/>
  <c r="F55" i="5"/>
  <c r="G11" i="24" s="1"/>
  <c r="D62" i="5"/>
  <c r="E17" i="24" s="1"/>
  <c r="D65" i="5"/>
  <c r="E20" i="24" s="1"/>
  <c r="D27" i="24"/>
  <c r="I52" i="5"/>
  <c r="D55" i="5"/>
  <c r="E11" i="24" s="1"/>
  <c r="C63" i="5"/>
  <c r="D18" i="24" s="1"/>
  <c r="C61" i="5"/>
  <c r="D16" i="24" s="1"/>
  <c r="E27" i="24"/>
  <c r="E52" i="5"/>
  <c r="J54" i="5"/>
  <c r="E61" i="5"/>
  <c r="F16" i="24" s="1"/>
  <c r="C66" i="5"/>
  <c r="D21" i="24" s="1"/>
  <c r="C55" i="5"/>
  <c r="D11" i="24" s="1"/>
  <c r="D63" i="5"/>
  <c r="E18" i="24" s="1"/>
  <c r="I60" i="5"/>
  <c r="C65" i="5"/>
  <c r="D20" i="24" s="1"/>
  <c r="G27" i="24"/>
  <c r="F54" i="5"/>
  <c r="G10" i="24" s="1"/>
  <c r="J59" i="5"/>
  <c r="F60" i="5"/>
  <c r="G15" i="24" s="1"/>
  <c r="E53" i="5"/>
  <c r="F9" i="24" s="1"/>
  <c r="I62" i="5"/>
  <c r="C59" i="5"/>
  <c r="D14" i="24" s="1"/>
  <c r="G25" i="24"/>
  <c r="J62" i="5"/>
  <c r="D28" i="24"/>
  <c r="J64" i="5"/>
  <c r="L57" i="5"/>
  <c r="G28" i="24"/>
  <c r="F62" i="5"/>
  <c r="G17" i="24" s="1"/>
  <c r="F25" i="24"/>
  <c r="K63" i="5"/>
  <c r="E55" i="5"/>
  <c r="F11" i="24" s="1"/>
  <c r="D54" i="5"/>
  <c r="E10" i="24" s="1"/>
  <c r="E60" i="5"/>
  <c r="F15" i="24" s="1"/>
  <c r="I53" i="5"/>
  <c r="J57" i="5"/>
  <c r="F61" i="5"/>
  <c r="G16" i="24" s="1"/>
  <c r="H54" i="5"/>
  <c r="J61" i="5"/>
  <c r="H57" i="5"/>
  <c r="H61" i="5"/>
  <c r="K65" i="5"/>
  <c r="J52" i="5"/>
  <c r="F28" i="24"/>
  <c r="K55" i="5"/>
  <c r="M62" i="5"/>
  <c r="E28" i="24"/>
  <c r="I63" i="5"/>
  <c r="J65" i="5"/>
  <c r="H59" i="5"/>
  <c r="I66" i="5"/>
  <c r="D57" i="5"/>
  <c r="E13" i="24" s="1"/>
  <c r="J55" i="5"/>
  <c r="K62" i="5"/>
  <c r="C57" i="5"/>
  <c r="D13" i="24" s="1"/>
  <c r="E63" i="5"/>
  <c r="F18" i="24" s="1"/>
  <c r="E62" i="5"/>
  <c r="F17" i="24" s="1"/>
  <c r="J66" i="5"/>
  <c r="H55" i="5"/>
  <c r="K59" i="5"/>
  <c r="F66" i="5"/>
  <c r="G21" i="24" s="1"/>
  <c r="E25" i="24"/>
  <c r="D66" i="5"/>
  <c r="E21" i="24" s="1"/>
  <c r="K60" i="5"/>
  <c r="G26" i="24"/>
  <c r="E66" i="5"/>
  <c r="F21" i="24" s="1"/>
  <c r="H62" i="5"/>
  <c r="C54" i="5"/>
  <c r="D10" i="24" s="1"/>
  <c r="K54" i="5"/>
  <c r="I59" i="5"/>
  <c r="C60" i="5"/>
  <c r="D15" i="24" s="1"/>
  <c r="I64" i="5"/>
  <c r="BM39" i="10" s="1"/>
  <c r="D53" i="5"/>
  <c r="E9" i="24" s="1"/>
  <c r="H63" i="5"/>
  <c r="F59" i="5"/>
  <c r="G14" i="24" s="1"/>
  <c r="K57" i="5"/>
  <c r="C64" i="5"/>
  <c r="D19" i="24" s="1"/>
  <c r="K53" i="5"/>
  <c r="I54" i="5"/>
  <c r="I65" i="5"/>
  <c r="H64" i="5"/>
  <c r="C53" i="5"/>
  <c r="D9" i="24" s="1"/>
  <c r="J60" i="5"/>
  <c r="I61" i="5"/>
  <c r="H65" i="5"/>
  <c r="D61" i="5"/>
  <c r="E16" i="24" s="1"/>
  <c r="E64" i="5"/>
  <c r="F19" i="24" s="1"/>
  <c r="J53" i="5"/>
  <c r="D52" i="5"/>
  <c r="H60" i="5"/>
  <c r="F65" i="5"/>
  <c r="G20" i="24" s="1"/>
  <c r="C56" i="5"/>
  <c r="D12" i="24" s="1"/>
  <c r="J56" i="5"/>
  <c r="E56" i="5"/>
  <c r="F12" i="24" s="1"/>
  <c r="H56" i="5"/>
  <c r="F56" i="5"/>
  <c r="G12" i="24" s="1"/>
  <c r="D56" i="5"/>
  <c r="E12" i="24" s="1"/>
  <c r="M56" i="5"/>
  <c r="AD4" i="3"/>
  <c r="AZ4" i="3"/>
  <c r="AR4" i="3"/>
  <c r="AN4" i="3"/>
  <c r="AV4" i="3"/>
  <c r="BD4" i="3"/>
  <c r="F26" i="24"/>
  <c r="E26" i="24"/>
  <c r="E13" i="5"/>
  <c r="K61" i="5"/>
  <c r="F13" i="5"/>
  <c r="E20" i="5"/>
  <c r="F20" i="5"/>
  <c r="K50" i="10" s="1"/>
  <c r="C52" i="5"/>
  <c r="E14" i="5"/>
  <c r="F12" i="5"/>
  <c r="K53" i="10" s="1"/>
  <c r="E12" i="5"/>
  <c r="AH53" i="10" s="1"/>
  <c r="F21" i="5"/>
  <c r="F23" i="5"/>
  <c r="E23" i="5"/>
  <c r="L71" i="5" s="1"/>
  <c r="E6" i="5"/>
  <c r="F6" i="5"/>
  <c r="G54" i="5" s="1"/>
  <c r="F25" i="5"/>
  <c r="E25" i="5"/>
  <c r="L73" i="5" s="1"/>
  <c r="F22" i="5"/>
  <c r="E22" i="5"/>
  <c r="L70" i="5" s="1"/>
  <c r="F15" i="5"/>
  <c r="E15" i="5"/>
  <c r="F18" i="5"/>
  <c r="E7" i="5"/>
  <c r="F7" i="5"/>
  <c r="G55" i="5" s="1"/>
  <c r="E18" i="5"/>
  <c r="F17" i="5"/>
  <c r="E17" i="5"/>
  <c r="E21" i="5"/>
  <c r="L69" i="5" s="1"/>
  <c r="E4" i="5"/>
  <c r="AH48" i="10" s="1"/>
  <c r="E5" i="5"/>
  <c r="AH15" i="14" s="1"/>
  <c r="F5" i="5"/>
  <c r="I26" i="5"/>
  <c r="C31" i="24" s="1"/>
  <c r="G26" i="5"/>
  <c r="C29" i="24" s="1"/>
  <c r="H26" i="5"/>
  <c r="C30" i="24" s="1"/>
  <c r="J26" i="5"/>
  <c r="C32" i="24" s="1"/>
  <c r="E16" i="5"/>
  <c r="AH39" i="10" s="1"/>
  <c r="F16" i="5"/>
  <c r="K39" i="10" s="1"/>
  <c r="BL4" i="3"/>
  <c r="BO4" i="3"/>
  <c r="AH47" i="10" l="1"/>
  <c r="AW19" i="14"/>
  <c r="AX19" i="14" s="1"/>
  <c r="AY19" i="14" s="1"/>
  <c r="BM20" i="14"/>
  <c r="BZ20" i="14"/>
  <c r="BE19" i="14"/>
  <c r="BF19" i="14" s="1"/>
  <c r="BG19" i="14" s="1"/>
  <c r="AH20" i="14"/>
  <c r="AH21" i="14"/>
  <c r="AH19" i="14"/>
  <c r="K20" i="14"/>
  <c r="K19" i="14"/>
  <c r="K21" i="14"/>
  <c r="BM19" i="14"/>
  <c r="BZ19" i="14"/>
  <c r="BM21" i="14"/>
  <c r="BZ21" i="14"/>
  <c r="AH51" i="10"/>
  <c r="AH52" i="10"/>
  <c r="AH11" i="14"/>
  <c r="K51" i="10"/>
  <c r="K11" i="14"/>
  <c r="K52" i="10"/>
  <c r="BP11" i="14"/>
  <c r="CA11" i="14"/>
  <c r="BP51" i="10"/>
  <c r="CA51" i="10"/>
  <c r="BP52" i="10"/>
  <c r="CA52" i="10"/>
  <c r="BE11" i="14"/>
  <c r="BF11" i="14" s="1"/>
  <c r="BG11" i="14" s="1"/>
  <c r="AH16" i="14"/>
  <c r="AH13" i="14"/>
  <c r="BM16" i="14"/>
  <c r="BZ16" i="14"/>
  <c r="BM13" i="14"/>
  <c r="BZ13" i="14"/>
  <c r="G63" i="5"/>
  <c r="K16" i="14"/>
  <c r="K13" i="14"/>
  <c r="BM18" i="14"/>
  <c r="BZ18" i="14"/>
  <c r="AH18" i="14"/>
  <c r="G62" i="5"/>
  <c r="K18" i="14"/>
  <c r="L59" i="5"/>
  <c r="AH14" i="14"/>
  <c r="AH17" i="14"/>
  <c r="AH12" i="14"/>
  <c r="BM12" i="14"/>
  <c r="BZ12" i="14"/>
  <c r="G59" i="5"/>
  <c r="K14" i="14"/>
  <c r="K12" i="14"/>
  <c r="K17" i="14"/>
  <c r="BM17" i="14"/>
  <c r="BZ17" i="14"/>
  <c r="BM14" i="14"/>
  <c r="BZ14" i="14"/>
  <c r="G53" i="5"/>
  <c r="K15" i="14"/>
  <c r="R4" i="3"/>
  <c r="X4" i="3"/>
  <c r="V4" i="3"/>
  <c r="P4" i="3"/>
  <c r="AO41" i="10"/>
  <c r="BP41" i="10"/>
  <c r="AO42" i="10"/>
  <c r="BP42" i="10"/>
  <c r="AS39" i="10"/>
  <c r="M58" i="5"/>
  <c r="G58" i="5"/>
  <c r="BM43" i="10"/>
  <c r="BH50" i="10"/>
  <c r="L68" i="5"/>
  <c r="AH50" i="10"/>
  <c r="BM50" i="10"/>
  <c r="BZ50" i="10"/>
  <c r="AE50" i="10"/>
  <c r="AG50" i="10" s="1"/>
  <c r="BP50" i="10"/>
  <c r="CA50" i="10"/>
  <c r="G61" i="5"/>
  <c r="K47" i="10"/>
  <c r="K49" i="10"/>
  <c r="AH49" i="10"/>
  <c r="BM49" i="10"/>
  <c r="BZ49" i="10"/>
  <c r="BE49" i="10"/>
  <c r="BF49" i="10" s="1"/>
  <c r="BG49" i="10" s="1"/>
  <c r="AS46" i="10"/>
  <c r="AT46" i="10" s="1"/>
  <c r="AU46" i="10" s="1"/>
  <c r="AH9" i="14"/>
  <c r="G67" i="5"/>
  <c r="M67" i="5"/>
  <c r="M22" i="24" s="1"/>
  <c r="BE8" i="14"/>
  <c r="BF8" i="14" s="1"/>
  <c r="BG8" i="14" s="1"/>
  <c r="BE6" i="14"/>
  <c r="BF6" i="14" s="1"/>
  <c r="BG6" i="14" s="1"/>
  <c r="AW9" i="14"/>
  <c r="BA7" i="14"/>
  <c r="I15" i="24"/>
  <c r="G73" i="5"/>
  <c r="M73" i="5"/>
  <c r="G71" i="5"/>
  <c r="M71" i="5"/>
  <c r="BZ42" i="10"/>
  <c r="M70" i="5"/>
  <c r="G70" i="5"/>
  <c r="G69" i="5"/>
  <c r="M69" i="5"/>
  <c r="CA37" i="10"/>
  <c r="M68" i="5"/>
  <c r="L50" i="10" s="1"/>
  <c r="G68" i="5"/>
  <c r="BZ37" i="10"/>
  <c r="F8" i="24"/>
  <c r="G8" i="24"/>
  <c r="E8" i="24"/>
  <c r="BZ41" i="10"/>
  <c r="BM41" i="10"/>
  <c r="K41" i="10"/>
  <c r="K42" i="10"/>
  <c r="G52" i="5"/>
  <c r="BM45" i="10"/>
  <c r="AH38" i="10"/>
  <c r="AH40" i="10"/>
  <c r="AH43" i="10"/>
  <c r="AH46" i="10"/>
  <c r="AH45" i="10"/>
  <c r="AH44" i="10"/>
  <c r="G60" i="5"/>
  <c r="K43" i="10"/>
  <c r="K38" i="10"/>
  <c r="K44" i="10"/>
  <c r="K46" i="10"/>
  <c r="K45" i="10"/>
  <c r="K40" i="10"/>
  <c r="BH37" i="10"/>
  <c r="K37" i="10"/>
  <c r="BM44" i="10"/>
  <c r="AH37" i="10"/>
  <c r="BM38" i="10"/>
  <c r="AH42" i="10"/>
  <c r="AH41" i="10"/>
  <c r="L56" i="5"/>
  <c r="G65" i="5"/>
  <c r="BM46" i="10"/>
  <c r="AE37" i="10"/>
  <c r="AG37" i="10" s="1"/>
  <c r="BM40" i="10"/>
  <c r="M57" i="5"/>
  <c r="BM10" i="14"/>
  <c r="BZ10" i="14"/>
  <c r="BM8" i="14"/>
  <c r="BM7" i="14"/>
  <c r="BZ7" i="14"/>
  <c r="K8" i="14"/>
  <c r="K10" i="14"/>
  <c r="K7" i="14"/>
  <c r="AH10" i="14"/>
  <c r="AH8" i="14"/>
  <c r="AH7" i="14"/>
  <c r="G66" i="5"/>
  <c r="K9" i="14"/>
  <c r="BA5" i="14"/>
  <c r="BB5" i="14" s="1"/>
  <c r="BC5" i="14" s="1"/>
  <c r="AH5" i="14"/>
  <c r="AH6" i="14"/>
  <c r="BM5" i="14"/>
  <c r="G64" i="5"/>
  <c r="K6" i="14"/>
  <c r="K5" i="14"/>
  <c r="BM6" i="14"/>
  <c r="AS5" i="14"/>
  <c r="AT5" i="14" s="1"/>
  <c r="AU5" i="14" s="1"/>
  <c r="D8" i="24"/>
  <c r="L65" i="5"/>
  <c r="M52" i="5"/>
  <c r="M66" i="5"/>
  <c r="L55" i="5"/>
  <c r="L63" i="5"/>
  <c r="M54" i="5"/>
  <c r="L52" i="5"/>
  <c r="M65" i="5"/>
  <c r="M55" i="5"/>
  <c r="L60" i="5"/>
  <c r="M64" i="5"/>
  <c r="L64" i="5"/>
  <c r="L66" i="5"/>
  <c r="L54" i="5"/>
  <c r="M60" i="5"/>
  <c r="M63" i="5"/>
  <c r="L61" i="5"/>
  <c r="L62" i="5"/>
  <c r="M53" i="5"/>
  <c r="L53" i="5"/>
  <c r="F26" i="5"/>
  <c r="C33" i="24" s="1"/>
  <c r="BM4" i="3"/>
  <c r="AH4" i="3"/>
  <c r="K4" i="3"/>
  <c r="BE4" i="3"/>
  <c r="BF4" i="3" s="1"/>
  <c r="AW4" i="3"/>
  <c r="AX4" i="3" s="1"/>
  <c r="AY4" i="3" s="1"/>
  <c r="AS4" i="3"/>
  <c r="AT4" i="3" s="1"/>
  <c r="AU4" i="3" s="1"/>
  <c r="BA4" i="3"/>
  <c r="BB4" i="3" s="1"/>
  <c r="BC4" i="3" s="1"/>
  <c r="M61" i="5"/>
  <c r="B4" i="13"/>
  <c r="B4" i="12"/>
  <c r="W4" i="3" l="1"/>
  <c r="Z4" i="3" s="1"/>
  <c r="AA4" i="3" s="1"/>
  <c r="Y4" i="3"/>
  <c r="Q4" i="3"/>
  <c r="S4" i="3"/>
  <c r="BZ4" i="3"/>
  <c r="AI50" i="10"/>
  <c r="AK50" i="10" s="1"/>
  <c r="AL50" i="10" s="1"/>
  <c r="L37" i="10"/>
  <c r="AI37" i="10"/>
  <c r="AK37" i="10" s="1"/>
  <c r="BX37" i="10" s="1"/>
  <c r="BG4" i="3"/>
  <c r="B4" i="7"/>
  <c r="F6" i="8"/>
  <c r="BX50" i="10" l="1"/>
  <c r="AL37" i="10"/>
  <c r="B20" i="13" l="1"/>
  <c r="B19" i="13"/>
  <c r="B18" i="13"/>
  <c r="B17" i="13"/>
  <c r="B16" i="13"/>
  <c r="B15" i="13"/>
  <c r="B14" i="13"/>
  <c r="B13" i="13"/>
  <c r="B11" i="13"/>
  <c r="B10" i="13"/>
  <c r="B9" i="13"/>
  <c r="B8" i="13"/>
  <c r="B7" i="13"/>
  <c r="B20" i="12"/>
  <c r="B19" i="12"/>
  <c r="B18" i="12"/>
  <c r="B17" i="12"/>
  <c r="B16" i="12"/>
  <c r="B15" i="12"/>
  <c r="B14" i="12"/>
  <c r="B13" i="12"/>
  <c r="B11" i="12"/>
  <c r="B10" i="12"/>
  <c r="B9" i="12"/>
  <c r="B8" i="12"/>
  <c r="B7" i="12"/>
  <c r="B20" i="7"/>
  <c r="B19" i="7"/>
  <c r="B18" i="7"/>
  <c r="B17" i="7"/>
  <c r="B16" i="7"/>
  <c r="B15" i="7"/>
  <c r="B14" i="7"/>
  <c r="B13" i="7"/>
  <c r="B11" i="7"/>
  <c r="B10" i="7"/>
  <c r="B9" i="7"/>
  <c r="B8" i="7"/>
  <c r="B7" i="7"/>
  <c r="B6" i="7"/>
  <c r="J2" i="15" l="1"/>
  <c r="J3" i="15"/>
  <c r="J4" i="15"/>
  <c r="J5" i="15"/>
  <c r="J8" i="15"/>
  <c r="J9" i="15"/>
  <c r="J10" i="15"/>
  <c r="J11" i="15"/>
  <c r="J12" i="15"/>
  <c r="J13" i="15"/>
  <c r="J14" i="15"/>
  <c r="J15" i="15"/>
  <c r="J16" i="15"/>
  <c r="J17" i="15"/>
  <c r="J3" i="6"/>
  <c r="J4" i="6"/>
  <c r="J5" i="6"/>
  <c r="J6" i="6"/>
  <c r="J7" i="6"/>
  <c r="J8" i="6"/>
  <c r="J9" i="6"/>
  <c r="J10" i="6"/>
  <c r="J11" i="6"/>
  <c r="J12" i="6"/>
  <c r="J13" i="6"/>
  <c r="J14" i="6"/>
  <c r="J15" i="6"/>
  <c r="J16" i="6"/>
  <c r="J17" i="6"/>
  <c r="J18" i="6"/>
  <c r="J19" i="6"/>
  <c r="J20" i="6"/>
  <c r="J21" i="6"/>
  <c r="J22" i="6"/>
  <c r="J23" i="6"/>
  <c r="J24" i="6"/>
  <c r="J25" i="6"/>
  <c r="J26" i="6"/>
  <c r="J27" i="6"/>
  <c r="J28" i="6"/>
  <c r="J2" i="6"/>
  <c r="E95" i="3"/>
  <c r="F95" i="3"/>
  <c r="E96" i="3"/>
  <c r="F96" i="3"/>
  <c r="E97" i="3"/>
  <c r="F97" i="3"/>
  <c r="E98" i="3"/>
  <c r="F98" i="3"/>
  <c r="E99" i="3"/>
  <c r="F99" i="3"/>
  <c r="E100" i="3"/>
  <c r="F100" i="3"/>
  <c r="J3" i="9"/>
  <c r="J4" i="9"/>
  <c r="J5" i="9"/>
  <c r="J6" i="9"/>
  <c r="J7" i="9"/>
  <c r="J8" i="9"/>
  <c r="J9" i="9"/>
  <c r="J10" i="9"/>
  <c r="J11" i="9"/>
  <c r="J12" i="9"/>
  <c r="J13" i="9"/>
  <c r="J14" i="9"/>
  <c r="J15" i="9"/>
  <c r="J16" i="9"/>
  <c r="J17" i="9"/>
  <c r="J18" i="9"/>
  <c r="J19" i="9"/>
  <c r="J20" i="9"/>
  <c r="J21" i="9"/>
  <c r="J22" i="9"/>
  <c r="J23" i="9"/>
  <c r="J24" i="9"/>
  <c r="J25" i="9"/>
  <c r="J26" i="9"/>
  <c r="J27" i="9"/>
  <c r="J28" i="9"/>
  <c r="J29" i="9"/>
  <c r="J30" i="9"/>
  <c r="J31" i="9"/>
  <c r="J32" i="9"/>
  <c r="J33" i="9"/>
  <c r="J2" i="9"/>
  <c r="U98" i="3" l="1"/>
  <c r="O98" i="3"/>
  <c r="U96" i="3"/>
  <c r="O96" i="3"/>
  <c r="U99" i="3"/>
  <c r="O99" i="3"/>
  <c r="U97" i="3"/>
  <c r="O97" i="3"/>
  <c r="U95" i="3"/>
  <c r="O95" i="3"/>
  <c r="U100" i="3"/>
  <c r="O100" i="3"/>
  <c r="AZ98" i="3"/>
  <c r="BD98" i="3"/>
  <c r="AN98" i="3"/>
  <c r="AD98" i="3"/>
  <c r="AR98" i="3"/>
  <c r="AS98" i="3" s="1"/>
  <c r="AT98" i="3" s="1"/>
  <c r="AU98" i="3" s="1"/>
  <c r="AV98" i="3"/>
  <c r="AH98" i="3"/>
  <c r="K98" i="3"/>
  <c r="AD96" i="3"/>
  <c r="AH96" i="3"/>
  <c r="AR96" i="3"/>
  <c r="AZ96" i="3"/>
  <c r="K96" i="3"/>
  <c r="AN96" i="3"/>
  <c r="AO96" i="3" s="1"/>
  <c r="AV96" i="3"/>
  <c r="BD96" i="3"/>
  <c r="AZ95" i="3"/>
  <c r="BD95" i="3"/>
  <c r="AN95" i="3"/>
  <c r="AR95" i="3"/>
  <c r="AS95" i="3" s="1"/>
  <c r="AT95" i="3" s="1"/>
  <c r="AU95" i="3" s="1"/>
  <c r="AV95" i="3"/>
  <c r="AD95" i="3"/>
  <c r="K95" i="3"/>
  <c r="AH95" i="3"/>
  <c r="AR100" i="3"/>
  <c r="AZ100" i="3"/>
  <c r="K100" i="3"/>
  <c r="AN100" i="3"/>
  <c r="AO100" i="3" s="1"/>
  <c r="AH100" i="3"/>
  <c r="AV100" i="3"/>
  <c r="BD100" i="3"/>
  <c r="AD100" i="3"/>
  <c r="AZ97" i="3"/>
  <c r="BD97" i="3"/>
  <c r="AN97" i="3"/>
  <c r="AD97" i="3"/>
  <c r="AR97" i="3"/>
  <c r="AS97" i="3" s="1"/>
  <c r="AT97" i="3" s="1"/>
  <c r="AU97" i="3" s="1"/>
  <c r="AV97" i="3"/>
  <c r="AH97" i="3"/>
  <c r="K97" i="3"/>
  <c r="AZ99" i="3"/>
  <c r="AR99" i="3"/>
  <c r="AD99" i="3"/>
  <c r="K99" i="3"/>
  <c r="AH99" i="3"/>
  <c r="AN99" i="3"/>
  <c r="AO99" i="3" s="1"/>
  <c r="AV99" i="3"/>
  <c r="BD99" i="3"/>
  <c r="BL100" i="3"/>
  <c r="BO100" i="3"/>
  <c r="BL97" i="3"/>
  <c r="BO97" i="3"/>
  <c r="BL99" i="3"/>
  <c r="BO99" i="3"/>
  <c r="BO98" i="3"/>
  <c r="BL98" i="3"/>
  <c r="BL96" i="3"/>
  <c r="BO96" i="3"/>
  <c r="BL95" i="3"/>
  <c r="BO95" i="3"/>
  <c r="CA95" i="3" s="1"/>
  <c r="R100" i="3" l="1"/>
  <c r="P100" i="3"/>
  <c r="X100" i="3"/>
  <c r="V100" i="3"/>
  <c r="R97" i="3"/>
  <c r="X97" i="3"/>
  <c r="V97" i="3"/>
  <c r="BZ97" i="3" s="1"/>
  <c r="P97" i="3"/>
  <c r="R96" i="3"/>
  <c r="P96" i="3"/>
  <c r="V96" i="3"/>
  <c r="X96" i="3"/>
  <c r="R95" i="3"/>
  <c r="X95" i="3"/>
  <c r="V95" i="3"/>
  <c r="BZ95" i="3" s="1"/>
  <c r="P95" i="3"/>
  <c r="R99" i="3"/>
  <c r="P99" i="3"/>
  <c r="X99" i="3"/>
  <c r="V99" i="3"/>
  <c r="R98" i="3"/>
  <c r="X98" i="3"/>
  <c r="P98" i="3"/>
  <c r="V98" i="3"/>
  <c r="BM97" i="3"/>
  <c r="BM98" i="3"/>
  <c r="BP95" i="3"/>
  <c r="BM95" i="3"/>
  <c r="BE95" i="3"/>
  <c r="BF95" i="3" s="1"/>
  <c r="BG95" i="3" s="1"/>
  <c r="BA95" i="3"/>
  <c r="BB95" i="3" s="1"/>
  <c r="BC95" i="3" s="1"/>
  <c r="BE96" i="3"/>
  <c r="AW96" i="3"/>
  <c r="AX96" i="3" s="1"/>
  <c r="AY96" i="3" s="1"/>
  <c r="BA99" i="3"/>
  <c r="BB99" i="3" s="1"/>
  <c r="BC99" i="3" s="1"/>
  <c r="BA96" i="3"/>
  <c r="BB96" i="3" s="1"/>
  <c r="BC96" i="3" s="1"/>
  <c r="BE99" i="3"/>
  <c r="BF99" i="3" s="1"/>
  <c r="BG99" i="3" s="1"/>
  <c r="BA100" i="3"/>
  <c r="BB100" i="3" s="1"/>
  <c r="BC100" i="3" s="1"/>
  <c r="BE97" i="3"/>
  <c r="BF97" i="3" s="1"/>
  <c r="BG97" i="3" s="1"/>
  <c r="BA97" i="3"/>
  <c r="BB97" i="3" s="1"/>
  <c r="BC97" i="3" s="1"/>
  <c r="BE100" i="3"/>
  <c r="BF100" i="3" s="1"/>
  <c r="BG100" i="3" s="1"/>
  <c r="AW100" i="3"/>
  <c r="AX100" i="3" s="1"/>
  <c r="AY100" i="3" s="1"/>
  <c r="BE98" i="3"/>
  <c r="BF98" i="3" s="1"/>
  <c r="BG98" i="3" s="1"/>
  <c r="AW99" i="3"/>
  <c r="AX99" i="3" s="1"/>
  <c r="AY99" i="3" s="1"/>
  <c r="BA98" i="3"/>
  <c r="BB98" i="3" s="1"/>
  <c r="BC98" i="3" s="1"/>
  <c r="T27" i="24"/>
  <c r="M27" i="24" s="1"/>
  <c r="S27" i="24"/>
  <c r="L27" i="24" s="1"/>
  <c r="R27" i="24"/>
  <c r="K27" i="24" s="1"/>
  <c r="Q27" i="24"/>
  <c r="J27" i="24" s="1"/>
  <c r="P27" i="24"/>
  <c r="I27" i="24" s="1"/>
  <c r="O27" i="24"/>
  <c r="H27" i="24" s="1"/>
  <c r="T17" i="24"/>
  <c r="M17" i="24" s="1"/>
  <c r="S17" i="24"/>
  <c r="L17" i="24" s="1"/>
  <c r="R17" i="24"/>
  <c r="K17" i="24" s="1"/>
  <c r="Q17" i="24"/>
  <c r="J17" i="24" s="1"/>
  <c r="P17" i="24"/>
  <c r="I17" i="24" s="1"/>
  <c r="O17" i="24"/>
  <c r="H17" i="24" s="1"/>
  <c r="T13" i="24"/>
  <c r="M13" i="24" s="1"/>
  <c r="S13" i="24"/>
  <c r="L13" i="24" s="1"/>
  <c r="R13" i="24"/>
  <c r="K13" i="24" s="1"/>
  <c r="Q13" i="24"/>
  <c r="J13" i="24" s="1"/>
  <c r="P13" i="24"/>
  <c r="I13" i="24" s="1"/>
  <c r="O13" i="24"/>
  <c r="H13" i="24" s="1"/>
  <c r="B53" i="5"/>
  <c r="B54" i="5"/>
  <c r="B55" i="5"/>
  <c r="B56" i="5"/>
  <c r="B57" i="5"/>
  <c r="B59" i="5"/>
  <c r="B60" i="5"/>
  <c r="B61" i="5"/>
  <c r="B62" i="5"/>
  <c r="B63" i="5"/>
  <c r="B64" i="5"/>
  <c r="B65" i="5"/>
  <c r="B66" i="5"/>
  <c r="B68" i="5"/>
  <c r="B69" i="5"/>
  <c r="B70" i="5"/>
  <c r="B71" i="5"/>
  <c r="B72" i="5"/>
  <c r="B73" i="5"/>
  <c r="A53" i="5"/>
  <c r="A54" i="5"/>
  <c r="A55" i="5"/>
  <c r="A56" i="5"/>
  <c r="A57" i="5"/>
  <c r="A59" i="5"/>
  <c r="A60" i="5"/>
  <c r="A61" i="5"/>
  <c r="A62" i="5"/>
  <c r="A63" i="5"/>
  <c r="A64" i="5"/>
  <c r="A65" i="5"/>
  <c r="A66" i="5"/>
  <c r="A68" i="5"/>
  <c r="A69" i="5"/>
  <c r="A70" i="5"/>
  <c r="A71" i="5"/>
  <c r="A72" i="5"/>
  <c r="A73" i="5"/>
  <c r="B8" i="24"/>
  <c r="B9" i="24"/>
  <c r="B10" i="24"/>
  <c r="B11" i="24"/>
  <c r="B12" i="24"/>
  <c r="B13" i="24"/>
  <c r="B14" i="24"/>
  <c r="B15" i="24"/>
  <c r="B16" i="24"/>
  <c r="B17" i="24"/>
  <c r="B18" i="24"/>
  <c r="B19" i="24"/>
  <c r="B20" i="24"/>
  <c r="B21" i="24"/>
  <c r="B23" i="24"/>
  <c r="B24" i="24"/>
  <c r="B25" i="24"/>
  <c r="B26" i="24"/>
  <c r="B27" i="24"/>
  <c r="B28" i="24"/>
  <c r="B29" i="24"/>
  <c r="B30" i="24"/>
  <c r="B31" i="24"/>
  <c r="B32" i="24"/>
  <c r="B33" i="24"/>
  <c r="T9" i="24"/>
  <c r="M9" i="24" s="1"/>
  <c r="S9" i="24"/>
  <c r="L9" i="24" s="1"/>
  <c r="R9" i="24"/>
  <c r="K9" i="24" s="1"/>
  <c r="Q9" i="24"/>
  <c r="J9" i="24" s="1"/>
  <c r="P9" i="24"/>
  <c r="I9" i="24" s="1"/>
  <c r="O9" i="24"/>
  <c r="H9" i="24" s="1"/>
  <c r="S98" i="3" l="1"/>
  <c r="Q98" i="3"/>
  <c r="W96" i="3"/>
  <c r="Z96" i="3" s="1"/>
  <c r="AA96" i="3" s="1"/>
  <c r="Y96" i="3"/>
  <c r="S99" i="3"/>
  <c r="Q99" i="3"/>
  <c r="S100" i="3"/>
  <c r="Q100" i="3"/>
  <c r="Y95" i="3"/>
  <c r="W95" i="3"/>
  <c r="Z95" i="3" s="1"/>
  <c r="AA95" i="3" s="1"/>
  <c r="Y97" i="3"/>
  <c r="W97" i="3"/>
  <c r="Z97" i="3" s="1"/>
  <c r="AA97" i="3" s="1"/>
  <c r="S96" i="3"/>
  <c r="Q96" i="3"/>
  <c r="Y98" i="3"/>
  <c r="W98" i="3"/>
  <c r="Z98" i="3" s="1"/>
  <c r="AA98" i="3" s="1"/>
  <c r="W99" i="3"/>
  <c r="Z99" i="3" s="1"/>
  <c r="AA99" i="3" s="1"/>
  <c r="Y99" i="3"/>
  <c r="S95" i="3"/>
  <c r="Q95" i="3"/>
  <c r="S97" i="3"/>
  <c r="Q97" i="3"/>
  <c r="Y100" i="3"/>
  <c r="W100" i="3"/>
  <c r="Z100" i="3" s="1"/>
  <c r="AA100" i="3" s="1"/>
  <c r="BZ98" i="3"/>
  <c r="B6" i="12"/>
  <c r="B6" i="13"/>
  <c r="E48" i="3"/>
  <c r="F48" i="3"/>
  <c r="E49" i="3"/>
  <c r="F49" i="3"/>
  <c r="E50" i="3"/>
  <c r="F50" i="3"/>
  <c r="E51" i="3"/>
  <c r="F51" i="3"/>
  <c r="E52" i="3"/>
  <c r="F52" i="3"/>
  <c r="E53" i="3"/>
  <c r="F53" i="3"/>
  <c r="E54" i="3"/>
  <c r="F54" i="3"/>
  <c r="E55" i="3"/>
  <c r="F55" i="3"/>
  <c r="E56" i="3"/>
  <c r="F56" i="3"/>
  <c r="E57" i="3"/>
  <c r="F57" i="3"/>
  <c r="E58" i="3"/>
  <c r="F58" i="3"/>
  <c r="E59" i="3"/>
  <c r="F59" i="3"/>
  <c r="E60" i="3"/>
  <c r="F60" i="3"/>
  <c r="E61" i="3"/>
  <c r="F61" i="3"/>
  <c r="E62" i="3"/>
  <c r="F62" i="3"/>
  <c r="E63" i="3"/>
  <c r="F63" i="3"/>
  <c r="E64" i="3"/>
  <c r="F64" i="3"/>
  <c r="E65" i="3"/>
  <c r="F65" i="3"/>
  <c r="E66" i="3"/>
  <c r="F66" i="3"/>
  <c r="E67" i="3"/>
  <c r="F67" i="3"/>
  <c r="E68" i="3"/>
  <c r="F68" i="3"/>
  <c r="E69" i="3"/>
  <c r="F69" i="3"/>
  <c r="E70" i="3"/>
  <c r="F70" i="3"/>
  <c r="E71" i="3"/>
  <c r="F71" i="3"/>
  <c r="E72" i="3"/>
  <c r="F72" i="3"/>
  <c r="E73" i="3"/>
  <c r="F73" i="3"/>
  <c r="E74" i="3"/>
  <c r="F74" i="3"/>
  <c r="E75" i="3"/>
  <c r="F75" i="3"/>
  <c r="E76" i="3"/>
  <c r="F76" i="3"/>
  <c r="E77" i="3"/>
  <c r="F77" i="3"/>
  <c r="E78" i="3"/>
  <c r="F78" i="3"/>
  <c r="E79" i="3"/>
  <c r="F79" i="3"/>
  <c r="E80" i="3"/>
  <c r="F80" i="3"/>
  <c r="E81" i="3"/>
  <c r="F81" i="3"/>
  <c r="E82" i="3"/>
  <c r="F82" i="3"/>
  <c r="E83" i="3"/>
  <c r="F83" i="3"/>
  <c r="E84" i="3"/>
  <c r="F84" i="3"/>
  <c r="E85" i="3"/>
  <c r="F85" i="3"/>
  <c r="E86" i="3"/>
  <c r="F86" i="3"/>
  <c r="E87" i="3"/>
  <c r="F87" i="3"/>
  <c r="E88" i="3"/>
  <c r="F88" i="3"/>
  <c r="E89" i="3"/>
  <c r="F89" i="3"/>
  <c r="E90" i="3"/>
  <c r="F90" i="3"/>
  <c r="E91" i="3"/>
  <c r="F91" i="3"/>
  <c r="E92" i="3"/>
  <c r="F92" i="3"/>
  <c r="E93" i="3"/>
  <c r="F93" i="3"/>
  <c r="E94" i="3"/>
  <c r="F94" i="3"/>
  <c r="F4" i="14"/>
  <c r="E4" i="14"/>
  <c r="F47" i="3"/>
  <c r="E47" i="3"/>
  <c r="F46" i="3"/>
  <c r="E46" i="3"/>
  <c r="F45" i="3"/>
  <c r="E45" i="3"/>
  <c r="F44" i="3"/>
  <c r="E44" i="3"/>
  <c r="F43" i="3"/>
  <c r="E43" i="3"/>
  <c r="F42" i="3"/>
  <c r="E42" i="3"/>
  <c r="F41" i="3"/>
  <c r="E41" i="3"/>
  <c r="F40" i="3"/>
  <c r="E40" i="3"/>
  <c r="F39" i="3"/>
  <c r="E39" i="3"/>
  <c r="F38" i="3"/>
  <c r="E38" i="3"/>
  <c r="F37" i="3"/>
  <c r="E37" i="3"/>
  <c r="F36" i="3"/>
  <c r="E36" i="3"/>
  <c r="F35" i="3"/>
  <c r="E35" i="3"/>
  <c r="F34" i="3"/>
  <c r="E34" i="3"/>
  <c r="F33" i="3"/>
  <c r="E33" i="3"/>
  <c r="F32" i="3"/>
  <c r="E32" i="3"/>
  <c r="F31" i="3"/>
  <c r="E31" i="3"/>
  <c r="F30" i="3"/>
  <c r="E30" i="3"/>
  <c r="F29" i="3"/>
  <c r="E29" i="3"/>
  <c r="F28" i="3"/>
  <c r="E28" i="3"/>
  <c r="F27" i="3"/>
  <c r="E27" i="3"/>
  <c r="F26" i="3"/>
  <c r="E26" i="3"/>
  <c r="F25" i="3"/>
  <c r="E25" i="3"/>
  <c r="F24" i="3"/>
  <c r="E24" i="3"/>
  <c r="F23" i="3"/>
  <c r="E23" i="3"/>
  <c r="F22" i="3"/>
  <c r="E22" i="3"/>
  <c r="F21" i="3"/>
  <c r="E21" i="3"/>
  <c r="F20" i="3"/>
  <c r="E20" i="3"/>
  <c r="F19" i="3"/>
  <c r="E19" i="3"/>
  <c r="F18" i="3"/>
  <c r="E18" i="3"/>
  <c r="F17" i="3"/>
  <c r="E17" i="3"/>
  <c r="F16" i="3"/>
  <c r="E16" i="3"/>
  <c r="F15" i="3"/>
  <c r="E15" i="3"/>
  <c r="F14" i="3"/>
  <c r="E14" i="3"/>
  <c r="F13" i="3"/>
  <c r="E13" i="3"/>
  <c r="F12" i="3"/>
  <c r="E12" i="3"/>
  <c r="F11" i="3"/>
  <c r="E11" i="3"/>
  <c r="F10" i="3"/>
  <c r="E10" i="3"/>
  <c r="F9" i="3"/>
  <c r="E9" i="3"/>
  <c r="F8" i="3"/>
  <c r="E8" i="3"/>
  <c r="F7" i="3"/>
  <c r="E7" i="3"/>
  <c r="F6" i="3"/>
  <c r="E6" i="3"/>
  <c r="F5" i="3"/>
  <c r="E5" i="3"/>
  <c r="E4" i="3"/>
  <c r="F5" i="10"/>
  <c r="F6" i="10"/>
  <c r="F7" i="10"/>
  <c r="F8" i="10"/>
  <c r="F9" i="10"/>
  <c r="F10" i="10"/>
  <c r="F11" i="10"/>
  <c r="F12" i="10"/>
  <c r="F13" i="10"/>
  <c r="F14" i="10"/>
  <c r="F15" i="10"/>
  <c r="F16" i="10"/>
  <c r="F17" i="10"/>
  <c r="F18" i="10"/>
  <c r="F19" i="10"/>
  <c r="F20" i="10"/>
  <c r="F21" i="10"/>
  <c r="F22" i="10"/>
  <c r="F23" i="10"/>
  <c r="F24" i="10"/>
  <c r="F25" i="10"/>
  <c r="F26" i="10"/>
  <c r="F27" i="10"/>
  <c r="F28" i="10"/>
  <c r="F29" i="10"/>
  <c r="F30" i="10"/>
  <c r="F31" i="10"/>
  <c r="F32" i="10"/>
  <c r="F33" i="10"/>
  <c r="F34" i="10"/>
  <c r="F35" i="10"/>
  <c r="F36" i="10"/>
  <c r="F4" i="10"/>
  <c r="U24" i="10" l="1"/>
  <c r="O24" i="10"/>
  <c r="U16" i="10"/>
  <c r="O16" i="10"/>
  <c r="O4" i="10"/>
  <c r="U4" i="10"/>
  <c r="U33" i="10"/>
  <c r="O33" i="10"/>
  <c r="U29" i="10"/>
  <c r="O29" i="10"/>
  <c r="U25" i="10"/>
  <c r="O25" i="10"/>
  <c r="U21" i="10"/>
  <c r="O21" i="10"/>
  <c r="U17" i="10"/>
  <c r="O17" i="10"/>
  <c r="U13" i="10"/>
  <c r="O13" i="10"/>
  <c r="U9" i="10"/>
  <c r="O9" i="10"/>
  <c r="U5" i="10"/>
  <c r="O5" i="10"/>
  <c r="U32" i="10"/>
  <c r="O32" i="10"/>
  <c r="U20" i="10"/>
  <c r="O20" i="10"/>
  <c r="U8" i="10"/>
  <c r="O8" i="10"/>
  <c r="U35" i="10"/>
  <c r="O35" i="10"/>
  <c r="U31" i="10"/>
  <c r="O31" i="10"/>
  <c r="U27" i="10"/>
  <c r="O27" i="10"/>
  <c r="U23" i="10"/>
  <c r="O23" i="10"/>
  <c r="U19" i="10"/>
  <c r="O19" i="10"/>
  <c r="U15" i="10"/>
  <c r="O15" i="10"/>
  <c r="U11" i="10"/>
  <c r="O11" i="10"/>
  <c r="U7" i="10"/>
  <c r="O7" i="10"/>
  <c r="U36" i="10"/>
  <c r="O36" i="10"/>
  <c r="U28" i="10"/>
  <c r="O28" i="10"/>
  <c r="U12" i="10"/>
  <c r="O12" i="10"/>
  <c r="U34" i="10"/>
  <c r="O34" i="10"/>
  <c r="U30" i="10"/>
  <c r="O30" i="10"/>
  <c r="U26" i="10"/>
  <c r="O26" i="10"/>
  <c r="U22" i="10"/>
  <c r="O22" i="10"/>
  <c r="U18" i="10"/>
  <c r="O18" i="10"/>
  <c r="U14" i="10"/>
  <c r="O14" i="10"/>
  <c r="U10" i="10"/>
  <c r="O10" i="10"/>
  <c r="U6" i="10"/>
  <c r="O6" i="10"/>
  <c r="U94" i="3"/>
  <c r="O94" i="3"/>
  <c r="U92" i="3"/>
  <c r="O92" i="3"/>
  <c r="U90" i="3"/>
  <c r="O90" i="3"/>
  <c r="U88" i="3"/>
  <c r="O88" i="3"/>
  <c r="U86" i="3"/>
  <c r="O86" i="3"/>
  <c r="U84" i="3"/>
  <c r="O84" i="3"/>
  <c r="U82" i="3"/>
  <c r="O82" i="3"/>
  <c r="U80" i="3"/>
  <c r="O80" i="3"/>
  <c r="R80" i="3" s="1"/>
  <c r="U78" i="3"/>
  <c r="O78" i="3"/>
  <c r="U76" i="3"/>
  <c r="O76" i="3"/>
  <c r="R76" i="3" s="1"/>
  <c r="U74" i="3"/>
  <c r="O74" i="3"/>
  <c r="U72" i="3"/>
  <c r="O72" i="3"/>
  <c r="U70" i="3"/>
  <c r="O70" i="3"/>
  <c r="U68" i="3"/>
  <c r="O68" i="3"/>
  <c r="U66" i="3"/>
  <c r="O66" i="3"/>
  <c r="U64" i="3"/>
  <c r="O64" i="3"/>
  <c r="R64" i="3" s="1"/>
  <c r="U62" i="3"/>
  <c r="O62" i="3"/>
  <c r="U60" i="3"/>
  <c r="O60" i="3"/>
  <c r="U58" i="3"/>
  <c r="O58" i="3"/>
  <c r="R58" i="3" s="1"/>
  <c r="U56" i="3"/>
  <c r="O56" i="3"/>
  <c r="R56" i="3" s="1"/>
  <c r="U54" i="3"/>
  <c r="O54" i="3"/>
  <c r="U52" i="3"/>
  <c r="O52" i="3"/>
  <c r="U50" i="3"/>
  <c r="O50" i="3"/>
  <c r="U48" i="3"/>
  <c r="O48" i="3"/>
  <c r="U5" i="3"/>
  <c r="O5" i="3"/>
  <c r="G12" i="7"/>
  <c r="I12" i="7"/>
  <c r="D12" i="7"/>
  <c r="F12" i="7"/>
  <c r="C12" i="7"/>
  <c r="H12" i="7"/>
  <c r="O7" i="3"/>
  <c r="U7" i="3"/>
  <c r="U9" i="3"/>
  <c r="O9" i="3"/>
  <c r="U11" i="3"/>
  <c r="O11" i="3"/>
  <c r="U13" i="3"/>
  <c r="O13" i="3"/>
  <c r="U15" i="3"/>
  <c r="O15" i="3"/>
  <c r="U17" i="3"/>
  <c r="O17" i="3"/>
  <c r="U19" i="3"/>
  <c r="O19" i="3"/>
  <c r="U21" i="3"/>
  <c r="O21" i="3"/>
  <c r="U23" i="3"/>
  <c r="O23" i="3"/>
  <c r="R23" i="3" s="1"/>
  <c r="U25" i="3"/>
  <c r="O25" i="3"/>
  <c r="U27" i="3"/>
  <c r="O27" i="3"/>
  <c r="U29" i="3"/>
  <c r="O29" i="3"/>
  <c r="U31" i="3"/>
  <c r="O31" i="3"/>
  <c r="U33" i="3"/>
  <c r="O33" i="3"/>
  <c r="U35" i="3"/>
  <c r="O35" i="3"/>
  <c r="R35" i="3" s="1"/>
  <c r="U37" i="3"/>
  <c r="O37" i="3"/>
  <c r="R37" i="3" s="1"/>
  <c r="U39" i="3"/>
  <c r="O39" i="3"/>
  <c r="U41" i="3"/>
  <c r="O41" i="3"/>
  <c r="U43" i="3"/>
  <c r="O43" i="3"/>
  <c r="U45" i="3"/>
  <c r="O45" i="3"/>
  <c r="U47" i="3"/>
  <c r="O47" i="3"/>
  <c r="U93" i="3"/>
  <c r="O93" i="3"/>
  <c r="U91" i="3"/>
  <c r="O91" i="3"/>
  <c r="U89" i="3"/>
  <c r="O89" i="3"/>
  <c r="U87" i="3"/>
  <c r="O87" i="3"/>
  <c r="U85" i="3"/>
  <c r="O85" i="3"/>
  <c r="U83" i="3"/>
  <c r="O83" i="3"/>
  <c r="U81" i="3"/>
  <c r="O81" i="3"/>
  <c r="U79" i="3"/>
  <c r="O79" i="3"/>
  <c r="U77" i="3"/>
  <c r="O77" i="3"/>
  <c r="U75" i="3"/>
  <c r="O75" i="3"/>
  <c r="U73" i="3"/>
  <c r="O73" i="3"/>
  <c r="U71" i="3"/>
  <c r="O71" i="3"/>
  <c r="U69" i="3"/>
  <c r="O69" i="3"/>
  <c r="U67" i="3"/>
  <c r="O67" i="3"/>
  <c r="U65" i="3"/>
  <c r="O65" i="3"/>
  <c r="U63" i="3"/>
  <c r="O63" i="3"/>
  <c r="U61" i="3"/>
  <c r="O61" i="3"/>
  <c r="U59" i="3"/>
  <c r="O59" i="3"/>
  <c r="U57" i="3"/>
  <c r="O57" i="3"/>
  <c r="R57" i="3" s="1"/>
  <c r="U55" i="3"/>
  <c r="O55" i="3"/>
  <c r="U53" i="3"/>
  <c r="O53" i="3"/>
  <c r="U51" i="3"/>
  <c r="O51" i="3"/>
  <c r="U49" i="3"/>
  <c r="O49" i="3"/>
  <c r="U6" i="3"/>
  <c r="O6" i="3"/>
  <c r="U8" i="3"/>
  <c r="O8" i="3"/>
  <c r="U10" i="3"/>
  <c r="O10" i="3"/>
  <c r="U12" i="3"/>
  <c r="O12" i="3"/>
  <c r="O14" i="3"/>
  <c r="U14" i="3"/>
  <c r="U16" i="3"/>
  <c r="O16" i="3"/>
  <c r="O18" i="3"/>
  <c r="U18" i="3"/>
  <c r="U20" i="3"/>
  <c r="O20" i="3"/>
  <c r="U22" i="3"/>
  <c r="O22" i="3"/>
  <c r="R22" i="3" s="1"/>
  <c r="U24" i="3"/>
  <c r="O24" i="3"/>
  <c r="R24" i="3" s="1"/>
  <c r="U26" i="3"/>
  <c r="O26" i="3"/>
  <c r="U28" i="3"/>
  <c r="O28" i="3"/>
  <c r="O30" i="3"/>
  <c r="U30" i="3"/>
  <c r="U32" i="3"/>
  <c r="O32" i="3"/>
  <c r="O34" i="3"/>
  <c r="U34" i="3"/>
  <c r="U36" i="3"/>
  <c r="O36" i="3"/>
  <c r="U38" i="3"/>
  <c r="O38" i="3"/>
  <c r="U40" i="3"/>
  <c r="O40" i="3"/>
  <c r="U42" i="3"/>
  <c r="O42" i="3"/>
  <c r="U44" i="3"/>
  <c r="O44" i="3"/>
  <c r="U46" i="3"/>
  <c r="O46" i="3"/>
  <c r="U4" i="14"/>
  <c r="O4" i="14"/>
  <c r="I12" i="13"/>
  <c r="C12" i="13"/>
  <c r="D12" i="13"/>
  <c r="H12" i="13"/>
  <c r="F12" i="13"/>
  <c r="G12" i="13"/>
  <c r="C12" i="12"/>
  <c r="G12" i="12"/>
  <c r="D26" i="7"/>
  <c r="C24" i="7"/>
  <c r="F24" i="7"/>
  <c r="F27" i="7"/>
  <c r="G24" i="7"/>
  <c r="I27" i="7"/>
  <c r="C23" i="7"/>
  <c r="H26" i="7"/>
  <c r="F26" i="7"/>
  <c r="I24" i="7"/>
  <c r="C26" i="7"/>
  <c r="I26" i="7"/>
  <c r="G26" i="7"/>
  <c r="C27" i="7"/>
  <c r="D24" i="7"/>
  <c r="C25" i="7"/>
  <c r="G27" i="7"/>
  <c r="H24" i="7"/>
  <c r="H27" i="7"/>
  <c r="C22" i="7"/>
  <c r="D27" i="7"/>
  <c r="C21" i="7"/>
  <c r="I25" i="12"/>
  <c r="H25" i="12"/>
  <c r="C26" i="12"/>
  <c r="F21" i="12"/>
  <c r="D26" i="12"/>
  <c r="D25" i="12"/>
  <c r="F24" i="12"/>
  <c r="G21" i="12"/>
  <c r="I27" i="12"/>
  <c r="D24" i="12"/>
  <c r="C21" i="12"/>
  <c r="G26" i="12"/>
  <c r="H21" i="12"/>
  <c r="F26" i="12"/>
  <c r="F25" i="12"/>
  <c r="C22" i="12"/>
  <c r="H26" i="12"/>
  <c r="H24" i="12"/>
  <c r="G25" i="12"/>
  <c r="I26" i="12"/>
  <c r="C23" i="12"/>
  <c r="D27" i="12"/>
  <c r="F27" i="12"/>
  <c r="G27" i="12"/>
  <c r="I24" i="12"/>
  <c r="C25" i="12"/>
  <c r="I21" i="12"/>
  <c r="D21" i="12"/>
  <c r="C27" i="12"/>
  <c r="G24" i="12"/>
  <c r="C24" i="12"/>
  <c r="H27" i="12"/>
  <c r="G23" i="12"/>
  <c r="H21" i="13"/>
  <c r="C26" i="13"/>
  <c r="C22" i="13"/>
  <c r="G23" i="13"/>
  <c r="F22" i="13"/>
  <c r="D22" i="13"/>
  <c r="I23" i="13"/>
  <c r="F26" i="13"/>
  <c r="D23" i="13"/>
  <c r="G26" i="13"/>
  <c r="H22" i="13"/>
  <c r="D26" i="13"/>
  <c r="G27" i="13"/>
  <c r="H26" i="13"/>
  <c r="I27" i="13"/>
  <c r="I22" i="13"/>
  <c r="C25" i="13"/>
  <c r="I26" i="13"/>
  <c r="D21" i="13"/>
  <c r="C21" i="13"/>
  <c r="F27" i="13"/>
  <c r="F21" i="13"/>
  <c r="F23" i="13"/>
  <c r="H23" i="13"/>
  <c r="G22" i="13"/>
  <c r="D27" i="13"/>
  <c r="I21" i="13"/>
  <c r="C23" i="13"/>
  <c r="H27" i="13"/>
  <c r="C27" i="13"/>
  <c r="C24" i="13"/>
  <c r="G21" i="13"/>
  <c r="C14" i="12"/>
  <c r="I9" i="12"/>
  <c r="G13" i="12"/>
  <c r="C11" i="12"/>
  <c r="G15" i="12"/>
  <c r="C19" i="12"/>
  <c r="H11" i="12"/>
  <c r="C17" i="12"/>
  <c r="C15" i="12"/>
  <c r="I8" i="12"/>
  <c r="G9" i="12"/>
  <c r="C9" i="12"/>
  <c r="I20" i="12"/>
  <c r="I7" i="12"/>
  <c r="H8" i="12"/>
  <c r="H20" i="12"/>
  <c r="H7" i="12"/>
  <c r="G8" i="12"/>
  <c r="C10" i="12"/>
  <c r="D13" i="12"/>
  <c r="G20" i="12"/>
  <c r="G7" i="12"/>
  <c r="F8" i="12"/>
  <c r="I13" i="12"/>
  <c r="F20" i="12"/>
  <c r="F7" i="12"/>
  <c r="D8" i="12"/>
  <c r="H9" i="12"/>
  <c r="D20" i="12"/>
  <c r="D7" i="12"/>
  <c r="C8" i="12"/>
  <c r="I11" i="12"/>
  <c r="C20" i="12"/>
  <c r="C7" i="12"/>
  <c r="F9" i="12"/>
  <c r="H13" i="12"/>
  <c r="D11" i="12"/>
  <c r="D9" i="12"/>
  <c r="G11" i="12"/>
  <c r="F11" i="12"/>
  <c r="C13" i="12"/>
  <c r="I16" i="12"/>
  <c r="H16" i="12"/>
  <c r="G16" i="12"/>
  <c r="F13" i="12"/>
  <c r="F16" i="12"/>
  <c r="D16" i="12"/>
  <c r="C18" i="12"/>
  <c r="C16" i="12"/>
  <c r="I6" i="13"/>
  <c r="H6" i="13"/>
  <c r="G6" i="13"/>
  <c r="F6" i="13"/>
  <c r="D6" i="13"/>
  <c r="C6" i="13"/>
  <c r="I10" i="13"/>
  <c r="H10" i="13"/>
  <c r="C18" i="13"/>
  <c r="G10" i="13"/>
  <c r="C8" i="13"/>
  <c r="F10" i="13"/>
  <c r="D10" i="13"/>
  <c r="C10" i="13"/>
  <c r="H15" i="13"/>
  <c r="C14" i="13"/>
  <c r="C17" i="13"/>
  <c r="C7" i="13"/>
  <c r="I14" i="13"/>
  <c r="C20" i="13"/>
  <c r="C9" i="13"/>
  <c r="H14" i="13"/>
  <c r="G14" i="13"/>
  <c r="C19" i="13"/>
  <c r="F14" i="13"/>
  <c r="I15" i="13"/>
  <c r="C15" i="13"/>
  <c r="D14" i="13"/>
  <c r="D15" i="13"/>
  <c r="F15" i="13"/>
  <c r="C11" i="13"/>
  <c r="G15" i="13"/>
  <c r="C13" i="13"/>
  <c r="C16" i="13"/>
  <c r="C6" i="12"/>
  <c r="BO4" i="14"/>
  <c r="BL4" i="14"/>
  <c r="BD4" i="14"/>
  <c r="BE4" i="14" s="1"/>
  <c r="BF4" i="14" s="1"/>
  <c r="BG4" i="14" s="1"/>
  <c r="AZ4" i="14"/>
  <c r="AN4" i="14"/>
  <c r="AV4" i="14"/>
  <c r="AR4" i="14"/>
  <c r="AH4" i="14"/>
  <c r="AD4" i="14"/>
  <c r="K4" i="14"/>
  <c r="BO17" i="10"/>
  <c r="BL17" i="10"/>
  <c r="BD17" i="10"/>
  <c r="AR17" i="10"/>
  <c r="AN17" i="10"/>
  <c r="AH17" i="10"/>
  <c r="AD17" i="10"/>
  <c r="AZ17" i="10"/>
  <c r="BA17" i="10" s="1"/>
  <c r="BB17" i="10" s="1"/>
  <c r="BC17" i="10" s="1"/>
  <c r="AV17" i="10"/>
  <c r="K17" i="10"/>
  <c r="K14" i="10"/>
  <c r="BO14" i="10"/>
  <c r="BL14" i="10"/>
  <c r="BD14" i="10"/>
  <c r="BE14" i="10" s="1"/>
  <c r="AZ14" i="10"/>
  <c r="BA14" i="10" s="1"/>
  <c r="BB14" i="10" s="1"/>
  <c r="BC14" i="10" s="1"/>
  <c r="AV14" i="10"/>
  <c r="AW14" i="10" s="1"/>
  <c r="AX14" i="10" s="1"/>
  <c r="AY14" i="10" s="1"/>
  <c r="AR14" i="10"/>
  <c r="AS14" i="10" s="1"/>
  <c r="AN14" i="10"/>
  <c r="AH14" i="10"/>
  <c r="AD14" i="10"/>
  <c r="BO13" i="10"/>
  <c r="K13" i="10"/>
  <c r="BL13" i="10"/>
  <c r="BD13" i="10"/>
  <c r="AZ13" i="10"/>
  <c r="AV13" i="10"/>
  <c r="AW13" i="10" s="1"/>
  <c r="AX13" i="10" s="1"/>
  <c r="AY13" i="10" s="1"/>
  <c r="AR13" i="10"/>
  <c r="AN13" i="10"/>
  <c r="AH13" i="10"/>
  <c r="AD13" i="10"/>
  <c r="BO29" i="10"/>
  <c r="BL29" i="10"/>
  <c r="BD29" i="10"/>
  <c r="AZ29" i="10"/>
  <c r="BA29" i="10" s="1"/>
  <c r="BB29" i="10" s="1"/>
  <c r="BC29" i="10" s="1"/>
  <c r="AV29" i="10"/>
  <c r="AW29" i="10" s="1"/>
  <c r="AX29" i="10" s="1"/>
  <c r="AY29" i="10" s="1"/>
  <c r="AR29" i="10"/>
  <c r="AS29" i="10" s="1"/>
  <c r="AT29" i="10" s="1"/>
  <c r="AU29" i="10" s="1"/>
  <c r="AN29" i="10"/>
  <c r="AH29" i="10"/>
  <c r="AD29" i="10"/>
  <c r="K29" i="10"/>
  <c r="AR26" i="10"/>
  <c r="AS26" i="10" s="1"/>
  <c r="AT26" i="10" s="1"/>
  <c r="AU26" i="10" s="1"/>
  <c r="AN26" i="10"/>
  <c r="AH26" i="10"/>
  <c r="AD26" i="10"/>
  <c r="K26" i="10"/>
  <c r="BO26" i="10"/>
  <c r="BL26" i="10"/>
  <c r="BD26" i="10"/>
  <c r="AZ26" i="10"/>
  <c r="AV26" i="10"/>
  <c r="AZ9" i="10"/>
  <c r="AR9" i="10"/>
  <c r="AS9" i="10" s="1"/>
  <c r="AV9" i="10"/>
  <c r="AW9" i="10" s="1"/>
  <c r="AX9" i="10" s="1"/>
  <c r="AY9" i="10" s="1"/>
  <c r="AN9" i="10"/>
  <c r="AD9" i="10"/>
  <c r="K9" i="10"/>
  <c r="AH9" i="10"/>
  <c r="BO9" i="10"/>
  <c r="BL9" i="10"/>
  <c r="BD9" i="10"/>
  <c r="BE9" i="10" s="1"/>
  <c r="BF9" i="10" s="1"/>
  <c r="BG9" i="10" s="1"/>
  <c r="K24" i="10"/>
  <c r="BO24" i="10"/>
  <c r="BL24" i="10"/>
  <c r="BD24" i="10"/>
  <c r="BE24" i="10" s="1"/>
  <c r="BF24" i="10" s="1"/>
  <c r="BG24" i="10" s="1"/>
  <c r="AZ24" i="10"/>
  <c r="AV24" i="10"/>
  <c r="AW24" i="10" s="1"/>
  <c r="AX24" i="10" s="1"/>
  <c r="AY24" i="10" s="1"/>
  <c r="AR24" i="10"/>
  <c r="AN24" i="10"/>
  <c r="AH24" i="10"/>
  <c r="AD24" i="10"/>
  <c r="K8" i="10"/>
  <c r="BO8" i="10"/>
  <c r="BL8" i="10"/>
  <c r="BD8" i="10"/>
  <c r="BE8" i="10" s="1"/>
  <c r="BF8" i="10" s="1"/>
  <c r="BG8" i="10" s="1"/>
  <c r="AZ8" i="10"/>
  <c r="BA8" i="10" s="1"/>
  <c r="BB8" i="10" s="1"/>
  <c r="BC8" i="10" s="1"/>
  <c r="AV8" i="10"/>
  <c r="AR8" i="10"/>
  <c r="AN8" i="10"/>
  <c r="AH8" i="10"/>
  <c r="AD8" i="10"/>
  <c r="AZ27" i="10"/>
  <c r="AV27" i="10"/>
  <c r="AR27" i="10"/>
  <c r="AS27" i="10" s="1"/>
  <c r="AT27" i="10" s="1"/>
  <c r="AU27" i="10" s="1"/>
  <c r="AN27" i="10"/>
  <c r="AH27" i="10"/>
  <c r="AD27" i="10"/>
  <c r="K27" i="10"/>
  <c r="BO27" i="10"/>
  <c r="BL27" i="10"/>
  <c r="BD27" i="10"/>
  <c r="BO10" i="10"/>
  <c r="BL10" i="10"/>
  <c r="BD10" i="10"/>
  <c r="BE10" i="10" s="1"/>
  <c r="BF10" i="10" s="1"/>
  <c r="BG10" i="10" s="1"/>
  <c r="AV10" i="10"/>
  <c r="AH10" i="10"/>
  <c r="AD10" i="10"/>
  <c r="AZ10" i="10"/>
  <c r="BA10" i="10" s="1"/>
  <c r="BB10" i="10" s="1"/>
  <c r="BC10" i="10" s="1"/>
  <c r="K10" i="10"/>
  <c r="AR10" i="10"/>
  <c r="AS10" i="10" s="1"/>
  <c r="AN10" i="10"/>
  <c r="K36" i="10"/>
  <c r="BO36" i="10"/>
  <c r="BL36" i="10"/>
  <c r="BD36" i="10"/>
  <c r="AZ36" i="10"/>
  <c r="AV36" i="10"/>
  <c r="AR36" i="10"/>
  <c r="AN36" i="10"/>
  <c r="AH36" i="10"/>
  <c r="AD36" i="10"/>
  <c r="K23" i="10"/>
  <c r="BO23" i="10"/>
  <c r="BL23" i="10"/>
  <c r="BD23" i="10"/>
  <c r="BE23" i="10" s="1"/>
  <c r="AZ23" i="10"/>
  <c r="AV23" i="10"/>
  <c r="AW23" i="10" s="1"/>
  <c r="AX23" i="10" s="1"/>
  <c r="AY23" i="10" s="1"/>
  <c r="AR23" i="10"/>
  <c r="AN23" i="10"/>
  <c r="AH23" i="10"/>
  <c r="AD23" i="10"/>
  <c r="BD7" i="10"/>
  <c r="AV7" i="10"/>
  <c r="AZ7" i="10"/>
  <c r="BA7" i="10" s="1"/>
  <c r="BB7" i="10" s="1"/>
  <c r="BC7" i="10" s="1"/>
  <c r="AR7" i="10"/>
  <c r="AN7" i="10"/>
  <c r="BO7" i="10"/>
  <c r="AH7" i="10"/>
  <c r="AD7" i="10"/>
  <c r="BL7" i="10"/>
  <c r="K7" i="10"/>
  <c r="AR15" i="10"/>
  <c r="AS15" i="10" s="1"/>
  <c r="AN15" i="10"/>
  <c r="AH15" i="10"/>
  <c r="AD15" i="10"/>
  <c r="K15" i="10"/>
  <c r="BO15" i="10"/>
  <c r="BL15" i="10"/>
  <c r="BD15" i="10"/>
  <c r="BE15" i="10" s="1"/>
  <c r="BF15" i="10" s="1"/>
  <c r="BG15" i="10" s="1"/>
  <c r="AZ15" i="10"/>
  <c r="BA15" i="10" s="1"/>
  <c r="BB15" i="10" s="1"/>
  <c r="BC15" i="10" s="1"/>
  <c r="AV15" i="10"/>
  <c r="K12" i="10"/>
  <c r="BO12" i="10"/>
  <c r="BL12" i="10"/>
  <c r="BD12" i="10"/>
  <c r="AZ12" i="10"/>
  <c r="BA12" i="10" s="1"/>
  <c r="BB12" i="10" s="1"/>
  <c r="BC12" i="10" s="1"/>
  <c r="AV12" i="10"/>
  <c r="AW12" i="10" s="1"/>
  <c r="AX12" i="10" s="1"/>
  <c r="AY12" i="10" s="1"/>
  <c r="AR12" i="10"/>
  <c r="AS12" i="10" s="1"/>
  <c r="AN12" i="10"/>
  <c r="AH12" i="10"/>
  <c r="AD12" i="10"/>
  <c r="AR4" i="10"/>
  <c r="AN4" i="10"/>
  <c r="AH4" i="10"/>
  <c r="K4" i="10"/>
  <c r="L4" i="10" s="1"/>
  <c r="AD4" i="10"/>
  <c r="BO4" i="10"/>
  <c r="BL4" i="10"/>
  <c r="BD4" i="10"/>
  <c r="AZ4" i="10"/>
  <c r="BA4" i="10" s="1"/>
  <c r="BB4" i="10" s="1"/>
  <c r="BC4" i="10" s="1"/>
  <c r="AV4" i="10"/>
  <c r="K35" i="10"/>
  <c r="BO35" i="10"/>
  <c r="BL35" i="10"/>
  <c r="BD35" i="10"/>
  <c r="BE35" i="10" s="1"/>
  <c r="AZ35" i="10"/>
  <c r="AV35" i="10"/>
  <c r="AR35" i="10"/>
  <c r="AN35" i="10"/>
  <c r="AH35" i="10"/>
  <c r="AD35" i="10"/>
  <c r="K22" i="10"/>
  <c r="BO22" i="10"/>
  <c r="BD22" i="10"/>
  <c r="AZ22" i="10"/>
  <c r="BA22" i="10" s="1"/>
  <c r="BB22" i="10" s="1"/>
  <c r="BC22" i="10" s="1"/>
  <c r="AV22" i="10"/>
  <c r="AW22" i="10" s="1"/>
  <c r="AX22" i="10" s="1"/>
  <c r="AY22" i="10" s="1"/>
  <c r="AR22" i="10"/>
  <c r="AS22" i="10" s="1"/>
  <c r="AN22" i="10"/>
  <c r="BL22" i="10"/>
  <c r="AH22" i="10"/>
  <c r="AD22" i="10"/>
  <c r="BO6" i="10"/>
  <c r="BD6" i="10"/>
  <c r="AZ6" i="10"/>
  <c r="BA6" i="10" s="1"/>
  <c r="BB6" i="10" s="1"/>
  <c r="BC6" i="10" s="1"/>
  <c r="AV6" i="10"/>
  <c r="AR6" i="10"/>
  <c r="AN6" i="10"/>
  <c r="AH6" i="10"/>
  <c r="AD6" i="10"/>
  <c r="K6" i="10"/>
  <c r="BL6" i="10"/>
  <c r="BO11" i="10"/>
  <c r="BL11" i="10"/>
  <c r="BD11" i="10"/>
  <c r="AZ11" i="10"/>
  <c r="BA11" i="10" s="1"/>
  <c r="BB11" i="10" s="1"/>
  <c r="BC11" i="10" s="1"/>
  <c r="AV11" i="10"/>
  <c r="AW11" i="10" s="1"/>
  <c r="AX11" i="10" s="1"/>
  <c r="AY11" i="10" s="1"/>
  <c r="AR11" i="10"/>
  <c r="AS11" i="10" s="1"/>
  <c r="AT11" i="10" s="1"/>
  <c r="AU11" i="10" s="1"/>
  <c r="AN11" i="10"/>
  <c r="AH11" i="10"/>
  <c r="AD11" i="10"/>
  <c r="K11" i="10"/>
  <c r="BO21" i="10"/>
  <c r="BL21" i="10"/>
  <c r="AZ21" i="10"/>
  <c r="BD21" i="10"/>
  <c r="AN21" i="10"/>
  <c r="AH21" i="10"/>
  <c r="AD21" i="10"/>
  <c r="AV21" i="10"/>
  <c r="AW21" i="10" s="1"/>
  <c r="AX21" i="10" s="1"/>
  <c r="AY21" i="10" s="1"/>
  <c r="AR21" i="10"/>
  <c r="AS21" i="10" s="1"/>
  <c r="K21" i="10"/>
  <c r="BL5" i="10"/>
  <c r="AZ5" i="10"/>
  <c r="BD5" i="10"/>
  <c r="BE5" i="10" s="1"/>
  <c r="BF5" i="10" s="1"/>
  <c r="BG5" i="10" s="1"/>
  <c r="AV5" i="10"/>
  <c r="AW5" i="10" s="1"/>
  <c r="AX5" i="10" s="1"/>
  <c r="AY5" i="10" s="1"/>
  <c r="AD5" i="10"/>
  <c r="AR5" i="10"/>
  <c r="AS5" i="10" s="1"/>
  <c r="AN5" i="10"/>
  <c r="K5" i="10"/>
  <c r="AH5" i="10"/>
  <c r="BO5" i="10"/>
  <c r="AD25" i="10"/>
  <c r="K25" i="10"/>
  <c r="BO25" i="10"/>
  <c r="BL25" i="10"/>
  <c r="AV25" i="10"/>
  <c r="BD25" i="10"/>
  <c r="AZ25" i="10"/>
  <c r="BA25" i="10" s="1"/>
  <c r="BB25" i="10" s="1"/>
  <c r="BC25" i="10" s="1"/>
  <c r="AR25" i="10"/>
  <c r="AN25" i="10"/>
  <c r="AH25" i="10"/>
  <c r="K33" i="10"/>
  <c r="BO33" i="10"/>
  <c r="BL33" i="10"/>
  <c r="BD33" i="10"/>
  <c r="BE33" i="10" s="1"/>
  <c r="BF33" i="10" s="1"/>
  <c r="BG33" i="10" s="1"/>
  <c r="AZ33" i="10"/>
  <c r="AV33" i="10"/>
  <c r="AW33" i="10" s="1"/>
  <c r="AX33" i="10" s="1"/>
  <c r="AY33" i="10" s="1"/>
  <c r="AR33" i="10"/>
  <c r="AN33" i="10"/>
  <c r="AH33" i="10"/>
  <c r="AD33" i="10"/>
  <c r="AZ20" i="10"/>
  <c r="BA20" i="10" s="1"/>
  <c r="BB20" i="10" s="1"/>
  <c r="BC20" i="10" s="1"/>
  <c r="AV20" i="10"/>
  <c r="AW20" i="10" s="1"/>
  <c r="AX20" i="10" s="1"/>
  <c r="AY20" i="10" s="1"/>
  <c r="AR20" i="10"/>
  <c r="AS20" i="10" s="1"/>
  <c r="AN20" i="10"/>
  <c r="AH20" i="10"/>
  <c r="K20" i="10"/>
  <c r="AD20" i="10"/>
  <c r="BO20" i="10"/>
  <c r="BL20" i="10"/>
  <c r="BD20" i="10"/>
  <c r="BE20" i="10" s="1"/>
  <c r="BF20" i="10" s="1"/>
  <c r="BG20" i="10" s="1"/>
  <c r="BL16" i="10"/>
  <c r="BO16" i="10"/>
  <c r="BD16" i="10"/>
  <c r="AZ16" i="10"/>
  <c r="AN16" i="10"/>
  <c r="AH16" i="10"/>
  <c r="AD16" i="10"/>
  <c r="AV16" i="10"/>
  <c r="K16" i="10"/>
  <c r="AR16" i="10"/>
  <c r="K30" i="10"/>
  <c r="BO30" i="10"/>
  <c r="BL30" i="10"/>
  <c r="BD30" i="10"/>
  <c r="BE30" i="10" s="1"/>
  <c r="AZ30" i="10"/>
  <c r="BA30" i="10" s="1"/>
  <c r="BB30" i="10" s="1"/>
  <c r="BC30" i="10" s="1"/>
  <c r="AV30" i="10"/>
  <c r="AW30" i="10" s="1"/>
  <c r="AX30" i="10" s="1"/>
  <c r="AY30" i="10" s="1"/>
  <c r="AR30" i="10"/>
  <c r="AS30" i="10" s="1"/>
  <c r="AN30" i="10"/>
  <c r="AH30" i="10"/>
  <c r="AD30" i="10"/>
  <c r="BO34" i="10"/>
  <c r="BL34" i="10"/>
  <c r="BD34" i="10"/>
  <c r="AV34" i="10"/>
  <c r="AW34" i="10" s="1"/>
  <c r="AX34" i="10" s="1"/>
  <c r="AY34" i="10" s="1"/>
  <c r="AZ34" i="10"/>
  <c r="BA34" i="10" s="1"/>
  <c r="BB34" i="10" s="1"/>
  <c r="BC34" i="10" s="1"/>
  <c r="AR34" i="10"/>
  <c r="AN34" i="10"/>
  <c r="AH34" i="10"/>
  <c r="AD34" i="10"/>
  <c r="K34" i="10"/>
  <c r="BO32" i="10"/>
  <c r="BL32" i="10"/>
  <c r="BD32" i="10"/>
  <c r="AZ32" i="10"/>
  <c r="BA32" i="10" s="1"/>
  <c r="BB32" i="10" s="1"/>
  <c r="BC32" i="10" s="1"/>
  <c r="AV32" i="10"/>
  <c r="AW32" i="10" s="1"/>
  <c r="AX32" i="10" s="1"/>
  <c r="AY32" i="10" s="1"/>
  <c r="AR32" i="10"/>
  <c r="AH32" i="10"/>
  <c r="AN32" i="10"/>
  <c r="AD32" i="10"/>
  <c r="K32" i="10"/>
  <c r="AH19" i="10"/>
  <c r="AD19" i="10"/>
  <c r="BO19" i="10"/>
  <c r="BL19" i="10"/>
  <c r="BD19" i="10"/>
  <c r="AZ19" i="10"/>
  <c r="BA19" i="10" s="1"/>
  <c r="BB19" i="10" s="1"/>
  <c r="BC19" i="10" s="1"/>
  <c r="K19" i="10"/>
  <c r="AV19" i="10"/>
  <c r="AW19" i="10" s="1"/>
  <c r="AX19" i="10" s="1"/>
  <c r="AY19" i="10" s="1"/>
  <c r="AR19" i="10"/>
  <c r="AS19" i="10" s="1"/>
  <c r="AN19" i="10"/>
  <c r="BO28" i="10"/>
  <c r="BL28" i="10"/>
  <c r="BD28" i="10"/>
  <c r="BE28" i="10" s="1"/>
  <c r="BF28" i="10" s="1"/>
  <c r="BG28" i="10" s="1"/>
  <c r="AZ28" i="10"/>
  <c r="AV28" i="10"/>
  <c r="AH28" i="10"/>
  <c r="AR28" i="10"/>
  <c r="AS28" i="10" s="1"/>
  <c r="AT28" i="10" s="1"/>
  <c r="AU28" i="10" s="1"/>
  <c r="AD28" i="10"/>
  <c r="K28" i="10"/>
  <c r="AN28" i="10"/>
  <c r="BO31" i="10"/>
  <c r="BL31" i="10"/>
  <c r="AV31" i="10"/>
  <c r="BD31" i="10"/>
  <c r="AZ31" i="10"/>
  <c r="AR31" i="10"/>
  <c r="AN31" i="10"/>
  <c r="AH31" i="10"/>
  <c r="AD31" i="10"/>
  <c r="K31" i="10"/>
  <c r="BO18" i="10"/>
  <c r="BL18" i="10"/>
  <c r="BD18" i="10"/>
  <c r="AZ18" i="10"/>
  <c r="BA18" i="10" s="1"/>
  <c r="BB18" i="10" s="1"/>
  <c r="BC18" i="10" s="1"/>
  <c r="AV18" i="10"/>
  <c r="AW18" i="10" s="1"/>
  <c r="AX18" i="10" s="1"/>
  <c r="AY18" i="10" s="1"/>
  <c r="AR18" i="10"/>
  <c r="AS18" i="10" s="1"/>
  <c r="AT18" i="10" s="1"/>
  <c r="AU18" i="10" s="1"/>
  <c r="AN18" i="10"/>
  <c r="AH18" i="10"/>
  <c r="AD18" i="10"/>
  <c r="K18" i="10"/>
  <c r="BD30" i="3"/>
  <c r="AZ30" i="3"/>
  <c r="AN30" i="3"/>
  <c r="AV30" i="3"/>
  <c r="AD30" i="3"/>
  <c r="AR30" i="3"/>
  <c r="AH30" i="3"/>
  <c r="K30" i="3"/>
  <c r="AZ46" i="3"/>
  <c r="BD46" i="3"/>
  <c r="AN46" i="3"/>
  <c r="AR46" i="3"/>
  <c r="AV46" i="3"/>
  <c r="AD46" i="3"/>
  <c r="AH46" i="3"/>
  <c r="K46" i="3"/>
  <c r="K78" i="3"/>
  <c r="AH78" i="3"/>
  <c r="AZ78" i="3"/>
  <c r="AD78" i="3"/>
  <c r="AR78" i="3"/>
  <c r="AN78" i="3"/>
  <c r="AO78" i="3" s="1"/>
  <c r="AV78" i="3"/>
  <c r="BD78" i="3"/>
  <c r="AN55" i="3"/>
  <c r="AV55" i="3"/>
  <c r="K55" i="3"/>
  <c r="AZ55" i="3"/>
  <c r="AD55" i="3"/>
  <c r="AH55" i="3"/>
  <c r="BD55" i="3"/>
  <c r="AR55" i="3"/>
  <c r="AR29" i="3"/>
  <c r="AN29" i="3"/>
  <c r="AO29" i="3" s="1"/>
  <c r="K29" i="3"/>
  <c r="AH29" i="3"/>
  <c r="BD29" i="3"/>
  <c r="AD29" i="3"/>
  <c r="AV29" i="3"/>
  <c r="AZ29" i="3"/>
  <c r="AZ77" i="3"/>
  <c r="BD77" i="3"/>
  <c r="AN77" i="3"/>
  <c r="AD77" i="3"/>
  <c r="AR77" i="3"/>
  <c r="AS77" i="3" s="1"/>
  <c r="AT77" i="3" s="1"/>
  <c r="AU77" i="3" s="1"/>
  <c r="AV77" i="3"/>
  <c r="K77" i="3"/>
  <c r="AH77" i="3"/>
  <c r="AZ54" i="3"/>
  <c r="BD54" i="3"/>
  <c r="AN54" i="3"/>
  <c r="AD54" i="3"/>
  <c r="AR54" i="3"/>
  <c r="AS54" i="3" s="1"/>
  <c r="AV54" i="3"/>
  <c r="AH54" i="3"/>
  <c r="K54" i="3"/>
  <c r="AV13" i="3"/>
  <c r="AN13" i="3"/>
  <c r="AZ13" i="3"/>
  <c r="AH13" i="3"/>
  <c r="AD13" i="3"/>
  <c r="K13" i="3"/>
  <c r="AR13" i="3"/>
  <c r="BD13" i="3"/>
  <c r="AV32" i="3"/>
  <c r="AR32" i="3"/>
  <c r="AD32" i="3"/>
  <c r="K32" i="3"/>
  <c r="BD32" i="3"/>
  <c r="AH32" i="3"/>
  <c r="AN32" i="3"/>
  <c r="AZ32" i="3"/>
  <c r="K45" i="3"/>
  <c r="AZ45" i="3"/>
  <c r="AH45" i="3"/>
  <c r="AR45" i="3"/>
  <c r="AN45" i="3"/>
  <c r="AD45" i="3"/>
  <c r="AV45" i="3"/>
  <c r="BD45" i="3"/>
  <c r="AZ76" i="3"/>
  <c r="BD76" i="3"/>
  <c r="AN76" i="3"/>
  <c r="AD76" i="3"/>
  <c r="AV76" i="3"/>
  <c r="AR76" i="3"/>
  <c r="K76" i="3"/>
  <c r="AH76" i="3"/>
  <c r="AZ53" i="3"/>
  <c r="BD53" i="3"/>
  <c r="AN53" i="3"/>
  <c r="AV53" i="3"/>
  <c r="AD53" i="3"/>
  <c r="AR53" i="3"/>
  <c r="AH53" i="3"/>
  <c r="K53" i="3"/>
  <c r="K17" i="3"/>
  <c r="AD17" i="3"/>
  <c r="AH17" i="3"/>
  <c r="AZ17" i="3"/>
  <c r="AR17" i="3"/>
  <c r="BD17" i="3"/>
  <c r="AN17" i="3"/>
  <c r="AV17" i="3"/>
  <c r="AN33" i="3"/>
  <c r="AO33" i="3" s="1"/>
  <c r="K33" i="3"/>
  <c r="BD33" i="3"/>
  <c r="AH33" i="3"/>
  <c r="AV33" i="3"/>
  <c r="AR33" i="3"/>
  <c r="AD33" i="3"/>
  <c r="AZ33" i="3"/>
  <c r="K75" i="3"/>
  <c r="AH75" i="3"/>
  <c r="AZ75" i="3"/>
  <c r="AR75" i="3"/>
  <c r="AN75" i="3"/>
  <c r="AO75" i="3" s="1"/>
  <c r="AV75" i="3"/>
  <c r="AD75" i="3"/>
  <c r="BD75" i="3"/>
  <c r="AZ52" i="3"/>
  <c r="BD52" i="3"/>
  <c r="AN52" i="3"/>
  <c r="AR52" i="3"/>
  <c r="AS52" i="3" s="1"/>
  <c r="AT52" i="3" s="1"/>
  <c r="AU52" i="3" s="1"/>
  <c r="AV52" i="3"/>
  <c r="AD52" i="3"/>
  <c r="AH52" i="3"/>
  <c r="K52" i="3"/>
  <c r="AD74" i="3"/>
  <c r="K74" i="3"/>
  <c r="AH74" i="3"/>
  <c r="AZ74" i="3"/>
  <c r="AR74" i="3"/>
  <c r="AN74" i="3"/>
  <c r="AO74" i="3" s="1"/>
  <c r="AV74" i="3"/>
  <c r="BD74" i="3"/>
  <c r="AD67" i="3"/>
  <c r="AH67" i="3"/>
  <c r="K67" i="3"/>
  <c r="BD67" i="3"/>
  <c r="AR67" i="3"/>
  <c r="AN67" i="3"/>
  <c r="AV67" i="3"/>
  <c r="AZ67" i="3"/>
  <c r="AR51" i="3"/>
  <c r="AN51" i="3"/>
  <c r="AO51" i="3" s="1"/>
  <c r="AV51" i="3"/>
  <c r="AD51" i="3"/>
  <c r="AZ51" i="3"/>
  <c r="AH51" i="3"/>
  <c r="BD51" i="3"/>
  <c r="K51" i="3"/>
  <c r="AD35" i="3"/>
  <c r="K35" i="3"/>
  <c r="BD35" i="3"/>
  <c r="AH35" i="3"/>
  <c r="AR35" i="3"/>
  <c r="AN35" i="3"/>
  <c r="AV35" i="3"/>
  <c r="AZ35" i="3"/>
  <c r="AD66" i="3"/>
  <c r="K66" i="3"/>
  <c r="BD66" i="3"/>
  <c r="AH66" i="3"/>
  <c r="AR66" i="3"/>
  <c r="AN66" i="3"/>
  <c r="AV66" i="3"/>
  <c r="AZ66" i="3"/>
  <c r="AR50" i="3"/>
  <c r="AN50" i="3"/>
  <c r="AO50" i="3" s="1"/>
  <c r="AV50" i="3"/>
  <c r="AZ50" i="3"/>
  <c r="AD50" i="3"/>
  <c r="BD50" i="3"/>
  <c r="K50" i="3"/>
  <c r="AH50" i="3"/>
  <c r="AZ49" i="3"/>
  <c r="BD49" i="3"/>
  <c r="AN49" i="3"/>
  <c r="AR49" i="3"/>
  <c r="AV49" i="3"/>
  <c r="AD49" i="3"/>
  <c r="AH49" i="3"/>
  <c r="K49" i="3"/>
  <c r="AZ71" i="3"/>
  <c r="BD71" i="3"/>
  <c r="AN71" i="3"/>
  <c r="AR71" i="3"/>
  <c r="AS71" i="3" s="1"/>
  <c r="AT71" i="3" s="1"/>
  <c r="AU71" i="3" s="1"/>
  <c r="AD71" i="3"/>
  <c r="AV71" i="3"/>
  <c r="K71" i="3"/>
  <c r="AH71" i="3"/>
  <c r="AH64" i="3"/>
  <c r="AD64" i="3"/>
  <c r="BD64" i="3"/>
  <c r="K64" i="3"/>
  <c r="AR64" i="3"/>
  <c r="AN64" i="3"/>
  <c r="AV64" i="3"/>
  <c r="AZ64" i="3"/>
  <c r="AR48" i="3"/>
  <c r="AN48" i="3"/>
  <c r="AO48" i="3" s="1"/>
  <c r="AD48" i="3"/>
  <c r="AV48" i="3"/>
  <c r="AZ48" i="3"/>
  <c r="AH48" i="3"/>
  <c r="BD48" i="3"/>
  <c r="K48" i="3"/>
  <c r="AH47" i="3"/>
  <c r="AR47" i="3"/>
  <c r="AN47" i="3"/>
  <c r="AO47" i="3" s="1"/>
  <c r="AD47" i="3"/>
  <c r="AV47" i="3"/>
  <c r="AZ47" i="3"/>
  <c r="K47" i="3"/>
  <c r="BD47" i="3"/>
  <c r="K6" i="3"/>
  <c r="AH6" i="3"/>
  <c r="AR6" i="3"/>
  <c r="BD6" i="3"/>
  <c r="AN6" i="3"/>
  <c r="AV6" i="3"/>
  <c r="AD6" i="3"/>
  <c r="AZ6" i="3"/>
  <c r="AD22" i="3"/>
  <c r="AZ22" i="3"/>
  <c r="K22" i="3"/>
  <c r="AH22" i="3"/>
  <c r="AR22" i="3"/>
  <c r="AS22" i="3" s="1"/>
  <c r="AT22" i="3" s="1"/>
  <c r="AU22" i="3" s="1"/>
  <c r="BD22" i="3"/>
  <c r="AN22" i="3"/>
  <c r="AV22" i="3"/>
  <c r="BD38" i="3"/>
  <c r="K38" i="3"/>
  <c r="AH38" i="3"/>
  <c r="AR38" i="3"/>
  <c r="AD38" i="3"/>
  <c r="AN38" i="3"/>
  <c r="AV38" i="3"/>
  <c r="AZ38" i="3"/>
  <c r="AN34" i="3"/>
  <c r="AO34" i="3" s="1"/>
  <c r="K34" i="3"/>
  <c r="AV34" i="3"/>
  <c r="BD34" i="3"/>
  <c r="AH34" i="3"/>
  <c r="AR34" i="3"/>
  <c r="AD34" i="3"/>
  <c r="AZ34" i="3"/>
  <c r="AH20" i="3"/>
  <c r="AD20" i="3"/>
  <c r="K20" i="3"/>
  <c r="AZ20" i="3"/>
  <c r="AR20" i="3"/>
  <c r="AS20" i="3" s="1"/>
  <c r="BD20" i="3"/>
  <c r="AN20" i="3"/>
  <c r="AV20" i="3"/>
  <c r="AD92" i="3"/>
  <c r="K92" i="3"/>
  <c r="AH92" i="3"/>
  <c r="AZ92" i="3"/>
  <c r="AR92" i="3"/>
  <c r="AN92" i="3"/>
  <c r="AV92" i="3"/>
  <c r="BD92" i="3"/>
  <c r="AR86" i="3"/>
  <c r="AD86" i="3"/>
  <c r="AN86" i="3"/>
  <c r="AV86" i="3"/>
  <c r="AH86" i="3"/>
  <c r="BD86" i="3"/>
  <c r="K86" i="3"/>
  <c r="AZ86" i="3"/>
  <c r="AV70" i="3"/>
  <c r="K70" i="3"/>
  <c r="AH70" i="3"/>
  <c r="AR70" i="3"/>
  <c r="AD70" i="3"/>
  <c r="AZ70" i="3"/>
  <c r="AN70" i="3"/>
  <c r="AO70" i="3" s="1"/>
  <c r="BD70" i="3"/>
  <c r="AH63" i="3"/>
  <c r="AD63" i="3"/>
  <c r="K63" i="3"/>
  <c r="BD63" i="3"/>
  <c r="AR63" i="3"/>
  <c r="AN63" i="3"/>
  <c r="AV63" i="3"/>
  <c r="AZ63" i="3"/>
  <c r="AD72" i="3"/>
  <c r="K72" i="3"/>
  <c r="AH72" i="3"/>
  <c r="AR72" i="3"/>
  <c r="AZ72" i="3"/>
  <c r="AN72" i="3"/>
  <c r="AO72" i="3" s="1"/>
  <c r="AV72" i="3"/>
  <c r="BD72" i="3"/>
  <c r="AH7" i="3"/>
  <c r="AR7" i="3"/>
  <c r="AS7" i="3" s="1"/>
  <c r="AT7" i="3" s="1"/>
  <c r="AU7" i="3" s="1"/>
  <c r="AD7" i="3"/>
  <c r="BD7" i="3"/>
  <c r="AN7" i="3"/>
  <c r="AV7" i="3"/>
  <c r="K7" i="3"/>
  <c r="AZ7" i="3"/>
  <c r="AZ23" i="3"/>
  <c r="BD23" i="3"/>
  <c r="AN23" i="3"/>
  <c r="AR23" i="3"/>
  <c r="AD23" i="3"/>
  <c r="AV23" i="3"/>
  <c r="AH23" i="3"/>
  <c r="K23" i="3"/>
  <c r="BD39" i="3"/>
  <c r="K39" i="3"/>
  <c r="AH39" i="3"/>
  <c r="AD39" i="3"/>
  <c r="AR39" i="3"/>
  <c r="AN39" i="3"/>
  <c r="AO39" i="3" s="1"/>
  <c r="AV39" i="3"/>
  <c r="AZ39" i="3"/>
  <c r="AD91" i="3"/>
  <c r="AH91" i="3"/>
  <c r="AZ91" i="3"/>
  <c r="K91" i="3"/>
  <c r="AR91" i="3"/>
  <c r="AN91" i="3"/>
  <c r="AO91" i="3" s="1"/>
  <c r="AV91" i="3"/>
  <c r="BD91" i="3"/>
  <c r="AR85" i="3"/>
  <c r="AN85" i="3"/>
  <c r="AO85" i="3" s="1"/>
  <c r="AV85" i="3"/>
  <c r="AD85" i="3"/>
  <c r="BD85" i="3"/>
  <c r="K85" i="3"/>
  <c r="AZ85" i="3"/>
  <c r="AH85" i="3"/>
  <c r="AZ69" i="3"/>
  <c r="AV69" i="3"/>
  <c r="K69" i="3"/>
  <c r="AN69" i="3"/>
  <c r="AO69" i="3" s="1"/>
  <c r="AH69" i="3"/>
  <c r="AR69" i="3"/>
  <c r="AD69" i="3"/>
  <c r="BD69" i="3"/>
  <c r="K62" i="3"/>
  <c r="AD62" i="3"/>
  <c r="AH62" i="3"/>
  <c r="BD62" i="3"/>
  <c r="AR62" i="3"/>
  <c r="AN62" i="3"/>
  <c r="AV62" i="3"/>
  <c r="AZ62" i="3"/>
  <c r="AR8" i="3"/>
  <c r="BD8" i="3"/>
  <c r="AN8" i="3"/>
  <c r="AV8" i="3"/>
  <c r="AD8" i="3"/>
  <c r="AH8" i="3"/>
  <c r="AZ8" i="3"/>
  <c r="K8" i="3"/>
  <c r="AH24" i="3"/>
  <c r="AD24" i="3"/>
  <c r="AZ24" i="3"/>
  <c r="K24" i="3"/>
  <c r="BD24" i="3"/>
  <c r="AR24" i="3"/>
  <c r="AN24" i="3"/>
  <c r="AV24" i="3"/>
  <c r="BD40" i="3"/>
  <c r="K40" i="3"/>
  <c r="AH40" i="3"/>
  <c r="AR40" i="3"/>
  <c r="AN40" i="3"/>
  <c r="AO40" i="3" s="1"/>
  <c r="AV40" i="3"/>
  <c r="AD40" i="3"/>
  <c r="AZ40" i="3"/>
  <c r="AR31" i="3"/>
  <c r="AN31" i="3"/>
  <c r="AO31" i="3" s="1"/>
  <c r="K31" i="3"/>
  <c r="BD31" i="3"/>
  <c r="AH31" i="3"/>
  <c r="AV31" i="3"/>
  <c r="AZ31" i="3"/>
  <c r="AD31" i="3"/>
  <c r="AD93" i="3"/>
  <c r="AH93" i="3"/>
  <c r="K93" i="3"/>
  <c r="AZ93" i="3"/>
  <c r="AR93" i="3"/>
  <c r="AN93" i="3"/>
  <c r="AO93" i="3" s="1"/>
  <c r="AV93" i="3"/>
  <c r="BD93" i="3"/>
  <c r="AD90" i="3"/>
  <c r="AH90" i="3"/>
  <c r="K90" i="3"/>
  <c r="AZ90" i="3"/>
  <c r="AR90" i="3"/>
  <c r="AN90" i="3"/>
  <c r="AO90" i="3" s="1"/>
  <c r="AV90" i="3"/>
  <c r="BD90" i="3"/>
  <c r="AR84" i="3"/>
  <c r="AN84" i="3"/>
  <c r="AO84" i="3" s="1"/>
  <c r="AV84" i="3"/>
  <c r="AD84" i="3"/>
  <c r="BD84" i="3"/>
  <c r="AH84" i="3"/>
  <c r="K84" i="3"/>
  <c r="AZ84" i="3"/>
  <c r="AV68" i="3"/>
  <c r="AN68" i="3"/>
  <c r="AO68" i="3" s="1"/>
  <c r="K68" i="3"/>
  <c r="AH68" i="3"/>
  <c r="AD68" i="3"/>
  <c r="AR68" i="3"/>
  <c r="AZ68" i="3"/>
  <c r="BD68" i="3"/>
  <c r="K61" i="3"/>
  <c r="AH61" i="3"/>
  <c r="AD61" i="3"/>
  <c r="BD61" i="3"/>
  <c r="AR61" i="3"/>
  <c r="AN61" i="3"/>
  <c r="AV61" i="3"/>
  <c r="AZ61" i="3"/>
  <c r="K15" i="3"/>
  <c r="AH15" i="3"/>
  <c r="AD15" i="3"/>
  <c r="AZ15" i="3"/>
  <c r="AR15" i="3"/>
  <c r="BD15" i="3"/>
  <c r="AN15" i="3"/>
  <c r="AV15" i="3"/>
  <c r="AZ94" i="3"/>
  <c r="BD94" i="3"/>
  <c r="AN94" i="3"/>
  <c r="AR94" i="3"/>
  <c r="AV94" i="3"/>
  <c r="AD94" i="3"/>
  <c r="AH94" i="3"/>
  <c r="K94" i="3"/>
  <c r="AR9" i="3"/>
  <c r="AD9" i="3"/>
  <c r="BD9" i="3"/>
  <c r="AN9" i="3"/>
  <c r="K9" i="3"/>
  <c r="AV9" i="3"/>
  <c r="AZ9" i="3"/>
  <c r="AH9" i="3"/>
  <c r="AD25" i="3"/>
  <c r="K25" i="3"/>
  <c r="AH25" i="3"/>
  <c r="AZ25" i="3"/>
  <c r="BD25" i="3"/>
  <c r="AR25" i="3"/>
  <c r="AN25" i="3"/>
  <c r="AV25" i="3"/>
  <c r="BD41" i="3"/>
  <c r="K41" i="3"/>
  <c r="AH41" i="3"/>
  <c r="AD41" i="3"/>
  <c r="AR41" i="3"/>
  <c r="AN41" i="3"/>
  <c r="AV41" i="3"/>
  <c r="AZ41" i="3"/>
  <c r="AZ14" i="3"/>
  <c r="AH14" i="3"/>
  <c r="AD14" i="3"/>
  <c r="K14" i="3"/>
  <c r="AR14" i="3"/>
  <c r="AV14" i="3"/>
  <c r="BD14" i="3"/>
  <c r="AN14" i="3"/>
  <c r="BD89" i="3"/>
  <c r="AZ89" i="3"/>
  <c r="AN89" i="3"/>
  <c r="AD89" i="3"/>
  <c r="AR89" i="3"/>
  <c r="AV89" i="3"/>
  <c r="AH89" i="3"/>
  <c r="K89" i="3"/>
  <c r="AZ83" i="3"/>
  <c r="AH83" i="3"/>
  <c r="AR83" i="3"/>
  <c r="AN83" i="3"/>
  <c r="AO83" i="3" s="1"/>
  <c r="AV83" i="3"/>
  <c r="AD83" i="3"/>
  <c r="K83" i="3"/>
  <c r="BD83" i="3"/>
  <c r="AZ60" i="3"/>
  <c r="AH60" i="3"/>
  <c r="AD60" i="3"/>
  <c r="K60" i="3"/>
  <c r="BD60" i="3"/>
  <c r="AR60" i="3"/>
  <c r="AN60" i="3"/>
  <c r="AV60" i="3"/>
  <c r="K65" i="3"/>
  <c r="AH65" i="3"/>
  <c r="AD65" i="3"/>
  <c r="BD65" i="3"/>
  <c r="AR65" i="3"/>
  <c r="AN65" i="3"/>
  <c r="AV65" i="3"/>
  <c r="AZ65" i="3"/>
  <c r="AR10" i="3"/>
  <c r="BD10" i="3"/>
  <c r="AN10" i="3"/>
  <c r="AV10" i="3"/>
  <c r="AD10" i="3"/>
  <c r="K10" i="3"/>
  <c r="AH10" i="3"/>
  <c r="AZ10" i="3"/>
  <c r="AZ26" i="3"/>
  <c r="BD26" i="3"/>
  <c r="AN26" i="3"/>
  <c r="AD26" i="3"/>
  <c r="AR26" i="3"/>
  <c r="AV26" i="3"/>
  <c r="K26" i="3"/>
  <c r="AH26" i="3"/>
  <c r="BD42" i="3"/>
  <c r="AZ42" i="3"/>
  <c r="AN42" i="3"/>
  <c r="AR42" i="3"/>
  <c r="AD42" i="3"/>
  <c r="AV42" i="3"/>
  <c r="K42" i="3"/>
  <c r="AH42" i="3"/>
  <c r="AD79" i="3"/>
  <c r="K79" i="3"/>
  <c r="AH79" i="3"/>
  <c r="AZ79" i="3"/>
  <c r="AR79" i="3"/>
  <c r="AN79" i="3"/>
  <c r="AO79" i="3" s="1"/>
  <c r="AV79" i="3"/>
  <c r="BD79" i="3"/>
  <c r="K16" i="3"/>
  <c r="AD16" i="3"/>
  <c r="AH16" i="3"/>
  <c r="AZ16" i="3"/>
  <c r="AR16" i="3"/>
  <c r="BD16" i="3"/>
  <c r="AN16" i="3"/>
  <c r="AV16" i="3"/>
  <c r="BD37" i="3"/>
  <c r="AZ37" i="3"/>
  <c r="AN37" i="3"/>
  <c r="AV37" i="3"/>
  <c r="AD37" i="3"/>
  <c r="AR37" i="3"/>
  <c r="AS37" i="3" s="1"/>
  <c r="AT37" i="3" s="1"/>
  <c r="AU37" i="3" s="1"/>
  <c r="K37" i="3"/>
  <c r="AH37" i="3"/>
  <c r="BD88" i="3"/>
  <c r="AH88" i="3"/>
  <c r="AD88" i="3"/>
  <c r="K88" i="3"/>
  <c r="AZ88" i="3"/>
  <c r="AR88" i="3"/>
  <c r="AN88" i="3"/>
  <c r="AV88" i="3"/>
  <c r="AZ82" i="3"/>
  <c r="BD82" i="3"/>
  <c r="AN82" i="3"/>
  <c r="AR82" i="3"/>
  <c r="AS82" i="3" s="1"/>
  <c r="AT82" i="3" s="1"/>
  <c r="AU82" i="3" s="1"/>
  <c r="AV82" i="3"/>
  <c r="AD82" i="3"/>
  <c r="K82" i="3"/>
  <c r="AH82" i="3"/>
  <c r="AH59" i="3"/>
  <c r="AZ59" i="3"/>
  <c r="K59" i="3"/>
  <c r="AD59" i="3"/>
  <c r="BD59" i="3"/>
  <c r="AR59" i="3"/>
  <c r="AN59" i="3"/>
  <c r="AV59" i="3"/>
  <c r="AH18" i="3"/>
  <c r="AD18" i="3"/>
  <c r="AZ18" i="3"/>
  <c r="K18" i="3"/>
  <c r="AR18" i="3"/>
  <c r="BD18" i="3"/>
  <c r="AN18" i="3"/>
  <c r="AV18" i="3"/>
  <c r="AH19" i="3"/>
  <c r="AD19" i="3"/>
  <c r="AZ19" i="3"/>
  <c r="K19" i="3"/>
  <c r="AR19" i="3"/>
  <c r="BD19" i="3"/>
  <c r="AN19" i="3"/>
  <c r="AV19" i="3"/>
  <c r="AD36" i="3"/>
  <c r="K36" i="3"/>
  <c r="BD36" i="3"/>
  <c r="AH36" i="3"/>
  <c r="AR36" i="3"/>
  <c r="AN36" i="3"/>
  <c r="AO36" i="3" s="1"/>
  <c r="AV36" i="3"/>
  <c r="AZ36" i="3"/>
  <c r="AZ5" i="3"/>
  <c r="BD5" i="3"/>
  <c r="AN5" i="3"/>
  <c r="AD5" i="3"/>
  <c r="AR5" i="3"/>
  <c r="AV5" i="3"/>
  <c r="K5" i="3"/>
  <c r="AH5" i="3"/>
  <c r="BD11" i="3"/>
  <c r="AD11" i="3"/>
  <c r="AN11" i="3"/>
  <c r="AV11" i="3"/>
  <c r="AH11" i="3"/>
  <c r="K11" i="3"/>
  <c r="AR11" i="3"/>
  <c r="AZ11" i="3"/>
  <c r="AZ27" i="3"/>
  <c r="BD27" i="3"/>
  <c r="AN27" i="3"/>
  <c r="AV27" i="3"/>
  <c r="AD27" i="3"/>
  <c r="AR27" i="3"/>
  <c r="K27" i="3"/>
  <c r="AH27" i="3"/>
  <c r="BD43" i="3"/>
  <c r="AZ43" i="3"/>
  <c r="AN43" i="3"/>
  <c r="AR43" i="3"/>
  <c r="AD43" i="3"/>
  <c r="AV43" i="3"/>
  <c r="AH43" i="3"/>
  <c r="K43" i="3"/>
  <c r="AN56" i="3"/>
  <c r="AV56" i="3"/>
  <c r="AZ56" i="3"/>
  <c r="K56" i="3"/>
  <c r="AH56" i="3"/>
  <c r="AD56" i="3"/>
  <c r="BD56" i="3"/>
  <c r="AR56" i="3"/>
  <c r="BD87" i="3"/>
  <c r="AH87" i="3"/>
  <c r="AD87" i="3"/>
  <c r="K87" i="3"/>
  <c r="AZ87" i="3"/>
  <c r="AR87" i="3"/>
  <c r="AN87" i="3"/>
  <c r="AV87" i="3"/>
  <c r="K81" i="3"/>
  <c r="AH81" i="3"/>
  <c r="AZ81" i="3"/>
  <c r="AR81" i="3"/>
  <c r="AN81" i="3"/>
  <c r="AO81" i="3" s="1"/>
  <c r="AV81" i="3"/>
  <c r="AD81" i="3"/>
  <c r="BD81" i="3"/>
  <c r="AZ58" i="3"/>
  <c r="K58" i="3"/>
  <c r="AH58" i="3"/>
  <c r="AD58" i="3"/>
  <c r="BD58" i="3"/>
  <c r="AR58" i="3"/>
  <c r="AV58" i="3"/>
  <c r="AN58" i="3"/>
  <c r="AD21" i="3"/>
  <c r="AZ21" i="3"/>
  <c r="AH21" i="3"/>
  <c r="K21" i="3"/>
  <c r="AR21" i="3"/>
  <c r="BD21" i="3"/>
  <c r="AN21" i="3"/>
  <c r="AV21" i="3"/>
  <c r="AN12" i="3"/>
  <c r="K12" i="3"/>
  <c r="AV12" i="3"/>
  <c r="AH12" i="3"/>
  <c r="BD12" i="3"/>
  <c r="AD12" i="3"/>
  <c r="AZ12" i="3"/>
  <c r="AR12" i="3"/>
  <c r="AZ28" i="3"/>
  <c r="AD28" i="3"/>
  <c r="AR28" i="3"/>
  <c r="AH28" i="3"/>
  <c r="AN28" i="3"/>
  <c r="K28" i="3"/>
  <c r="BD28" i="3"/>
  <c r="AV28" i="3"/>
  <c r="K44" i="3"/>
  <c r="AH44" i="3"/>
  <c r="BD44" i="3"/>
  <c r="AR44" i="3"/>
  <c r="AN44" i="3"/>
  <c r="AO44" i="3" s="1"/>
  <c r="AV44" i="3"/>
  <c r="AD44" i="3"/>
  <c r="AZ44" i="3"/>
  <c r="AZ73" i="3"/>
  <c r="BD73" i="3"/>
  <c r="AN73" i="3"/>
  <c r="AR73" i="3"/>
  <c r="AD73" i="3"/>
  <c r="AV73" i="3"/>
  <c r="AH73" i="3"/>
  <c r="K73" i="3"/>
  <c r="K80" i="3"/>
  <c r="AH80" i="3"/>
  <c r="AZ80" i="3"/>
  <c r="AR80" i="3"/>
  <c r="AD80" i="3"/>
  <c r="AN80" i="3"/>
  <c r="AV80" i="3"/>
  <c r="BD80" i="3"/>
  <c r="AV57" i="3"/>
  <c r="AZ57" i="3"/>
  <c r="AH57" i="3"/>
  <c r="AD57" i="3"/>
  <c r="K57" i="3"/>
  <c r="BD57" i="3"/>
  <c r="AN57" i="3"/>
  <c r="AR57" i="3"/>
  <c r="BL76" i="3"/>
  <c r="BO76" i="3"/>
  <c r="BL53" i="3"/>
  <c r="BO53" i="3"/>
  <c r="BO17" i="3"/>
  <c r="BO33" i="3"/>
  <c r="BL33" i="3"/>
  <c r="BL52" i="3"/>
  <c r="BO52" i="3"/>
  <c r="CA52" i="3" s="1"/>
  <c r="BL54" i="3"/>
  <c r="BO54" i="3"/>
  <c r="BL74" i="3"/>
  <c r="BO74" i="3"/>
  <c r="CA74" i="3" s="1"/>
  <c r="BO67" i="3"/>
  <c r="BL67" i="3"/>
  <c r="BL51" i="3"/>
  <c r="BO51" i="3"/>
  <c r="BO35" i="3"/>
  <c r="BO16" i="3"/>
  <c r="BL73" i="3"/>
  <c r="BO73" i="3"/>
  <c r="BO66" i="3"/>
  <c r="BL50" i="3"/>
  <c r="BO50" i="3"/>
  <c r="BL94" i="3"/>
  <c r="BO94" i="3"/>
  <c r="BL72" i="3"/>
  <c r="BO72" i="3"/>
  <c r="BO65" i="3"/>
  <c r="BL49" i="3"/>
  <c r="BO49" i="3"/>
  <c r="BO48" i="3"/>
  <c r="BL48" i="3"/>
  <c r="BO86" i="3"/>
  <c r="BL86" i="3"/>
  <c r="BL70" i="3"/>
  <c r="BO70" i="3"/>
  <c r="BL63" i="3"/>
  <c r="BO63" i="3"/>
  <c r="BL7" i="3"/>
  <c r="BO7" i="3"/>
  <c r="BO85" i="3"/>
  <c r="BL85" i="3"/>
  <c r="BL69" i="3"/>
  <c r="BO69" i="3"/>
  <c r="BL62" i="3"/>
  <c r="BO62" i="3"/>
  <c r="BL77" i="3"/>
  <c r="BO77" i="3"/>
  <c r="BL22" i="3"/>
  <c r="BO22" i="3"/>
  <c r="BL90" i="3"/>
  <c r="BO90" i="3"/>
  <c r="BL84" i="3"/>
  <c r="BO84" i="3"/>
  <c r="BL68" i="3"/>
  <c r="BO68" i="3"/>
  <c r="BL61" i="3"/>
  <c r="BO61" i="3"/>
  <c r="BL75" i="3"/>
  <c r="BO75" i="3"/>
  <c r="BL9" i="3"/>
  <c r="BO9" i="3"/>
  <c r="BO25" i="3"/>
  <c r="BL25" i="3"/>
  <c r="BO41" i="3"/>
  <c r="BL41" i="3"/>
  <c r="BL32" i="3"/>
  <c r="BO32" i="3"/>
  <c r="BO38" i="3"/>
  <c r="BL38" i="3"/>
  <c r="BL23" i="3"/>
  <c r="BO23" i="3"/>
  <c r="BO89" i="3"/>
  <c r="BL89" i="3"/>
  <c r="BL83" i="3"/>
  <c r="BO83" i="3"/>
  <c r="BO60" i="3"/>
  <c r="BL60" i="3"/>
  <c r="BO19" i="3"/>
  <c r="BL19" i="3"/>
  <c r="BL10" i="3"/>
  <c r="BO10" i="3"/>
  <c r="CA10" i="3" s="1"/>
  <c r="BL26" i="3"/>
  <c r="BO26" i="3"/>
  <c r="BL42" i="3"/>
  <c r="BO42" i="3"/>
  <c r="BO40" i="3"/>
  <c r="BL40" i="3"/>
  <c r="BL88" i="3"/>
  <c r="BO88" i="3"/>
  <c r="BL82" i="3"/>
  <c r="BO82" i="3"/>
  <c r="BL59" i="3"/>
  <c r="BO59" i="3"/>
  <c r="BL21" i="3"/>
  <c r="BO21" i="3"/>
  <c r="BL5" i="3"/>
  <c r="BO5" i="3"/>
  <c r="BO11" i="3"/>
  <c r="BL11" i="3"/>
  <c r="BO27" i="3"/>
  <c r="BL27" i="3"/>
  <c r="BO43" i="3"/>
  <c r="BL43" i="3"/>
  <c r="BL71" i="3"/>
  <c r="BO71" i="3"/>
  <c r="BL39" i="3"/>
  <c r="BO39" i="3"/>
  <c r="BL87" i="3"/>
  <c r="BO87" i="3"/>
  <c r="BO81" i="3"/>
  <c r="BL81" i="3"/>
  <c r="BL58" i="3"/>
  <c r="BO58" i="3"/>
  <c r="BO37" i="3"/>
  <c r="BL37" i="3"/>
  <c r="BO6" i="3"/>
  <c r="BL6" i="3"/>
  <c r="BL91" i="3"/>
  <c r="BO91" i="3"/>
  <c r="BL12" i="3"/>
  <c r="BO12" i="3"/>
  <c r="BO28" i="3"/>
  <c r="BL28" i="3"/>
  <c r="BL44" i="3"/>
  <c r="BO44" i="3"/>
  <c r="BL24" i="3"/>
  <c r="BO24" i="3"/>
  <c r="BO80" i="3"/>
  <c r="BL57" i="3"/>
  <c r="BO57" i="3"/>
  <c r="BL92" i="3"/>
  <c r="BO92" i="3"/>
  <c r="BL13" i="3"/>
  <c r="BO13" i="3"/>
  <c r="BO29" i="3"/>
  <c r="BL29" i="3"/>
  <c r="BL45" i="3"/>
  <c r="BO45" i="3"/>
  <c r="BO18" i="3"/>
  <c r="BL79" i="3"/>
  <c r="BO79" i="3"/>
  <c r="BL56" i="3"/>
  <c r="BO56" i="3"/>
  <c r="BO34" i="3"/>
  <c r="BL34" i="3"/>
  <c r="BL8" i="3"/>
  <c r="BO8" i="3"/>
  <c r="BO14" i="3"/>
  <c r="BL14" i="3"/>
  <c r="BO30" i="3"/>
  <c r="BL30" i="3"/>
  <c r="BL46" i="3"/>
  <c r="BO46" i="3"/>
  <c r="BO36" i="3"/>
  <c r="BL36" i="3"/>
  <c r="BO93" i="3"/>
  <c r="BL93" i="3"/>
  <c r="BL78" i="3"/>
  <c r="BO78" i="3"/>
  <c r="BL55" i="3"/>
  <c r="BO55" i="3"/>
  <c r="BO20" i="3"/>
  <c r="BL20" i="3"/>
  <c r="BO64" i="3"/>
  <c r="BL15" i="3"/>
  <c r="BO15" i="3"/>
  <c r="BL31" i="3"/>
  <c r="BO31" i="3"/>
  <c r="BO47" i="3"/>
  <c r="BL47" i="3"/>
  <c r="G17" i="7"/>
  <c r="C17" i="7"/>
  <c r="D16" i="7"/>
  <c r="C14" i="7"/>
  <c r="D8" i="7"/>
  <c r="H7" i="7"/>
  <c r="G7" i="7"/>
  <c r="F14" i="7"/>
  <c r="C9" i="7"/>
  <c r="C18" i="7"/>
  <c r="F17" i="7"/>
  <c r="H11" i="7"/>
  <c r="H8" i="7"/>
  <c r="G16" i="7"/>
  <c r="D11" i="7"/>
  <c r="D17" i="7"/>
  <c r="H16" i="7"/>
  <c r="G11" i="7"/>
  <c r="F9" i="7"/>
  <c r="G8" i="7"/>
  <c r="C8" i="7"/>
  <c r="D7" i="7"/>
  <c r="H17" i="7"/>
  <c r="C13" i="7"/>
  <c r="F8" i="7"/>
  <c r="H15" i="7"/>
  <c r="I17" i="7"/>
  <c r="I9" i="7"/>
  <c r="G9" i="7"/>
  <c r="C15" i="7"/>
  <c r="H9" i="7"/>
  <c r="G15" i="7"/>
  <c r="I8" i="7"/>
  <c r="F11" i="7"/>
  <c r="I15" i="7"/>
  <c r="C10" i="7"/>
  <c r="F15" i="7"/>
  <c r="C11" i="7"/>
  <c r="C16" i="7"/>
  <c r="I14" i="7"/>
  <c r="F7" i="7"/>
  <c r="I11" i="7"/>
  <c r="I16" i="7"/>
  <c r="C7" i="7"/>
  <c r="D14" i="7"/>
  <c r="C20" i="7"/>
  <c r="F16" i="7"/>
  <c r="I7" i="7"/>
  <c r="G14" i="7"/>
  <c r="C19" i="7"/>
  <c r="D9" i="7"/>
  <c r="H14" i="7"/>
  <c r="D15" i="7"/>
  <c r="I6" i="7"/>
  <c r="G6" i="7"/>
  <c r="F6" i="7"/>
  <c r="H6" i="7"/>
  <c r="R10" i="10" l="1"/>
  <c r="X10" i="10"/>
  <c r="P10" i="10"/>
  <c r="V10" i="10"/>
  <c r="R18" i="10"/>
  <c r="V18" i="10"/>
  <c r="X18" i="10"/>
  <c r="P18" i="10"/>
  <c r="R26" i="10"/>
  <c r="X26" i="10"/>
  <c r="P26" i="10"/>
  <c r="V26" i="10"/>
  <c r="BZ26" i="10" s="1"/>
  <c r="R34" i="10"/>
  <c r="X34" i="10"/>
  <c r="V34" i="10"/>
  <c r="P34" i="10"/>
  <c r="R28" i="10"/>
  <c r="V28" i="10"/>
  <c r="X28" i="10"/>
  <c r="P28" i="10"/>
  <c r="R7" i="10"/>
  <c r="V7" i="10"/>
  <c r="X7" i="10"/>
  <c r="P7" i="10"/>
  <c r="R15" i="10"/>
  <c r="X15" i="10"/>
  <c r="P15" i="10"/>
  <c r="V15" i="10"/>
  <c r="R23" i="10"/>
  <c r="X23" i="10"/>
  <c r="V23" i="10"/>
  <c r="P23" i="10"/>
  <c r="R31" i="10"/>
  <c r="X31" i="10"/>
  <c r="V31" i="10"/>
  <c r="P31" i="10"/>
  <c r="R8" i="10"/>
  <c r="V8" i="10"/>
  <c r="P8" i="10"/>
  <c r="X8" i="10"/>
  <c r="R32" i="10"/>
  <c r="X32" i="10"/>
  <c r="P32" i="10"/>
  <c r="V32" i="10"/>
  <c r="R9" i="10"/>
  <c r="X9" i="10"/>
  <c r="P9" i="10"/>
  <c r="V9" i="10"/>
  <c r="R17" i="10"/>
  <c r="P17" i="10"/>
  <c r="V17" i="10"/>
  <c r="X17" i="10"/>
  <c r="R25" i="10"/>
  <c r="P25" i="10"/>
  <c r="X25" i="10"/>
  <c r="V25" i="10"/>
  <c r="R33" i="10"/>
  <c r="X33" i="10"/>
  <c r="V33" i="10"/>
  <c r="P33" i="10"/>
  <c r="R16" i="10"/>
  <c r="X16" i="10"/>
  <c r="P16" i="10"/>
  <c r="V16" i="10"/>
  <c r="R6" i="10"/>
  <c r="X6" i="10"/>
  <c r="P6" i="10"/>
  <c r="V6" i="10"/>
  <c r="R14" i="10"/>
  <c r="P14" i="10"/>
  <c r="V14" i="10"/>
  <c r="X14" i="10"/>
  <c r="R22" i="10"/>
  <c r="X22" i="10"/>
  <c r="V22" i="10"/>
  <c r="P22" i="10"/>
  <c r="R30" i="10"/>
  <c r="P30" i="10"/>
  <c r="X30" i="10"/>
  <c r="V30" i="10"/>
  <c r="R12" i="10"/>
  <c r="X12" i="10"/>
  <c r="V12" i="10"/>
  <c r="P12" i="10"/>
  <c r="R36" i="10"/>
  <c r="X36" i="10"/>
  <c r="P36" i="10"/>
  <c r="V36" i="10"/>
  <c r="R11" i="10"/>
  <c r="V11" i="10"/>
  <c r="X11" i="10"/>
  <c r="P11" i="10"/>
  <c r="R19" i="10"/>
  <c r="X19" i="10"/>
  <c r="P19" i="10"/>
  <c r="V19" i="10"/>
  <c r="R27" i="10"/>
  <c r="V27" i="10"/>
  <c r="X27" i="10"/>
  <c r="P27" i="10"/>
  <c r="R35" i="10"/>
  <c r="P35" i="10"/>
  <c r="X35" i="10"/>
  <c r="V35" i="10"/>
  <c r="R20" i="10"/>
  <c r="P20" i="10"/>
  <c r="V20" i="10"/>
  <c r="X20" i="10"/>
  <c r="R5" i="10"/>
  <c r="V5" i="10"/>
  <c r="P5" i="10"/>
  <c r="X5" i="10"/>
  <c r="R13" i="10"/>
  <c r="V13" i="10"/>
  <c r="X13" i="10"/>
  <c r="P13" i="10"/>
  <c r="R21" i="10"/>
  <c r="P21" i="10"/>
  <c r="X21" i="10"/>
  <c r="V21" i="10"/>
  <c r="R29" i="10"/>
  <c r="P29" i="10"/>
  <c r="X29" i="10"/>
  <c r="V29" i="10"/>
  <c r="R24" i="10"/>
  <c r="P24" i="10"/>
  <c r="X24" i="10"/>
  <c r="V24" i="10"/>
  <c r="R4" i="10"/>
  <c r="X4" i="10"/>
  <c r="V4" i="10"/>
  <c r="P4" i="10"/>
  <c r="R33" i="3"/>
  <c r="X33" i="3"/>
  <c r="V33" i="3"/>
  <c r="P33" i="3"/>
  <c r="R29" i="3"/>
  <c r="X29" i="3"/>
  <c r="P29" i="3"/>
  <c r="V29" i="3"/>
  <c r="R25" i="3"/>
  <c r="X25" i="3"/>
  <c r="P25" i="3"/>
  <c r="V25" i="3"/>
  <c r="R21" i="3"/>
  <c r="X21" i="3"/>
  <c r="P21" i="3"/>
  <c r="V21" i="3"/>
  <c r="R17" i="3"/>
  <c r="X17" i="3"/>
  <c r="P17" i="3"/>
  <c r="V17" i="3"/>
  <c r="R13" i="3"/>
  <c r="X13" i="3"/>
  <c r="P13" i="3"/>
  <c r="V13" i="3"/>
  <c r="R9" i="3"/>
  <c r="V9" i="3"/>
  <c r="X9" i="3"/>
  <c r="P9" i="3"/>
  <c r="R48" i="3"/>
  <c r="V48" i="3"/>
  <c r="X48" i="3"/>
  <c r="P48" i="3"/>
  <c r="R52" i="3"/>
  <c r="V52" i="3"/>
  <c r="BZ52" i="3" s="1"/>
  <c r="X52" i="3"/>
  <c r="P52" i="3"/>
  <c r="R84" i="3"/>
  <c r="X84" i="3"/>
  <c r="P84" i="3"/>
  <c r="V84" i="3"/>
  <c r="R88" i="3"/>
  <c r="V88" i="3"/>
  <c r="BZ88" i="3" s="1"/>
  <c r="X88" i="3"/>
  <c r="P88" i="3"/>
  <c r="R92" i="3"/>
  <c r="X92" i="3"/>
  <c r="P92" i="3"/>
  <c r="V92" i="3"/>
  <c r="BZ92" i="3" s="1"/>
  <c r="R20" i="3"/>
  <c r="X20" i="3"/>
  <c r="P20" i="3"/>
  <c r="V20" i="3"/>
  <c r="R16" i="3"/>
  <c r="X16" i="3"/>
  <c r="R12" i="3"/>
  <c r="X12" i="3"/>
  <c r="P12" i="3"/>
  <c r="V12" i="3"/>
  <c r="R8" i="3"/>
  <c r="X8" i="3"/>
  <c r="V8" i="3"/>
  <c r="P8" i="3"/>
  <c r="R49" i="3"/>
  <c r="V49" i="3"/>
  <c r="X49" i="3"/>
  <c r="P49" i="3"/>
  <c r="R53" i="3"/>
  <c r="V53" i="3"/>
  <c r="X53" i="3"/>
  <c r="P53" i="3"/>
  <c r="R60" i="3"/>
  <c r="V60" i="3"/>
  <c r="P60" i="3"/>
  <c r="X60" i="3"/>
  <c r="R68" i="3"/>
  <c r="X68" i="3"/>
  <c r="P68" i="3"/>
  <c r="V68" i="3"/>
  <c r="R72" i="3"/>
  <c r="P72" i="3"/>
  <c r="X72" i="3"/>
  <c r="V72" i="3"/>
  <c r="R44" i="3"/>
  <c r="X44" i="3"/>
  <c r="P44" i="3"/>
  <c r="V44" i="3"/>
  <c r="R40" i="3"/>
  <c r="V40" i="3"/>
  <c r="X40" i="3"/>
  <c r="P40" i="3"/>
  <c r="R36" i="3"/>
  <c r="X36" i="3"/>
  <c r="V36" i="3"/>
  <c r="P36" i="3"/>
  <c r="R32" i="3"/>
  <c r="V32" i="3"/>
  <c r="P32" i="3"/>
  <c r="X32" i="3"/>
  <c r="R28" i="3"/>
  <c r="P28" i="3"/>
  <c r="X28" i="3"/>
  <c r="V28" i="3"/>
  <c r="R10" i="3"/>
  <c r="X10" i="3"/>
  <c r="P10" i="3"/>
  <c r="V10" i="3"/>
  <c r="R6" i="3"/>
  <c r="X6" i="3"/>
  <c r="V6" i="3"/>
  <c r="P6" i="3"/>
  <c r="R51" i="3"/>
  <c r="V51" i="3"/>
  <c r="X51" i="3"/>
  <c r="P51" i="3"/>
  <c r="R55" i="3"/>
  <c r="X55" i="3"/>
  <c r="P55" i="3"/>
  <c r="V55" i="3"/>
  <c r="R59" i="3"/>
  <c r="V59" i="3"/>
  <c r="X59" i="3"/>
  <c r="P59" i="3"/>
  <c r="R63" i="3"/>
  <c r="X63" i="3"/>
  <c r="P63" i="3"/>
  <c r="V63" i="3"/>
  <c r="R67" i="3"/>
  <c r="X67" i="3"/>
  <c r="P67" i="3"/>
  <c r="V67" i="3"/>
  <c r="BZ67" i="3" s="1"/>
  <c r="R71" i="3"/>
  <c r="P71" i="3"/>
  <c r="X71" i="3"/>
  <c r="V71" i="3"/>
  <c r="BZ71" i="3" s="1"/>
  <c r="R75" i="3"/>
  <c r="X75" i="3"/>
  <c r="P75" i="3"/>
  <c r="V75" i="3"/>
  <c r="R79" i="3"/>
  <c r="V79" i="3"/>
  <c r="X79" i="3"/>
  <c r="P79" i="3"/>
  <c r="R83" i="3"/>
  <c r="X83" i="3"/>
  <c r="P83" i="3"/>
  <c r="V83" i="3"/>
  <c r="R87" i="3"/>
  <c r="X87" i="3"/>
  <c r="P87" i="3"/>
  <c r="V87" i="3"/>
  <c r="R91" i="3"/>
  <c r="V91" i="3"/>
  <c r="X91" i="3"/>
  <c r="P91" i="3"/>
  <c r="R47" i="3"/>
  <c r="V47" i="3"/>
  <c r="X47" i="3"/>
  <c r="P47" i="3"/>
  <c r="R43" i="3"/>
  <c r="X43" i="3"/>
  <c r="V43" i="3"/>
  <c r="BZ43" i="3" s="1"/>
  <c r="P43" i="3"/>
  <c r="R39" i="3"/>
  <c r="X39" i="3"/>
  <c r="P39" i="3"/>
  <c r="V39" i="3"/>
  <c r="R31" i="3"/>
  <c r="X31" i="3"/>
  <c r="V31" i="3"/>
  <c r="P31" i="3"/>
  <c r="R27" i="3"/>
  <c r="X27" i="3"/>
  <c r="P27" i="3"/>
  <c r="V27" i="3"/>
  <c r="R62" i="3"/>
  <c r="P62" i="3"/>
  <c r="X62" i="3"/>
  <c r="V62" i="3"/>
  <c r="R66" i="3"/>
  <c r="X66" i="3"/>
  <c r="V66" i="3"/>
  <c r="P66" i="3"/>
  <c r="R70" i="3"/>
  <c r="X70" i="3"/>
  <c r="P70" i="3"/>
  <c r="V70" i="3"/>
  <c r="R74" i="3"/>
  <c r="X74" i="3"/>
  <c r="P74" i="3"/>
  <c r="V74" i="3"/>
  <c r="R78" i="3"/>
  <c r="X78" i="3"/>
  <c r="V78" i="3"/>
  <c r="P78" i="3"/>
  <c r="R82" i="3"/>
  <c r="V82" i="3"/>
  <c r="BZ82" i="3" s="1"/>
  <c r="P82" i="3"/>
  <c r="X82" i="3"/>
  <c r="R86" i="3"/>
  <c r="V86" i="3"/>
  <c r="BZ86" i="3" s="1"/>
  <c r="X86" i="3"/>
  <c r="P86" i="3"/>
  <c r="R90" i="3"/>
  <c r="X90" i="3"/>
  <c r="V90" i="3"/>
  <c r="P90" i="3"/>
  <c r="R94" i="3"/>
  <c r="V94" i="3"/>
  <c r="X94" i="3"/>
  <c r="P94" i="3"/>
  <c r="R61" i="3"/>
  <c r="V61" i="3"/>
  <c r="X61" i="3"/>
  <c r="P61" i="3"/>
  <c r="R65" i="3"/>
  <c r="V65" i="3"/>
  <c r="P65" i="3"/>
  <c r="X65" i="3"/>
  <c r="R69" i="3"/>
  <c r="P69" i="3"/>
  <c r="X69" i="3"/>
  <c r="V69" i="3"/>
  <c r="R73" i="3"/>
  <c r="P73" i="3"/>
  <c r="X73" i="3"/>
  <c r="V73" i="3"/>
  <c r="R77" i="3"/>
  <c r="X77" i="3"/>
  <c r="V77" i="3"/>
  <c r="BZ77" i="3" s="1"/>
  <c r="P77" i="3"/>
  <c r="R81" i="3"/>
  <c r="X81" i="3"/>
  <c r="V81" i="3"/>
  <c r="P81" i="3"/>
  <c r="R85" i="3"/>
  <c r="X85" i="3"/>
  <c r="P85" i="3"/>
  <c r="V85" i="3"/>
  <c r="R89" i="3"/>
  <c r="X89" i="3"/>
  <c r="P89" i="3"/>
  <c r="V89" i="3"/>
  <c r="R93" i="3"/>
  <c r="X93" i="3"/>
  <c r="V93" i="3"/>
  <c r="P93" i="3"/>
  <c r="R45" i="3"/>
  <c r="V45" i="3"/>
  <c r="BZ45" i="3" s="1"/>
  <c r="X45" i="3"/>
  <c r="P45" i="3"/>
  <c r="R41" i="3"/>
  <c r="V41" i="3"/>
  <c r="X41" i="3"/>
  <c r="P41" i="3"/>
  <c r="R46" i="3"/>
  <c r="X46" i="3"/>
  <c r="V46" i="3"/>
  <c r="P46" i="3"/>
  <c r="R42" i="3"/>
  <c r="X42" i="3"/>
  <c r="V42" i="3"/>
  <c r="BZ42" i="3" s="1"/>
  <c r="P42" i="3"/>
  <c r="R38" i="3"/>
  <c r="X38" i="3"/>
  <c r="V38" i="3"/>
  <c r="P38" i="3"/>
  <c r="R26" i="3"/>
  <c r="V26" i="3"/>
  <c r="X26" i="3"/>
  <c r="P26" i="3"/>
  <c r="R19" i="3"/>
  <c r="P19" i="3"/>
  <c r="X19" i="3"/>
  <c r="V19" i="3"/>
  <c r="R15" i="3"/>
  <c r="X15" i="3"/>
  <c r="P15" i="3"/>
  <c r="V15" i="3"/>
  <c r="R11" i="3"/>
  <c r="V11" i="3"/>
  <c r="X11" i="3"/>
  <c r="P11" i="3"/>
  <c r="E12" i="7"/>
  <c r="O58" i="5" s="1"/>
  <c r="R5" i="3"/>
  <c r="X5" i="3"/>
  <c r="V5" i="3"/>
  <c r="P5" i="3"/>
  <c r="R50" i="3"/>
  <c r="V50" i="3"/>
  <c r="X50" i="3"/>
  <c r="P50" i="3"/>
  <c r="R54" i="3"/>
  <c r="X54" i="3"/>
  <c r="P54" i="3"/>
  <c r="V54" i="3"/>
  <c r="BZ49" i="3"/>
  <c r="R34" i="3"/>
  <c r="P34" i="3"/>
  <c r="X34" i="3"/>
  <c r="V34" i="3"/>
  <c r="R30" i="3"/>
  <c r="X30" i="3"/>
  <c r="V30" i="3"/>
  <c r="P30" i="3"/>
  <c r="R18" i="3"/>
  <c r="X18" i="3"/>
  <c r="P18" i="3"/>
  <c r="V18" i="3"/>
  <c r="R14" i="3"/>
  <c r="P14" i="3"/>
  <c r="X14" i="3"/>
  <c r="V14" i="3"/>
  <c r="R7" i="3"/>
  <c r="P7" i="3"/>
  <c r="X7" i="3"/>
  <c r="V7" i="3"/>
  <c r="E12" i="13"/>
  <c r="P58" i="5" s="1"/>
  <c r="R4" i="14"/>
  <c r="X4" i="14"/>
  <c r="P4" i="14"/>
  <c r="V4" i="14"/>
  <c r="AW4" i="10"/>
  <c r="AX4" i="10" s="1"/>
  <c r="AY4" i="10" s="1"/>
  <c r="AX47" i="10"/>
  <c r="AT5" i="10"/>
  <c r="E26" i="12"/>
  <c r="N72" i="5" s="1"/>
  <c r="E27" i="7"/>
  <c r="O73" i="5" s="1"/>
  <c r="E24" i="7"/>
  <c r="O70" i="5" s="1"/>
  <c r="E21" i="12"/>
  <c r="N67" i="5" s="1"/>
  <c r="E27" i="12"/>
  <c r="N73" i="5" s="1"/>
  <c r="E25" i="12"/>
  <c r="N71" i="5" s="1"/>
  <c r="E24" i="12"/>
  <c r="N70" i="5" s="1"/>
  <c r="E26" i="7"/>
  <c r="O72" i="5" s="1"/>
  <c r="AT6" i="14"/>
  <c r="BA4" i="14"/>
  <c r="BB4" i="14" s="1"/>
  <c r="BC4" i="14" s="1"/>
  <c r="BB7" i="14"/>
  <c r="E21" i="13"/>
  <c r="P67" i="5" s="1"/>
  <c r="E27" i="13"/>
  <c r="P73" i="5" s="1"/>
  <c r="E23" i="13"/>
  <c r="P69" i="5" s="1"/>
  <c r="E26" i="13"/>
  <c r="P72" i="5" s="1"/>
  <c r="E22" i="13"/>
  <c r="P68" i="5" s="1"/>
  <c r="BE4" i="10"/>
  <c r="BF4" i="10" s="1"/>
  <c r="BG4" i="10" s="1"/>
  <c r="AO4" i="10"/>
  <c r="AP4" i="10" s="1"/>
  <c r="AQ4" i="10" s="1"/>
  <c r="E9" i="12"/>
  <c r="N55" i="5" s="1"/>
  <c r="E11" i="12"/>
  <c r="N57" i="5" s="1"/>
  <c r="E15" i="13"/>
  <c r="P61" i="5" s="1"/>
  <c r="C28" i="13"/>
  <c r="C29" i="13" s="1"/>
  <c r="E6" i="13"/>
  <c r="E14" i="13"/>
  <c r="P60" i="5" s="1"/>
  <c r="E10" i="13"/>
  <c r="P56" i="5" s="1"/>
  <c r="E16" i="12"/>
  <c r="N62" i="5" s="1"/>
  <c r="E7" i="12"/>
  <c r="N53" i="5" s="1"/>
  <c r="E20" i="12"/>
  <c r="N66" i="5" s="1"/>
  <c r="E13" i="12"/>
  <c r="N59" i="5" s="1"/>
  <c r="C28" i="12"/>
  <c r="C29" i="12" s="1"/>
  <c r="E8" i="12"/>
  <c r="N54" i="5" s="1"/>
  <c r="BE31" i="10"/>
  <c r="AS32" i="10"/>
  <c r="AS25" i="10"/>
  <c r="AT25" i="10" s="1"/>
  <c r="AU25" i="10" s="1"/>
  <c r="BM36" i="10"/>
  <c r="BA24" i="10"/>
  <c r="BB24" i="10" s="1"/>
  <c r="BC24" i="10" s="1"/>
  <c r="AW31" i="10"/>
  <c r="AX31" i="10" s="1"/>
  <c r="AY31" i="10" s="1"/>
  <c r="AS33" i="10"/>
  <c r="AW10" i="10"/>
  <c r="AX10" i="10" s="1"/>
  <c r="AY10" i="10" s="1"/>
  <c r="BM31" i="10"/>
  <c r="BM24" i="10"/>
  <c r="BE32" i="10"/>
  <c r="BM30" i="10"/>
  <c r="BA33" i="10"/>
  <c r="BB33" i="10" s="1"/>
  <c r="BC33" i="10" s="1"/>
  <c r="AW25" i="10"/>
  <c r="AX25" i="10" s="1"/>
  <c r="AY25" i="10" s="1"/>
  <c r="BM10" i="10"/>
  <c r="BM32" i="10"/>
  <c r="BM25" i="10"/>
  <c r="AS35" i="10"/>
  <c r="AT35" i="10" s="1"/>
  <c r="AU35" i="10" s="1"/>
  <c r="BM7" i="10"/>
  <c r="BM33" i="10"/>
  <c r="AW35" i="10"/>
  <c r="AX35" i="10" s="1"/>
  <c r="AY35" i="10" s="1"/>
  <c r="BM4" i="10"/>
  <c r="BA35" i="10"/>
  <c r="BB35" i="10" s="1"/>
  <c r="BC35" i="10" s="1"/>
  <c r="BP4" i="10"/>
  <c r="CA4" i="10"/>
  <c r="BM27" i="10"/>
  <c r="AS16" i="10"/>
  <c r="AT16" i="10" s="1"/>
  <c r="AU16" i="10" s="1"/>
  <c r="BA9" i="10"/>
  <c r="BB9" i="10" s="1"/>
  <c r="BC9" i="10" s="1"/>
  <c r="BM35" i="10"/>
  <c r="AE4" i="10"/>
  <c r="AG4" i="10" s="1"/>
  <c r="AW26" i="10"/>
  <c r="AX26" i="10" s="1"/>
  <c r="AY26" i="10" s="1"/>
  <c r="BM11" i="10"/>
  <c r="AS7" i="10"/>
  <c r="BA26" i="10"/>
  <c r="BB26" i="10" s="1"/>
  <c r="BC26" i="10" s="1"/>
  <c r="AW16" i="10"/>
  <c r="AX16" i="10" s="1"/>
  <c r="AY16" i="10" s="1"/>
  <c r="AI4" i="10"/>
  <c r="AK4" i="10" s="1"/>
  <c r="BE26" i="10"/>
  <c r="BF26" i="10" s="1"/>
  <c r="BG26" i="10" s="1"/>
  <c r="AW28" i="10"/>
  <c r="AX28" i="10" s="1"/>
  <c r="AY28" i="10" s="1"/>
  <c r="BM6" i="10"/>
  <c r="BM26" i="10"/>
  <c r="BA28" i="10"/>
  <c r="BB28" i="10" s="1"/>
  <c r="BC28" i="10" s="1"/>
  <c r="AS4" i="10"/>
  <c r="AT4" i="10" s="1"/>
  <c r="AU4" i="10" s="1"/>
  <c r="AW7" i="10"/>
  <c r="AX7" i="10" s="1"/>
  <c r="AY7" i="10" s="1"/>
  <c r="BP26" i="10"/>
  <c r="CA26" i="10"/>
  <c r="BE7" i="10"/>
  <c r="BF7" i="10" s="1"/>
  <c r="BG7" i="10" s="1"/>
  <c r="BM28" i="10"/>
  <c r="BA16" i="10"/>
  <c r="BB16" i="10" s="1"/>
  <c r="BC16" i="10" s="1"/>
  <c r="AW27" i="10"/>
  <c r="AX27" i="10" s="1"/>
  <c r="AY27" i="10" s="1"/>
  <c r="BA27" i="10"/>
  <c r="BB27" i="10" s="1"/>
  <c r="BC27" i="10" s="1"/>
  <c r="BM16" i="10"/>
  <c r="AS6" i="10"/>
  <c r="AS23" i="10"/>
  <c r="BM14" i="10"/>
  <c r="BA5" i="10"/>
  <c r="BB5" i="10" s="1"/>
  <c r="BC5" i="10" s="1"/>
  <c r="AW6" i="10"/>
  <c r="AX6" i="10" s="1"/>
  <c r="AY6" i="10" s="1"/>
  <c r="BM20" i="10"/>
  <c r="BM5" i="10"/>
  <c r="BE12" i="10"/>
  <c r="BA23" i="10"/>
  <c r="BB23" i="10" s="1"/>
  <c r="BC23" i="10" s="1"/>
  <c r="AS8" i="10"/>
  <c r="BE6" i="10"/>
  <c r="BF6" i="10" s="1"/>
  <c r="BG6" i="10" s="1"/>
  <c r="BM12" i="10"/>
  <c r="AW8" i="10"/>
  <c r="AX8" i="10" s="1"/>
  <c r="AY8" i="10" s="1"/>
  <c r="BE19" i="10"/>
  <c r="BF19" i="10" s="1"/>
  <c r="BG19" i="10" s="1"/>
  <c r="BM23" i="10"/>
  <c r="BM19" i="10"/>
  <c r="AS34" i="10"/>
  <c r="AT34" i="10" s="1"/>
  <c r="AU34" i="10" s="1"/>
  <c r="BM18" i="10"/>
  <c r="BM8" i="10"/>
  <c r="AS13" i="10"/>
  <c r="AW17" i="10"/>
  <c r="AX17" i="10" s="1"/>
  <c r="AY17" i="10" s="1"/>
  <c r="BM22" i="10"/>
  <c r="AW15" i="10"/>
  <c r="AX15" i="10" s="1"/>
  <c r="AY15" i="10" s="1"/>
  <c r="BA13" i="10"/>
  <c r="BB13" i="10" s="1"/>
  <c r="BC13" i="10" s="1"/>
  <c r="BM34" i="10"/>
  <c r="BE21" i="10"/>
  <c r="BM15" i="10"/>
  <c r="BE13" i="10"/>
  <c r="BF13" i="10" s="1"/>
  <c r="BG13" i="10" s="1"/>
  <c r="BA21" i="10"/>
  <c r="BB21" i="10" s="1"/>
  <c r="BC21" i="10" s="1"/>
  <c r="AS36" i="10"/>
  <c r="AT36" i="10" s="1"/>
  <c r="AU36" i="10" s="1"/>
  <c r="BM29" i="10"/>
  <c r="BM13" i="10"/>
  <c r="AS17" i="10"/>
  <c r="AT17" i="10" s="1"/>
  <c r="AU17" i="10" s="1"/>
  <c r="BM21" i="10"/>
  <c r="BE22" i="10"/>
  <c r="BF22" i="10" s="1"/>
  <c r="BG22" i="10" s="1"/>
  <c r="AW36" i="10"/>
  <c r="AX36" i="10" s="1"/>
  <c r="AY36" i="10" s="1"/>
  <c r="BE17" i="10"/>
  <c r="BF17" i="10" s="1"/>
  <c r="BG17" i="10" s="1"/>
  <c r="AS31" i="10"/>
  <c r="BA36" i="10"/>
  <c r="BB36" i="10" s="1"/>
  <c r="BC36" i="10" s="1"/>
  <c r="AS24" i="10"/>
  <c r="BM9" i="10"/>
  <c r="BM17" i="10"/>
  <c r="BA31" i="10"/>
  <c r="BB31" i="10" s="1"/>
  <c r="BC31" i="10" s="1"/>
  <c r="CA17" i="10"/>
  <c r="BP17" i="10"/>
  <c r="BM92" i="3"/>
  <c r="BP81" i="3"/>
  <c r="BM42" i="3"/>
  <c r="BM52" i="3"/>
  <c r="BP10" i="3"/>
  <c r="BP80" i="3"/>
  <c r="BM19" i="3"/>
  <c r="BM71" i="3"/>
  <c r="BM77" i="3"/>
  <c r="BM20" i="3"/>
  <c r="BM43" i="3"/>
  <c r="BP83" i="3"/>
  <c r="BP35" i="3"/>
  <c r="BM5" i="3"/>
  <c r="BM86" i="3"/>
  <c r="BM67" i="3"/>
  <c r="BM45" i="3"/>
  <c r="BP82" i="3"/>
  <c r="BP74" i="3"/>
  <c r="BM82" i="3"/>
  <c r="BM88" i="3"/>
  <c r="BM49" i="3"/>
  <c r="BM54" i="3"/>
  <c r="BM81" i="3"/>
  <c r="BP52" i="3"/>
  <c r="AS9" i="3"/>
  <c r="AT9" i="3" s="1"/>
  <c r="AU9" i="3" s="1"/>
  <c r="BE93" i="3"/>
  <c r="BF93" i="3" s="1"/>
  <c r="BG93" i="3" s="1"/>
  <c r="AW62" i="3"/>
  <c r="AX62" i="3" s="1"/>
  <c r="AY62" i="3" s="1"/>
  <c r="BA91" i="3"/>
  <c r="BB91" i="3" s="1"/>
  <c r="BC91" i="3" s="1"/>
  <c r="AS92" i="3"/>
  <c r="AT92" i="3" s="1"/>
  <c r="AU92" i="3" s="1"/>
  <c r="BE38" i="3"/>
  <c r="BF38" i="3" s="1"/>
  <c r="BG38" i="3" s="1"/>
  <c r="AW48" i="3"/>
  <c r="AX48" i="3" s="1"/>
  <c r="AY48" i="3" s="1"/>
  <c r="BA75" i="3"/>
  <c r="BB75" i="3" s="1"/>
  <c r="BC75" i="3" s="1"/>
  <c r="BE81" i="3"/>
  <c r="BA11" i="3"/>
  <c r="BB11" i="3" s="1"/>
  <c r="BC11" i="3" s="1"/>
  <c r="BA19" i="3"/>
  <c r="BB19" i="3" s="1"/>
  <c r="BC19" i="3" s="1"/>
  <c r="BA37" i="3"/>
  <c r="BB37" i="3" s="1"/>
  <c r="BC37" i="3" s="1"/>
  <c r="BA60" i="3"/>
  <c r="BB60" i="3" s="1"/>
  <c r="BC60" i="3" s="1"/>
  <c r="AW93" i="3"/>
  <c r="AX93" i="3" s="1"/>
  <c r="AY93" i="3" s="1"/>
  <c r="BA92" i="3"/>
  <c r="BB92" i="3" s="1"/>
  <c r="BC92" i="3" s="1"/>
  <c r="AW22" i="3"/>
  <c r="AX22" i="3" s="1"/>
  <c r="AY22" i="3" s="1"/>
  <c r="BE35" i="3"/>
  <c r="BF35" i="3" s="1"/>
  <c r="BG35" i="3" s="1"/>
  <c r="BA29" i="3"/>
  <c r="BB29" i="3" s="1"/>
  <c r="BC29" i="3" s="1"/>
  <c r="AW28" i="3"/>
  <c r="AX28" i="3" s="1"/>
  <c r="AY28" i="3" s="1"/>
  <c r="BE37" i="3"/>
  <c r="BF37" i="3" s="1"/>
  <c r="BG37" i="3" s="1"/>
  <c r="AS26" i="3"/>
  <c r="AT26" i="3" s="1"/>
  <c r="AU26" i="3" s="1"/>
  <c r="BA63" i="3"/>
  <c r="BB63" i="3" s="1"/>
  <c r="BC63" i="3" s="1"/>
  <c r="BE45" i="3"/>
  <c r="AW29" i="3"/>
  <c r="AX29" i="3" s="1"/>
  <c r="AY29" i="3" s="1"/>
  <c r="BA78" i="3"/>
  <c r="BB78" i="3" s="1"/>
  <c r="BC78" i="3" s="1"/>
  <c r="BE80" i="3"/>
  <c r="BF80" i="3" s="1"/>
  <c r="BG80" i="3" s="1"/>
  <c r="BE28" i="3"/>
  <c r="BF28" i="3" s="1"/>
  <c r="BG28" i="3" s="1"/>
  <c r="AW81" i="3"/>
  <c r="AX81" i="3" s="1"/>
  <c r="AY81" i="3" s="1"/>
  <c r="AW16" i="3"/>
  <c r="AX16" i="3" s="1"/>
  <c r="AY16" i="3" s="1"/>
  <c r="BE40" i="3"/>
  <c r="BF40" i="3" s="1"/>
  <c r="BG40" i="3" s="1"/>
  <c r="AW63" i="3"/>
  <c r="AX63" i="3" s="1"/>
  <c r="AY63" i="3" s="1"/>
  <c r="BE22" i="3"/>
  <c r="BF22" i="3" s="1"/>
  <c r="AW45" i="3"/>
  <c r="AX45" i="3" s="1"/>
  <c r="AY45" i="3" s="1"/>
  <c r="AW80" i="3"/>
  <c r="AX80" i="3" s="1"/>
  <c r="AY80" i="3" s="1"/>
  <c r="AW18" i="3"/>
  <c r="AX18" i="3" s="1"/>
  <c r="AY18" i="3" s="1"/>
  <c r="AW24" i="3"/>
  <c r="AX24" i="3" s="1"/>
  <c r="AY24" i="3" s="1"/>
  <c r="BE54" i="3"/>
  <c r="BF54" i="3" s="1"/>
  <c r="BG54" i="3" s="1"/>
  <c r="BE29" i="3"/>
  <c r="AW11" i="3"/>
  <c r="AX11" i="3" s="1"/>
  <c r="AY11" i="3" s="1"/>
  <c r="BE16" i="3"/>
  <c r="BF16" i="3" s="1"/>
  <c r="BG16" i="3" s="1"/>
  <c r="BE26" i="3"/>
  <c r="BF26" i="3" s="1"/>
  <c r="BG26" i="3" s="1"/>
  <c r="BA14" i="3"/>
  <c r="BB14" i="3" s="1"/>
  <c r="BC14" i="3" s="1"/>
  <c r="BE68" i="3"/>
  <c r="BF68" i="3" s="1"/>
  <c r="BG68" i="3" s="1"/>
  <c r="BA64" i="3"/>
  <c r="AS49" i="3"/>
  <c r="AT49" i="3" s="1"/>
  <c r="AU49" i="3" s="1"/>
  <c r="BE51" i="3"/>
  <c r="BE53" i="3"/>
  <c r="BF53" i="3" s="1"/>
  <c r="BG53" i="3" s="1"/>
  <c r="BA54" i="3"/>
  <c r="BB54" i="3" s="1"/>
  <c r="BC54" i="3" s="1"/>
  <c r="AS81" i="3"/>
  <c r="AT81" i="3" s="1"/>
  <c r="AU81" i="3" s="1"/>
  <c r="BE18" i="3"/>
  <c r="BF18" i="3" s="1"/>
  <c r="BG18" i="3" s="1"/>
  <c r="BA26" i="3"/>
  <c r="BB26" i="3" s="1"/>
  <c r="BC26" i="3" s="1"/>
  <c r="BA41" i="3"/>
  <c r="BB41" i="3" s="1"/>
  <c r="BC41" i="3" s="1"/>
  <c r="BA68" i="3"/>
  <c r="BB68" i="3" s="1"/>
  <c r="BC68" i="3" s="1"/>
  <c r="BE39" i="3"/>
  <c r="BF39" i="3" s="1"/>
  <c r="BG39" i="3" s="1"/>
  <c r="AW20" i="3"/>
  <c r="AX20" i="3" s="1"/>
  <c r="AY20" i="3" s="1"/>
  <c r="AW64" i="3"/>
  <c r="AX64" i="3" s="1"/>
  <c r="AY64" i="3" s="1"/>
  <c r="BA53" i="3"/>
  <c r="BB53" i="3" s="1"/>
  <c r="BC53" i="3" s="1"/>
  <c r="BA81" i="3"/>
  <c r="BB81" i="3" s="1"/>
  <c r="BC81" i="3" s="1"/>
  <c r="BE56" i="3"/>
  <c r="BF56" i="3" s="1"/>
  <c r="BG56" i="3" s="1"/>
  <c r="AS16" i="3"/>
  <c r="BA10" i="3"/>
  <c r="BB10" i="3" s="1"/>
  <c r="BC10" i="3" s="1"/>
  <c r="AW41" i="3"/>
  <c r="AX41" i="3" s="1"/>
  <c r="AY41" i="3" s="1"/>
  <c r="BE24" i="3"/>
  <c r="BF24" i="3" s="1"/>
  <c r="BG24" i="3" s="1"/>
  <c r="BE49" i="3"/>
  <c r="BF49" i="3" s="1"/>
  <c r="BG49" i="3" s="1"/>
  <c r="BA51" i="3"/>
  <c r="BB51" i="3" s="1"/>
  <c r="BC51" i="3" s="1"/>
  <c r="AS45" i="3"/>
  <c r="AT45" i="3" s="1"/>
  <c r="AU45" i="3" s="1"/>
  <c r="AS80" i="3"/>
  <c r="AT80" i="3" s="1"/>
  <c r="AU80" i="3" s="1"/>
  <c r="AS18" i="3"/>
  <c r="BA16" i="3"/>
  <c r="BE94" i="3"/>
  <c r="BF94" i="3" s="1"/>
  <c r="BG94" i="3" s="1"/>
  <c r="BE69" i="3"/>
  <c r="BF69" i="3" s="1"/>
  <c r="BG69" i="3" s="1"/>
  <c r="BA22" i="3"/>
  <c r="BB22" i="3" s="1"/>
  <c r="BC22" i="3" s="1"/>
  <c r="BA49" i="3"/>
  <c r="BB49" i="3" s="1"/>
  <c r="BC49" i="3" s="1"/>
  <c r="BA80" i="3"/>
  <c r="BA94" i="3"/>
  <c r="BB94" i="3" s="1"/>
  <c r="BC94" i="3" s="1"/>
  <c r="AW51" i="3"/>
  <c r="AX51" i="3" s="1"/>
  <c r="AY51" i="3" s="1"/>
  <c r="BA45" i="3"/>
  <c r="BB45" i="3" s="1"/>
  <c r="BC45" i="3" s="1"/>
  <c r="AW87" i="3"/>
  <c r="AX87" i="3" s="1"/>
  <c r="AY87" i="3" s="1"/>
  <c r="BA18" i="3"/>
  <c r="BA24" i="3"/>
  <c r="BB24" i="3" s="1"/>
  <c r="BC24" i="3" s="1"/>
  <c r="BA20" i="3"/>
  <c r="BB20" i="3" s="1"/>
  <c r="BC20" i="3" s="1"/>
  <c r="BA6" i="3"/>
  <c r="BB6" i="3" s="1"/>
  <c r="BC6" i="3" s="1"/>
  <c r="BA56" i="3"/>
  <c r="BB56" i="3" s="1"/>
  <c r="BC56" i="3" s="1"/>
  <c r="AW10" i="3"/>
  <c r="AX10" i="3" s="1"/>
  <c r="AY10" i="3" s="1"/>
  <c r="BE83" i="3"/>
  <c r="BF83" i="3" s="1"/>
  <c r="BG83" i="3" s="1"/>
  <c r="BE70" i="3"/>
  <c r="BF70" i="3" s="1"/>
  <c r="BG70" i="3" s="1"/>
  <c r="BE64" i="3"/>
  <c r="BF64" i="3" s="1"/>
  <c r="BG64" i="3" s="1"/>
  <c r="BE50" i="3"/>
  <c r="BF50" i="3" s="1"/>
  <c r="BG50" i="3" s="1"/>
  <c r="BA32" i="3"/>
  <c r="BB32" i="3" s="1"/>
  <c r="BC32" i="3" s="1"/>
  <c r="AW56" i="3"/>
  <c r="AX56" i="3" s="1"/>
  <c r="AY56" i="3" s="1"/>
  <c r="BE79" i="3"/>
  <c r="BF79" i="3" s="1"/>
  <c r="BG79" i="3" s="1"/>
  <c r="AS23" i="3"/>
  <c r="AT23" i="3" s="1"/>
  <c r="AU23" i="3" s="1"/>
  <c r="AW6" i="3"/>
  <c r="AX6" i="3" s="1"/>
  <c r="AY6" i="3" s="1"/>
  <c r="BA33" i="3"/>
  <c r="BB33" i="3" s="1"/>
  <c r="BC33" i="3" s="1"/>
  <c r="BE55" i="3"/>
  <c r="BF55" i="3" s="1"/>
  <c r="BG55" i="3" s="1"/>
  <c r="BA12" i="3"/>
  <c r="BB12" i="3" s="1"/>
  <c r="BC12" i="3" s="1"/>
  <c r="AS5" i="3"/>
  <c r="AT5" i="3" s="1"/>
  <c r="AU5" i="3" s="1"/>
  <c r="AW79" i="3"/>
  <c r="AX79" i="3" s="1"/>
  <c r="AY79" i="3" s="1"/>
  <c r="AW68" i="3"/>
  <c r="AX68" i="3" s="1"/>
  <c r="AY68" i="3" s="1"/>
  <c r="BA67" i="3"/>
  <c r="BB67" i="3" s="1"/>
  <c r="BC67" i="3" s="1"/>
  <c r="AW83" i="3"/>
  <c r="AX83" i="3" s="1"/>
  <c r="AY83" i="3" s="1"/>
  <c r="BA84" i="3"/>
  <c r="BB84" i="3" s="1"/>
  <c r="BC84" i="3" s="1"/>
  <c r="BA8" i="3"/>
  <c r="BB8" i="3" s="1"/>
  <c r="BC8" i="3" s="1"/>
  <c r="BE23" i="3"/>
  <c r="BF23" i="3" s="1"/>
  <c r="BG23" i="3" s="1"/>
  <c r="BE6" i="3"/>
  <c r="BF6" i="3" s="1"/>
  <c r="BG6" i="3" s="1"/>
  <c r="AW50" i="3"/>
  <c r="AX50" i="3" s="1"/>
  <c r="AY50" i="3" s="1"/>
  <c r="AW67" i="3"/>
  <c r="AX67" i="3" s="1"/>
  <c r="AY67" i="3" s="1"/>
  <c r="BE32" i="3"/>
  <c r="BF32" i="3" s="1"/>
  <c r="BG32" i="3" s="1"/>
  <c r="BE82" i="3"/>
  <c r="BF82" i="3" s="1"/>
  <c r="BG82" i="3" s="1"/>
  <c r="AS10" i="3"/>
  <c r="AT10" i="3" s="1"/>
  <c r="AU10" i="3" s="1"/>
  <c r="AW25" i="3"/>
  <c r="AX25" i="3" s="1"/>
  <c r="AY25" i="3" s="1"/>
  <c r="AW69" i="3"/>
  <c r="AX69" i="3" s="1"/>
  <c r="AY69" i="3" s="1"/>
  <c r="BA23" i="3"/>
  <c r="BB23" i="3" s="1"/>
  <c r="BC23" i="3" s="1"/>
  <c r="BE52" i="3"/>
  <c r="BF52" i="3" s="1"/>
  <c r="BG52" i="3" s="1"/>
  <c r="BA55" i="3"/>
  <c r="BB55" i="3" s="1"/>
  <c r="BC55" i="3" s="1"/>
  <c r="AW58" i="3"/>
  <c r="AX58" i="3" s="1"/>
  <c r="AY58" i="3" s="1"/>
  <c r="BE5" i="3"/>
  <c r="BF5" i="3" s="1"/>
  <c r="BG5" i="3" s="1"/>
  <c r="BA82" i="3"/>
  <c r="BB82" i="3" s="1"/>
  <c r="BC82" i="3" s="1"/>
  <c r="BA65" i="3"/>
  <c r="BA69" i="3"/>
  <c r="BB69" i="3" s="1"/>
  <c r="BC69" i="3" s="1"/>
  <c r="BA7" i="3"/>
  <c r="BB7" i="3" s="1"/>
  <c r="BC7" i="3" s="1"/>
  <c r="BA52" i="3"/>
  <c r="BB52" i="3" s="1"/>
  <c r="BC52" i="3" s="1"/>
  <c r="AW33" i="3"/>
  <c r="AX33" i="3" s="1"/>
  <c r="AY33" i="3" s="1"/>
  <c r="AW12" i="3"/>
  <c r="AX12" i="3" s="1"/>
  <c r="AY12" i="3" s="1"/>
  <c r="BA5" i="3"/>
  <c r="BB5" i="3" s="1"/>
  <c r="BC5" i="3" s="1"/>
  <c r="AW88" i="3"/>
  <c r="AX88" i="3" s="1"/>
  <c r="AY88" i="3" s="1"/>
  <c r="AW65" i="3"/>
  <c r="AX65" i="3" s="1"/>
  <c r="AY65" i="3" s="1"/>
  <c r="BE84" i="3"/>
  <c r="BF84" i="3" s="1"/>
  <c r="BG84" i="3" s="1"/>
  <c r="AW8" i="3"/>
  <c r="AX8" i="3" s="1"/>
  <c r="AY8" i="3" s="1"/>
  <c r="AS67" i="3"/>
  <c r="AT67" i="3" s="1"/>
  <c r="AU67" i="3" s="1"/>
  <c r="AW55" i="3"/>
  <c r="AX55" i="3" s="1"/>
  <c r="AY55" i="3" s="1"/>
  <c r="AS57" i="3"/>
  <c r="AT57" i="3" s="1"/>
  <c r="AU57" i="3" s="1"/>
  <c r="BE87" i="3"/>
  <c r="BF87" i="3" s="1"/>
  <c r="BG87" i="3" s="1"/>
  <c r="BA36" i="3"/>
  <c r="BB36" i="3" s="1"/>
  <c r="BC36" i="3" s="1"/>
  <c r="BE25" i="3"/>
  <c r="BF25" i="3" s="1"/>
  <c r="BG25" i="3" s="1"/>
  <c r="AW7" i="3"/>
  <c r="AX7" i="3" s="1"/>
  <c r="AY7" i="3" s="1"/>
  <c r="BA66" i="3"/>
  <c r="BE67" i="3"/>
  <c r="BE33" i="3"/>
  <c r="BE58" i="3"/>
  <c r="BF58" i="3" s="1"/>
  <c r="BG58" i="3" s="1"/>
  <c r="AS43" i="3"/>
  <c r="AT43" i="3" s="1"/>
  <c r="AU43" i="3" s="1"/>
  <c r="AW36" i="3"/>
  <c r="AX36" i="3" s="1"/>
  <c r="AY36" i="3" s="1"/>
  <c r="BA83" i="3"/>
  <c r="BB83" i="3" s="1"/>
  <c r="BC83" i="3" s="1"/>
  <c r="AW15" i="3"/>
  <c r="AX15" i="3" s="1"/>
  <c r="AY15" i="3" s="1"/>
  <c r="AW84" i="3"/>
  <c r="AX84" i="3" s="1"/>
  <c r="AY84" i="3" s="1"/>
  <c r="BA31" i="3"/>
  <c r="BB31" i="3" s="1"/>
  <c r="BC31" i="3" s="1"/>
  <c r="AW70" i="3"/>
  <c r="AX70" i="3" s="1"/>
  <c r="AY70" i="3" s="1"/>
  <c r="BE47" i="3"/>
  <c r="BF47" i="3" s="1"/>
  <c r="BG47" i="3" s="1"/>
  <c r="AW66" i="3"/>
  <c r="AX66" i="3" s="1"/>
  <c r="AY66" i="3" s="1"/>
  <c r="AS76" i="3"/>
  <c r="AT76" i="3" s="1"/>
  <c r="AU76" i="3" s="1"/>
  <c r="AW32" i="3"/>
  <c r="AX32" i="3" s="1"/>
  <c r="AY32" i="3" s="1"/>
  <c r="BE57" i="3"/>
  <c r="AS88" i="3"/>
  <c r="AT88" i="3" s="1"/>
  <c r="AU88" i="3" s="1"/>
  <c r="AS65" i="3"/>
  <c r="AT65" i="3" s="1"/>
  <c r="AU65" i="3" s="1"/>
  <c r="BA25" i="3"/>
  <c r="BB25" i="3" s="1"/>
  <c r="BC25" i="3" s="1"/>
  <c r="AW31" i="3"/>
  <c r="AX31" i="3" s="1"/>
  <c r="AY31" i="3" s="1"/>
  <c r="BE85" i="3"/>
  <c r="BF85" i="3" s="1"/>
  <c r="BG85" i="3" s="1"/>
  <c r="BE34" i="3"/>
  <c r="BF34" i="3" s="1"/>
  <c r="BG34" i="3" s="1"/>
  <c r="BA43" i="3"/>
  <c r="BB43" i="3" s="1"/>
  <c r="BC43" i="3" s="1"/>
  <c r="BA88" i="3"/>
  <c r="BB88" i="3" s="1"/>
  <c r="BC88" i="3" s="1"/>
  <c r="BE65" i="3"/>
  <c r="BF65" i="3" s="1"/>
  <c r="BG65" i="3" s="1"/>
  <c r="AS8" i="3"/>
  <c r="AT8" i="3" s="1"/>
  <c r="AU8" i="3" s="1"/>
  <c r="AW34" i="3"/>
  <c r="AX34" i="3" s="1"/>
  <c r="AY34" i="3" s="1"/>
  <c r="BA47" i="3"/>
  <c r="BB47" i="3" s="1"/>
  <c r="BC47" i="3" s="1"/>
  <c r="BE71" i="3"/>
  <c r="BF71" i="3" s="1"/>
  <c r="BG71" i="3" s="1"/>
  <c r="AS66" i="3"/>
  <c r="AT66" i="3" s="1"/>
  <c r="AU66" i="3" s="1"/>
  <c r="AW17" i="3"/>
  <c r="AX17" i="3" s="1"/>
  <c r="AY17" i="3" s="1"/>
  <c r="BE46" i="3"/>
  <c r="BF46" i="3" s="1"/>
  <c r="BG46" i="3" s="1"/>
  <c r="BE43" i="3"/>
  <c r="BF43" i="3" s="1"/>
  <c r="BG43" i="3" s="1"/>
  <c r="AW59" i="3"/>
  <c r="AX59" i="3" s="1"/>
  <c r="AY59" i="3" s="1"/>
  <c r="BE31" i="3"/>
  <c r="BF31" i="3" s="1"/>
  <c r="BG31" i="3" s="1"/>
  <c r="AW85" i="3"/>
  <c r="AX85" i="3" s="1"/>
  <c r="AY85" i="3" s="1"/>
  <c r="BE86" i="3"/>
  <c r="BF86" i="3" s="1"/>
  <c r="BG86" i="3" s="1"/>
  <c r="AW47" i="3"/>
  <c r="AX47" i="3" s="1"/>
  <c r="AY47" i="3" s="1"/>
  <c r="BA71" i="3"/>
  <c r="BB71" i="3" s="1"/>
  <c r="BC71" i="3" s="1"/>
  <c r="BE74" i="3"/>
  <c r="BF74" i="3" s="1"/>
  <c r="BG74" i="3" s="1"/>
  <c r="BE77" i="3"/>
  <c r="BF77" i="3" s="1"/>
  <c r="BG77" i="3" s="1"/>
  <c r="BA46" i="3"/>
  <c r="BB46" i="3" s="1"/>
  <c r="BC46" i="3" s="1"/>
  <c r="BE90" i="3"/>
  <c r="BF90" i="3" s="1"/>
  <c r="BG90" i="3" s="1"/>
  <c r="BE66" i="3"/>
  <c r="BF66" i="3" s="1"/>
  <c r="BG66" i="3" s="1"/>
  <c r="AW74" i="3"/>
  <c r="AX74" i="3" s="1"/>
  <c r="AY74" i="3" s="1"/>
  <c r="BE17" i="3"/>
  <c r="BF17" i="3" s="1"/>
  <c r="BG17" i="3" s="1"/>
  <c r="BE76" i="3"/>
  <c r="BF76" i="3" s="1"/>
  <c r="BG76" i="3" s="1"/>
  <c r="BA77" i="3"/>
  <c r="BB77" i="3" s="1"/>
  <c r="BC77" i="3" s="1"/>
  <c r="BA57" i="3"/>
  <c r="BB57" i="3" s="1"/>
  <c r="BC57" i="3" s="1"/>
  <c r="BE36" i="3"/>
  <c r="BA15" i="3"/>
  <c r="BB15" i="3" s="1"/>
  <c r="BC15" i="3" s="1"/>
  <c r="AW90" i="3"/>
  <c r="AX90" i="3" s="1"/>
  <c r="AY90" i="3" s="1"/>
  <c r="AW86" i="3"/>
  <c r="AX86" i="3" s="1"/>
  <c r="AY86" i="3" s="1"/>
  <c r="BA38" i="3"/>
  <c r="BB38" i="3" s="1"/>
  <c r="BC38" i="3" s="1"/>
  <c r="BA76" i="3"/>
  <c r="BB76" i="3" s="1"/>
  <c r="BC76" i="3" s="1"/>
  <c r="AW57" i="3"/>
  <c r="AX57" i="3" s="1"/>
  <c r="AY57" i="3" s="1"/>
  <c r="AS59" i="3"/>
  <c r="AT59" i="3" s="1"/>
  <c r="AU59" i="3" s="1"/>
  <c r="BE88" i="3"/>
  <c r="AW60" i="3"/>
  <c r="AX60" i="3" s="1"/>
  <c r="AY60" i="3" s="1"/>
  <c r="BA9" i="3"/>
  <c r="BB9" i="3" s="1"/>
  <c r="BC9" i="3" s="1"/>
  <c r="BE72" i="3"/>
  <c r="AW38" i="3"/>
  <c r="AX38" i="3" s="1"/>
  <c r="AY38" i="3" s="1"/>
  <c r="AS17" i="3"/>
  <c r="AS42" i="3"/>
  <c r="AT42" i="3" s="1"/>
  <c r="AU42" i="3" s="1"/>
  <c r="AW9" i="3"/>
  <c r="AX9" i="3" s="1"/>
  <c r="AY9" i="3" s="1"/>
  <c r="BE91" i="3"/>
  <c r="BF91" i="3" s="1"/>
  <c r="BG91" i="3" s="1"/>
  <c r="AW72" i="3"/>
  <c r="AX72" i="3" s="1"/>
  <c r="AY72" i="3" s="1"/>
  <c r="BE75" i="3"/>
  <c r="BF75" i="3" s="1"/>
  <c r="BG75" i="3" s="1"/>
  <c r="BA17" i="3"/>
  <c r="BA13" i="3"/>
  <c r="BB13" i="3" s="1"/>
  <c r="BC13" i="3" s="1"/>
  <c r="AW44" i="3"/>
  <c r="AX44" i="3" s="1"/>
  <c r="AY44" i="3" s="1"/>
  <c r="AW19" i="3"/>
  <c r="AX19" i="3" s="1"/>
  <c r="AY19" i="3" s="1"/>
  <c r="BA89" i="3"/>
  <c r="BB89" i="3" s="1"/>
  <c r="BC89" i="3" s="1"/>
  <c r="BA40" i="3"/>
  <c r="BB40" i="3" s="1"/>
  <c r="BC40" i="3" s="1"/>
  <c r="AW91" i="3"/>
  <c r="AX91" i="3" s="1"/>
  <c r="AY91" i="3" s="1"/>
  <c r="BA35" i="3"/>
  <c r="BA74" i="3"/>
  <c r="BB74" i="3" s="1"/>
  <c r="BC74" i="3" s="1"/>
  <c r="BE73" i="3"/>
  <c r="BF73" i="3" s="1"/>
  <c r="BG73" i="3" s="1"/>
  <c r="BA42" i="3"/>
  <c r="BB42" i="3" s="1"/>
  <c r="BC42" i="3" s="1"/>
  <c r="AS60" i="3"/>
  <c r="AT60" i="3" s="1"/>
  <c r="AU60" i="3" s="1"/>
  <c r="BE89" i="3"/>
  <c r="BF89" i="3" s="1"/>
  <c r="BG89" i="3" s="1"/>
  <c r="BA61" i="3"/>
  <c r="BB61" i="3" s="1"/>
  <c r="BC61" i="3" s="1"/>
  <c r="BA90" i="3"/>
  <c r="BB90" i="3" s="1"/>
  <c r="BC90" i="3" s="1"/>
  <c r="BA72" i="3"/>
  <c r="BB72" i="3" s="1"/>
  <c r="BC72" i="3" s="1"/>
  <c r="AS86" i="3"/>
  <c r="AT86" i="3" s="1"/>
  <c r="AU86" i="3" s="1"/>
  <c r="AW35" i="3"/>
  <c r="AX35" i="3" s="1"/>
  <c r="AY35" i="3" s="1"/>
  <c r="AW75" i="3"/>
  <c r="AX75" i="3" s="1"/>
  <c r="AY75" i="3" s="1"/>
  <c r="AW13" i="3"/>
  <c r="AX13" i="3" s="1"/>
  <c r="AY13" i="3" s="1"/>
  <c r="BE78" i="3"/>
  <c r="BA73" i="3"/>
  <c r="BB73" i="3" s="1"/>
  <c r="BC73" i="3" s="1"/>
  <c r="AW21" i="3"/>
  <c r="AX21" i="3" s="1"/>
  <c r="AY21" i="3" s="1"/>
  <c r="BA59" i="3"/>
  <c r="BB59" i="3" s="1"/>
  <c r="BC59" i="3" s="1"/>
  <c r="BE42" i="3"/>
  <c r="BF42" i="3" s="1"/>
  <c r="BG42" i="3" s="1"/>
  <c r="AW61" i="3"/>
  <c r="AX61" i="3" s="1"/>
  <c r="AY61" i="3" s="1"/>
  <c r="AW40" i="3"/>
  <c r="AX40" i="3" s="1"/>
  <c r="AY40" i="3" s="1"/>
  <c r="BE92" i="3"/>
  <c r="BE48" i="3"/>
  <c r="BF48" i="3" s="1"/>
  <c r="BG48" i="3" s="1"/>
  <c r="AW78" i="3"/>
  <c r="AX78" i="3" s="1"/>
  <c r="AY78" i="3" s="1"/>
  <c r="BE27" i="3"/>
  <c r="BF27" i="3" s="1"/>
  <c r="BG27" i="3" s="1"/>
  <c r="BA39" i="3"/>
  <c r="BB39" i="3" s="1"/>
  <c r="BC39" i="3" s="1"/>
  <c r="AW92" i="3"/>
  <c r="AX92" i="3" s="1"/>
  <c r="AY92" i="3" s="1"/>
  <c r="BA30" i="3"/>
  <c r="BB30" i="3" s="1"/>
  <c r="BC30" i="3" s="1"/>
  <c r="BE44" i="3"/>
  <c r="BF44" i="3" s="1"/>
  <c r="BG44" i="3" s="1"/>
  <c r="BE21" i="3"/>
  <c r="BF21" i="3" s="1"/>
  <c r="BG21" i="3" s="1"/>
  <c r="BA27" i="3"/>
  <c r="BB27" i="3" s="1"/>
  <c r="BC27" i="3" s="1"/>
  <c r="AS19" i="3"/>
  <c r="AW14" i="3"/>
  <c r="AX14" i="3" s="1"/>
  <c r="AY14" i="3" s="1"/>
  <c r="BA62" i="3"/>
  <c r="BB62" i="3" s="1"/>
  <c r="BC62" i="3" s="1"/>
  <c r="AW39" i="3"/>
  <c r="AX39" i="3" s="1"/>
  <c r="AY39" i="3" s="1"/>
  <c r="BA48" i="3"/>
  <c r="BB48" i="3" s="1"/>
  <c r="BC48" i="3" s="1"/>
  <c r="AS35" i="3"/>
  <c r="AT35" i="3" s="1"/>
  <c r="AU35" i="3" s="1"/>
  <c r="BE30" i="3"/>
  <c r="BF30" i="3" s="1"/>
  <c r="BG30" i="3" s="1"/>
  <c r="E17" i="7"/>
  <c r="O63" i="5" s="1"/>
  <c r="E7" i="7"/>
  <c r="O53" i="5" s="1"/>
  <c r="E16" i="7"/>
  <c r="O62" i="5" s="1"/>
  <c r="E9" i="7"/>
  <c r="O55" i="5" s="1"/>
  <c r="E8" i="7"/>
  <c r="O54" i="5" s="1"/>
  <c r="E11" i="7"/>
  <c r="O57" i="5" s="1"/>
  <c r="E15" i="7"/>
  <c r="O61" i="5" s="1"/>
  <c r="E14" i="7"/>
  <c r="O60" i="5" s="1"/>
  <c r="O8" i="24"/>
  <c r="H8" i="24" s="1"/>
  <c r="P8" i="24"/>
  <c r="I8" i="24" s="1"/>
  <c r="Q8" i="24"/>
  <c r="J8" i="24" s="1"/>
  <c r="R8" i="24"/>
  <c r="K8" i="24" s="1"/>
  <c r="S8" i="24"/>
  <c r="L8" i="24" s="1"/>
  <c r="T8" i="24"/>
  <c r="M8" i="24" s="1"/>
  <c r="O10" i="24"/>
  <c r="H10" i="24" s="1"/>
  <c r="P10" i="24"/>
  <c r="I10" i="24" s="1"/>
  <c r="Q10" i="24"/>
  <c r="J10" i="24" s="1"/>
  <c r="R10" i="24"/>
  <c r="K10" i="24" s="1"/>
  <c r="S10" i="24"/>
  <c r="L10" i="24" s="1"/>
  <c r="T10" i="24"/>
  <c r="M10" i="24" s="1"/>
  <c r="O11" i="24"/>
  <c r="H11" i="24" s="1"/>
  <c r="P11" i="24"/>
  <c r="I11" i="24" s="1"/>
  <c r="Q11" i="24"/>
  <c r="J11" i="24" s="1"/>
  <c r="R11" i="24"/>
  <c r="K11" i="24" s="1"/>
  <c r="S11" i="24"/>
  <c r="L11" i="24" s="1"/>
  <c r="T11" i="24"/>
  <c r="M11" i="24" s="1"/>
  <c r="O12" i="24"/>
  <c r="H12" i="24" s="1"/>
  <c r="P12" i="24"/>
  <c r="Q12" i="24"/>
  <c r="J12" i="24" s="1"/>
  <c r="R12" i="24"/>
  <c r="K12" i="24" s="1"/>
  <c r="S12" i="24"/>
  <c r="L12" i="24" s="1"/>
  <c r="T12" i="24"/>
  <c r="M12" i="24" s="1"/>
  <c r="O14" i="24"/>
  <c r="H14" i="24" s="1"/>
  <c r="P14" i="24"/>
  <c r="I14" i="24" s="1"/>
  <c r="Q14" i="24"/>
  <c r="J14" i="24" s="1"/>
  <c r="R14" i="24"/>
  <c r="K14" i="24" s="1"/>
  <c r="S14" i="24"/>
  <c r="L14" i="24" s="1"/>
  <c r="T14" i="24"/>
  <c r="M14" i="24" s="1"/>
  <c r="O15" i="24"/>
  <c r="H15" i="24" s="1"/>
  <c r="Q15" i="24"/>
  <c r="J15" i="24" s="1"/>
  <c r="R15" i="24"/>
  <c r="K15" i="24" s="1"/>
  <c r="S15" i="24"/>
  <c r="L15" i="24" s="1"/>
  <c r="T15" i="24"/>
  <c r="M15" i="24" s="1"/>
  <c r="O16" i="24"/>
  <c r="H16" i="24" s="1"/>
  <c r="P16" i="24"/>
  <c r="I16" i="24" s="1"/>
  <c r="Q16" i="24"/>
  <c r="J16" i="24" s="1"/>
  <c r="R16" i="24"/>
  <c r="K16" i="24" s="1"/>
  <c r="S16" i="24"/>
  <c r="L16" i="24" s="1"/>
  <c r="T16" i="24"/>
  <c r="M16" i="24" s="1"/>
  <c r="O18" i="24"/>
  <c r="H18" i="24" s="1"/>
  <c r="P18" i="24"/>
  <c r="I18" i="24" s="1"/>
  <c r="Q18" i="24"/>
  <c r="J18" i="24" s="1"/>
  <c r="R18" i="24"/>
  <c r="K18" i="24" s="1"/>
  <c r="S18" i="24"/>
  <c r="L18" i="24" s="1"/>
  <c r="T18" i="24"/>
  <c r="M18" i="24" s="1"/>
  <c r="O19" i="24"/>
  <c r="H19" i="24" s="1"/>
  <c r="P19" i="24"/>
  <c r="I19" i="24" s="1"/>
  <c r="Q19" i="24"/>
  <c r="J19" i="24" s="1"/>
  <c r="R19" i="24"/>
  <c r="K19" i="24" s="1"/>
  <c r="S19" i="24"/>
  <c r="L19" i="24" s="1"/>
  <c r="T19" i="24"/>
  <c r="M19" i="24" s="1"/>
  <c r="O20" i="24"/>
  <c r="H20" i="24" s="1"/>
  <c r="P20" i="24"/>
  <c r="I20" i="24" s="1"/>
  <c r="Q20" i="24"/>
  <c r="J20" i="24" s="1"/>
  <c r="R20" i="24"/>
  <c r="K20" i="24" s="1"/>
  <c r="S20" i="24"/>
  <c r="L20" i="24" s="1"/>
  <c r="T20" i="24"/>
  <c r="M20" i="24" s="1"/>
  <c r="O21" i="24"/>
  <c r="H21" i="24" s="1"/>
  <c r="P21" i="24"/>
  <c r="I21" i="24" s="1"/>
  <c r="Q21" i="24"/>
  <c r="J21" i="24" s="1"/>
  <c r="R21" i="24"/>
  <c r="K21" i="24" s="1"/>
  <c r="S21" i="24"/>
  <c r="L21" i="24" s="1"/>
  <c r="T21" i="24"/>
  <c r="M21" i="24" s="1"/>
  <c r="O23" i="24"/>
  <c r="H23" i="24" s="1"/>
  <c r="P23" i="24"/>
  <c r="I23" i="24" s="1"/>
  <c r="Q23" i="24"/>
  <c r="J23" i="24" s="1"/>
  <c r="R23" i="24"/>
  <c r="K23" i="24" s="1"/>
  <c r="S23" i="24"/>
  <c r="L23" i="24" s="1"/>
  <c r="T23" i="24"/>
  <c r="M23" i="24" s="1"/>
  <c r="O24" i="24"/>
  <c r="H24" i="24" s="1"/>
  <c r="P24" i="24"/>
  <c r="I24" i="24" s="1"/>
  <c r="Q24" i="24"/>
  <c r="J24" i="24" s="1"/>
  <c r="R24" i="24"/>
  <c r="K24" i="24" s="1"/>
  <c r="S24" i="24"/>
  <c r="L24" i="24" s="1"/>
  <c r="T24" i="24"/>
  <c r="M24" i="24" s="1"/>
  <c r="O25" i="24"/>
  <c r="H25" i="24" s="1"/>
  <c r="P25" i="24"/>
  <c r="I25" i="24" s="1"/>
  <c r="Q25" i="24"/>
  <c r="J25" i="24" s="1"/>
  <c r="R25" i="24"/>
  <c r="K25" i="24" s="1"/>
  <c r="S25" i="24"/>
  <c r="L25" i="24" s="1"/>
  <c r="T25" i="24"/>
  <c r="M25" i="24" s="1"/>
  <c r="O26" i="24"/>
  <c r="H26" i="24" s="1"/>
  <c r="P26" i="24"/>
  <c r="I26" i="24" s="1"/>
  <c r="Q26" i="24"/>
  <c r="J26" i="24" s="1"/>
  <c r="R26" i="24"/>
  <c r="K26" i="24" s="1"/>
  <c r="S26" i="24"/>
  <c r="L26" i="24" s="1"/>
  <c r="T26" i="24"/>
  <c r="M26" i="24" s="1"/>
  <c r="O28" i="24"/>
  <c r="H28" i="24" s="1"/>
  <c r="P28" i="24"/>
  <c r="I28" i="24" s="1"/>
  <c r="Q28" i="24"/>
  <c r="J28" i="24" s="1"/>
  <c r="R28" i="24"/>
  <c r="K28" i="24" s="1"/>
  <c r="S28" i="24"/>
  <c r="L28" i="24" s="1"/>
  <c r="T28" i="24"/>
  <c r="M28" i="24" s="1"/>
  <c r="W4" i="10" l="1"/>
  <c r="Z4" i="10" s="1"/>
  <c r="AA4" i="10" s="1"/>
  <c r="Y4" i="10"/>
  <c r="Q5" i="10"/>
  <c r="S5" i="10"/>
  <c r="S36" i="10"/>
  <c r="Q36" i="10"/>
  <c r="Y22" i="10"/>
  <c r="W22" i="10"/>
  <c r="Z22" i="10" s="1"/>
  <c r="AA22" i="10" s="1"/>
  <c r="S16" i="10"/>
  <c r="Q16" i="10"/>
  <c r="S32" i="10"/>
  <c r="Q32" i="10"/>
  <c r="Q4" i="10"/>
  <c r="S4" i="10"/>
  <c r="W24" i="10"/>
  <c r="Z24" i="10" s="1"/>
  <c r="AA24" i="10" s="1"/>
  <c r="Y24" i="10"/>
  <c r="Y29" i="10"/>
  <c r="W29" i="10"/>
  <c r="Z29" i="10" s="1"/>
  <c r="AA29" i="10" s="1"/>
  <c r="W21" i="10"/>
  <c r="Z21" i="10" s="1"/>
  <c r="AA21" i="10" s="1"/>
  <c r="Y21" i="10"/>
  <c r="S13" i="10"/>
  <c r="Q13" i="10"/>
  <c r="W35" i="10"/>
  <c r="Z35" i="10" s="1"/>
  <c r="AA35" i="10" s="1"/>
  <c r="Y35" i="10"/>
  <c r="Q27" i="10"/>
  <c r="S27" i="10"/>
  <c r="Y19" i="10"/>
  <c r="W19" i="10"/>
  <c r="Z19" i="10" s="1"/>
  <c r="AA19" i="10" s="1"/>
  <c r="Q11" i="10"/>
  <c r="S11" i="10"/>
  <c r="Y36" i="10"/>
  <c r="W36" i="10"/>
  <c r="Z36" i="10" s="1"/>
  <c r="AA36" i="10" s="1"/>
  <c r="Q12" i="10"/>
  <c r="S12" i="10"/>
  <c r="Y30" i="10"/>
  <c r="W30" i="10"/>
  <c r="Z30" i="10" s="1"/>
  <c r="AA30" i="10" s="1"/>
  <c r="S22" i="10"/>
  <c r="Q22" i="10"/>
  <c r="W6" i="10"/>
  <c r="Z6" i="10" s="1"/>
  <c r="AA6" i="10" s="1"/>
  <c r="Y6" i="10"/>
  <c r="Y16" i="10"/>
  <c r="W16" i="10"/>
  <c r="Z16" i="10" s="1"/>
  <c r="AA16" i="10" s="1"/>
  <c r="Q33" i="10"/>
  <c r="S33" i="10"/>
  <c r="Y25" i="10"/>
  <c r="W25" i="10"/>
  <c r="Z25" i="10" s="1"/>
  <c r="AA25" i="10" s="1"/>
  <c r="Y9" i="10"/>
  <c r="W9" i="10"/>
  <c r="Z9" i="10" s="1"/>
  <c r="AA9" i="10" s="1"/>
  <c r="W32" i="10"/>
  <c r="Z32" i="10" s="1"/>
  <c r="AA32" i="10" s="1"/>
  <c r="Y32" i="10"/>
  <c r="S31" i="10"/>
  <c r="Q31" i="10"/>
  <c r="Q23" i="10"/>
  <c r="S23" i="10"/>
  <c r="Y15" i="10"/>
  <c r="W15" i="10"/>
  <c r="Z15" i="10" s="1"/>
  <c r="AA15" i="10" s="1"/>
  <c r="S7" i="10"/>
  <c r="Q7" i="10"/>
  <c r="Q28" i="10"/>
  <c r="S28" i="10"/>
  <c r="Q34" i="10"/>
  <c r="S34" i="10"/>
  <c r="Y26" i="10"/>
  <c r="W26" i="10"/>
  <c r="Z26" i="10" s="1"/>
  <c r="AA26" i="10" s="1"/>
  <c r="S18" i="10"/>
  <c r="Q18" i="10"/>
  <c r="Y10" i="10"/>
  <c r="W10" i="10"/>
  <c r="Z10" i="10" s="1"/>
  <c r="AA10" i="10" s="1"/>
  <c r="Y20" i="10"/>
  <c r="W20" i="10"/>
  <c r="Z20" i="10" s="1"/>
  <c r="AA20" i="10" s="1"/>
  <c r="S19" i="10"/>
  <c r="Q19" i="10"/>
  <c r="W12" i="10"/>
  <c r="Z12" i="10" s="1"/>
  <c r="AA12" i="10" s="1"/>
  <c r="Y12" i="10"/>
  <c r="Y14" i="10"/>
  <c r="W14" i="10"/>
  <c r="Z14" i="10" s="1"/>
  <c r="AA14" i="10" s="1"/>
  <c r="W33" i="10"/>
  <c r="Z33" i="10" s="1"/>
  <c r="AA33" i="10" s="1"/>
  <c r="Y33" i="10"/>
  <c r="Y17" i="10"/>
  <c r="W17" i="10"/>
  <c r="Z17" i="10" s="1"/>
  <c r="AA17" i="10" s="1"/>
  <c r="Q8" i="10"/>
  <c r="S8" i="10"/>
  <c r="Y23" i="10"/>
  <c r="W23" i="10"/>
  <c r="Z23" i="10" s="1"/>
  <c r="AA23" i="10" s="1"/>
  <c r="W34" i="10"/>
  <c r="Z34" i="10" s="1"/>
  <c r="AA34" i="10" s="1"/>
  <c r="Y34" i="10"/>
  <c r="Q26" i="10"/>
  <c r="S26" i="10"/>
  <c r="S24" i="10"/>
  <c r="Q24" i="10"/>
  <c r="S29" i="10"/>
  <c r="Q29" i="10"/>
  <c r="S21" i="10"/>
  <c r="Q21" i="10"/>
  <c r="Y13" i="10"/>
  <c r="W13" i="10"/>
  <c r="Z13" i="10" s="1"/>
  <c r="AA13" i="10" s="1"/>
  <c r="W5" i="10"/>
  <c r="Z5" i="10" s="1"/>
  <c r="AA5" i="10" s="1"/>
  <c r="Y5" i="10"/>
  <c r="S20" i="10"/>
  <c r="Q20" i="10"/>
  <c r="Q35" i="10"/>
  <c r="S35" i="10"/>
  <c r="Y27" i="10"/>
  <c r="W27" i="10"/>
  <c r="Z27" i="10" s="1"/>
  <c r="AA27" i="10" s="1"/>
  <c r="Y11" i="10"/>
  <c r="W11" i="10"/>
  <c r="Z11" i="10" s="1"/>
  <c r="AA11" i="10" s="1"/>
  <c r="S30" i="10"/>
  <c r="Q30" i="10"/>
  <c r="Q14" i="10"/>
  <c r="S14" i="10"/>
  <c r="S25" i="10"/>
  <c r="Q25" i="10"/>
  <c r="S17" i="10"/>
  <c r="Q17" i="10"/>
  <c r="W8" i="10"/>
  <c r="Z8" i="10" s="1"/>
  <c r="AA8" i="10" s="1"/>
  <c r="Y8" i="10"/>
  <c r="W7" i="10"/>
  <c r="Z7" i="10" s="1"/>
  <c r="AA7" i="10" s="1"/>
  <c r="Y7" i="10"/>
  <c r="Y28" i="10"/>
  <c r="W28" i="10"/>
  <c r="Z28" i="10" s="1"/>
  <c r="AA28" i="10" s="1"/>
  <c r="Y18" i="10"/>
  <c r="W18" i="10"/>
  <c r="Z18" i="10" s="1"/>
  <c r="AA18" i="10" s="1"/>
  <c r="Q6" i="10"/>
  <c r="S6" i="10"/>
  <c r="S9" i="10"/>
  <c r="Q9" i="10"/>
  <c r="Y31" i="10"/>
  <c r="W31" i="10"/>
  <c r="Z31" i="10" s="1"/>
  <c r="AA31" i="10" s="1"/>
  <c r="Q15" i="10"/>
  <c r="S15" i="10"/>
  <c r="S10" i="10"/>
  <c r="Q10" i="10"/>
  <c r="BZ17" i="10"/>
  <c r="BZ4" i="10"/>
  <c r="S18" i="3"/>
  <c r="Q18" i="3"/>
  <c r="W30" i="3"/>
  <c r="Z30" i="3" s="1"/>
  <c r="AA30" i="3" s="1"/>
  <c r="Y30" i="3"/>
  <c r="Y54" i="3"/>
  <c r="W54" i="3"/>
  <c r="Z54" i="3" s="1"/>
  <c r="AA54" i="3" s="1"/>
  <c r="S50" i="3"/>
  <c r="Q50" i="3"/>
  <c r="S5" i="3"/>
  <c r="Q5" i="3"/>
  <c r="S41" i="3"/>
  <c r="Q41" i="3"/>
  <c r="Q45" i="3"/>
  <c r="S45" i="3"/>
  <c r="S93" i="3"/>
  <c r="Q93" i="3"/>
  <c r="W89" i="3"/>
  <c r="Z89" i="3" s="1"/>
  <c r="AA89" i="3" s="1"/>
  <c r="Y89" i="3"/>
  <c r="Y85" i="3"/>
  <c r="W85" i="3"/>
  <c r="Z85" i="3" s="1"/>
  <c r="AA85" i="3" s="1"/>
  <c r="S81" i="3"/>
  <c r="Q81" i="3"/>
  <c r="S77" i="3"/>
  <c r="Q77" i="3"/>
  <c r="Y73" i="3"/>
  <c r="W73" i="3"/>
  <c r="Z73" i="3" s="1"/>
  <c r="AA73" i="3" s="1"/>
  <c r="Y69" i="3"/>
  <c r="W69" i="3"/>
  <c r="Z69" i="3" s="1"/>
  <c r="AA69" i="3" s="1"/>
  <c r="S61" i="3"/>
  <c r="Q61" i="3"/>
  <c r="S94" i="3"/>
  <c r="Q94" i="3"/>
  <c r="Q90" i="3"/>
  <c r="S90" i="3"/>
  <c r="S86" i="3"/>
  <c r="Q86" i="3"/>
  <c r="S78" i="3"/>
  <c r="Q78" i="3"/>
  <c r="Y74" i="3"/>
  <c r="W74" i="3"/>
  <c r="Z74" i="3" s="1"/>
  <c r="AA74" i="3" s="1"/>
  <c r="W70" i="3"/>
  <c r="Z70" i="3" s="1"/>
  <c r="AA70" i="3" s="1"/>
  <c r="Y70" i="3"/>
  <c r="S66" i="3"/>
  <c r="Q66" i="3"/>
  <c r="W62" i="3"/>
  <c r="Z62" i="3" s="1"/>
  <c r="AA62" i="3" s="1"/>
  <c r="Y62" i="3"/>
  <c r="Y27" i="3"/>
  <c r="W27" i="3"/>
  <c r="Z27" i="3" s="1"/>
  <c r="AA27" i="3" s="1"/>
  <c r="S31" i="3"/>
  <c r="Q31" i="3"/>
  <c r="Y39" i="3"/>
  <c r="W39" i="3"/>
  <c r="Z39" i="3" s="1"/>
  <c r="AA39" i="3" s="1"/>
  <c r="S43" i="3"/>
  <c r="Q43" i="3"/>
  <c r="Q47" i="3"/>
  <c r="S47" i="3"/>
  <c r="Q91" i="3"/>
  <c r="S91" i="3"/>
  <c r="Y87" i="3"/>
  <c r="W87" i="3"/>
  <c r="Z87" i="3" s="1"/>
  <c r="AA87" i="3" s="1"/>
  <c r="W83" i="3"/>
  <c r="Z83" i="3" s="1"/>
  <c r="AA83" i="3" s="1"/>
  <c r="Y83" i="3"/>
  <c r="S79" i="3"/>
  <c r="Q79" i="3"/>
  <c r="W75" i="3"/>
  <c r="Z75" i="3" s="1"/>
  <c r="AA75" i="3" s="1"/>
  <c r="Y75" i="3"/>
  <c r="Y71" i="3"/>
  <c r="W71" i="3"/>
  <c r="Z71" i="3" s="1"/>
  <c r="AA71" i="3" s="1"/>
  <c r="Y67" i="3"/>
  <c r="W67" i="3"/>
  <c r="Z67" i="3" s="1"/>
  <c r="AA67" i="3" s="1"/>
  <c r="W63" i="3"/>
  <c r="Z63" i="3" s="1"/>
  <c r="AA63" i="3" s="1"/>
  <c r="Y63" i="3"/>
  <c r="Q59" i="3"/>
  <c r="S59" i="3"/>
  <c r="Y55" i="3"/>
  <c r="W55" i="3"/>
  <c r="Z55" i="3" s="1"/>
  <c r="AA55" i="3" s="1"/>
  <c r="S51" i="3"/>
  <c r="Q51" i="3"/>
  <c r="S6" i="3"/>
  <c r="Q6" i="3"/>
  <c r="Y10" i="3"/>
  <c r="W10" i="3"/>
  <c r="Z10" i="3" s="1"/>
  <c r="AA10" i="3" s="1"/>
  <c r="Y28" i="3"/>
  <c r="W28" i="3"/>
  <c r="Z28" i="3" s="1"/>
  <c r="AA28" i="3" s="1"/>
  <c r="S36" i="3"/>
  <c r="Q36" i="3"/>
  <c r="S40" i="3"/>
  <c r="Q40" i="3"/>
  <c r="W44" i="3"/>
  <c r="Z44" i="3" s="1"/>
  <c r="AA44" i="3" s="1"/>
  <c r="Y44" i="3"/>
  <c r="S72" i="3"/>
  <c r="Q72" i="3"/>
  <c r="W60" i="3"/>
  <c r="Z60" i="3" s="1"/>
  <c r="AA60" i="3" s="1"/>
  <c r="Y60" i="3"/>
  <c r="W53" i="3"/>
  <c r="Z53" i="3" s="1"/>
  <c r="AA53" i="3" s="1"/>
  <c r="Y53" i="3"/>
  <c r="Y49" i="3"/>
  <c r="W49" i="3"/>
  <c r="Z49" i="3" s="1"/>
  <c r="AA49" i="3" s="1"/>
  <c r="Y20" i="3"/>
  <c r="W20" i="3"/>
  <c r="Z20" i="3" s="1"/>
  <c r="AA20" i="3" s="1"/>
  <c r="Y92" i="3"/>
  <c r="W92" i="3"/>
  <c r="Z92" i="3" s="1"/>
  <c r="AA92" i="3" s="1"/>
  <c r="S88" i="3"/>
  <c r="Q88" i="3"/>
  <c r="Y84" i="3"/>
  <c r="W84" i="3"/>
  <c r="Z84" i="3" s="1"/>
  <c r="AA84" i="3" s="1"/>
  <c r="S52" i="3"/>
  <c r="Q52" i="3"/>
  <c r="S48" i="3"/>
  <c r="Q48" i="3"/>
  <c r="S9" i="3"/>
  <c r="Q9" i="3"/>
  <c r="W13" i="3"/>
  <c r="Z13" i="3" s="1"/>
  <c r="AA13" i="3" s="1"/>
  <c r="Y13" i="3"/>
  <c r="Y17" i="3"/>
  <c r="W17" i="3"/>
  <c r="Z17" i="3" s="1"/>
  <c r="AA17" i="3" s="1"/>
  <c r="W21" i="3"/>
  <c r="Z21" i="3" s="1"/>
  <c r="AA21" i="3" s="1"/>
  <c r="Y21" i="3"/>
  <c r="W25" i="3"/>
  <c r="Z25" i="3" s="1"/>
  <c r="AA25" i="3" s="1"/>
  <c r="Y25" i="3"/>
  <c r="Y29" i="3"/>
  <c r="W29" i="3"/>
  <c r="Z29" i="3" s="1"/>
  <c r="AA29" i="3" s="1"/>
  <c r="S33" i="3"/>
  <c r="Q33" i="3"/>
  <c r="S7" i="3"/>
  <c r="Q7" i="3"/>
  <c r="Q14" i="3"/>
  <c r="S14" i="3"/>
  <c r="S34" i="3"/>
  <c r="Q34" i="3"/>
  <c r="S54" i="3"/>
  <c r="Q54" i="3"/>
  <c r="Y5" i="3"/>
  <c r="W5" i="3"/>
  <c r="Z5" i="3" s="1"/>
  <c r="AA5" i="3" s="1"/>
  <c r="S11" i="3"/>
  <c r="Q11" i="3"/>
  <c r="Y15" i="3"/>
  <c r="W15" i="3"/>
  <c r="Z15" i="3" s="1"/>
  <c r="AA15" i="3" s="1"/>
  <c r="Y19" i="3"/>
  <c r="W19" i="3"/>
  <c r="Z19" i="3" s="1"/>
  <c r="AA19" i="3" s="1"/>
  <c r="S26" i="3"/>
  <c r="Q26" i="3"/>
  <c r="S38" i="3"/>
  <c r="Q38" i="3"/>
  <c r="S42" i="3"/>
  <c r="Q42" i="3"/>
  <c r="Q46" i="3"/>
  <c r="S46" i="3"/>
  <c r="Y93" i="3"/>
  <c r="W93" i="3"/>
  <c r="Z93" i="3" s="1"/>
  <c r="AA93" i="3" s="1"/>
  <c r="S89" i="3"/>
  <c r="Q89" i="3"/>
  <c r="S85" i="3"/>
  <c r="Q85" i="3"/>
  <c r="W81" i="3"/>
  <c r="Z81" i="3" s="1"/>
  <c r="AA81" i="3" s="1"/>
  <c r="Y81" i="3"/>
  <c r="W77" i="3"/>
  <c r="Z77" i="3" s="1"/>
  <c r="AA77" i="3" s="1"/>
  <c r="Y77" i="3"/>
  <c r="S65" i="3"/>
  <c r="Q65" i="3"/>
  <c r="Y90" i="3"/>
  <c r="W90" i="3"/>
  <c r="Z90" i="3" s="1"/>
  <c r="AA90" i="3" s="1"/>
  <c r="S82" i="3"/>
  <c r="Q82" i="3"/>
  <c r="W78" i="3"/>
  <c r="Z78" i="3" s="1"/>
  <c r="AA78" i="3" s="1"/>
  <c r="Y78" i="3"/>
  <c r="S74" i="3"/>
  <c r="Q74" i="3"/>
  <c r="S70" i="3"/>
  <c r="Q70" i="3"/>
  <c r="Y66" i="3"/>
  <c r="W66" i="3"/>
  <c r="Z66" i="3" s="1"/>
  <c r="AA66" i="3" s="1"/>
  <c r="S27" i="3"/>
  <c r="Q27" i="3"/>
  <c r="W31" i="3"/>
  <c r="Z31" i="3" s="1"/>
  <c r="AA31" i="3" s="1"/>
  <c r="Y31" i="3"/>
  <c r="S39" i="3"/>
  <c r="Q39" i="3"/>
  <c r="Y43" i="3"/>
  <c r="W43" i="3"/>
  <c r="Z43" i="3" s="1"/>
  <c r="AA43" i="3" s="1"/>
  <c r="S87" i="3"/>
  <c r="Q87" i="3"/>
  <c r="S83" i="3"/>
  <c r="Q83" i="3"/>
  <c r="S75" i="3"/>
  <c r="Q75" i="3"/>
  <c r="S67" i="3"/>
  <c r="Q67" i="3"/>
  <c r="S63" i="3"/>
  <c r="Q63" i="3"/>
  <c r="S55" i="3"/>
  <c r="Q55" i="3"/>
  <c r="W6" i="3"/>
  <c r="Z6" i="3" s="1"/>
  <c r="AA6" i="3" s="1"/>
  <c r="Y6" i="3"/>
  <c r="S10" i="3"/>
  <c r="Q10" i="3"/>
  <c r="S32" i="3"/>
  <c r="Q32" i="3"/>
  <c r="W36" i="3"/>
  <c r="Z36" i="3" s="1"/>
  <c r="AA36" i="3" s="1"/>
  <c r="Y36" i="3"/>
  <c r="S44" i="3"/>
  <c r="Q44" i="3"/>
  <c r="BZ81" i="3"/>
  <c r="S20" i="3"/>
  <c r="Q20" i="3"/>
  <c r="Q92" i="3"/>
  <c r="S92" i="3"/>
  <c r="S84" i="3"/>
  <c r="Q84" i="3"/>
  <c r="S13" i="3"/>
  <c r="Q13" i="3"/>
  <c r="S17" i="3"/>
  <c r="Q17" i="3"/>
  <c r="S21" i="3"/>
  <c r="Q21" i="3"/>
  <c r="S25" i="3"/>
  <c r="Q25" i="3"/>
  <c r="Q29" i="3"/>
  <c r="S29" i="3"/>
  <c r="W33" i="3"/>
  <c r="Z33" i="3" s="1"/>
  <c r="AA33" i="3" s="1"/>
  <c r="Y33" i="3"/>
  <c r="BZ5" i="3"/>
  <c r="Y50" i="3"/>
  <c r="W50" i="3"/>
  <c r="Z50" i="3" s="1"/>
  <c r="AA50" i="3" s="1"/>
  <c r="S15" i="3"/>
  <c r="Q15" i="3"/>
  <c r="Y38" i="3"/>
  <c r="W38" i="3"/>
  <c r="Z38" i="3" s="1"/>
  <c r="AA38" i="3" s="1"/>
  <c r="W42" i="3"/>
  <c r="Z42" i="3" s="1"/>
  <c r="AA42" i="3" s="1"/>
  <c r="Y42" i="3"/>
  <c r="Y46" i="3"/>
  <c r="W46" i="3"/>
  <c r="Z46" i="3" s="1"/>
  <c r="AA46" i="3" s="1"/>
  <c r="Y41" i="3"/>
  <c r="W41" i="3"/>
  <c r="Z41" i="3" s="1"/>
  <c r="AA41" i="3" s="1"/>
  <c r="W45" i="3"/>
  <c r="Z45" i="3" s="1"/>
  <c r="AA45" i="3" s="1"/>
  <c r="Y45" i="3"/>
  <c r="S73" i="3"/>
  <c r="Q73" i="3"/>
  <c r="Q69" i="3"/>
  <c r="S69" i="3"/>
  <c r="Y65" i="3"/>
  <c r="W65" i="3"/>
  <c r="Z65" i="3" s="1"/>
  <c r="AA65" i="3" s="1"/>
  <c r="Y61" i="3"/>
  <c r="W61" i="3"/>
  <c r="Z61" i="3" s="1"/>
  <c r="AA61" i="3" s="1"/>
  <c r="W94" i="3"/>
  <c r="Z94" i="3" s="1"/>
  <c r="AA94" i="3" s="1"/>
  <c r="Y94" i="3"/>
  <c r="W86" i="3"/>
  <c r="Z86" i="3" s="1"/>
  <c r="AA86" i="3" s="1"/>
  <c r="Y86" i="3"/>
  <c r="Y82" i="3"/>
  <c r="W82" i="3"/>
  <c r="Z82" i="3" s="1"/>
  <c r="AA82" i="3" s="1"/>
  <c r="S62" i="3"/>
  <c r="Q62" i="3"/>
  <c r="Y47" i="3"/>
  <c r="W47" i="3"/>
  <c r="Z47" i="3" s="1"/>
  <c r="AA47" i="3" s="1"/>
  <c r="Y91" i="3"/>
  <c r="W91" i="3"/>
  <c r="Z91" i="3" s="1"/>
  <c r="AA91" i="3" s="1"/>
  <c r="W79" i="3"/>
  <c r="Z79" i="3" s="1"/>
  <c r="AA79" i="3" s="1"/>
  <c r="Y79" i="3"/>
  <c r="S71" i="3"/>
  <c r="Q71" i="3"/>
  <c r="Y59" i="3"/>
  <c r="W59" i="3"/>
  <c r="Z59" i="3" s="1"/>
  <c r="AA59" i="3" s="1"/>
  <c r="W51" i="3"/>
  <c r="Z51" i="3" s="1"/>
  <c r="AA51" i="3" s="1"/>
  <c r="Y51" i="3"/>
  <c r="S28" i="3"/>
  <c r="Q28" i="3"/>
  <c r="Y32" i="3"/>
  <c r="W32" i="3"/>
  <c r="Z32" i="3" s="1"/>
  <c r="AA32" i="3" s="1"/>
  <c r="W40" i="3"/>
  <c r="Z40" i="3" s="1"/>
  <c r="AA40" i="3" s="1"/>
  <c r="Y40" i="3"/>
  <c r="Y72" i="3"/>
  <c r="W72" i="3"/>
  <c r="Z72" i="3" s="1"/>
  <c r="AA72" i="3" s="1"/>
  <c r="Y68" i="3"/>
  <c r="W68" i="3"/>
  <c r="Z68" i="3" s="1"/>
  <c r="AA68" i="3" s="1"/>
  <c r="S53" i="3"/>
  <c r="Q53" i="3"/>
  <c r="S49" i="3"/>
  <c r="Q49" i="3"/>
  <c r="S8" i="3"/>
  <c r="Q8" i="3"/>
  <c r="W12" i="3"/>
  <c r="Z12" i="3" s="1"/>
  <c r="AA12" i="3" s="1"/>
  <c r="Y12" i="3"/>
  <c r="Y88" i="3"/>
  <c r="W88" i="3"/>
  <c r="Z88" i="3" s="1"/>
  <c r="AA88" i="3" s="1"/>
  <c r="Y52" i="3"/>
  <c r="W52" i="3"/>
  <c r="Z52" i="3" s="1"/>
  <c r="AA52" i="3" s="1"/>
  <c r="Y48" i="3"/>
  <c r="W48" i="3"/>
  <c r="Z48" i="3" s="1"/>
  <c r="AA48" i="3" s="1"/>
  <c r="W9" i="3"/>
  <c r="Z9" i="3" s="1"/>
  <c r="AA9" i="3" s="1"/>
  <c r="Y9" i="3"/>
  <c r="W7" i="3"/>
  <c r="Z7" i="3" s="1"/>
  <c r="AA7" i="3" s="1"/>
  <c r="Y7" i="3"/>
  <c r="Y14" i="3"/>
  <c r="W14" i="3"/>
  <c r="Z14" i="3" s="1"/>
  <c r="AA14" i="3" s="1"/>
  <c r="W18" i="3"/>
  <c r="Z18" i="3" s="1"/>
  <c r="AA18" i="3" s="1"/>
  <c r="Y18" i="3"/>
  <c r="S30" i="3"/>
  <c r="Q30" i="3"/>
  <c r="Y34" i="3"/>
  <c r="W34" i="3"/>
  <c r="Z34" i="3" s="1"/>
  <c r="AA34" i="3" s="1"/>
  <c r="Y11" i="3"/>
  <c r="W11" i="3"/>
  <c r="Z11" i="3" s="1"/>
  <c r="AA11" i="3" s="1"/>
  <c r="S19" i="3"/>
  <c r="Q19" i="3"/>
  <c r="W26" i="3"/>
  <c r="Z26" i="3" s="1"/>
  <c r="AA26" i="3" s="1"/>
  <c r="Y26" i="3"/>
  <c r="S68" i="3"/>
  <c r="Q68" i="3"/>
  <c r="S60" i="3"/>
  <c r="Q60" i="3"/>
  <c r="Y8" i="3"/>
  <c r="W8" i="3"/>
  <c r="Z8" i="3" s="1"/>
  <c r="AA8" i="3" s="1"/>
  <c r="S12" i="3"/>
  <c r="Q12" i="3"/>
  <c r="Q4" i="14"/>
  <c r="S4" i="14"/>
  <c r="W4" i="14"/>
  <c r="Z4" i="14" s="1"/>
  <c r="AA4" i="14" s="1"/>
  <c r="Y4" i="14"/>
  <c r="H22" i="12"/>
  <c r="BH4" i="10"/>
  <c r="BX4" i="10"/>
  <c r="AL4" i="10"/>
  <c r="BL64" i="3"/>
  <c r="BL66" i="3"/>
  <c r="BL17" i="3"/>
  <c r="BL80" i="3"/>
  <c r="BL65" i="3"/>
  <c r="BL18" i="3"/>
  <c r="BL35" i="3"/>
  <c r="BL16" i="3"/>
  <c r="BF57" i="3"/>
  <c r="BG57" i="3" s="1"/>
  <c r="BF33" i="3"/>
  <c r="BG33" i="3" s="1"/>
  <c r="BF78" i="3"/>
  <c r="BG78" i="3" s="1"/>
  <c r="BF29" i="3"/>
  <c r="BG29" i="3" s="1"/>
  <c r="BF45" i="3"/>
  <c r="BG45" i="3" s="1"/>
  <c r="BF96" i="3"/>
  <c r="BG96" i="3" s="1"/>
  <c r="BF72" i="3"/>
  <c r="BG72" i="3" s="1"/>
  <c r="BG22" i="3"/>
  <c r="BF92" i="3"/>
  <c r="BG92" i="3" s="1"/>
  <c r="BF67" i="3"/>
  <c r="BG67" i="3" s="1"/>
  <c r="BF36" i="3"/>
  <c r="BG36" i="3" s="1"/>
  <c r="BF81" i="3"/>
  <c r="BG81" i="3" s="1"/>
  <c r="BF88" i="3"/>
  <c r="BG88" i="3" s="1"/>
  <c r="BF51" i="3"/>
  <c r="BG51" i="3" s="1"/>
  <c r="G39" i="24"/>
  <c r="F39" i="24"/>
  <c r="G22" i="12" l="1"/>
  <c r="A52" i="5"/>
  <c r="I7" i="15" l="1"/>
  <c r="AE15" i="14"/>
  <c r="AG15" i="14" s="1"/>
  <c r="BP48" i="10"/>
  <c r="AE51" i="10"/>
  <c r="AG51" i="10" s="1"/>
  <c r="AE11" i="14"/>
  <c r="AG11" i="14" s="1"/>
  <c r="AE13" i="14"/>
  <c r="AG13" i="14" s="1"/>
  <c r="AE18" i="14"/>
  <c r="AG18" i="14" s="1"/>
  <c r="AE17" i="14"/>
  <c r="AG17" i="14" s="1"/>
  <c r="AO12" i="14"/>
  <c r="BP12" i="14"/>
  <c r="BP15" i="14"/>
  <c r="AE21" i="14"/>
  <c r="AG21" i="14" s="1"/>
  <c r="BP20" i="14"/>
  <c r="AS52" i="10"/>
  <c r="AE52" i="10"/>
  <c r="AG52" i="10" s="1"/>
  <c r="AS11" i="14"/>
  <c r="AT11" i="14" s="1"/>
  <c r="AS51" i="10"/>
  <c r="AT51" i="10" s="1"/>
  <c r="AO13" i="14"/>
  <c r="AO14" i="14"/>
  <c r="AO15" i="14"/>
  <c r="BP49" i="10"/>
  <c r="AE53" i="10"/>
  <c r="AG53" i="10" s="1"/>
  <c r="BP13" i="14"/>
  <c r="BP19" i="14"/>
  <c r="BP21" i="14"/>
  <c r="AO20" i="14"/>
  <c r="AE20" i="14"/>
  <c r="AG20" i="14" s="1"/>
  <c r="BP47" i="10"/>
  <c r="BM11" i="14"/>
  <c r="BM51" i="10"/>
  <c r="AE16" i="14"/>
  <c r="AG16" i="14" s="1"/>
  <c r="BP14" i="14"/>
  <c r="AE14" i="14"/>
  <c r="AG14" i="14" s="1"/>
  <c r="BP53" i="10"/>
  <c r="AO19" i="14"/>
  <c r="AO21" i="14"/>
  <c r="AE19" i="14"/>
  <c r="AG19" i="14" s="1"/>
  <c r="BP16" i="14"/>
  <c r="BM52" i="10"/>
  <c r="AO16" i="14"/>
  <c r="AO18" i="14"/>
  <c r="BP18" i="14"/>
  <c r="AO53" i="10"/>
  <c r="AE12" i="14"/>
  <c r="AG12" i="14" s="1"/>
  <c r="BP17" i="14"/>
  <c r="AO17" i="14"/>
  <c r="BP8" i="14"/>
  <c r="M53" i="10"/>
  <c r="L17" i="14"/>
  <c r="L21" i="14"/>
  <c r="AI20" i="14"/>
  <c r="AK20" i="14" s="1"/>
  <c r="AL20" i="14" s="1"/>
  <c r="M19" i="14"/>
  <c r="AI12" i="14"/>
  <c r="AK12" i="14" s="1"/>
  <c r="AI11" i="14"/>
  <c r="AK11" i="14" s="1"/>
  <c r="L52" i="10"/>
  <c r="M13" i="14"/>
  <c r="AI16" i="14"/>
  <c r="AK16" i="14" s="1"/>
  <c r="M17" i="14"/>
  <c r="M15" i="14"/>
  <c r="L18" i="14"/>
  <c r="AI53" i="10"/>
  <c r="AK53" i="10" s="1"/>
  <c r="AI19" i="14"/>
  <c r="AK19" i="14" s="1"/>
  <c r="AI21" i="14"/>
  <c r="AK21" i="14" s="1"/>
  <c r="AI17" i="14"/>
  <c r="AK17" i="14" s="1"/>
  <c r="M52" i="10"/>
  <c r="AI52" i="10"/>
  <c r="AK52" i="10" s="1"/>
  <c r="M16" i="14"/>
  <c r="AI18" i="14"/>
  <c r="AK18" i="14" s="1"/>
  <c r="M14" i="14"/>
  <c r="L20" i="14"/>
  <c r="L53" i="10"/>
  <c r="L14" i="14"/>
  <c r="M21" i="14"/>
  <c r="L16" i="14"/>
  <c r="L15" i="14"/>
  <c r="M51" i="10"/>
  <c r="L11" i="14"/>
  <c r="AI13" i="14"/>
  <c r="AK13" i="14" s="1"/>
  <c r="AL13" i="14" s="1"/>
  <c r="M18" i="14"/>
  <c r="M12" i="14"/>
  <c r="AI15" i="14"/>
  <c r="AK15" i="14" s="1"/>
  <c r="L12" i="14"/>
  <c r="L19" i="14"/>
  <c r="M20" i="14"/>
  <c r="AI14" i="14"/>
  <c r="AK14" i="14" s="1"/>
  <c r="BX14" i="14" s="1"/>
  <c r="L51" i="10"/>
  <c r="M11" i="14"/>
  <c r="AI51" i="10"/>
  <c r="AK51" i="10" s="1"/>
  <c r="AL51" i="10" s="1"/>
  <c r="L13" i="14"/>
  <c r="G53" i="10"/>
  <c r="I53" i="10" s="1"/>
  <c r="G21" i="14"/>
  <c r="I21" i="14" s="1"/>
  <c r="G16" i="14"/>
  <c r="I16" i="14" s="1"/>
  <c r="G52" i="10"/>
  <c r="I52" i="10" s="1"/>
  <c r="G15" i="14"/>
  <c r="I15" i="14" s="1"/>
  <c r="G51" i="10"/>
  <c r="I51" i="10" s="1"/>
  <c r="G13" i="14"/>
  <c r="I13" i="14" s="1"/>
  <c r="G14" i="14"/>
  <c r="I14" i="14" s="1"/>
  <c r="G17" i="14"/>
  <c r="I17" i="14" s="1"/>
  <c r="G20" i="14"/>
  <c r="I20" i="14" s="1"/>
  <c r="G11" i="14"/>
  <c r="I11" i="14" s="1"/>
  <c r="G18" i="14"/>
  <c r="I18" i="14" s="1"/>
  <c r="G12" i="14"/>
  <c r="I12" i="14" s="1"/>
  <c r="G19" i="14"/>
  <c r="I19" i="14" s="1"/>
  <c r="AO48" i="10"/>
  <c r="AE47" i="10"/>
  <c r="AG47" i="10" s="1"/>
  <c r="AO49" i="10"/>
  <c r="AW7" i="14"/>
  <c r="AE48" i="10"/>
  <c r="AG48" i="10" s="1"/>
  <c r="AO47" i="10"/>
  <c r="AE49" i="10"/>
  <c r="AG49" i="10" s="1"/>
  <c r="BA6" i="14"/>
  <c r="BB6" i="14" s="1"/>
  <c r="AW5" i="14"/>
  <c r="AW8" i="14"/>
  <c r="AI48" i="10"/>
  <c r="AK48" i="10" s="1"/>
  <c r="M47" i="10"/>
  <c r="L49" i="10"/>
  <c r="L47" i="10"/>
  <c r="M50" i="10"/>
  <c r="M48" i="10"/>
  <c r="L48" i="10"/>
  <c r="M49" i="10"/>
  <c r="AI47" i="10"/>
  <c r="AK47" i="10" s="1"/>
  <c r="AI49" i="10"/>
  <c r="AK49" i="10" s="1"/>
  <c r="G50" i="10"/>
  <c r="I50" i="10" s="1"/>
  <c r="G49" i="10"/>
  <c r="I49" i="10" s="1"/>
  <c r="G47" i="10"/>
  <c r="I47" i="10" s="1"/>
  <c r="I6" i="15"/>
  <c r="BP6" i="14"/>
  <c r="BP39" i="10"/>
  <c r="BP9" i="14"/>
  <c r="AO46" i="10"/>
  <c r="AO45" i="10"/>
  <c r="BP44" i="10"/>
  <c r="BP45" i="10"/>
  <c r="BP38" i="10"/>
  <c r="AO43" i="10"/>
  <c r="AO38" i="10"/>
  <c r="BP40" i="10"/>
  <c r="BP46" i="10"/>
  <c r="BP5" i="14"/>
  <c r="BP4" i="3"/>
  <c r="AO44" i="10"/>
  <c r="AO40" i="10"/>
  <c r="BP43" i="10"/>
  <c r="BP7" i="14"/>
  <c r="BP10" i="14"/>
  <c r="AO9" i="14"/>
  <c r="BP98" i="3"/>
  <c r="BP99" i="3"/>
  <c r="BP100" i="3"/>
  <c r="BP97" i="3"/>
  <c r="BP96" i="3"/>
  <c r="AO56" i="3"/>
  <c r="AO22" i="3"/>
  <c r="BP4" i="14"/>
  <c r="BP36" i="10"/>
  <c r="BP31" i="10"/>
  <c r="BP30" i="10"/>
  <c r="BP10" i="10"/>
  <c r="BP16" i="10"/>
  <c r="BP8" i="10"/>
  <c r="BP15" i="10"/>
  <c r="BP29" i="10"/>
  <c r="BP22" i="10"/>
  <c r="BP13" i="10"/>
  <c r="BP9" i="10"/>
  <c r="BP57" i="3"/>
  <c r="BP14" i="3"/>
  <c r="BP15" i="3"/>
  <c r="BP77" i="3"/>
  <c r="BP66" i="3"/>
  <c r="BP69" i="3"/>
  <c r="BP43" i="3"/>
  <c r="BP89" i="3"/>
  <c r="BP16" i="3"/>
  <c r="BP79" i="3"/>
  <c r="BP63" i="3"/>
  <c r="BP70" i="3"/>
  <c r="BP45" i="3"/>
  <c r="BP6" i="3"/>
  <c r="BP9" i="3"/>
  <c r="BP37" i="3"/>
  <c r="BP58" i="3"/>
  <c r="BP36" i="3"/>
  <c r="BP61" i="3"/>
  <c r="BP68" i="3"/>
  <c r="AO57" i="3"/>
  <c r="BP32" i="10"/>
  <c r="BP7" i="10"/>
  <c r="BP35" i="10"/>
  <c r="BP20" i="10"/>
  <c r="BP19" i="10"/>
  <c r="BP18" i="10"/>
  <c r="BP87" i="3"/>
  <c r="BM26" i="3"/>
  <c r="BP90" i="3"/>
  <c r="BP8" i="3"/>
  <c r="BP22" i="3"/>
  <c r="BP50" i="3"/>
  <c r="BP64" i="3"/>
  <c r="BP73" i="3"/>
  <c r="BP56" i="3"/>
  <c r="BP85" i="3"/>
  <c r="BP28" i="3"/>
  <c r="BP12" i="3"/>
  <c r="BP38" i="3"/>
  <c r="BP78" i="3"/>
  <c r="BP51" i="3"/>
  <c r="BP86" i="3"/>
  <c r="BP88" i="3"/>
  <c r="BP54" i="3"/>
  <c r="BP92" i="3"/>
  <c r="BP72" i="3"/>
  <c r="AO25" i="3"/>
  <c r="AO36" i="10"/>
  <c r="BP24" i="10"/>
  <c r="BP27" i="10"/>
  <c r="BP11" i="10"/>
  <c r="BP28" i="10"/>
  <c r="BP6" i="10"/>
  <c r="BP84" i="3"/>
  <c r="BP31" i="3"/>
  <c r="BP94" i="3"/>
  <c r="BP17" i="3"/>
  <c r="BP53" i="3"/>
  <c r="BP24" i="3"/>
  <c r="BP76" i="3"/>
  <c r="BP44" i="3"/>
  <c r="BP23" i="3"/>
  <c r="BP11" i="3"/>
  <c r="BP5" i="3"/>
  <c r="BP21" i="3"/>
  <c r="BP91" i="3"/>
  <c r="BP18" i="3"/>
  <c r="BP67" i="3"/>
  <c r="BP93" i="3"/>
  <c r="BP48" i="3"/>
  <c r="BP75" i="3"/>
  <c r="BP40" i="3"/>
  <c r="AO58" i="3"/>
  <c r="AO24" i="3"/>
  <c r="AO4" i="14"/>
  <c r="AP4" i="14" s="1"/>
  <c r="BP25" i="10"/>
  <c r="BP33" i="10"/>
  <c r="BP5" i="10"/>
  <c r="BP14" i="10"/>
  <c r="BP12" i="10"/>
  <c r="BP23" i="10"/>
  <c r="BP34" i="10"/>
  <c r="BP21" i="10"/>
  <c r="BP30" i="3"/>
  <c r="BP47" i="3"/>
  <c r="BP39" i="3"/>
  <c r="BP33" i="3"/>
  <c r="BP71" i="3"/>
  <c r="BP60" i="3"/>
  <c r="BP62" i="3"/>
  <c r="BP34" i="3"/>
  <c r="BP27" i="3"/>
  <c r="BP7" i="3"/>
  <c r="BP55" i="3"/>
  <c r="BP32" i="3"/>
  <c r="BP59" i="3"/>
  <c r="BP41" i="3"/>
  <c r="BP29" i="3"/>
  <c r="BP13" i="3"/>
  <c r="BP49" i="3"/>
  <c r="BP46" i="3"/>
  <c r="BP65" i="3"/>
  <c r="BP42" i="3"/>
  <c r="M37" i="10"/>
  <c r="M42" i="10"/>
  <c r="M41" i="10"/>
  <c r="G45" i="10"/>
  <c r="I45" i="10" s="1"/>
  <c r="G46" i="10"/>
  <c r="I46" i="10" s="1"/>
  <c r="M46" i="10"/>
  <c r="M40" i="10"/>
  <c r="M44" i="10"/>
  <c r="G37" i="10"/>
  <c r="I37" i="10" s="1"/>
  <c r="G43" i="10"/>
  <c r="I43" i="10" s="1"/>
  <c r="G39" i="10"/>
  <c r="I39" i="10" s="1"/>
  <c r="G40" i="10"/>
  <c r="I40" i="10" s="1"/>
  <c r="M43" i="10"/>
  <c r="M38" i="10"/>
  <c r="M45" i="10"/>
  <c r="G41" i="10"/>
  <c r="I41" i="10" s="1"/>
  <c r="G42" i="10"/>
  <c r="I42" i="10" s="1"/>
  <c r="M39" i="10"/>
  <c r="G44" i="10"/>
  <c r="I44" i="10" s="1"/>
  <c r="G38" i="10"/>
  <c r="I38" i="10" s="1"/>
  <c r="AE39" i="10"/>
  <c r="AG39" i="10" s="1"/>
  <c r="AO10" i="14"/>
  <c r="AE41" i="10"/>
  <c r="AG41" i="10" s="1"/>
  <c r="AO7" i="14"/>
  <c r="AE43" i="10"/>
  <c r="AG43" i="10" s="1"/>
  <c r="AE38" i="10"/>
  <c r="AG38" i="10" s="1"/>
  <c r="AO8" i="14"/>
  <c r="AO39" i="10"/>
  <c r="BE40" i="10"/>
  <c r="AE44" i="10"/>
  <c r="AG44" i="10" s="1"/>
  <c r="AO6" i="14"/>
  <c r="AE4" i="3"/>
  <c r="AG4" i="3" s="1"/>
  <c r="AE6" i="14"/>
  <c r="AG6" i="14" s="1"/>
  <c r="AE8" i="14"/>
  <c r="AG8" i="14" s="1"/>
  <c r="AO5" i="14"/>
  <c r="BE43" i="10"/>
  <c r="AE7" i="14"/>
  <c r="AG7" i="14" s="1"/>
  <c r="AO4" i="3"/>
  <c r="AP4" i="3" s="1"/>
  <c r="BM9" i="14"/>
  <c r="L39" i="10"/>
  <c r="AE9" i="14"/>
  <c r="AG9" i="14" s="1"/>
  <c r="BE45" i="10"/>
  <c r="AE46" i="10"/>
  <c r="AG46" i="10" s="1"/>
  <c r="AS9" i="14"/>
  <c r="BE44" i="10"/>
  <c r="AE5" i="14"/>
  <c r="AG5" i="14" s="1"/>
  <c r="AE10" i="14"/>
  <c r="AG10" i="14" s="1"/>
  <c r="AE42" i="10"/>
  <c r="AG42" i="10" s="1"/>
  <c r="AE40" i="10"/>
  <c r="AG40" i="10" s="1"/>
  <c r="BE46" i="10"/>
  <c r="AI39" i="10"/>
  <c r="AK39" i="10" s="1"/>
  <c r="BE38" i="10"/>
  <c r="AE45" i="10"/>
  <c r="AG45" i="10" s="1"/>
  <c r="AI44" i="10"/>
  <c r="AK44" i="10" s="1"/>
  <c r="M7" i="14"/>
  <c r="L44" i="10"/>
  <c r="M6" i="14"/>
  <c r="AI6" i="14"/>
  <c r="AK6" i="14" s="1"/>
  <c r="L6" i="14"/>
  <c r="AI43" i="10"/>
  <c r="AK43" i="10" s="1"/>
  <c r="AI7" i="14"/>
  <c r="AK7" i="14" s="1"/>
  <c r="L9" i="14"/>
  <c r="AI8" i="14"/>
  <c r="AK8" i="14" s="1"/>
  <c r="L8" i="14"/>
  <c r="L4" i="3"/>
  <c r="AI4" i="3"/>
  <c r="AK4" i="3" s="1"/>
  <c r="L40" i="10"/>
  <c r="AI38" i="10"/>
  <c r="AK38" i="10" s="1"/>
  <c r="L41" i="10"/>
  <c r="AI41" i="10"/>
  <c r="AK41" i="10" s="1"/>
  <c r="L45" i="10"/>
  <c r="M10" i="14"/>
  <c r="L46" i="10"/>
  <c r="AI40" i="10"/>
  <c r="AK40" i="10" s="1"/>
  <c r="M8" i="14"/>
  <c r="L42" i="10"/>
  <c r="AI42" i="10"/>
  <c r="AK42" i="10" s="1"/>
  <c r="L38" i="10"/>
  <c r="AI45" i="10"/>
  <c r="AK45" i="10" s="1"/>
  <c r="M9" i="14"/>
  <c r="L7" i="14"/>
  <c r="AI9" i="14"/>
  <c r="AK9" i="14" s="1"/>
  <c r="L10" i="14"/>
  <c r="L5" i="14"/>
  <c r="AI46" i="10"/>
  <c r="AK46" i="10" s="1"/>
  <c r="M5" i="14"/>
  <c r="L43" i="10"/>
  <c r="AI5" i="14"/>
  <c r="AK5" i="14" s="1"/>
  <c r="AI10" i="14"/>
  <c r="AK10" i="14" s="1"/>
  <c r="L96" i="3"/>
  <c r="AS96" i="3"/>
  <c r="AI96" i="3"/>
  <c r="AK96" i="3" s="1"/>
  <c r="BM96" i="3"/>
  <c r="AE96" i="3"/>
  <c r="AG96" i="3" s="1"/>
  <c r="G9" i="14"/>
  <c r="I9" i="14" s="1"/>
  <c r="G10" i="14"/>
  <c r="I10" i="14" s="1"/>
  <c r="G7" i="14"/>
  <c r="I7" i="14" s="1"/>
  <c r="G8" i="14"/>
  <c r="I8" i="14" s="1"/>
  <c r="G5" i="14"/>
  <c r="I5" i="14" s="1"/>
  <c r="G6" i="14"/>
  <c r="I6" i="14" s="1"/>
  <c r="AS89" i="3"/>
  <c r="AE29" i="3"/>
  <c r="AG29" i="3" s="1"/>
  <c r="AO6" i="3"/>
  <c r="AI78" i="3"/>
  <c r="AK78" i="3" s="1"/>
  <c r="AS73" i="3"/>
  <c r="AS4" i="14"/>
  <c r="AT4" i="14" s="1"/>
  <c r="AE13" i="10"/>
  <c r="AG13" i="10" s="1"/>
  <c r="BE34" i="10"/>
  <c r="AE45" i="3"/>
  <c r="AG45" i="3" s="1"/>
  <c r="BM78" i="3"/>
  <c r="AS53" i="3"/>
  <c r="AS64" i="3"/>
  <c r="AS85" i="3"/>
  <c r="AO55" i="3"/>
  <c r="AE92" i="3"/>
  <c r="AG92" i="3" s="1"/>
  <c r="BM46" i="3"/>
  <c r="AS15" i="3"/>
  <c r="BE11" i="10"/>
  <c r="BF11" i="10" s="1"/>
  <c r="AI22" i="3"/>
  <c r="AK22" i="3" s="1"/>
  <c r="AO32" i="10"/>
  <c r="AI29" i="3"/>
  <c r="AK29" i="3" s="1"/>
  <c r="BM73" i="3"/>
  <c r="BM51" i="3"/>
  <c r="AS11" i="3"/>
  <c r="AT11" i="3" s="1"/>
  <c r="AS36" i="3"/>
  <c r="AI51" i="3"/>
  <c r="AK51" i="3" s="1"/>
  <c r="AO31" i="10"/>
  <c r="BE16" i="10"/>
  <c r="AI81" i="3"/>
  <c r="AK81" i="3" s="1"/>
  <c r="BM30" i="3"/>
  <c r="AS41" i="3"/>
  <c r="AS72" i="3"/>
  <c r="AO13" i="10"/>
  <c r="AE51" i="3"/>
  <c r="AG51" i="3" s="1"/>
  <c r="BM33" i="3"/>
  <c r="BM27" i="3"/>
  <c r="AS94" i="3"/>
  <c r="BE27" i="10"/>
  <c r="AI45" i="3"/>
  <c r="AK45" i="3" s="1"/>
  <c r="BM94" i="3"/>
  <c r="BM89" i="3"/>
  <c r="AO19" i="3"/>
  <c r="AI13" i="10"/>
  <c r="AK13" i="10" s="1"/>
  <c r="AE22" i="3"/>
  <c r="AG22" i="3" s="1"/>
  <c r="BM85" i="3"/>
  <c r="AO88" i="3"/>
  <c r="BE18" i="10"/>
  <c r="BE29" i="10"/>
  <c r="AE33" i="3"/>
  <c r="AG33" i="3" s="1"/>
  <c r="BP25" i="3"/>
  <c r="AS63" i="3"/>
  <c r="AS27" i="3"/>
  <c r="AI33" i="3"/>
  <c r="AK33" i="3" s="1"/>
  <c r="AO38" i="3"/>
  <c r="AI67" i="3"/>
  <c r="AK67" i="3" s="1"/>
  <c r="AS33" i="3"/>
  <c r="AO67" i="3"/>
  <c r="AE67" i="3"/>
  <c r="AG67" i="3" s="1"/>
  <c r="BM29" i="3"/>
  <c r="AO28" i="3"/>
  <c r="AE22" i="10"/>
  <c r="AG22" i="10" s="1"/>
  <c r="L92" i="3"/>
  <c r="AE57" i="3"/>
  <c r="AG57" i="3" s="1"/>
  <c r="AS61" i="3"/>
  <c r="AO45" i="3"/>
  <c r="L51" i="3"/>
  <c r="AI57" i="3"/>
  <c r="AK57" i="3" s="1"/>
  <c r="L13" i="10"/>
  <c r="L78" i="3"/>
  <c r="AI36" i="3"/>
  <c r="AK36" i="3" s="1"/>
  <c r="AS62" i="3"/>
  <c r="AO86" i="3"/>
  <c r="L22" i="3"/>
  <c r="AE88" i="3"/>
  <c r="AG88" i="3" s="1"/>
  <c r="AS12" i="3"/>
  <c r="AO87" i="3"/>
  <c r="BE25" i="10"/>
  <c r="L29" i="3"/>
  <c r="AI88" i="3"/>
  <c r="AK88" i="3" s="1"/>
  <c r="AS46" i="3"/>
  <c r="AO32" i="3"/>
  <c r="L81" i="3"/>
  <c r="AE36" i="3"/>
  <c r="AG36" i="3" s="1"/>
  <c r="AO22" i="10"/>
  <c r="L45" i="3"/>
  <c r="AI72" i="3"/>
  <c r="AK72" i="3" s="1"/>
  <c r="AO92" i="3"/>
  <c r="AI22" i="10"/>
  <c r="AK22" i="10" s="1"/>
  <c r="L67" i="3"/>
  <c r="AS30" i="3"/>
  <c r="L33" i="3"/>
  <c r="BM36" i="3"/>
  <c r="AS78" i="3"/>
  <c r="AS51" i="3"/>
  <c r="L22" i="10"/>
  <c r="L57" i="3"/>
  <c r="BM53" i="3"/>
  <c r="AO21" i="3"/>
  <c r="L72" i="3"/>
  <c r="AO20" i="3"/>
  <c r="L88" i="3"/>
  <c r="BM72" i="3"/>
  <c r="BP26" i="3"/>
  <c r="AS13" i="3"/>
  <c r="L36" i="3"/>
  <c r="AO35" i="10"/>
  <c r="AE72" i="3"/>
  <c r="AG72" i="3" s="1"/>
  <c r="BE36" i="10"/>
  <c r="AE78" i="3"/>
  <c r="AG78" i="3" s="1"/>
  <c r="AS14" i="3"/>
  <c r="BM4" i="14"/>
  <c r="AE81" i="3"/>
  <c r="AG81" i="3" s="1"/>
  <c r="AI92" i="3"/>
  <c r="AK92" i="3" s="1"/>
  <c r="AS29" i="3"/>
  <c r="P52" i="5"/>
  <c r="AO95" i="3"/>
  <c r="AO98" i="3"/>
  <c r="AO97" i="3"/>
  <c r="B76" i="5"/>
  <c r="B77" i="5"/>
  <c r="M22" i="10"/>
  <c r="M4" i="14"/>
  <c r="M10" i="10"/>
  <c r="M15" i="10"/>
  <c r="M33" i="10"/>
  <c r="M32" i="10"/>
  <c r="M13" i="10"/>
  <c r="M8" i="10"/>
  <c r="M31" i="10"/>
  <c r="M23" i="10"/>
  <c r="M19" i="10"/>
  <c r="M12" i="10"/>
  <c r="M20" i="10"/>
  <c r="M11" i="10"/>
  <c r="M17" i="10"/>
  <c r="M36" i="10"/>
  <c r="M9" i="10"/>
  <c r="M21" i="10"/>
  <c r="M14" i="10"/>
  <c r="M29" i="10"/>
  <c r="M34" i="10"/>
  <c r="M18" i="10"/>
  <c r="M26" i="10"/>
  <c r="M6" i="10"/>
  <c r="M5" i="10"/>
  <c r="M35" i="10"/>
  <c r="M7" i="10"/>
  <c r="M27" i="10"/>
  <c r="M16" i="10"/>
  <c r="M4" i="10"/>
  <c r="M25" i="10"/>
  <c r="M28" i="10"/>
  <c r="M30" i="10"/>
  <c r="M24" i="10"/>
  <c r="AO7" i="10"/>
  <c r="L9" i="10"/>
  <c r="AO9" i="3"/>
  <c r="AO11" i="10"/>
  <c r="L27" i="10"/>
  <c r="L36" i="10"/>
  <c r="AO19" i="10"/>
  <c r="AO29" i="10"/>
  <c r="AO41" i="3"/>
  <c r="AE8" i="10"/>
  <c r="AG8" i="10" s="1"/>
  <c r="AE21" i="10"/>
  <c r="AG21" i="10" s="1"/>
  <c r="AI30" i="10"/>
  <c r="AK30" i="10" s="1"/>
  <c r="AO9" i="10"/>
  <c r="AI16" i="10"/>
  <c r="AK16" i="10" s="1"/>
  <c r="AO63" i="3"/>
  <c r="AS87" i="3"/>
  <c r="AS44" i="3"/>
  <c r="AS79" i="3"/>
  <c r="AO27" i="3"/>
  <c r="AO5" i="10"/>
  <c r="AP5" i="10" s="1"/>
  <c r="AO6" i="10"/>
  <c r="L19" i="10"/>
  <c r="AO30" i="10"/>
  <c r="AI10" i="10"/>
  <c r="AK10" i="10" s="1"/>
  <c r="AI12" i="10"/>
  <c r="AK12" i="10" s="1"/>
  <c r="AO10" i="3"/>
  <c r="L6" i="10"/>
  <c r="AO23" i="10"/>
  <c r="AO46" i="3"/>
  <c r="AW4" i="14"/>
  <c r="AX4" i="14" s="1"/>
  <c r="AE23" i="10"/>
  <c r="AG23" i="10" s="1"/>
  <c r="AI26" i="10"/>
  <c r="AK26" i="10" s="1"/>
  <c r="AO23" i="3"/>
  <c r="L29" i="10"/>
  <c r="L7" i="10"/>
  <c r="L15" i="10"/>
  <c r="AO15" i="3"/>
  <c r="AO27" i="10"/>
  <c r="L14" i="10"/>
  <c r="AI20" i="10"/>
  <c r="AK20" i="10" s="1"/>
  <c r="AE31" i="10"/>
  <c r="AG31" i="10" s="1"/>
  <c r="AI32" i="10"/>
  <c r="AK32" i="10" s="1"/>
  <c r="AO28" i="10"/>
  <c r="AO14" i="10"/>
  <c r="L32" i="10"/>
  <c r="AO33" i="10"/>
  <c r="L30" i="10"/>
  <c r="AO77" i="3"/>
  <c r="AO43" i="3"/>
  <c r="AO53" i="3"/>
  <c r="AI33" i="10"/>
  <c r="AK33" i="10" s="1"/>
  <c r="AE7" i="10"/>
  <c r="AG7" i="10" s="1"/>
  <c r="AO30" i="3"/>
  <c r="AO16" i="10"/>
  <c r="AO17" i="10"/>
  <c r="AO25" i="10"/>
  <c r="AI5" i="10"/>
  <c r="AK5" i="10" s="1"/>
  <c r="AS70" i="3"/>
  <c r="AO14" i="3"/>
  <c r="AO73" i="3"/>
  <c r="AE15" i="10"/>
  <c r="AG15" i="10" s="1"/>
  <c r="L24" i="10"/>
  <c r="L26" i="10"/>
  <c r="AO11" i="3"/>
  <c r="AI34" i="10"/>
  <c r="AK34" i="10" s="1"/>
  <c r="AO5" i="3"/>
  <c r="AE10" i="10"/>
  <c r="AG10" i="10" s="1"/>
  <c r="AE24" i="10"/>
  <c r="AG24" i="10" s="1"/>
  <c r="AO8" i="3"/>
  <c r="AO62" i="3"/>
  <c r="AO82" i="3"/>
  <c r="AO42" i="3"/>
  <c r="AI4" i="14"/>
  <c r="AK4" i="14" s="1"/>
  <c r="AE33" i="10"/>
  <c r="AG33" i="10" s="1"/>
  <c r="AE9" i="10"/>
  <c r="AG9" i="10" s="1"/>
  <c r="AO89" i="3"/>
  <c r="L21" i="10"/>
  <c r="AO94" i="3"/>
  <c r="AO37" i="3"/>
  <c r="AE5" i="10"/>
  <c r="AG5" i="10" s="1"/>
  <c r="AE19" i="10"/>
  <c r="AG19" i="10" s="1"/>
  <c r="AI25" i="10"/>
  <c r="AK25" i="10" s="1"/>
  <c r="AI15" i="10"/>
  <c r="AK15" i="10" s="1"/>
  <c r="L28" i="10"/>
  <c r="L25" i="10"/>
  <c r="AE35" i="10"/>
  <c r="AG35" i="10" s="1"/>
  <c r="AO61" i="3"/>
  <c r="AO49" i="3"/>
  <c r="AO60" i="3"/>
  <c r="L11" i="10"/>
  <c r="AE27" i="10"/>
  <c r="AG27" i="10" s="1"/>
  <c r="AI29" i="10"/>
  <c r="AK29" i="10" s="1"/>
  <c r="AI28" i="10"/>
  <c r="AK28" i="10" s="1"/>
  <c r="L18" i="10"/>
  <c r="AO52" i="3"/>
  <c r="AO34" i="10"/>
  <c r="AI31" i="10"/>
  <c r="AK31" i="10" s="1"/>
  <c r="AE30" i="10"/>
  <c r="AG30" i="10" s="1"/>
  <c r="AO10" i="10"/>
  <c r="L35" i="10"/>
  <c r="AE6" i="10"/>
  <c r="AG6" i="10" s="1"/>
  <c r="AO76" i="3"/>
  <c r="AO54" i="3"/>
  <c r="AI9" i="10"/>
  <c r="AK9" i="10" s="1"/>
  <c r="AI23" i="10"/>
  <c r="AK23" i="10" s="1"/>
  <c r="AS28" i="3"/>
  <c r="L10" i="10"/>
  <c r="AS50" i="3"/>
  <c r="AE14" i="10"/>
  <c r="AG14" i="10" s="1"/>
  <c r="AI18" i="10"/>
  <c r="AK18" i="10" s="1"/>
  <c r="L31" i="10"/>
  <c r="AS21" i="3"/>
  <c r="AE29" i="10"/>
  <c r="AG29" i="10" s="1"/>
  <c r="AO20" i="10"/>
  <c r="AO26" i="3"/>
  <c r="L34" i="10"/>
  <c r="L17" i="10"/>
  <c r="AI21" i="10"/>
  <c r="AK21" i="10" s="1"/>
  <c r="AI7" i="10"/>
  <c r="AK7" i="10" s="1"/>
  <c r="AE12" i="10"/>
  <c r="AG12" i="10" s="1"/>
  <c r="AE17" i="10"/>
  <c r="AG17" i="10" s="1"/>
  <c r="AO15" i="10"/>
  <c r="L4" i="14"/>
  <c r="AE11" i="10"/>
  <c r="AG11" i="10" s="1"/>
  <c r="AI19" i="10"/>
  <c r="AK19" i="10" s="1"/>
  <c r="AS58" i="3"/>
  <c r="L33" i="10"/>
  <c r="AS93" i="3"/>
  <c r="AI8" i="10"/>
  <c r="AK8" i="10" s="1"/>
  <c r="AE36" i="10"/>
  <c r="AG36" i="10" s="1"/>
  <c r="AI35" i="10"/>
  <c r="AK35" i="10" s="1"/>
  <c r="AO12" i="3"/>
  <c r="AO7" i="3"/>
  <c r="AI24" i="10"/>
  <c r="AK24" i="10" s="1"/>
  <c r="AI6" i="10"/>
  <c r="AK6" i="10" s="1"/>
  <c r="AO26" i="10"/>
  <c r="L20" i="10"/>
  <c r="L8" i="10"/>
  <c r="AE16" i="10"/>
  <c r="AG16" i="10" s="1"/>
  <c r="AE18" i="10"/>
  <c r="AG18" i="10" s="1"/>
  <c r="L5" i="10"/>
  <c r="AO12" i="10"/>
  <c r="AO71" i="3"/>
  <c r="L12" i="10"/>
  <c r="AE4" i="14"/>
  <c r="AG4" i="14" s="1"/>
  <c r="AE34" i="10"/>
  <c r="AG34" i="10" s="1"/>
  <c r="AE28" i="10"/>
  <c r="AG28" i="10" s="1"/>
  <c r="AI14" i="10"/>
  <c r="AK14" i="10" s="1"/>
  <c r="AO13" i="3"/>
  <c r="AO59" i="3"/>
  <c r="AE20" i="10"/>
  <c r="AG20" i="10" s="1"/>
  <c r="L16" i="10"/>
  <c r="AE26" i="10"/>
  <c r="AG26" i="10" s="1"/>
  <c r="AO18" i="10"/>
  <c r="AE32" i="10"/>
  <c r="AG32" i="10" s="1"/>
  <c r="AI36" i="10"/>
  <c r="AK36" i="10" s="1"/>
  <c r="AS34" i="3"/>
  <c r="AO8" i="10"/>
  <c r="AI11" i="10"/>
  <c r="AK11" i="10" s="1"/>
  <c r="AE25" i="10"/>
  <c r="AG25" i="10" s="1"/>
  <c r="L23" i="10"/>
  <c r="AO21" i="10"/>
  <c r="AO24" i="10"/>
  <c r="AI27" i="10"/>
  <c r="AK27" i="10" s="1"/>
  <c r="AI17" i="10"/>
  <c r="AK17" i="10" s="1"/>
  <c r="M4" i="3"/>
  <c r="M97" i="3"/>
  <c r="M98" i="3"/>
  <c r="M100" i="3"/>
  <c r="M95" i="3"/>
  <c r="M99" i="3"/>
  <c r="M96" i="3"/>
  <c r="L97" i="3"/>
  <c r="AE95" i="3"/>
  <c r="AG95" i="3" s="1"/>
  <c r="L98" i="3"/>
  <c r="BM100" i="3"/>
  <c r="AI98" i="3"/>
  <c r="AK98" i="3" s="1"/>
  <c r="AE97" i="3"/>
  <c r="AG97" i="3" s="1"/>
  <c r="L100" i="3"/>
  <c r="AE100" i="3"/>
  <c r="AG100" i="3" s="1"/>
  <c r="AW98" i="3"/>
  <c r="L95" i="3"/>
  <c r="L99" i="3"/>
  <c r="BM99" i="3"/>
  <c r="AI95" i="3"/>
  <c r="AK95" i="3" s="1"/>
  <c r="AS99" i="3"/>
  <c r="AI100" i="3"/>
  <c r="AK100" i="3" s="1"/>
  <c r="AI97" i="3"/>
  <c r="AK97" i="3" s="1"/>
  <c r="AE98" i="3"/>
  <c r="AG98" i="3" s="1"/>
  <c r="AS100" i="3"/>
  <c r="AW97" i="3"/>
  <c r="AE99" i="3"/>
  <c r="AG99" i="3" s="1"/>
  <c r="AI99" i="3"/>
  <c r="AK99" i="3" s="1"/>
  <c r="AW95" i="3"/>
  <c r="M78" i="3"/>
  <c r="M40" i="3"/>
  <c r="M61" i="3"/>
  <c r="M9" i="3"/>
  <c r="M53" i="3"/>
  <c r="M75" i="3"/>
  <c r="M35" i="3"/>
  <c r="M26" i="3"/>
  <c r="M19" i="3"/>
  <c r="M54" i="3"/>
  <c r="M72" i="3"/>
  <c r="M91" i="3"/>
  <c r="M44" i="3"/>
  <c r="M31" i="3"/>
  <c r="M38" i="3"/>
  <c r="M86" i="3"/>
  <c r="M60" i="3"/>
  <c r="M90" i="3"/>
  <c r="M37" i="3"/>
  <c r="M74" i="3"/>
  <c r="M47" i="3"/>
  <c r="M17" i="3"/>
  <c r="M66" i="3"/>
  <c r="M85" i="3"/>
  <c r="M59" i="3"/>
  <c r="M16" i="3"/>
  <c r="M92" i="3"/>
  <c r="M30" i="3"/>
  <c r="M27" i="3"/>
  <c r="M7" i="3"/>
  <c r="M15" i="3"/>
  <c r="M56" i="3"/>
  <c r="M13" i="3"/>
  <c r="M84" i="3"/>
  <c r="M42" i="3"/>
  <c r="M36" i="3"/>
  <c r="M73" i="3"/>
  <c r="M8" i="3"/>
  <c r="M89" i="3"/>
  <c r="M25" i="3"/>
  <c r="M65" i="3"/>
  <c r="M88" i="3"/>
  <c r="M45" i="3"/>
  <c r="M63" i="3"/>
  <c r="M32" i="3"/>
  <c r="M34" i="3"/>
  <c r="M58" i="3"/>
  <c r="M57" i="3"/>
  <c r="M76" i="3"/>
  <c r="M67" i="3"/>
  <c r="M50" i="3"/>
  <c r="M83" i="3"/>
  <c r="M77" i="3"/>
  <c r="M6" i="3"/>
  <c r="M70" i="3"/>
  <c r="M79" i="3"/>
  <c r="M93" i="3"/>
  <c r="M46" i="3"/>
  <c r="M33" i="3"/>
  <c r="M71" i="3"/>
  <c r="M20" i="3"/>
  <c r="M10" i="3"/>
  <c r="M43" i="3"/>
  <c r="M87" i="3"/>
  <c r="M55" i="3"/>
  <c r="M51" i="3"/>
  <c r="M12" i="3"/>
  <c r="M69" i="3"/>
  <c r="M29" i="3"/>
  <c r="M41" i="3"/>
  <c r="M5" i="3"/>
  <c r="M52" i="3"/>
  <c r="M64" i="3"/>
  <c r="M24" i="3"/>
  <c r="M82" i="3"/>
  <c r="M22" i="3"/>
  <c r="M23" i="3"/>
  <c r="M68" i="3"/>
  <c r="M18" i="3"/>
  <c r="M28" i="3"/>
  <c r="M80" i="3"/>
  <c r="M81" i="3"/>
  <c r="M48" i="3"/>
  <c r="M11" i="3"/>
  <c r="M62" i="3"/>
  <c r="M21" i="3"/>
  <c r="M14" i="3"/>
  <c r="M39" i="3"/>
  <c r="M94" i="3"/>
  <c r="M49" i="3"/>
  <c r="L44" i="3"/>
  <c r="AO18" i="3"/>
  <c r="L12" i="3"/>
  <c r="AO17" i="3"/>
  <c r="L90" i="3"/>
  <c r="AE54" i="3"/>
  <c r="AG54" i="3" s="1"/>
  <c r="AE63" i="3"/>
  <c r="AG63" i="3" s="1"/>
  <c r="AE50" i="3"/>
  <c r="AG50" i="3" s="1"/>
  <c r="AI46" i="3"/>
  <c r="AK46" i="3" s="1"/>
  <c r="AE76" i="3"/>
  <c r="AG76" i="3" s="1"/>
  <c r="AE73" i="3"/>
  <c r="AG73" i="3" s="1"/>
  <c r="AS56" i="3"/>
  <c r="L21" i="3"/>
  <c r="BM34" i="3"/>
  <c r="AO35" i="3"/>
  <c r="AI21" i="3"/>
  <c r="AK21" i="3" s="1"/>
  <c r="BE11" i="3"/>
  <c r="AI48" i="3"/>
  <c r="AK48" i="3" s="1"/>
  <c r="BM9" i="3"/>
  <c r="AI41" i="3"/>
  <c r="AK41" i="3" s="1"/>
  <c r="AS25" i="3"/>
  <c r="L49" i="3"/>
  <c r="BM60" i="3"/>
  <c r="AO65" i="3"/>
  <c r="BM90" i="3"/>
  <c r="L74" i="3"/>
  <c r="AI19" i="3"/>
  <c r="AK19" i="3" s="1"/>
  <c r="AI87" i="3"/>
  <c r="AK87" i="3" s="1"/>
  <c r="AI59" i="3"/>
  <c r="AK59" i="3" s="1"/>
  <c r="AS55" i="3"/>
  <c r="BA34" i="3"/>
  <c r="AS32" i="3"/>
  <c r="AI13" i="3"/>
  <c r="AK13" i="3" s="1"/>
  <c r="AS69" i="3"/>
  <c r="AS47" i="3"/>
  <c r="L41" i="3"/>
  <c r="L70" i="3"/>
  <c r="L17" i="3"/>
  <c r="AI44" i="3"/>
  <c r="AK44" i="3" s="1"/>
  <c r="AE26" i="3"/>
  <c r="AG26" i="3" s="1"/>
  <c r="AE80" i="3"/>
  <c r="AG80" i="3" s="1"/>
  <c r="AI50" i="3"/>
  <c r="AK50" i="3" s="1"/>
  <c r="AE83" i="3"/>
  <c r="AG83" i="3" s="1"/>
  <c r="AI85" i="3"/>
  <c r="AK85" i="3" s="1"/>
  <c r="AE42" i="3"/>
  <c r="AG42" i="3" s="1"/>
  <c r="AE37" i="3"/>
  <c r="AG37" i="3" s="1"/>
  <c r="BE10" i="3"/>
  <c r="AW30" i="3"/>
  <c r="AW37" i="3"/>
  <c r="BE12" i="3"/>
  <c r="BM61" i="3"/>
  <c r="L18" i="3"/>
  <c r="L8" i="3"/>
  <c r="L6" i="3"/>
  <c r="BM41" i="3"/>
  <c r="BM25" i="3"/>
  <c r="AI60" i="3"/>
  <c r="AK60" i="3" s="1"/>
  <c r="AE14" i="3"/>
  <c r="AG14" i="3" s="1"/>
  <c r="AI70" i="3"/>
  <c r="AK70" i="3" s="1"/>
  <c r="AI42" i="3"/>
  <c r="AK42" i="3" s="1"/>
  <c r="AE89" i="3"/>
  <c r="AG89" i="3" s="1"/>
  <c r="AE9" i="3"/>
  <c r="AG9" i="3" s="1"/>
  <c r="AW53" i="3"/>
  <c r="AW52" i="3"/>
  <c r="AI31" i="3"/>
  <c r="AK31" i="3" s="1"/>
  <c r="L23" i="3"/>
  <c r="L19" i="3"/>
  <c r="L10" i="3"/>
  <c r="BP20" i="3"/>
  <c r="BM13" i="3"/>
  <c r="AI35" i="3"/>
  <c r="AK35" i="3" s="1"/>
  <c r="AI94" i="3"/>
  <c r="AK94" i="3" s="1"/>
  <c r="AI28" i="3"/>
  <c r="AK28" i="3" s="1"/>
  <c r="AI20" i="3"/>
  <c r="AK20" i="3" s="1"/>
  <c r="AI6" i="3"/>
  <c r="AK6" i="3" s="1"/>
  <c r="AE65" i="3"/>
  <c r="AG65" i="3" s="1"/>
  <c r="AE15" i="3"/>
  <c r="AG15" i="3" s="1"/>
  <c r="AI90" i="3"/>
  <c r="AK90" i="3" s="1"/>
  <c r="AW26" i="3"/>
  <c r="AS68" i="3"/>
  <c r="BA70" i="3"/>
  <c r="AS84" i="3"/>
  <c r="BA21" i="3"/>
  <c r="L73" i="3"/>
  <c r="L83" i="3"/>
  <c r="AE13" i="3"/>
  <c r="AG13" i="3" s="1"/>
  <c r="L26" i="3"/>
  <c r="L24" i="3"/>
  <c r="BM83" i="3"/>
  <c r="L76" i="3"/>
  <c r="L42" i="3"/>
  <c r="AI61" i="3"/>
  <c r="AK61" i="3" s="1"/>
  <c r="AI80" i="3"/>
  <c r="AK80" i="3" s="1"/>
  <c r="AI64" i="3"/>
  <c r="AK64" i="3" s="1"/>
  <c r="AI89" i="3"/>
  <c r="AK89" i="3" s="1"/>
  <c r="AI38" i="3"/>
  <c r="AK38" i="3" s="1"/>
  <c r="AS24" i="3"/>
  <c r="BA50" i="3"/>
  <c r="AE91" i="3"/>
  <c r="AG91" i="3" s="1"/>
  <c r="AI16" i="3"/>
  <c r="AK16" i="3" s="1"/>
  <c r="BM68" i="3"/>
  <c r="L52" i="3"/>
  <c r="BM69" i="3"/>
  <c r="BM84" i="3"/>
  <c r="L31" i="3"/>
  <c r="BM75" i="3"/>
  <c r="AI53" i="3"/>
  <c r="AK53" i="3" s="1"/>
  <c r="AE39" i="3"/>
  <c r="AG39" i="3" s="1"/>
  <c r="AE62" i="3"/>
  <c r="AG62" i="3" s="1"/>
  <c r="L14" i="3"/>
  <c r="L69" i="3"/>
  <c r="BM10" i="3"/>
  <c r="L60" i="3"/>
  <c r="AE49" i="3"/>
  <c r="AG49" i="3" s="1"/>
  <c r="AI5" i="3"/>
  <c r="AK5" i="3" s="1"/>
  <c r="AI76" i="3"/>
  <c r="AK76" i="3" s="1"/>
  <c r="AI66" i="3"/>
  <c r="AK66" i="3" s="1"/>
  <c r="AE74" i="3"/>
  <c r="AG74" i="3" s="1"/>
  <c r="BE61" i="3"/>
  <c r="BE20" i="3"/>
  <c r="BE19" i="3"/>
  <c r="BF19" i="3" s="1"/>
  <c r="AI27" i="3"/>
  <c r="AK27" i="3" s="1"/>
  <c r="BE15" i="3"/>
  <c r="AW23" i="3"/>
  <c r="L94" i="3"/>
  <c r="L93" i="3"/>
  <c r="BM38" i="3"/>
  <c r="L13" i="3"/>
  <c r="AE35" i="3"/>
  <c r="AG35" i="3" s="1"/>
  <c r="AE16" i="3"/>
  <c r="AG16" i="3" s="1"/>
  <c r="AI32" i="3"/>
  <c r="AK32" i="3" s="1"/>
  <c r="AE46" i="3"/>
  <c r="AG46" i="3" s="1"/>
  <c r="AI30" i="3"/>
  <c r="AK30" i="3" s="1"/>
  <c r="AI26" i="3"/>
  <c r="AK26" i="3" s="1"/>
  <c r="BA44" i="3"/>
  <c r="AS90" i="3"/>
  <c r="AE61" i="3"/>
  <c r="AG61" i="3" s="1"/>
  <c r="BM63" i="3"/>
  <c r="AE8" i="3"/>
  <c r="AG8" i="3" s="1"/>
  <c r="L40" i="3"/>
  <c r="L79" i="3"/>
  <c r="L54" i="3"/>
  <c r="AI40" i="3"/>
  <c r="AK40" i="3" s="1"/>
  <c r="AE10" i="3"/>
  <c r="AG10" i="3" s="1"/>
  <c r="AE43" i="3"/>
  <c r="AG43" i="3" s="1"/>
  <c r="AE60" i="3"/>
  <c r="AG60" i="3" s="1"/>
  <c r="BA93" i="3"/>
  <c r="BA85" i="3"/>
  <c r="BE9" i="3"/>
  <c r="AI82" i="3"/>
  <c r="AK82" i="3" s="1"/>
  <c r="L25" i="3"/>
  <c r="L35" i="3"/>
  <c r="BM50" i="3"/>
  <c r="L85" i="3"/>
  <c r="BM91" i="3"/>
  <c r="L61" i="3"/>
  <c r="AI91" i="3"/>
  <c r="AK91" i="3" s="1"/>
  <c r="AE11" i="3"/>
  <c r="AG11" i="3" s="1"/>
  <c r="AI68" i="3"/>
  <c r="AK68" i="3" s="1"/>
  <c r="AI55" i="3"/>
  <c r="AK55" i="3" s="1"/>
  <c r="AI79" i="3"/>
  <c r="AK79" i="3" s="1"/>
  <c r="AE44" i="3"/>
  <c r="AG44" i="3" s="1"/>
  <c r="AE90" i="3"/>
  <c r="AG90" i="3" s="1"/>
  <c r="BA87" i="3"/>
  <c r="BE60" i="3"/>
  <c r="AI74" i="3"/>
  <c r="AK74" i="3" s="1"/>
  <c r="AE20" i="3"/>
  <c r="AG20" i="3" s="1"/>
  <c r="L75" i="3"/>
  <c r="L56" i="3"/>
  <c r="BM55" i="3"/>
  <c r="BM59" i="3"/>
  <c r="BM6" i="3"/>
  <c r="AI93" i="3"/>
  <c r="AK93" i="3" s="1"/>
  <c r="AE12" i="3"/>
  <c r="AG12" i="3" s="1"/>
  <c r="AI83" i="3"/>
  <c r="AK83" i="3" s="1"/>
  <c r="AI73" i="3"/>
  <c r="AK73" i="3" s="1"/>
  <c r="BE62" i="3"/>
  <c r="AI56" i="3"/>
  <c r="AK56" i="3" s="1"/>
  <c r="AI25" i="3"/>
  <c r="AK25" i="3" s="1"/>
  <c r="BM47" i="3"/>
  <c r="L82" i="3"/>
  <c r="L87" i="3"/>
  <c r="BM79" i="3"/>
  <c r="BM70" i="3"/>
  <c r="BM40" i="3"/>
  <c r="AI63" i="3"/>
  <c r="AK63" i="3" s="1"/>
  <c r="AE5" i="3"/>
  <c r="AG5" i="3" s="1"/>
  <c r="AE84" i="3"/>
  <c r="AG84" i="3" s="1"/>
  <c r="AS75" i="3"/>
  <c r="AS31" i="3"/>
  <c r="AE32" i="3"/>
  <c r="AG32" i="3" s="1"/>
  <c r="AW42" i="3"/>
  <c r="BM14" i="3"/>
  <c r="L64" i="3"/>
  <c r="L43" i="3"/>
  <c r="BM12" i="3"/>
  <c r="L65" i="3"/>
  <c r="AE48" i="3"/>
  <c r="AG48" i="3" s="1"/>
  <c r="AI52" i="3"/>
  <c r="AK52" i="3" s="1"/>
  <c r="AE31" i="3"/>
  <c r="AG31" i="3" s="1"/>
  <c r="AI15" i="3"/>
  <c r="AK15" i="3" s="1"/>
  <c r="AS48" i="3"/>
  <c r="BE41" i="3"/>
  <c r="BE7" i="3"/>
  <c r="BF7" i="3" s="1"/>
  <c r="AO80" i="3"/>
  <c r="L11" i="3"/>
  <c r="L50" i="3"/>
  <c r="L84" i="3"/>
  <c r="L30" i="3"/>
  <c r="AI75" i="3"/>
  <c r="AK75" i="3" s="1"/>
  <c r="AE70" i="3"/>
  <c r="AG70" i="3" s="1"/>
  <c r="AE71" i="3"/>
  <c r="AG71" i="3" s="1"/>
  <c r="AE86" i="3"/>
  <c r="AG86" i="3" s="1"/>
  <c r="AW49" i="3"/>
  <c r="BA86" i="3"/>
  <c r="BA58" i="3"/>
  <c r="L27" i="3"/>
  <c r="L32" i="3"/>
  <c r="L47" i="3"/>
  <c r="L91" i="3"/>
  <c r="AE56" i="3"/>
  <c r="AG56" i="3" s="1"/>
  <c r="AE55" i="3"/>
  <c r="AG55" i="3" s="1"/>
  <c r="AE66" i="3"/>
  <c r="AG66" i="3" s="1"/>
  <c r="AW77" i="3"/>
  <c r="AW89" i="3"/>
  <c r="AS91" i="3"/>
  <c r="L7" i="3"/>
  <c r="BM39" i="3"/>
  <c r="L46" i="3"/>
  <c r="AO66" i="3"/>
  <c r="L66" i="3"/>
  <c r="L38" i="3"/>
  <c r="AI11" i="3"/>
  <c r="AK11" i="3" s="1"/>
  <c r="AI10" i="3"/>
  <c r="AK10" i="3" s="1"/>
  <c r="AI34" i="3"/>
  <c r="AK34" i="3" s="1"/>
  <c r="AI54" i="3"/>
  <c r="AK54" i="3" s="1"/>
  <c r="AS6" i="3"/>
  <c r="AW46" i="3"/>
  <c r="AW76" i="3"/>
  <c r="AS38" i="3"/>
  <c r="L62" i="3"/>
  <c r="AO16" i="3"/>
  <c r="L53" i="3"/>
  <c r="AE93" i="3"/>
  <c r="AG93" i="3" s="1"/>
  <c r="AI8" i="3"/>
  <c r="AK8" i="3" s="1"/>
  <c r="AI65" i="3"/>
  <c r="AK65" i="3" s="1"/>
  <c r="AE27" i="3"/>
  <c r="AG27" i="3" s="1"/>
  <c r="AW5" i="3"/>
  <c r="AX5" i="3" s="1"/>
  <c r="BE13" i="3"/>
  <c r="AE52" i="3"/>
  <c r="AG52" i="3" s="1"/>
  <c r="AI18" i="3"/>
  <c r="AK18" i="3" s="1"/>
  <c r="AS83" i="3"/>
  <c r="AW54" i="3"/>
  <c r="AO64" i="3"/>
  <c r="L80" i="3"/>
  <c r="BM44" i="3"/>
  <c r="AE18" i="3"/>
  <c r="AG18" i="3" s="1"/>
  <c r="AI71" i="3"/>
  <c r="AK71" i="3" s="1"/>
  <c r="AE58" i="3"/>
  <c r="AG58" i="3" s="1"/>
  <c r="AE25" i="3"/>
  <c r="AG25" i="3" s="1"/>
  <c r="AE59" i="3"/>
  <c r="AG59" i="3" s="1"/>
  <c r="AS40" i="3"/>
  <c r="AS39" i="3"/>
  <c r="AW82" i="3"/>
  <c r="AI58" i="3"/>
  <c r="AK58" i="3" s="1"/>
  <c r="BE14" i="3"/>
  <c r="L48" i="3"/>
  <c r="L5" i="3"/>
  <c r="L71" i="3"/>
  <c r="L39" i="3"/>
  <c r="AI14" i="3"/>
  <c r="AK14" i="3" s="1"/>
  <c r="AE82" i="3"/>
  <c r="AG82" i="3" s="1"/>
  <c r="AI12" i="3"/>
  <c r="AK12" i="3" s="1"/>
  <c r="AE79" i="3"/>
  <c r="AG79" i="3" s="1"/>
  <c r="AI37" i="3"/>
  <c r="AK37" i="3" s="1"/>
  <c r="AW27" i="3"/>
  <c r="BM32" i="3"/>
  <c r="AE40" i="3"/>
  <c r="AG40" i="3" s="1"/>
  <c r="AE17" i="3"/>
  <c r="AG17" i="3" s="1"/>
  <c r="L28" i="3"/>
  <c r="L16" i="3"/>
  <c r="L55" i="3"/>
  <c r="BM93" i="3"/>
  <c r="AE94" i="3"/>
  <c r="AG94" i="3" s="1"/>
  <c r="AE41" i="3"/>
  <c r="AG41" i="3" s="1"/>
  <c r="AE87" i="3"/>
  <c r="AG87" i="3" s="1"/>
  <c r="AI86" i="3"/>
  <c r="AK86" i="3" s="1"/>
  <c r="AE38" i="3"/>
  <c r="AG38" i="3" s="1"/>
  <c r="AW43" i="3"/>
  <c r="AI84" i="3"/>
  <c r="AK84" i="3" s="1"/>
  <c r="AE30" i="3"/>
  <c r="AG30" i="3" s="1"/>
  <c r="BE8" i="3"/>
  <c r="BM74" i="3"/>
  <c r="L68" i="3"/>
  <c r="L89" i="3"/>
  <c r="BM48" i="3"/>
  <c r="AI39" i="3"/>
  <c r="AK39" i="3" s="1"/>
  <c r="AE24" i="3"/>
  <c r="AG24" i="3" s="1"/>
  <c r="AI43" i="3"/>
  <c r="AK43" i="3" s="1"/>
  <c r="AE47" i="3"/>
  <c r="AG47" i="3" s="1"/>
  <c r="AI47" i="3"/>
  <c r="AK47" i="3" s="1"/>
  <c r="BE59" i="3"/>
  <c r="AE21" i="3"/>
  <c r="AG21" i="3" s="1"/>
  <c r="AW73" i="3"/>
  <c r="BM31" i="3"/>
  <c r="BM28" i="3"/>
  <c r="L86" i="3"/>
  <c r="L9" i="3"/>
  <c r="AE23" i="3"/>
  <c r="AG23" i="3" s="1"/>
  <c r="AE77" i="3"/>
  <c r="AG77" i="3" s="1"/>
  <c r="AE75" i="3"/>
  <c r="AG75" i="3" s="1"/>
  <c r="BE63" i="3"/>
  <c r="BA28" i="3"/>
  <c r="BP19" i="3"/>
  <c r="BM15" i="3"/>
  <c r="L20" i="3"/>
  <c r="BM11" i="3"/>
  <c r="BM21" i="3"/>
  <c r="L15" i="3"/>
  <c r="AE19" i="3"/>
  <c r="AG19" i="3" s="1"/>
  <c r="AE28" i="3"/>
  <c r="AG28" i="3" s="1"/>
  <c r="AE6" i="3"/>
  <c r="AG6" i="3" s="1"/>
  <c r="AI17" i="3"/>
  <c r="AK17" i="3" s="1"/>
  <c r="AW94" i="3"/>
  <c r="BA79" i="3"/>
  <c r="BM8" i="3"/>
  <c r="BM62" i="3"/>
  <c r="L77" i="3"/>
  <c r="L58" i="3"/>
  <c r="L59" i="3"/>
  <c r="AI62" i="3"/>
  <c r="AK62" i="3" s="1"/>
  <c r="AE68" i="3"/>
  <c r="AG68" i="3" s="1"/>
  <c r="AI24" i="3"/>
  <c r="AK24" i="3" s="1"/>
  <c r="AE85" i="3"/>
  <c r="AG85" i="3" s="1"/>
  <c r="AI9" i="3"/>
  <c r="AK9" i="3" s="1"/>
  <c r="BM7" i="3"/>
  <c r="L37" i="3"/>
  <c r="AI49" i="3"/>
  <c r="AK49" i="3" s="1"/>
  <c r="AE69" i="3"/>
  <c r="AG69" i="3" s="1"/>
  <c r="AI69" i="3"/>
  <c r="AK69" i="3" s="1"/>
  <c r="AE34" i="3"/>
  <c r="AG34" i="3" s="1"/>
  <c r="AE7" i="3"/>
  <c r="AG7" i="3" s="1"/>
  <c r="AI7" i="3"/>
  <c r="AK7" i="3" s="1"/>
  <c r="L63" i="3"/>
  <c r="BM87" i="3"/>
  <c r="L34" i="3"/>
  <c r="AE53" i="3"/>
  <c r="AG53" i="3" s="1"/>
  <c r="AI23" i="3"/>
  <c r="AK23" i="3" s="1"/>
  <c r="AE64" i="3"/>
  <c r="AG64" i="3" s="1"/>
  <c r="AI77" i="3"/>
  <c r="AK77" i="3" s="1"/>
  <c r="AW71" i="3"/>
  <c r="AS74" i="3"/>
  <c r="G4" i="3"/>
  <c r="I4" i="3" s="1"/>
  <c r="I3" i="9"/>
  <c r="I26" i="9"/>
  <c r="I25" i="6"/>
  <c r="I27" i="9"/>
  <c r="I26" i="6"/>
  <c r="I32" i="9"/>
  <c r="I20" i="6"/>
  <c r="I23" i="6"/>
  <c r="I24" i="6"/>
  <c r="I2" i="15"/>
  <c r="I16" i="15"/>
  <c r="I13" i="6"/>
  <c r="I5" i="9"/>
  <c r="I28" i="6"/>
  <c r="I33" i="9"/>
  <c r="I6" i="6"/>
  <c r="I21" i="6"/>
  <c r="I20" i="9"/>
  <c r="I23" i="9"/>
  <c r="I4" i="9"/>
  <c r="I28" i="9"/>
  <c r="I8" i="15"/>
  <c r="I13" i="9"/>
  <c r="I7" i="6"/>
  <c r="I9" i="6"/>
  <c r="I25" i="9"/>
  <c r="I3" i="15"/>
  <c r="I17" i="15"/>
  <c r="I14" i="6"/>
  <c r="I9" i="9"/>
  <c r="I12" i="9"/>
  <c r="I17" i="9"/>
  <c r="I11" i="6"/>
  <c r="I6" i="9"/>
  <c r="I15" i="6"/>
  <c r="I7" i="9"/>
  <c r="I17" i="6"/>
  <c r="I14" i="9"/>
  <c r="I8" i="6"/>
  <c r="I21" i="9"/>
  <c r="I2" i="6"/>
  <c r="I4" i="15"/>
  <c r="I3" i="6"/>
  <c r="I27" i="6"/>
  <c r="I29" i="9"/>
  <c r="I5" i="6"/>
  <c r="I19" i="6"/>
  <c r="I12" i="15"/>
  <c r="I13" i="15"/>
  <c r="I15" i="15"/>
  <c r="I8" i="9"/>
  <c r="I30" i="9"/>
  <c r="I16" i="6"/>
  <c r="I11" i="9"/>
  <c r="I9" i="15"/>
  <c r="I10" i="15"/>
  <c r="I10" i="6"/>
  <c r="I24" i="9"/>
  <c r="I5" i="15"/>
  <c r="I4" i="6"/>
  <c r="I31" i="9"/>
  <c r="I15" i="9"/>
  <c r="I19" i="9"/>
  <c r="I22" i="6"/>
  <c r="I2" i="9"/>
  <c r="I10" i="9"/>
  <c r="I18" i="6"/>
  <c r="I16" i="9"/>
  <c r="I11" i="15"/>
  <c r="I18" i="9"/>
  <c r="I22" i="9"/>
  <c r="I12" i="6"/>
  <c r="I14" i="15"/>
  <c r="G96" i="3"/>
  <c r="I96" i="3" s="1"/>
  <c r="G95" i="3"/>
  <c r="I95" i="3" s="1"/>
  <c r="J95" i="3" s="1"/>
  <c r="G98" i="3"/>
  <c r="I98" i="3" s="1"/>
  <c r="J98" i="3" s="1"/>
  <c r="G97" i="3"/>
  <c r="I97" i="3" s="1"/>
  <c r="J97" i="3" s="1"/>
  <c r="G99" i="3"/>
  <c r="I99" i="3" s="1"/>
  <c r="J99" i="3" s="1"/>
  <c r="G100" i="3"/>
  <c r="I100" i="3" s="1"/>
  <c r="J100" i="3" s="1"/>
  <c r="M39" i="24"/>
  <c r="G69" i="3"/>
  <c r="G4" i="14"/>
  <c r="I4" i="14" s="1"/>
  <c r="G36" i="3"/>
  <c r="G91" i="3"/>
  <c r="G29" i="3"/>
  <c r="G40" i="3"/>
  <c r="G26" i="3"/>
  <c r="G25" i="3"/>
  <c r="G49" i="3"/>
  <c r="G5" i="3"/>
  <c r="G88" i="3"/>
  <c r="G22" i="3"/>
  <c r="G46" i="3"/>
  <c r="AL17" i="14" l="1"/>
  <c r="AL21" i="14"/>
  <c r="AL12" i="14"/>
  <c r="BX53" i="10"/>
  <c r="AL16" i="14"/>
  <c r="BX18" i="14"/>
  <c r="AL52" i="10"/>
  <c r="AL11" i="14"/>
  <c r="BW11" i="14"/>
  <c r="J11" i="14"/>
  <c r="T11" i="14" s="1"/>
  <c r="AC11" i="14" s="1"/>
  <c r="J13" i="14"/>
  <c r="T13" i="14" s="1"/>
  <c r="AC13" i="14" s="1"/>
  <c r="AM13" i="14" s="1"/>
  <c r="BW13" i="14"/>
  <c r="BW16" i="14"/>
  <c r="J16" i="14"/>
  <c r="T16" i="14" s="1"/>
  <c r="AC16" i="14" s="1"/>
  <c r="BX12" i="14"/>
  <c r="BX21" i="14"/>
  <c r="BX17" i="14"/>
  <c r="BX51" i="10"/>
  <c r="BW19" i="14"/>
  <c r="J19" i="14"/>
  <c r="T19" i="14" s="1"/>
  <c r="AC19" i="14" s="1"/>
  <c r="BW20" i="14"/>
  <c r="J20" i="14"/>
  <c r="T20" i="14" s="1"/>
  <c r="AC20" i="14" s="1"/>
  <c r="AM20" i="14" s="1"/>
  <c r="BW51" i="10"/>
  <c r="J51" i="10"/>
  <c r="T51" i="10" s="1"/>
  <c r="AC51" i="10" s="1"/>
  <c r="AM51" i="10" s="1"/>
  <c r="AU51" i="10" s="1"/>
  <c r="BH51" i="10" s="1"/>
  <c r="BW21" i="14"/>
  <c r="J21" i="14"/>
  <c r="T21" i="14" s="1"/>
  <c r="AC21" i="14" s="1"/>
  <c r="BX16" i="14"/>
  <c r="BX20" i="14"/>
  <c r="BX52" i="10"/>
  <c r="AL18" i="14"/>
  <c r="BW12" i="14"/>
  <c r="J12" i="14"/>
  <c r="T12" i="14" s="1"/>
  <c r="AC12" i="14" s="1"/>
  <c r="BW17" i="14"/>
  <c r="J17" i="14"/>
  <c r="T17" i="14" s="1"/>
  <c r="AC17" i="14" s="1"/>
  <c r="BW15" i="14"/>
  <c r="J15" i="14"/>
  <c r="T15" i="14" s="1"/>
  <c r="AC15" i="14" s="1"/>
  <c r="J53" i="10"/>
  <c r="T53" i="10" s="1"/>
  <c r="AC53" i="10" s="1"/>
  <c r="BW53" i="10"/>
  <c r="AL53" i="10"/>
  <c r="AT52" i="10"/>
  <c r="BX13" i="14"/>
  <c r="AL15" i="14"/>
  <c r="BX15" i="14"/>
  <c r="J18" i="14"/>
  <c r="T18" i="14" s="1"/>
  <c r="AC18" i="14" s="1"/>
  <c r="BW18" i="14"/>
  <c r="J14" i="14"/>
  <c r="T14" i="14" s="1"/>
  <c r="AC14" i="14" s="1"/>
  <c r="BW14" i="14"/>
  <c r="BW52" i="10"/>
  <c r="J52" i="10"/>
  <c r="T52" i="10" s="1"/>
  <c r="AC52" i="10" s="1"/>
  <c r="BX19" i="14"/>
  <c r="AL19" i="14"/>
  <c r="AL14" i="14"/>
  <c r="BX11" i="14"/>
  <c r="BX49" i="10"/>
  <c r="BX47" i="10"/>
  <c r="BW49" i="10"/>
  <c r="J49" i="10"/>
  <c r="T49" i="10" s="1"/>
  <c r="AC49" i="10" s="1"/>
  <c r="BW50" i="10"/>
  <c r="J50" i="10"/>
  <c r="T50" i="10" s="1"/>
  <c r="AC50" i="10" s="1"/>
  <c r="AM50" i="10" s="1"/>
  <c r="BW47" i="10"/>
  <c r="J47" i="10"/>
  <c r="T47" i="10" s="1"/>
  <c r="AC47" i="10" s="1"/>
  <c r="AL49" i="10"/>
  <c r="AL48" i="10"/>
  <c r="BX48" i="10"/>
  <c r="AL47" i="10"/>
  <c r="BX6" i="14"/>
  <c r="AL10" i="14"/>
  <c r="AL8" i="14"/>
  <c r="BX4" i="3"/>
  <c r="AL22" i="3"/>
  <c r="BX22" i="3"/>
  <c r="BX46" i="10"/>
  <c r="AL46" i="10"/>
  <c r="BW41" i="10"/>
  <c r="J41" i="10"/>
  <c r="T41" i="10" s="1"/>
  <c r="AC41" i="10" s="1"/>
  <c r="BX72" i="3"/>
  <c r="AL72" i="3"/>
  <c r="BX88" i="3"/>
  <c r="AL88" i="3"/>
  <c r="AL9" i="14"/>
  <c r="BX9" i="14"/>
  <c r="AL45" i="3"/>
  <c r="BX45" i="3"/>
  <c r="AL44" i="10"/>
  <c r="BX44" i="10"/>
  <c r="AL13" i="10"/>
  <c r="BX13" i="10"/>
  <c r="AL51" i="3"/>
  <c r="BX51" i="3"/>
  <c r="BX29" i="3"/>
  <c r="AL29" i="3"/>
  <c r="BX7" i="14"/>
  <c r="AL7" i="14"/>
  <c r="BW40" i="10"/>
  <c r="J40" i="10"/>
  <c r="T40" i="10" s="1"/>
  <c r="AC40" i="10" s="1"/>
  <c r="BW6" i="14"/>
  <c r="J6" i="14"/>
  <c r="T6" i="14" s="1"/>
  <c r="AC6" i="14" s="1"/>
  <c r="BX57" i="3"/>
  <c r="AL57" i="3"/>
  <c r="AL38" i="10"/>
  <c r="BX38" i="10"/>
  <c r="BX22" i="10"/>
  <c r="AL22" i="10"/>
  <c r="BX45" i="10"/>
  <c r="AL45" i="10"/>
  <c r="BW5" i="14"/>
  <c r="J5" i="14"/>
  <c r="T5" i="14" s="1"/>
  <c r="AC5" i="14" s="1"/>
  <c r="BW39" i="10"/>
  <c r="J39" i="10"/>
  <c r="T39" i="10" s="1"/>
  <c r="AC39" i="10" s="1"/>
  <c r="BX67" i="3"/>
  <c r="AL67" i="3"/>
  <c r="BW43" i="10"/>
  <c r="J43" i="10"/>
  <c r="T43" i="10" s="1"/>
  <c r="AC43" i="10" s="1"/>
  <c r="AL43" i="10"/>
  <c r="BX43" i="10"/>
  <c r="BW37" i="10"/>
  <c r="J37" i="10"/>
  <c r="T37" i="10" s="1"/>
  <c r="AC37" i="10" s="1"/>
  <c r="AM37" i="10" s="1"/>
  <c r="BW8" i="14"/>
  <c r="J8" i="14"/>
  <c r="T8" i="14" s="1"/>
  <c r="AC8" i="14" s="1"/>
  <c r="AL40" i="10"/>
  <c r="BX40" i="10"/>
  <c r="AL41" i="10"/>
  <c r="BX41" i="10"/>
  <c r="BW7" i="14"/>
  <c r="J7" i="14"/>
  <c r="T7" i="14" s="1"/>
  <c r="AC7" i="14" s="1"/>
  <c r="BW10" i="14"/>
  <c r="J10" i="14"/>
  <c r="T10" i="14" s="1"/>
  <c r="AC10" i="14" s="1"/>
  <c r="AL42" i="10"/>
  <c r="BX42" i="10"/>
  <c r="AL36" i="3"/>
  <c r="BX36" i="3"/>
  <c r="BX10" i="14"/>
  <c r="BX8" i="14"/>
  <c r="BX39" i="10"/>
  <c r="AL39" i="10"/>
  <c r="AL5" i="14"/>
  <c r="BX5" i="14"/>
  <c r="AL6" i="14"/>
  <c r="BW38" i="10"/>
  <c r="J38" i="10"/>
  <c r="T38" i="10" s="1"/>
  <c r="AC38" i="10" s="1"/>
  <c r="BW46" i="10"/>
  <c r="J46" i="10"/>
  <c r="T46" i="10" s="1"/>
  <c r="AC46" i="10" s="1"/>
  <c r="AL33" i="3"/>
  <c r="BX33" i="3"/>
  <c r="BW9" i="14"/>
  <c r="J9" i="14"/>
  <c r="T9" i="14" s="1"/>
  <c r="AC9" i="14" s="1"/>
  <c r="BW45" i="10"/>
  <c r="J45" i="10"/>
  <c r="T45" i="10" s="1"/>
  <c r="AC45" i="10" s="1"/>
  <c r="BX81" i="3"/>
  <c r="AL81" i="3"/>
  <c r="BX96" i="3"/>
  <c r="AL96" i="3"/>
  <c r="AL92" i="3"/>
  <c r="BX92" i="3"/>
  <c r="AL4" i="3"/>
  <c r="BW44" i="10"/>
  <c r="J44" i="10"/>
  <c r="T44" i="10" s="1"/>
  <c r="AC44" i="10" s="1"/>
  <c r="AL78" i="3"/>
  <c r="BX78" i="3"/>
  <c r="BW42" i="10"/>
  <c r="J42" i="10"/>
  <c r="T42" i="10" s="1"/>
  <c r="AC42" i="10" s="1"/>
  <c r="N4" i="14"/>
  <c r="AB4" i="14" s="1"/>
  <c r="AL32" i="10"/>
  <c r="AL36" i="10"/>
  <c r="AL11" i="10"/>
  <c r="BX11" i="10"/>
  <c r="BX30" i="10"/>
  <c r="AL30" i="10"/>
  <c r="BX32" i="10"/>
  <c r="BX18" i="10"/>
  <c r="AL18" i="10"/>
  <c r="BX16" i="10"/>
  <c r="AL16" i="10"/>
  <c r="AL14" i="10"/>
  <c r="BX14" i="10"/>
  <c r="AL9" i="10"/>
  <c r="BX9" i="10"/>
  <c r="AL33" i="10"/>
  <c r="BX33" i="10"/>
  <c r="BX31" i="10"/>
  <c r="AL31" i="10"/>
  <c r="BX17" i="10"/>
  <c r="AL17" i="10"/>
  <c r="BX12" i="10"/>
  <c r="AL12" i="10"/>
  <c r="BX15" i="10"/>
  <c r="AL15" i="10"/>
  <c r="AL27" i="10"/>
  <c r="BX27" i="10"/>
  <c r="C77" i="5"/>
  <c r="BX26" i="10"/>
  <c r="AL26" i="10"/>
  <c r="AL7" i="10"/>
  <c r="BX7" i="10"/>
  <c r="C76" i="5"/>
  <c r="AL25" i="10"/>
  <c r="BX25" i="10"/>
  <c r="BX20" i="10"/>
  <c r="AL20" i="10"/>
  <c r="BX24" i="10"/>
  <c r="AL24" i="10"/>
  <c r="AL10" i="10"/>
  <c r="BX10" i="10"/>
  <c r="AL35" i="10"/>
  <c r="BX35" i="10"/>
  <c r="N4" i="10"/>
  <c r="AB4" i="10" s="1"/>
  <c r="BI4" i="10" s="1"/>
  <c r="BX36" i="10"/>
  <c r="BX23" i="10"/>
  <c r="AL23" i="10"/>
  <c r="BX28" i="10"/>
  <c r="AL28" i="10"/>
  <c r="AL21" i="10"/>
  <c r="BX21" i="10"/>
  <c r="AL29" i="10"/>
  <c r="BX29" i="10"/>
  <c r="AL8" i="10"/>
  <c r="BX8" i="10"/>
  <c r="AL34" i="10"/>
  <c r="BX34" i="10"/>
  <c r="AL19" i="10"/>
  <c r="BX19" i="10"/>
  <c r="AL4" i="14"/>
  <c r="BX4" i="14"/>
  <c r="AL6" i="10"/>
  <c r="BX6" i="10"/>
  <c r="AL5" i="10"/>
  <c r="BX5" i="10"/>
  <c r="BW4" i="14"/>
  <c r="J4" i="14"/>
  <c r="T4" i="14" s="1"/>
  <c r="AC4" i="14" s="1"/>
  <c r="N4" i="3"/>
  <c r="AB4" i="3" s="1"/>
  <c r="AL20" i="3"/>
  <c r="AL65" i="3"/>
  <c r="AL79" i="3"/>
  <c r="AL38" i="3"/>
  <c r="AL94" i="3"/>
  <c r="AL87" i="3"/>
  <c r="T100" i="3"/>
  <c r="AC100" i="3" s="1"/>
  <c r="T99" i="3"/>
  <c r="AC99" i="3" s="1"/>
  <c r="T97" i="3"/>
  <c r="AC97" i="3" s="1"/>
  <c r="T98" i="3"/>
  <c r="AC98" i="3" s="1"/>
  <c r="T95" i="3"/>
  <c r="AC95" i="3" s="1"/>
  <c r="AL10" i="3"/>
  <c r="AL42" i="3"/>
  <c r="AL59" i="3"/>
  <c r="AL28" i="3"/>
  <c r="AL40" i="3"/>
  <c r="AL47" i="3"/>
  <c r="AL99" i="3"/>
  <c r="AL43" i="3"/>
  <c r="AL86" i="3"/>
  <c r="AL64" i="3"/>
  <c r="AL6" i="3"/>
  <c r="BX19" i="3"/>
  <c r="AL19" i="3"/>
  <c r="AL73" i="3"/>
  <c r="BX93" i="3"/>
  <c r="AL93" i="3"/>
  <c r="BX55" i="3"/>
  <c r="AL55" i="3"/>
  <c r="BX31" i="3"/>
  <c r="AL31" i="3"/>
  <c r="AL76" i="3"/>
  <c r="AL69" i="3"/>
  <c r="BX12" i="3"/>
  <c r="AL12" i="3"/>
  <c r="BX30" i="3"/>
  <c r="AL30" i="3"/>
  <c r="BX56" i="3"/>
  <c r="AL56" i="3"/>
  <c r="AL15" i="3"/>
  <c r="AL50" i="3"/>
  <c r="AL63" i="3"/>
  <c r="BX48" i="3"/>
  <c r="AL48" i="3"/>
  <c r="BX60" i="3"/>
  <c r="AL60" i="3"/>
  <c r="BX91" i="3"/>
  <c r="AL91" i="3"/>
  <c r="AL54" i="3"/>
  <c r="BX98" i="3"/>
  <c r="AL98" i="3"/>
  <c r="BX75" i="3"/>
  <c r="AL75" i="3"/>
  <c r="BX41" i="3"/>
  <c r="AL41" i="3"/>
  <c r="BX77" i="3"/>
  <c r="AL77" i="3"/>
  <c r="BX25" i="3"/>
  <c r="AL25" i="3"/>
  <c r="AL37" i="3"/>
  <c r="BX85" i="3"/>
  <c r="AL85" i="3"/>
  <c r="AL58" i="3"/>
  <c r="AL74" i="3"/>
  <c r="BX23" i="3"/>
  <c r="AL23" i="3"/>
  <c r="BX32" i="3"/>
  <c r="AL32" i="3"/>
  <c r="BX18" i="3"/>
  <c r="AL18" i="3"/>
  <c r="AL83" i="3"/>
  <c r="AL71" i="3"/>
  <c r="BX70" i="3"/>
  <c r="AL70" i="3"/>
  <c r="AL49" i="3"/>
  <c r="AL80" i="3"/>
  <c r="AL100" i="3"/>
  <c r="BX17" i="3"/>
  <c r="AL17" i="3"/>
  <c r="AL84" i="3"/>
  <c r="AL90" i="3"/>
  <c r="AL8" i="3"/>
  <c r="AL26" i="3"/>
  <c r="AL5" i="3"/>
  <c r="BX44" i="3"/>
  <c r="AL44" i="3"/>
  <c r="AL97" i="3"/>
  <c r="AL61" i="3"/>
  <c r="BX21" i="3"/>
  <c r="AL21" i="3"/>
  <c r="BX68" i="3"/>
  <c r="AL68" i="3"/>
  <c r="AL9" i="3"/>
  <c r="AL11" i="3"/>
  <c r="AL89" i="3"/>
  <c r="AL95" i="3"/>
  <c r="BX53" i="3"/>
  <c r="AL53" i="3"/>
  <c r="AL52" i="3"/>
  <c r="BX13" i="3"/>
  <c r="AL13" i="3"/>
  <c r="AL24" i="3"/>
  <c r="AL46" i="3"/>
  <c r="AL62" i="3"/>
  <c r="AL82" i="3"/>
  <c r="AL27" i="3"/>
  <c r="AL16" i="3"/>
  <c r="AL39" i="3"/>
  <c r="BX34" i="3"/>
  <c r="AL34" i="3"/>
  <c r="AL35" i="3"/>
  <c r="AL14" i="3"/>
  <c r="AL7" i="3"/>
  <c r="AL66" i="3"/>
  <c r="BX65" i="3"/>
  <c r="BX43" i="3"/>
  <c r="BX38" i="3"/>
  <c r="BX20" i="3"/>
  <c r="BX94" i="3"/>
  <c r="BX58" i="3"/>
  <c r="BX7" i="3"/>
  <c r="BX47" i="3"/>
  <c r="BX69" i="3"/>
  <c r="BX50" i="3"/>
  <c r="BX54" i="3"/>
  <c r="BX99" i="3"/>
  <c r="BX80" i="3"/>
  <c r="BX100" i="3"/>
  <c r="BX8" i="3"/>
  <c r="BX26" i="3"/>
  <c r="BX40" i="3"/>
  <c r="BX5" i="3"/>
  <c r="BX61" i="3"/>
  <c r="BX64" i="3"/>
  <c r="BX27" i="3"/>
  <c r="BX73" i="3"/>
  <c r="BX76" i="3"/>
  <c r="BX63" i="3"/>
  <c r="BX87" i="3"/>
  <c r="BX10" i="3"/>
  <c r="BX59" i="3"/>
  <c r="BX37" i="3"/>
  <c r="BX74" i="3"/>
  <c r="BX42" i="3"/>
  <c r="BX86" i="3"/>
  <c r="BX83" i="3"/>
  <c r="BX71" i="3"/>
  <c r="BX49" i="3"/>
  <c r="BX84" i="3"/>
  <c r="BX90" i="3"/>
  <c r="BX97" i="3"/>
  <c r="BX9" i="3"/>
  <c r="BX11" i="3"/>
  <c r="BX89" i="3"/>
  <c r="BX95" i="3"/>
  <c r="BX52" i="3"/>
  <c r="BX24" i="3"/>
  <c r="BX79" i="3"/>
  <c r="BX46" i="3"/>
  <c r="BX62" i="3"/>
  <c r="BX16" i="3"/>
  <c r="BX39" i="3"/>
  <c r="BX35" i="3"/>
  <c r="BX14" i="3"/>
  <c r="BX15" i="3"/>
  <c r="BX6" i="3"/>
  <c r="BX82" i="3"/>
  <c r="BX28" i="3"/>
  <c r="BX66" i="3"/>
  <c r="J96" i="3"/>
  <c r="J4" i="3"/>
  <c r="BW4" i="3"/>
  <c r="BW99" i="3"/>
  <c r="BW97" i="3"/>
  <c r="BW98" i="3"/>
  <c r="BW95" i="3"/>
  <c r="BW96" i="3"/>
  <c r="BW100" i="3"/>
  <c r="I26" i="3"/>
  <c r="J26" i="3" s="1"/>
  <c r="I69" i="3"/>
  <c r="J69" i="3" s="1"/>
  <c r="I5" i="3"/>
  <c r="J5" i="3" s="1"/>
  <c r="I46" i="3"/>
  <c r="J46" i="3" s="1"/>
  <c r="I25" i="3"/>
  <c r="J25" i="3" s="1"/>
  <c r="I22" i="3"/>
  <c r="I88" i="3"/>
  <c r="I40" i="3"/>
  <c r="J40" i="3" s="1"/>
  <c r="I36" i="3"/>
  <c r="I91" i="3"/>
  <c r="J91" i="3" s="1"/>
  <c r="I49" i="3"/>
  <c r="J49" i="3" s="1"/>
  <c r="I29" i="3"/>
  <c r="G51" i="3"/>
  <c r="G43" i="3"/>
  <c r="G65" i="3"/>
  <c r="G39" i="3"/>
  <c r="G89" i="3"/>
  <c r="G92" i="3"/>
  <c r="G66" i="3"/>
  <c r="G78" i="3"/>
  <c r="G72" i="3"/>
  <c r="G73" i="3"/>
  <c r="G50" i="3"/>
  <c r="AM17" i="14" l="1"/>
  <c r="AM21" i="14"/>
  <c r="AM12" i="14"/>
  <c r="AM52" i="10"/>
  <c r="AU52" i="10" s="1"/>
  <c r="BH52" i="10" s="1"/>
  <c r="AM16" i="14"/>
  <c r="AM53" i="10"/>
  <c r="AM11" i="14"/>
  <c r="AU11" i="14" s="1"/>
  <c r="BH11" i="14" s="1"/>
  <c r="AM18" i="14"/>
  <c r="AM14" i="14"/>
  <c r="AM15" i="14"/>
  <c r="AM19" i="14"/>
  <c r="BY4" i="10"/>
  <c r="P24" i="3"/>
  <c r="P57" i="3"/>
  <c r="P58" i="3"/>
  <c r="P23" i="3"/>
  <c r="V57" i="3"/>
  <c r="V58" i="3"/>
  <c r="V24" i="3"/>
  <c r="V23" i="3"/>
  <c r="I15" i="12"/>
  <c r="I12" i="12"/>
  <c r="BJ4" i="10"/>
  <c r="AM49" i="10"/>
  <c r="AM47" i="10"/>
  <c r="AM9" i="14"/>
  <c r="I8" i="13"/>
  <c r="AM10" i="14"/>
  <c r="I24" i="13"/>
  <c r="I19" i="13"/>
  <c r="AM45" i="10"/>
  <c r="AM46" i="10"/>
  <c r="AM44" i="10"/>
  <c r="AM39" i="10"/>
  <c r="AM8" i="14"/>
  <c r="I23" i="12"/>
  <c r="I25" i="13"/>
  <c r="AM41" i="10"/>
  <c r="AM6" i="14"/>
  <c r="AM7" i="14"/>
  <c r="AM40" i="10"/>
  <c r="AM43" i="10"/>
  <c r="AM38" i="10"/>
  <c r="AM5" i="14"/>
  <c r="AM42" i="10"/>
  <c r="D76" i="5"/>
  <c r="D36" i="24" s="1"/>
  <c r="P56" i="3"/>
  <c r="P37" i="3"/>
  <c r="P22" i="3"/>
  <c r="P76" i="3"/>
  <c r="D77" i="5"/>
  <c r="D37" i="24" s="1"/>
  <c r="V22" i="3"/>
  <c r="V76" i="3"/>
  <c r="V37" i="3"/>
  <c r="V56" i="3"/>
  <c r="C37" i="24"/>
  <c r="C36" i="24"/>
  <c r="P80" i="3"/>
  <c r="Q80" i="3" s="1"/>
  <c r="S80" i="3" s="1"/>
  <c r="P16" i="3"/>
  <c r="Q16" i="3" s="1"/>
  <c r="P64" i="3"/>
  <c r="Q64" i="3" s="1"/>
  <c r="S64" i="3" s="1"/>
  <c r="P35" i="3"/>
  <c r="Q35" i="3" s="1"/>
  <c r="I56" i="5"/>
  <c r="V80" i="3"/>
  <c r="V16" i="3"/>
  <c r="V35" i="3"/>
  <c r="V64" i="3"/>
  <c r="AM4" i="14"/>
  <c r="AM98" i="3"/>
  <c r="T4" i="3"/>
  <c r="AC4" i="3" s="1"/>
  <c r="AM4" i="3" s="1"/>
  <c r="T91" i="3"/>
  <c r="AC91" i="3" s="1"/>
  <c r="AM91" i="3" s="1"/>
  <c r="T96" i="3"/>
  <c r="AC96" i="3" s="1"/>
  <c r="AM96" i="3" s="1"/>
  <c r="AM95" i="3"/>
  <c r="T25" i="3"/>
  <c r="AC25" i="3" s="1"/>
  <c r="AM25" i="3" s="1"/>
  <c r="T40" i="3"/>
  <c r="AC40" i="3" s="1"/>
  <c r="AM40" i="3" s="1"/>
  <c r="T46" i="3"/>
  <c r="AC46" i="3" s="1"/>
  <c r="AM46" i="3" s="1"/>
  <c r="T5" i="3"/>
  <c r="AC5" i="3" s="1"/>
  <c r="AM5" i="3" s="1"/>
  <c r="T69" i="3"/>
  <c r="AC69" i="3" s="1"/>
  <c r="AM69" i="3" s="1"/>
  <c r="AM97" i="3"/>
  <c r="T26" i="3"/>
  <c r="AC26" i="3" s="1"/>
  <c r="AM26" i="3" s="1"/>
  <c r="T49" i="3"/>
  <c r="AC49" i="3" s="1"/>
  <c r="AM49" i="3" s="1"/>
  <c r="AM99" i="3"/>
  <c r="AM100" i="3"/>
  <c r="J88" i="3"/>
  <c r="J22" i="3"/>
  <c r="J29" i="3"/>
  <c r="J36" i="3"/>
  <c r="BW22" i="3"/>
  <c r="BW25" i="3"/>
  <c r="BW46" i="3"/>
  <c r="BW5" i="3"/>
  <c r="BW69" i="3"/>
  <c r="BW26" i="3"/>
  <c r="BW29" i="3"/>
  <c r="BW49" i="3"/>
  <c r="BW91" i="3"/>
  <c r="BW36" i="3"/>
  <c r="BW40" i="3"/>
  <c r="BW88" i="3"/>
  <c r="I78" i="3"/>
  <c r="I72" i="3"/>
  <c r="I66" i="3"/>
  <c r="J66" i="3" s="1"/>
  <c r="I92" i="3"/>
  <c r="I73" i="3"/>
  <c r="J73" i="3" s="1"/>
  <c r="I39" i="3"/>
  <c r="J39" i="3" s="1"/>
  <c r="I65" i="3"/>
  <c r="J65" i="3" s="1"/>
  <c r="I89" i="3"/>
  <c r="J89" i="3" s="1"/>
  <c r="I43" i="3"/>
  <c r="J43" i="3" s="1"/>
  <c r="I51" i="3"/>
  <c r="I50" i="3"/>
  <c r="J50" i="3" s="1"/>
  <c r="B52" i="5"/>
  <c r="G48" i="10" s="1"/>
  <c r="I48" i="10" s="1"/>
  <c r="AY47" i="10" l="1"/>
  <c r="BC6" i="14"/>
  <c r="AP19" i="14"/>
  <c r="AQ19" i="14" s="1"/>
  <c r="BH19" i="14" s="1"/>
  <c r="AP20" i="14"/>
  <c r="AQ20" i="14" s="1"/>
  <c r="BH20" i="14" s="1"/>
  <c r="AP21" i="14"/>
  <c r="AQ21" i="14" s="1"/>
  <c r="BH21" i="14" s="1"/>
  <c r="AP18" i="14"/>
  <c r="AQ18" i="14" s="1"/>
  <c r="BH18" i="14" s="1"/>
  <c r="AP16" i="14"/>
  <c r="AQ16" i="14" s="1"/>
  <c r="BH16" i="14" s="1"/>
  <c r="AP13" i="14"/>
  <c r="AQ13" i="14" s="1"/>
  <c r="BH13" i="14" s="1"/>
  <c r="AP14" i="14"/>
  <c r="AQ14" i="14" s="1"/>
  <c r="BH14" i="14" s="1"/>
  <c r="AP12" i="14"/>
  <c r="AQ12" i="14" s="1"/>
  <c r="BH12" i="14" s="1"/>
  <c r="AP15" i="14"/>
  <c r="AQ15" i="14" s="1"/>
  <c r="BH15" i="14" s="1"/>
  <c r="AP17" i="14"/>
  <c r="AQ17" i="14" s="1"/>
  <c r="BH17" i="14" s="1"/>
  <c r="W23" i="3"/>
  <c r="Y23" i="3"/>
  <c r="Q23" i="3"/>
  <c r="W24" i="3"/>
  <c r="Y24" i="3"/>
  <c r="Q58" i="3"/>
  <c r="Y58" i="3"/>
  <c r="W58" i="3"/>
  <c r="Q57" i="3"/>
  <c r="W57" i="3"/>
  <c r="Y57" i="3"/>
  <c r="Q24" i="3"/>
  <c r="BW48" i="10"/>
  <c r="J48" i="10"/>
  <c r="T48" i="10" s="1"/>
  <c r="AC48" i="10" s="1"/>
  <c r="AM48" i="10" s="1"/>
  <c r="AY4" i="14"/>
  <c r="AX7" i="14"/>
  <c r="AY7" i="14" s="1"/>
  <c r="AT8" i="14"/>
  <c r="AU8" i="14" s="1"/>
  <c r="AU6" i="14"/>
  <c r="BC7" i="14"/>
  <c r="AX6" i="14"/>
  <c r="AY6" i="14" s="1"/>
  <c r="AX5" i="14"/>
  <c r="AY5" i="14" s="1"/>
  <c r="AX8" i="14"/>
  <c r="AY8" i="14" s="1"/>
  <c r="AX9" i="14"/>
  <c r="AY9" i="14" s="1"/>
  <c r="AP9" i="14"/>
  <c r="AQ9" i="14" s="1"/>
  <c r="AQ4" i="14"/>
  <c r="AT9" i="14"/>
  <c r="AU9" i="14" s="1"/>
  <c r="AP5" i="14"/>
  <c r="AQ5" i="14" s="1"/>
  <c r="AP8" i="14"/>
  <c r="AQ8" i="14" s="1"/>
  <c r="AP10" i="14"/>
  <c r="AQ10" i="14" s="1"/>
  <c r="BH10" i="14" s="1"/>
  <c r="AP7" i="14"/>
  <c r="AQ7" i="14" s="1"/>
  <c r="AP6" i="14"/>
  <c r="AQ6" i="14" s="1"/>
  <c r="Y22" i="3"/>
  <c r="W22" i="3"/>
  <c r="BM76" i="3"/>
  <c r="BM37" i="3"/>
  <c r="BM22" i="3"/>
  <c r="BM23" i="3"/>
  <c r="BM57" i="3"/>
  <c r="BM56" i="3"/>
  <c r="BM24" i="3"/>
  <c r="BM58" i="3"/>
  <c r="Q76" i="3"/>
  <c r="Y76" i="3"/>
  <c r="W76" i="3"/>
  <c r="Q22" i="3"/>
  <c r="W56" i="3"/>
  <c r="Y56" i="3"/>
  <c r="Q37" i="3"/>
  <c r="W37" i="3"/>
  <c r="Y37" i="3"/>
  <c r="Q56" i="3"/>
  <c r="AU4" i="14"/>
  <c r="AQ4" i="3"/>
  <c r="AP5" i="3"/>
  <c r="AQ5" i="3" s="1"/>
  <c r="I12" i="24"/>
  <c r="C39" i="24" s="1"/>
  <c r="Y64" i="3"/>
  <c r="W64" i="3"/>
  <c r="Y35" i="3"/>
  <c r="W35" i="3"/>
  <c r="Y16" i="3"/>
  <c r="W16" i="3"/>
  <c r="W80" i="3"/>
  <c r="Y80" i="3"/>
  <c r="BM80" i="3"/>
  <c r="BM17" i="3"/>
  <c r="BM65" i="3"/>
  <c r="BM66" i="3"/>
  <c r="BM64" i="3"/>
  <c r="BM16" i="3"/>
  <c r="BM35" i="3"/>
  <c r="BM18" i="3"/>
  <c r="T89" i="3"/>
  <c r="AC89" i="3" s="1"/>
  <c r="AM89" i="3" s="1"/>
  <c r="T66" i="3"/>
  <c r="AC66" i="3" s="1"/>
  <c r="AM66" i="3" s="1"/>
  <c r="T73" i="3"/>
  <c r="AC73" i="3" s="1"/>
  <c r="AM73" i="3" s="1"/>
  <c r="T39" i="3"/>
  <c r="AC39" i="3" s="1"/>
  <c r="AM39" i="3" s="1"/>
  <c r="T50" i="3"/>
  <c r="AC50" i="3" s="1"/>
  <c r="AM50" i="3" s="1"/>
  <c r="T65" i="3"/>
  <c r="AC65" i="3" s="1"/>
  <c r="AM65" i="3" s="1"/>
  <c r="T29" i="3"/>
  <c r="AC29" i="3" s="1"/>
  <c r="AM29" i="3" s="1"/>
  <c r="T43" i="3"/>
  <c r="AC43" i="3" s="1"/>
  <c r="AM43" i="3" s="1"/>
  <c r="T36" i="3"/>
  <c r="AC36" i="3" s="1"/>
  <c r="AM36" i="3" s="1"/>
  <c r="T88" i="3"/>
  <c r="AC88" i="3" s="1"/>
  <c r="AM88" i="3" s="1"/>
  <c r="J51" i="3"/>
  <c r="J78" i="3"/>
  <c r="J92" i="3"/>
  <c r="J72" i="3"/>
  <c r="AY5" i="3"/>
  <c r="BW43" i="3"/>
  <c r="BW65" i="3"/>
  <c r="BW50" i="3"/>
  <c r="BW51" i="3"/>
  <c r="BW89" i="3"/>
  <c r="BW39" i="3"/>
  <c r="BW66" i="3"/>
  <c r="BW73" i="3"/>
  <c r="BW92" i="3"/>
  <c r="BW72" i="3"/>
  <c r="BW78" i="3"/>
  <c r="BH7" i="14" l="1"/>
  <c r="BH8" i="14"/>
  <c r="BH5" i="14"/>
  <c r="BH6" i="14"/>
  <c r="BH4" i="14"/>
  <c r="BI4" i="14" s="1"/>
  <c r="BH9" i="14"/>
  <c r="T72" i="3"/>
  <c r="AC72" i="3" s="1"/>
  <c r="AM72" i="3" s="1"/>
  <c r="T92" i="3"/>
  <c r="AC92" i="3" s="1"/>
  <c r="AM92" i="3" s="1"/>
  <c r="T78" i="3"/>
  <c r="AC78" i="3" s="1"/>
  <c r="AM78" i="3" s="1"/>
  <c r="T51" i="3"/>
  <c r="AC51" i="3" s="1"/>
  <c r="AM51" i="3" s="1"/>
  <c r="AX23" i="3"/>
  <c r="L39" i="24"/>
  <c r="K39" i="24"/>
  <c r="BK4" i="14" l="1"/>
  <c r="BN4" i="14" s="1"/>
  <c r="BZ4" i="14" s="1"/>
  <c r="BJ4" i="14"/>
  <c r="BY4" i="14"/>
  <c r="BQ4" i="14" l="1"/>
  <c r="CA4" i="14" s="1"/>
  <c r="H19" i="13"/>
  <c r="BR4" i="14" l="1"/>
  <c r="BU4" i="14" s="1"/>
  <c r="BV4" i="14" s="1"/>
  <c r="E39" i="24"/>
  <c r="G84" i="3"/>
  <c r="G83" i="3"/>
  <c r="G36" i="10"/>
  <c r="I36" i="10" s="1"/>
  <c r="G82" i="3"/>
  <c r="G81" i="3"/>
  <c r="G17" i="3"/>
  <c r="G18" i="3"/>
  <c r="G62" i="3"/>
  <c r="G63" i="3"/>
  <c r="G34" i="3"/>
  <c r="G61" i="3"/>
  <c r="G15" i="3"/>
  <c r="G76" i="3"/>
  <c r="G16" i="3"/>
  <c r="G19" i="3"/>
  <c r="G23" i="3"/>
  <c r="G53" i="3"/>
  <c r="G27" i="3"/>
  <c r="G93" i="3"/>
  <c r="G94" i="3"/>
  <c r="G71" i="3"/>
  <c r="G55" i="3"/>
  <c r="G31" i="3"/>
  <c r="G41" i="3"/>
  <c r="G47" i="3"/>
  <c r="G87" i="3"/>
  <c r="G67" i="3"/>
  <c r="G24" i="3"/>
  <c r="G79" i="3"/>
  <c r="G30" i="3"/>
  <c r="G20" i="3"/>
  <c r="G80" i="3"/>
  <c r="G44" i="3"/>
  <c r="G52" i="3"/>
  <c r="G70" i="3"/>
  <c r="G45" i="3"/>
  <c r="G33" i="3"/>
  <c r="G38" i="3"/>
  <c r="G75" i="3"/>
  <c r="G85" i="3"/>
  <c r="G37" i="3"/>
  <c r="G11" i="3"/>
  <c r="G56" i="3"/>
  <c r="G15" i="10"/>
  <c r="I15" i="10" s="1"/>
  <c r="G6" i="3"/>
  <c r="G12" i="3"/>
  <c r="G18" i="10"/>
  <c r="I18" i="10" s="1"/>
  <c r="G7" i="10"/>
  <c r="I7" i="10" s="1"/>
  <c r="G19" i="10"/>
  <c r="I19" i="10" s="1"/>
  <c r="G13" i="3"/>
  <c r="G6" i="10"/>
  <c r="I6" i="10" s="1"/>
  <c r="G7" i="3"/>
  <c r="G5" i="10"/>
  <c r="I5" i="10" s="1"/>
  <c r="G23" i="10"/>
  <c r="I23" i="10" s="1"/>
  <c r="G24" i="10"/>
  <c r="G9" i="3"/>
  <c r="G25" i="10"/>
  <c r="I25" i="10" s="1"/>
  <c r="G57" i="3"/>
  <c r="G21" i="10"/>
  <c r="I21" i="10" s="1"/>
  <c r="G10" i="3"/>
  <c r="G22" i="10"/>
  <c r="I22" i="10" s="1"/>
  <c r="G31" i="10"/>
  <c r="I31" i="10" s="1"/>
  <c r="G8" i="3"/>
  <c r="G59" i="3"/>
  <c r="G10" i="10"/>
  <c r="I10" i="10" s="1"/>
  <c r="G16" i="10"/>
  <c r="I16" i="10" s="1"/>
  <c r="G9" i="10"/>
  <c r="I9" i="10" s="1"/>
  <c r="G14" i="3"/>
  <c r="G20" i="10"/>
  <c r="I20" i="10" s="1"/>
  <c r="G60" i="3"/>
  <c r="G17" i="10"/>
  <c r="I17" i="10" s="1"/>
  <c r="G8" i="10"/>
  <c r="I8" i="10" s="1"/>
  <c r="G58" i="3"/>
  <c r="G32" i="10"/>
  <c r="I32" i="10" s="1"/>
  <c r="G12" i="10"/>
  <c r="I12" i="10" s="1"/>
  <c r="G33" i="10"/>
  <c r="I33" i="10" s="1"/>
  <c r="G30" i="10"/>
  <c r="I30" i="10" s="1"/>
  <c r="G28" i="10"/>
  <c r="I28" i="10" s="1"/>
  <c r="G11" i="10"/>
  <c r="I11" i="10" s="1"/>
  <c r="G35" i="10"/>
  <c r="I35" i="10" s="1"/>
  <c r="G26" i="10"/>
  <c r="I26" i="10" s="1"/>
  <c r="G14" i="10"/>
  <c r="I14" i="10" s="1"/>
  <c r="G68" i="3"/>
  <c r="G32" i="3"/>
  <c r="G74" i="3"/>
  <c r="G21" i="3"/>
  <c r="G42" i="3"/>
  <c r="G54" i="3"/>
  <c r="G4" i="10"/>
  <c r="I4" i="10" s="1"/>
  <c r="G28" i="3"/>
  <c r="G64" i="3"/>
  <c r="G27" i="10"/>
  <c r="I27" i="10" s="1"/>
  <c r="G77" i="3"/>
  <c r="G35" i="3"/>
  <c r="G86" i="3"/>
  <c r="G13" i="10"/>
  <c r="I13" i="10" s="1"/>
  <c r="G34" i="10"/>
  <c r="I34" i="10" s="1"/>
  <c r="G90" i="3"/>
  <c r="G48" i="3"/>
  <c r="G29" i="10"/>
  <c r="I29" i="10" s="1"/>
  <c r="C6" i="7"/>
  <c r="D6" i="7"/>
  <c r="BT4" i="14" l="1"/>
  <c r="BS4" i="14"/>
  <c r="CB4" i="14"/>
  <c r="N5" i="14"/>
  <c r="AB5" i="14" s="1"/>
  <c r="BI5" i="14" s="1"/>
  <c r="I13" i="13"/>
  <c r="I17" i="13"/>
  <c r="I24" i="10"/>
  <c r="J35" i="10"/>
  <c r="T35" i="10" s="1"/>
  <c r="AC35" i="10" s="1"/>
  <c r="AM35" i="10" s="1"/>
  <c r="BW35" i="10"/>
  <c r="BW33" i="10"/>
  <c r="J33" i="10"/>
  <c r="T33" i="10" s="1"/>
  <c r="AC33" i="10" s="1"/>
  <c r="AM33" i="10" s="1"/>
  <c r="BW18" i="10"/>
  <c r="J18" i="10"/>
  <c r="T18" i="10" s="1"/>
  <c r="AC18" i="10" s="1"/>
  <c r="AM18" i="10" s="1"/>
  <c r="BW23" i="10"/>
  <c r="J23" i="10"/>
  <c r="T23" i="10" s="1"/>
  <c r="AC23" i="10" s="1"/>
  <c r="AM23" i="10" s="1"/>
  <c r="J11" i="10"/>
  <c r="T11" i="10" s="1"/>
  <c r="AC11" i="10" s="1"/>
  <c r="AM11" i="10" s="1"/>
  <c r="BW11" i="10"/>
  <c r="BW25" i="10"/>
  <c r="J25" i="10"/>
  <c r="T25" i="10" s="1"/>
  <c r="AC25" i="10" s="1"/>
  <c r="AM25" i="10" s="1"/>
  <c r="BW36" i="10"/>
  <c r="J36" i="10"/>
  <c r="T36" i="10" s="1"/>
  <c r="AC36" i="10" s="1"/>
  <c r="AM36" i="10" s="1"/>
  <c r="BW34" i="10"/>
  <c r="J34" i="10"/>
  <c r="T34" i="10" s="1"/>
  <c r="AC34" i="10" s="1"/>
  <c r="AM34" i="10" s="1"/>
  <c r="BW20" i="10"/>
  <c r="J20" i="10"/>
  <c r="T20" i="10" s="1"/>
  <c r="AC20" i="10" s="1"/>
  <c r="AM20" i="10" s="1"/>
  <c r="BW13" i="10"/>
  <c r="J13" i="10"/>
  <c r="T13" i="10" s="1"/>
  <c r="AC13" i="10" s="1"/>
  <c r="AM13" i="10" s="1"/>
  <c r="BW16" i="10"/>
  <c r="J16" i="10"/>
  <c r="T16" i="10" s="1"/>
  <c r="AC16" i="10" s="1"/>
  <c r="AM16" i="10" s="1"/>
  <c r="I6" i="12"/>
  <c r="J6" i="10"/>
  <c r="T6" i="10" s="1"/>
  <c r="AC6" i="10" s="1"/>
  <c r="AM6" i="10" s="1"/>
  <c r="BW6" i="10"/>
  <c r="BW7" i="10"/>
  <c r="J7" i="10"/>
  <c r="T7" i="10" s="1"/>
  <c r="AC7" i="10" s="1"/>
  <c r="AM7" i="10" s="1"/>
  <c r="BW4" i="10"/>
  <c r="J4" i="10"/>
  <c r="T4" i="10" s="1"/>
  <c r="AC4" i="10" s="1"/>
  <c r="AM4" i="10" s="1"/>
  <c r="BW17" i="10"/>
  <c r="J17" i="10"/>
  <c r="T17" i="10" s="1"/>
  <c r="AC17" i="10" s="1"/>
  <c r="AM17" i="10" s="1"/>
  <c r="BW30" i="10"/>
  <c r="J30" i="10"/>
  <c r="T30" i="10" s="1"/>
  <c r="AC30" i="10" s="1"/>
  <c r="AM30" i="10" s="1"/>
  <c r="BW32" i="10"/>
  <c r="J32" i="10"/>
  <c r="T32" i="10" s="1"/>
  <c r="AC32" i="10" s="1"/>
  <c r="AM32" i="10" s="1"/>
  <c r="BW31" i="10"/>
  <c r="J31" i="10"/>
  <c r="T31" i="10" s="1"/>
  <c r="AC31" i="10" s="1"/>
  <c r="AM31" i="10" s="1"/>
  <c r="BW15" i="10"/>
  <c r="J15" i="10"/>
  <c r="T15" i="10" s="1"/>
  <c r="AC15" i="10" s="1"/>
  <c r="AM15" i="10" s="1"/>
  <c r="BW22" i="10"/>
  <c r="J22" i="10"/>
  <c r="T22" i="10" s="1"/>
  <c r="AC22" i="10" s="1"/>
  <c r="AM22" i="10" s="1"/>
  <c r="BW29" i="10"/>
  <c r="J29" i="10"/>
  <c r="T29" i="10" s="1"/>
  <c r="AC29" i="10" s="1"/>
  <c r="AM29" i="10" s="1"/>
  <c r="BW12" i="10"/>
  <c r="J12" i="10"/>
  <c r="T12" i="10" s="1"/>
  <c r="AC12" i="10" s="1"/>
  <c r="AM12" i="10" s="1"/>
  <c r="BW27" i="10"/>
  <c r="J27" i="10"/>
  <c r="T27" i="10" s="1"/>
  <c r="AC27" i="10" s="1"/>
  <c r="AM27" i="10" s="1"/>
  <c r="BW14" i="10"/>
  <c r="J14" i="10"/>
  <c r="T14" i="10" s="1"/>
  <c r="AC14" i="10" s="1"/>
  <c r="AM14" i="10" s="1"/>
  <c r="J5" i="10"/>
  <c r="T5" i="10" s="1"/>
  <c r="AC5" i="10" s="1"/>
  <c r="AM5" i="10" s="1"/>
  <c r="BW5" i="10"/>
  <c r="BW8" i="10"/>
  <c r="J8" i="10"/>
  <c r="T8" i="10" s="1"/>
  <c r="AC8" i="10" s="1"/>
  <c r="AM8" i="10" s="1"/>
  <c r="BW9" i="10"/>
  <c r="J9" i="10"/>
  <c r="T9" i="10" s="1"/>
  <c r="AC9" i="10" s="1"/>
  <c r="AM9" i="10" s="1"/>
  <c r="BW21" i="10"/>
  <c r="J21" i="10"/>
  <c r="T21" i="10" s="1"/>
  <c r="AC21" i="10" s="1"/>
  <c r="AM21" i="10" s="1"/>
  <c r="BW28" i="10"/>
  <c r="J28" i="10"/>
  <c r="T28" i="10" s="1"/>
  <c r="AC28" i="10" s="1"/>
  <c r="AM28" i="10" s="1"/>
  <c r="BW19" i="10"/>
  <c r="J19" i="10"/>
  <c r="T19" i="10" s="1"/>
  <c r="AC19" i="10" s="1"/>
  <c r="AM19" i="10" s="1"/>
  <c r="BW10" i="10"/>
  <c r="J10" i="10"/>
  <c r="T10" i="10" s="1"/>
  <c r="AC10" i="10" s="1"/>
  <c r="AM10" i="10" s="1"/>
  <c r="BW26" i="10"/>
  <c r="J26" i="10"/>
  <c r="T26" i="10" s="1"/>
  <c r="AC26" i="10" s="1"/>
  <c r="AM26" i="10" s="1"/>
  <c r="I48" i="3"/>
  <c r="J48" i="3" s="1"/>
  <c r="I13" i="3"/>
  <c r="J13" i="3" s="1"/>
  <c r="I67" i="3"/>
  <c r="I63" i="3"/>
  <c r="J63" i="3" s="1"/>
  <c r="I62" i="3"/>
  <c r="J62" i="3" s="1"/>
  <c r="I18" i="3"/>
  <c r="J18" i="3" s="1"/>
  <c r="I34" i="3"/>
  <c r="J34" i="3" s="1"/>
  <c r="I17" i="3"/>
  <c r="J17" i="3" s="1"/>
  <c r="I31" i="3"/>
  <c r="J31" i="3" s="1"/>
  <c r="I81" i="3"/>
  <c r="I82" i="3"/>
  <c r="J82" i="3" s="1"/>
  <c r="I24" i="3"/>
  <c r="J24" i="3" s="1"/>
  <c r="I35" i="3"/>
  <c r="J35" i="3" s="1"/>
  <c r="I86" i="3"/>
  <c r="J86" i="3" s="1"/>
  <c r="I47" i="3"/>
  <c r="J47" i="3" s="1"/>
  <c r="I71" i="3"/>
  <c r="J71" i="3" s="1"/>
  <c r="I75" i="3"/>
  <c r="J75" i="3" s="1"/>
  <c r="I23" i="3"/>
  <c r="J23" i="3" s="1"/>
  <c r="I7" i="3"/>
  <c r="J7" i="3" s="1"/>
  <c r="I6" i="3"/>
  <c r="J6" i="3" s="1"/>
  <c r="I93" i="3"/>
  <c r="J93" i="3" s="1"/>
  <c r="I32" i="3"/>
  <c r="J32" i="3" s="1"/>
  <c r="I59" i="3"/>
  <c r="J59" i="3" s="1"/>
  <c r="I90" i="3"/>
  <c r="J90" i="3" s="1"/>
  <c r="I41" i="3"/>
  <c r="J41" i="3" s="1"/>
  <c r="I83" i="3"/>
  <c r="J83" i="3" s="1"/>
  <c r="I27" i="3"/>
  <c r="J27" i="3" s="1"/>
  <c r="I8" i="3"/>
  <c r="J8" i="3" s="1"/>
  <c r="I38" i="3"/>
  <c r="J38" i="3" s="1"/>
  <c r="I28" i="3"/>
  <c r="J28" i="3" s="1"/>
  <c r="I14" i="3"/>
  <c r="J14" i="3" s="1"/>
  <c r="I85" i="3"/>
  <c r="J85" i="3" s="1"/>
  <c r="I33" i="3"/>
  <c r="I56" i="3"/>
  <c r="J56" i="3" s="1"/>
  <c r="I54" i="3"/>
  <c r="J54" i="3" s="1"/>
  <c r="I42" i="3"/>
  <c r="J42" i="3" s="1"/>
  <c r="I60" i="3"/>
  <c r="J60" i="3" s="1"/>
  <c r="I10" i="3"/>
  <c r="J10" i="3" s="1"/>
  <c r="I45" i="3"/>
  <c r="I68" i="3"/>
  <c r="J68" i="3" s="1"/>
  <c r="I70" i="3"/>
  <c r="J70" i="3" s="1"/>
  <c r="I19" i="3"/>
  <c r="J19" i="3" s="1"/>
  <c r="I87" i="3"/>
  <c r="J87" i="3" s="1"/>
  <c r="I55" i="3"/>
  <c r="J55" i="3" s="1"/>
  <c r="I11" i="3"/>
  <c r="J11" i="3" s="1"/>
  <c r="I53" i="3"/>
  <c r="J53" i="3" s="1"/>
  <c r="I21" i="3"/>
  <c r="J21" i="3" s="1"/>
  <c r="I57" i="3"/>
  <c r="I52" i="3"/>
  <c r="J52" i="3" s="1"/>
  <c r="I12" i="3"/>
  <c r="J12" i="3" s="1"/>
  <c r="I64" i="3"/>
  <c r="J64" i="3" s="1"/>
  <c r="I44" i="3"/>
  <c r="J44" i="3" s="1"/>
  <c r="I94" i="3"/>
  <c r="J94" i="3" s="1"/>
  <c r="I84" i="3"/>
  <c r="J84" i="3" s="1"/>
  <c r="I74" i="3"/>
  <c r="J74" i="3" s="1"/>
  <c r="I9" i="3"/>
  <c r="J9" i="3" s="1"/>
  <c r="I80" i="3"/>
  <c r="J80" i="3" s="1"/>
  <c r="I20" i="3"/>
  <c r="J20" i="3" s="1"/>
  <c r="I16" i="3"/>
  <c r="J16" i="3" s="1"/>
  <c r="I76" i="3"/>
  <c r="J76" i="3" s="1"/>
  <c r="I77" i="3"/>
  <c r="J77" i="3" s="1"/>
  <c r="I37" i="3"/>
  <c r="J37" i="3" s="1"/>
  <c r="I30" i="3"/>
  <c r="J30" i="3" s="1"/>
  <c r="I15" i="3"/>
  <c r="J15" i="3" s="1"/>
  <c r="I58" i="3"/>
  <c r="J58" i="3" s="1"/>
  <c r="I79" i="3"/>
  <c r="J79" i="3" s="1"/>
  <c r="I61" i="3"/>
  <c r="J61" i="3" s="1"/>
  <c r="D39" i="24"/>
  <c r="E6" i="7"/>
  <c r="O52" i="5" s="1"/>
  <c r="C28" i="7"/>
  <c r="C29" i="7" s="1"/>
  <c r="BK4" i="10" l="1"/>
  <c r="BQ4" i="10" s="1"/>
  <c r="BJ5" i="14"/>
  <c r="AT21" i="10"/>
  <c r="AU21" i="10" s="1"/>
  <c r="AT9" i="10"/>
  <c r="AU9" i="10" s="1"/>
  <c r="AT15" i="10"/>
  <c r="AU15" i="10" s="1"/>
  <c r="AT12" i="10"/>
  <c r="AU12" i="10" s="1"/>
  <c r="AT14" i="10"/>
  <c r="AU14" i="10" s="1"/>
  <c r="AT20" i="10"/>
  <c r="AU20" i="10" s="1"/>
  <c r="AT10" i="10"/>
  <c r="AU10" i="10" s="1"/>
  <c r="AT22" i="10"/>
  <c r="AU22" i="10" s="1"/>
  <c r="AU5" i="10"/>
  <c r="AT19" i="10"/>
  <c r="AU19" i="10" s="1"/>
  <c r="AT24" i="10"/>
  <c r="AT23" i="10"/>
  <c r="AU23" i="10" s="1"/>
  <c r="AT6" i="10"/>
  <c r="AU6" i="10" s="1"/>
  <c r="AT8" i="10"/>
  <c r="AU8" i="10" s="1"/>
  <c r="AT13" i="10"/>
  <c r="AU13" i="10" s="1"/>
  <c r="AT7" i="10"/>
  <c r="AU7" i="10" s="1"/>
  <c r="BY5" i="14"/>
  <c r="BK5" i="14"/>
  <c r="I22" i="12"/>
  <c r="BF46" i="10"/>
  <c r="BG46" i="10" s="1"/>
  <c r="BF40" i="10"/>
  <c r="BG40" i="10" s="1"/>
  <c r="BF45" i="10"/>
  <c r="BG45" i="10" s="1"/>
  <c r="BF38" i="10"/>
  <c r="BG38" i="10" s="1"/>
  <c r="BF44" i="10"/>
  <c r="BG44" i="10" s="1"/>
  <c r="BF43" i="10"/>
  <c r="BG43" i="10" s="1"/>
  <c r="I10" i="12"/>
  <c r="I7" i="13"/>
  <c r="I18" i="13"/>
  <c r="I9" i="13"/>
  <c r="I20" i="13"/>
  <c r="BF35" i="10"/>
  <c r="BG35" i="10" s="1"/>
  <c r="AP22" i="10"/>
  <c r="AQ22" i="10" s="1"/>
  <c r="AP13" i="10"/>
  <c r="AQ13" i="10" s="1"/>
  <c r="BF27" i="10"/>
  <c r="BG27" i="10" s="1"/>
  <c r="BF36" i="10"/>
  <c r="BG36" i="10" s="1"/>
  <c r="BF29" i="10"/>
  <c r="BG29" i="10" s="1"/>
  <c r="BF16" i="10"/>
  <c r="BG16" i="10" s="1"/>
  <c r="BF31" i="10"/>
  <c r="BG31" i="10" s="1"/>
  <c r="BF32" i="10"/>
  <c r="BG32" i="10" s="1"/>
  <c r="BF18" i="10"/>
  <c r="BG18" i="10" s="1"/>
  <c r="I19" i="12"/>
  <c r="BG11" i="10"/>
  <c r="BF23" i="10"/>
  <c r="BG23" i="10" s="1"/>
  <c r="BF30" i="10"/>
  <c r="BG30" i="10" s="1"/>
  <c r="BF14" i="10"/>
  <c r="BG14" i="10" s="1"/>
  <c r="BF21" i="10"/>
  <c r="BG21" i="10" s="1"/>
  <c r="BF34" i="10"/>
  <c r="BG34" i="10" s="1"/>
  <c r="BF25" i="10"/>
  <c r="BG25" i="10" s="1"/>
  <c r="BF12" i="10"/>
  <c r="BG12" i="10" s="1"/>
  <c r="I11" i="13"/>
  <c r="I16" i="13"/>
  <c r="I14" i="12"/>
  <c r="AP18" i="10"/>
  <c r="AQ18" i="10" s="1"/>
  <c r="AP9" i="10"/>
  <c r="AQ9" i="10" s="1"/>
  <c r="BH9" i="10" s="1"/>
  <c r="AP15" i="10"/>
  <c r="AQ15" i="10" s="1"/>
  <c r="AP6" i="10"/>
  <c r="AQ6" i="10" s="1"/>
  <c r="AP23" i="10"/>
  <c r="AQ23" i="10" s="1"/>
  <c r="AP21" i="10"/>
  <c r="AQ21" i="10" s="1"/>
  <c r="AP17" i="10"/>
  <c r="AQ17" i="10" s="1"/>
  <c r="BH17" i="10" s="1"/>
  <c r="AP12" i="10"/>
  <c r="AQ12" i="10" s="1"/>
  <c r="AP7" i="10"/>
  <c r="AQ7" i="10" s="1"/>
  <c r="AP8" i="10"/>
  <c r="AQ8" i="10" s="1"/>
  <c r="BH8" i="10" s="1"/>
  <c r="AP10" i="10"/>
  <c r="AQ10" i="10" s="1"/>
  <c r="AP24" i="10"/>
  <c r="AP14" i="10"/>
  <c r="AQ14" i="10" s="1"/>
  <c r="AP20" i="10"/>
  <c r="AQ20" i="10" s="1"/>
  <c r="BH20" i="10" s="1"/>
  <c r="AP16" i="10"/>
  <c r="AQ16" i="10" s="1"/>
  <c r="AP11" i="10"/>
  <c r="AQ11" i="10" s="1"/>
  <c r="AP19" i="10"/>
  <c r="AQ19" i="10" s="1"/>
  <c r="AQ5" i="10"/>
  <c r="BN4" i="10"/>
  <c r="BW24" i="10"/>
  <c r="I17" i="12" s="1"/>
  <c r="J24" i="10"/>
  <c r="T24" i="10" s="1"/>
  <c r="AC24" i="10" s="1"/>
  <c r="AM24" i="10" s="1"/>
  <c r="T93" i="3"/>
  <c r="AC93" i="3" s="1"/>
  <c r="AM93" i="3" s="1"/>
  <c r="T15" i="3"/>
  <c r="AC15" i="3" s="1"/>
  <c r="AM15" i="3" s="1"/>
  <c r="T6" i="3"/>
  <c r="AC6" i="3" s="1"/>
  <c r="AM6" i="3" s="1"/>
  <c r="T61" i="3"/>
  <c r="AC61" i="3" s="1"/>
  <c r="AM61" i="3" s="1"/>
  <c r="T53" i="3"/>
  <c r="AC53" i="3" s="1"/>
  <c r="AM53" i="3" s="1"/>
  <c r="T86" i="3"/>
  <c r="AC86" i="3" s="1"/>
  <c r="AM86" i="3" s="1"/>
  <c r="T11" i="3"/>
  <c r="AC11" i="3" s="1"/>
  <c r="AM11" i="3" s="1"/>
  <c r="T54" i="3"/>
  <c r="AC54" i="3" s="1"/>
  <c r="AM54" i="3" s="1"/>
  <c r="T87" i="3"/>
  <c r="AC87" i="3" s="1"/>
  <c r="AM87" i="3" s="1"/>
  <c r="T77" i="3"/>
  <c r="AC77" i="3" s="1"/>
  <c r="AM77" i="3" s="1"/>
  <c r="T20" i="3"/>
  <c r="AC20" i="3" s="1"/>
  <c r="AM20" i="3" s="1"/>
  <c r="T21" i="3"/>
  <c r="AC21" i="3" s="1"/>
  <c r="AM21" i="3" s="1"/>
  <c r="T34" i="3"/>
  <c r="AC34" i="3" s="1"/>
  <c r="AM34" i="3" s="1"/>
  <c r="T71" i="3"/>
  <c r="AC71" i="3" s="1"/>
  <c r="AM71" i="3" s="1"/>
  <c r="T74" i="3"/>
  <c r="AC74" i="3" s="1"/>
  <c r="AM74" i="3" s="1"/>
  <c r="T13" i="3"/>
  <c r="AC13" i="3" s="1"/>
  <c r="AM13" i="3" s="1"/>
  <c r="T9" i="3"/>
  <c r="AC9" i="3" s="1"/>
  <c r="AM9" i="3" s="1"/>
  <c r="T48" i="3"/>
  <c r="AC48" i="3" s="1"/>
  <c r="AM48" i="3" s="1"/>
  <c r="T55" i="3"/>
  <c r="AC55" i="3" s="1"/>
  <c r="AM55" i="3" s="1"/>
  <c r="T75" i="3"/>
  <c r="AC75" i="3" s="1"/>
  <c r="AM75" i="3" s="1"/>
  <c r="T18" i="3"/>
  <c r="AC18" i="3" s="1"/>
  <c r="AM18" i="3" s="1"/>
  <c r="T94" i="3"/>
  <c r="AC94" i="3" s="1"/>
  <c r="AM94" i="3" s="1"/>
  <c r="T38" i="3"/>
  <c r="AC38" i="3" s="1"/>
  <c r="AM38" i="3" s="1"/>
  <c r="T32" i="3"/>
  <c r="AC32" i="3" s="1"/>
  <c r="AM32" i="3" s="1"/>
  <c r="T79" i="3"/>
  <c r="AC79" i="3" s="1"/>
  <c r="AM79" i="3" s="1"/>
  <c r="T10" i="3"/>
  <c r="AC10" i="3" s="1"/>
  <c r="AM10" i="3" s="1"/>
  <c r="T60" i="3"/>
  <c r="AC60" i="3" s="1"/>
  <c r="AM60" i="3" s="1"/>
  <c r="T80" i="3"/>
  <c r="T84" i="3"/>
  <c r="AC84" i="3" s="1"/>
  <c r="AM84" i="3" s="1"/>
  <c r="T28" i="3"/>
  <c r="AC28" i="3" s="1"/>
  <c r="AM28" i="3" s="1"/>
  <c r="T8" i="3"/>
  <c r="AC8" i="3" s="1"/>
  <c r="AM8" i="3" s="1"/>
  <c r="T19" i="3"/>
  <c r="AC19" i="3" s="1"/>
  <c r="AM19" i="3" s="1"/>
  <c r="T82" i="3"/>
  <c r="AC82" i="3" s="1"/>
  <c r="AM82" i="3" s="1"/>
  <c r="T17" i="3"/>
  <c r="AC17" i="3" s="1"/>
  <c r="AM17" i="3" s="1"/>
  <c r="T85" i="3"/>
  <c r="AC85" i="3" s="1"/>
  <c r="AM85" i="3" s="1"/>
  <c r="T27" i="3"/>
  <c r="AC27" i="3" s="1"/>
  <c r="AM27" i="3" s="1"/>
  <c r="T7" i="3"/>
  <c r="AC7" i="3" s="1"/>
  <c r="AM7" i="3" s="1"/>
  <c r="T30" i="3"/>
  <c r="AC30" i="3" s="1"/>
  <c r="AM30" i="3" s="1"/>
  <c r="T42" i="3"/>
  <c r="AC42" i="3" s="1"/>
  <c r="AM42" i="3" s="1"/>
  <c r="T63" i="3"/>
  <c r="AC63" i="3" s="1"/>
  <c r="AM63" i="3" s="1"/>
  <c r="T83" i="3"/>
  <c r="AC83" i="3" s="1"/>
  <c r="AM83" i="3" s="1"/>
  <c r="T68" i="3"/>
  <c r="AC68" i="3" s="1"/>
  <c r="AM68" i="3" s="1"/>
  <c r="T62" i="3"/>
  <c r="AC62" i="3" s="1"/>
  <c r="AM62" i="3" s="1"/>
  <c r="T44" i="3"/>
  <c r="AC44" i="3" s="1"/>
  <c r="AM44" i="3" s="1"/>
  <c r="T52" i="3"/>
  <c r="AC52" i="3" s="1"/>
  <c r="AM52" i="3" s="1"/>
  <c r="T41" i="3"/>
  <c r="AC41" i="3" s="1"/>
  <c r="AM41" i="3" s="1"/>
  <c r="T59" i="3"/>
  <c r="AC59" i="3" s="1"/>
  <c r="AM59" i="3" s="1"/>
  <c r="T70" i="3"/>
  <c r="AC70" i="3" s="1"/>
  <c r="AM70" i="3" s="1"/>
  <c r="T47" i="3"/>
  <c r="AC47" i="3" s="1"/>
  <c r="AM47" i="3" s="1"/>
  <c r="T31" i="3"/>
  <c r="AC31" i="3" s="1"/>
  <c r="AM31" i="3" s="1"/>
  <c r="T14" i="3"/>
  <c r="AC14" i="3" s="1"/>
  <c r="AM14" i="3" s="1"/>
  <c r="T12" i="3"/>
  <c r="AC12" i="3" s="1"/>
  <c r="AM12" i="3" s="1"/>
  <c r="T90" i="3"/>
  <c r="AC90" i="3" s="1"/>
  <c r="AM90" i="3" s="1"/>
  <c r="J67" i="3"/>
  <c r="J45" i="3"/>
  <c r="J33" i="3"/>
  <c r="J81" i="3"/>
  <c r="J57" i="3"/>
  <c r="BW38" i="3"/>
  <c r="BW64" i="3"/>
  <c r="BW8" i="3"/>
  <c r="BW12" i="3"/>
  <c r="BW27" i="3"/>
  <c r="BW83" i="3"/>
  <c r="BW52" i="3"/>
  <c r="BW41" i="3"/>
  <c r="BW57" i="3"/>
  <c r="BW90" i="3"/>
  <c r="BW21" i="3"/>
  <c r="BW59" i="3"/>
  <c r="BW53" i="3"/>
  <c r="BW32" i="3"/>
  <c r="BW11" i="3"/>
  <c r="BW55" i="3"/>
  <c r="BW93" i="3"/>
  <c r="BW61" i="3"/>
  <c r="BW87" i="3"/>
  <c r="BW6" i="3"/>
  <c r="BW79" i="3"/>
  <c r="BW19" i="3"/>
  <c r="BW7" i="3"/>
  <c r="BW58" i="3"/>
  <c r="BW70" i="3"/>
  <c r="BW23" i="3"/>
  <c r="BW15" i="3"/>
  <c r="BW68" i="3"/>
  <c r="BW75" i="3"/>
  <c r="BW30" i="3"/>
  <c r="BW45" i="3"/>
  <c r="BW71" i="3"/>
  <c r="BW37" i="3"/>
  <c r="BW10" i="3"/>
  <c r="BW77" i="3"/>
  <c r="BW47" i="3"/>
  <c r="BW76" i="3"/>
  <c r="BW86" i="3"/>
  <c r="BW35" i="3"/>
  <c r="BW16" i="3"/>
  <c r="BW60" i="3"/>
  <c r="BW24" i="3"/>
  <c r="BW20" i="3"/>
  <c r="BW82" i="3"/>
  <c r="BW42" i="3"/>
  <c r="BW81" i="3"/>
  <c r="BW54" i="3"/>
  <c r="BW31" i="3"/>
  <c r="BW80" i="3"/>
  <c r="BW56" i="3"/>
  <c r="BW17" i="3"/>
  <c r="BW9" i="3"/>
  <c r="BW34" i="3"/>
  <c r="BW74" i="3"/>
  <c r="BW33" i="3"/>
  <c r="BW18" i="3"/>
  <c r="BW84" i="3"/>
  <c r="BW85" i="3"/>
  <c r="BW62" i="3"/>
  <c r="BW94" i="3"/>
  <c r="BW14" i="3"/>
  <c r="BW63" i="3"/>
  <c r="BW28" i="3"/>
  <c r="BW67" i="3"/>
  <c r="BW44" i="3"/>
  <c r="BW13" i="3"/>
  <c r="BW48" i="3"/>
  <c r="J39" i="24"/>
  <c r="I39" i="24"/>
  <c r="H39" i="24"/>
  <c r="AP25" i="10" l="1"/>
  <c r="AQ25" i="10" s="1"/>
  <c r="BH25" i="10" s="1"/>
  <c r="BQ5" i="14"/>
  <c r="CA5" i="14" s="1"/>
  <c r="AP53" i="10"/>
  <c r="AQ53" i="10" s="1"/>
  <c r="BH53" i="10" s="1"/>
  <c r="AP41" i="10"/>
  <c r="AQ41" i="10" s="1"/>
  <c r="BH41" i="10" s="1"/>
  <c r="AP42" i="10"/>
  <c r="AQ42" i="10" s="1"/>
  <c r="BH42" i="10" s="1"/>
  <c r="BH5" i="10"/>
  <c r="BH19" i="10"/>
  <c r="BH13" i="10"/>
  <c r="BH7" i="10"/>
  <c r="BH22" i="10"/>
  <c r="AT32" i="10"/>
  <c r="AU32" i="10" s="1"/>
  <c r="BH6" i="10"/>
  <c r="AT39" i="10"/>
  <c r="AU39" i="10" s="1"/>
  <c r="AT30" i="10"/>
  <c r="AU30" i="10" s="1"/>
  <c r="BH10" i="10"/>
  <c r="BH15" i="10"/>
  <c r="AT33" i="10"/>
  <c r="AU33" i="10" s="1"/>
  <c r="AT16" i="3"/>
  <c r="AT31" i="10"/>
  <c r="AU31" i="10" s="1"/>
  <c r="AU24" i="10"/>
  <c r="BN5" i="14"/>
  <c r="BZ5" i="14" s="1"/>
  <c r="AP47" i="10"/>
  <c r="AQ47" i="10" s="1"/>
  <c r="BH47" i="10" s="1"/>
  <c r="AP48" i="10"/>
  <c r="AQ48" i="10" s="1"/>
  <c r="BH48" i="10" s="1"/>
  <c r="AP49" i="10"/>
  <c r="AQ49" i="10" s="1"/>
  <c r="BH49" i="10" s="1"/>
  <c r="I23" i="7"/>
  <c r="AP36" i="10"/>
  <c r="AQ36" i="10" s="1"/>
  <c r="BH36" i="10" s="1"/>
  <c r="I22" i="7"/>
  <c r="AP45" i="10"/>
  <c r="AQ45" i="10" s="1"/>
  <c r="BH45" i="10" s="1"/>
  <c r="AP40" i="10"/>
  <c r="AQ40" i="10" s="1"/>
  <c r="BH40" i="10" s="1"/>
  <c r="AP38" i="10"/>
  <c r="AQ38" i="10" s="1"/>
  <c r="BH38" i="10" s="1"/>
  <c r="AP43" i="10"/>
  <c r="AQ43" i="10" s="1"/>
  <c r="BH43" i="10" s="1"/>
  <c r="AP46" i="10"/>
  <c r="AQ46" i="10" s="1"/>
  <c r="BH46" i="10" s="1"/>
  <c r="AP44" i="10"/>
  <c r="AQ44" i="10" s="1"/>
  <c r="BH44" i="10" s="1"/>
  <c r="I21" i="7"/>
  <c r="I25" i="7"/>
  <c r="AP39" i="10"/>
  <c r="AQ39" i="10" s="1"/>
  <c r="BH18" i="10"/>
  <c r="I28" i="13"/>
  <c r="I29" i="13" s="1"/>
  <c r="AT13" i="3"/>
  <c r="AU13" i="3" s="1"/>
  <c r="AT12" i="3"/>
  <c r="AU12" i="3" s="1"/>
  <c r="AU11" i="3"/>
  <c r="AT15" i="3"/>
  <c r="AU15" i="3" s="1"/>
  <c r="AT14" i="3"/>
  <c r="AU14" i="3" s="1"/>
  <c r="I18" i="12"/>
  <c r="I28" i="12" s="1"/>
  <c r="I29" i="12" s="1"/>
  <c r="AP31" i="10"/>
  <c r="AQ31" i="10" s="1"/>
  <c r="BH16" i="10"/>
  <c r="AP32" i="10"/>
  <c r="AQ32" i="10" s="1"/>
  <c r="BH32" i="10" s="1"/>
  <c r="BH11" i="10"/>
  <c r="BH14" i="10"/>
  <c r="AP35" i="10"/>
  <c r="AQ35" i="10" s="1"/>
  <c r="BH35" i="10" s="1"/>
  <c r="BH21" i="10"/>
  <c r="BH23" i="10"/>
  <c r="BH12" i="10"/>
  <c r="AP29" i="10"/>
  <c r="AQ29" i="10" s="1"/>
  <c r="BH29" i="10" s="1"/>
  <c r="BR4" i="10"/>
  <c r="BU4" i="10" s="1"/>
  <c r="BV4" i="10" s="1"/>
  <c r="AP30" i="10"/>
  <c r="AQ30" i="10" s="1"/>
  <c r="AP27" i="10"/>
  <c r="AQ27" i="10" s="1"/>
  <c r="BH27" i="10" s="1"/>
  <c r="AP28" i="10"/>
  <c r="AQ28" i="10" s="1"/>
  <c r="BH28" i="10" s="1"/>
  <c r="AQ24" i="10"/>
  <c r="AP33" i="10"/>
  <c r="AQ33" i="10" s="1"/>
  <c r="AP34" i="10"/>
  <c r="AQ34" i="10" s="1"/>
  <c r="BH34" i="10" s="1"/>
  <c r="AP26" i="10"/>
  <c r="AQ26" i="10" s="1"/>
  <c r="BH26" i="10" s="1"/>
  <c r="AT58" i="3"/>
  <c r="AU58" i="3" s="1"/>
  <c r="AT28" i="3"/>
  <c r="AU28" i="3" s="1"/>
  <c r="AT87" i="3"/>
  <c r="AU87" i="3" s="1"/>
  <c r="AP7" i="3"/>
  <c r="AQ7" i="3" s="1"/>
  <c r="AP9" i="3"/>
  <c r="AQ9" i="3" s="1"/>
  <c r="AP10" i="3"/>
  <c r="AQ10" i="3" s="1"/>
  <c r="AP13" i="3"/>
  <c r="AQ13" i="3" s="1"/>
  <c r="AP14" i="3"/>
  <c r="AQ14" i="3" s="1"/>
  <c r="AP8" i="3"/>
  <c r="AQ8" i="3" s="1"/>
  <c r="AP6" i="3"/>
  <c r="AQ6" i="3" s="1"/>
  <c r="AP11" i="3"/>
  <c r="AQ11" i="3" s="1"/>
  <c r="AP15" i="3"/>
  <c r="AQ15" i="3" s="1"/>
  <c r="AP16" i="3"/>
  <c r="AP12" i="3"/>
  <c r="AQ12" i="3" s="1"/>
  <c r="T67" i="3"/>
  <c r="AC67" i="3" s="1"/>
  <c r="AM67" i="3" s="1"/>
  <c r="T81" i="3"/>
  <c r="AC81" i="3" s="1"/>
  <c r="AM81" i="3" s="1"/>
  <c r="T45" i="3"/>
  <c r="AC45" i="3" s="1"/>
  <c r="AM45" i="3" s="1"/>
  <c r="T33" i="3"/>
  <c r="AC33" i="3" s="1"/>
  <c r="AM33" i="3" s="1"/>
  <c r="T64" i="3"/>
  <c r="BB16" i="3"/>
  <c r="AY23" i="3"/>
  <c r="AX94" i="3"/>
  <c r="AY94" i="3" s="1"/>
  <c r="AX76" i="3"/>
  <c r="AY76" i="3" s="1"/>
  <c r="AX37" i="3"/>
  <c r="AY37" i="3" s="1"/>
  <c r="AX82" i="3"/>
  <c r="AY82" i="3" s="1"/>
  <c r="AX46" i="3"/>
  <c r="AY46" i="3" s="1"/>
  <c r="AX95" i="3"/>
  <c r="AY95" i="3" s="1"/>
  <c r="AX89" i="3"/>
  <c r="AY89" i="3" s="1"/>
  <c r="AX43" i="3"/>
  <c r="AY43" i="3" s="1"/>
  <c r="AX77" i="3"/>
  <c r="AY77" i="3" s="1"/>
  <c r="AX27" i="3"/>
  <c r="AY27" i="3" s="1"/>
  <c r="AX30" i="3"/>
  <c r="AY30" i="3" s="1"/>
  <c r="AX49" i="3"/>
  <c r="AY49" i="3" s="1"/>
  <c r="AX98" i="3"/>
  <c r="AY98" i="3" s="1"/>
  <c r="AX42" i="3"/>
  <c r="AY42" i="3" s="1"/>
  <c r="AX73" i="3"/>
  <c r="AY73" i="3" s="1"/>
  <c r="AX71" i="3"/>
  <c r="AY71" i="3" s="1"/>
  <c r="AX54" i="3"/>
  <c r="AY54" i="3" s="1"/>
  <c r="AX52" i="3"/>
  <c r="AY52" i="3" s="1"/>
  <c r="AX26" i="3"/>
  <c r="AY26" i="3" s="1"/>
  <c r="AX53" i="3"/>
  <c r="AY53" i="3" s="1"/>
  <c r="AX97" i="3"/>
  <c r="AY97" i="3" s="1"/>
  <c r="AT74" i="3"/>
  <c r="AU74" i="3" s="1"/>
  <c r="AT83" i="3"/>
  <c r="AU83" i="3" s="1"/>
  <c r="AT25" i="3"/>
  <c r="AU25" i="3" s="1"/>
  <c r="AT24" i="3"/>
  <c r="AU24" i="3" s="1"/>
  <c r="AT38" i="3"/>
  <c r="AU38" i="3" s="1"/>
  <c r="AT56" i="3"/>
  <c r="AU56" i="3" s="1"/>
  <c r="AT6" i="3"/>
  <c r="AU6" i="3" s="1"/>
  <c r="AT32" i="3"/>
  <c r="AU32" i="3" s="1"/>
  <c r="BF20" i="3"/>
  <c r="BG20" i="3" s="1"/>
  <c r="BG19" i="3"/>
  <c r="BF13" i="3"/>
  <c r="BG13" i="3" s="1"/>
  <c r="BF11" i="3"/>
  <c r="BG11" i="3" s="1"/>
  <c r="BF62" i="3"/>
  <c r="BG62" i="3" s="1"/>
  <c r="BF8" i="3"/>
  <c r="BG8" i="3" s="1"/>
  <c r="BF10" i="3"/>
  <c r="BG10" i="3" s="1"/>
  <c r="BF41" i="3"/>
  <c r="BG41" i="3" s="1"/>
  <c r="BF15" i="3"/>
  <c r="BG15" i="3" s="1"/>
  <c r="BF12" i="3"/>
  <c r="BG12" i="3" s="1"/>
  <c r="BF14" i="3"/>
  <c r="BG14" i="3" s="1"/>
  <c r="BF63" i="3"/>
  <c r="BG63" i="3" s="1"/>
  <c r="BF60" i="3"/>
  <c r="BG60" i="3" s="1"/>
  <c r="BF61" i="3"/>
  <c r="BG61" i="3" s="1"/>
  <c r="BF9" i="3"/>
  <c r="BG9" i="3" s="1"/>
  <c r="BF59" i="3"/>
  <c r="BG59" i="3" s="1"/>
  <c r="BG7" i="3"/>
  <c r="BH31" i="10" l="1"/>
  <c r="BS4" i="10"/>
  <c r="BH39" i="10"/>
  <c r="BH33" i="10"/>
  <c r="BH30" i="10"/>
  <c r="BH24" i="10"/>
  <c r="BR5" i="14"/>
  <c r="BT4" i="10"/>
  <c r="BB17" i="3"/>
  <c r="BC17" i="3" s="1"/>
  <c r="BB18" i="3"/>
  <c r="BC18" i="3" s="1"/>
  <c r="BT5" i="14" l="1"/>
  <c r="BU5" i="14"/>
  <c r="BV5" i="14" s="1"/>
  <c r="CB4" i="10"/>
  <c r="N5" i="10"/>
  <c r="AB5" i="10" s="1"/>
  <c r="BI5" i="10" s="1"/>
  <c r="BS5" i="14"/>
  <c r="BB28" i="3"/>
  <c r="BC28" i="3" s="1"/>
  <c r="BB21" i="3"/>
  <c r="BC21" i="3" s="1"/>
  <c r="BB35" i="3"/>
  <c r="BB34" i="3"/>
  <c r="BC34" i="3" s="1"/>
  <c r="BC16" i="3"/>
  <c r="CB5" i="14" l="1"/>
  <c r="BJ5" i="10"/>
  <c r="BY5" i="10"/>
  <c r="BK5" i="10"/>
  <c r="N6" i="14"/>
  <c r="AB6" i="14" s="1"/>
  <c r="BI6" i="14" s="1"/>
  <c r="BB44" i="3"/>
  <c r="BC44" i="3" s="1"/>
  <c r="BB58" i="3"/>
  <c r="BC58" i="3" s="1"/>
  <c r="BB64" i="3"/>
  <c r="BB50" i="3"/>
  <c r="BC50" i="3" s="1"/>
  <c r="BC35" i="3"/>
  <c r="BJ6" i="14" l="1"/>
  <c r="BN5" i="10"/>
  <c r="BZ5" i="10" s="1"/>
  <c r="BQ5" i="10"/>
  <c r="CA5" i="10" s="1"/>
  <c r="BY6" i="14"/>
  <c r="BK6" i="14"/>
  <c r="BN6" i="14" s="1"/>
  <c r="BZ6" i="14" s="1"/>
  <c r="G8" i="13" s="1"/>
  <c r="BB79" i="3"/>
  <c r="BC79" i="3" s="1"/>
  <c r="BB66" i="3"/>
  <c r="BC66" i="3" s="1"/>
  <c r="BB80" i="3"/>
  <c r="BB65" i="3"/>
  <c r="BC65" i="3" s="1"/>
  <c r="BC64" i="3"/>
  <c r="BB70" i="3"/>
  <c r="BC70" i="3" s="1"/>
  <c r="BR5" i="10" l="1"/>
  <c r="BQ6" i="14"/>
  <c r="CA6" i="14" s="1"/>
  <c r="BB87" i="3"/>
  <c r="BC87" i="3" s="1"/>
  <c r="BB86" i="3"/>
  <c r="BC86" i="3" s="1"/>
  <c r="BB85" i="3"/>
  <c r="BC85" i="3" s="1"/>
  <c r="BB93" i="3"/>
  <c r="BC93" i="3" s="1"/>
  <c r="BC80" i="3"/>
  <c r="BT5" i="10" l="1"/>
  <c r="BU5" i="10"/>
  <c r="BV5" i="10" s="1"/>
  <c r="BS5" i="10"/>
  <c r="BR6" i="14"/>
  <c r="BU6" i="14" s="1"/>
  <c r="BV6" i="14" s="1"/>
  <c r="CB6" i="14" l="1"/>
  <c r="CB5" i="10"/>
  <c r="N6" i="10"/>
  <c r="AB6" i="10" s="1"/>
  <c r="BI6" i="10" s="1"/>
  <c r="BS6" i="14"/>
  <c r="N7" i="14"/>
  <c r="AB7" i="14" s="1"/>
  <c r="BI7" i="14" s="1"/>
  <c r="BT6" i="14"/>
  <c r="BJ7" i="14" l="1"/>
  <c r="BJ6" i="10"/>
  <c r="BK6" i="10"/>
  <c r="BN6" i="10" s="1"/>
  <c r="BY6" i="10"/>
  <c r="BK7" i="14"/>
  <c r="BY7" i="14"/>
  <c r="BQ7" i="14" l="1"/>
  <c r="CA7" i="14" s="1"/>
  <c r="BQ6" i="10"/>
  <c r="CA6" i="10" s="1"/>
  <c r="BN7" i="14"/>
  <c r="BZ6" i="10"/>
  <c r="BR7" i="14" l="1"/>
  <c r="BU7" i="14" s="1"/>
  <c r="BV7" i="14" s="1"/>
  <c r="BR6" i="10"/>
  <c r="BT7" i="14" l="1"/>
  <c r="BS7" i="14"/>
  <c r="BT6" i="10"/>
  <c r="BU6" i="10"/>
  <c r="BV6" i="10" s="1"/>
  <c r="CB7" i="14"/>
  <c r="N8" i="14"/>
  <c r="AB8" i="14" s="1"/>
  <c r="BI8" i="14" s="1"/>
  <c r="BS6" i="10"/>
  <c r="BJ8" i="14" l="1"/>
  <c r="CB6" i="10"/>
  <c r="BY8" i="14"/>
  <c r="BK8" i="14"/>
  <c r="N7" i="10"/>
  <c r="AB7" i="10" s="1"/>
  <c r="BI7" i="10" s="1"/>
  <c r="BZ8" i="14"/>
  <c r="G11" i="13" s="1"/>
  <c r="BQ8" i="14" l="1"/>
  <c r="CA8" i="14" s="1"/>
  <c r="BK7" i="10"/>
  <c r="BN7" i="10" s="1"/>
  <c r="BZ7" i="10" s="1"/>
  <c r="BN8" i="14"/>
  <c r="BY7" i="10"/>
  <c r="BJ7" i="10"/>
  <c r="BR8" i="14" l="1"/>
  <c r="BS8" i="14" s="1"/>
  <c r="BQ7" i="10"/>
  <c r="CA7" i="10" s="1"/>
  <c r="BU8" i="14" l="1"/>
  <c r="BT8" i="14"/>
  <c r="BR7" i="10"/>
  <c r="BU7" i="10" s="1"/>
  <c r="BV7" i="10" s="1"/>
  <c r="F20" i="13"/>
  <c r="BV8" i="14" l="1"/>
  <c r="CB8" i="14" s="1"/>
  <c r="N9" i="14"/>
  <c r="AB9" i="14" s="1"/>
  <c r="BI9" i="14" s="1"/>
  <c r="BK9" i="14" s="1"/>
  <c r="BN9" i="14" s="1"/>
  <c r="BS7" i="10"/>
  <c r="BT7" i="10"/>
  <c r="CB7" i="10"/>
  <c r="N8" i="10"/>
  <c r="AB8" i="10" s="1"/>
  <c r="BI8" i="10" s="1"/>
  <c r="H20" i="13"/>
  <c r="BZ9" i="14"/>
  <c r="G24" i="13" s="1"/>
  <c r="BJ9" i="14" l="1"/>
  <c r="BQ9" i="14" s="1"/>
  <c r="CA9" i="14" s="1"/>
  <c r="H9" i="13" s="1"/>
  <c r="BY9" i="14"/>
  <c r="F9" i="13" s="1"/>
  <c r="BY8" i="10"/>
  <c r="BJ8" i="10"/>
  <c r="BK8" i="10"/>
  <c r="G20" i="13"/>
  <c r="E20" i="13" s="1"/>
  <c r="P66" i="5" s="1"/>
  <c r="G9" i="13"/>
  <c r="BR9" i="14" l="1"/>
  <c r="E9" i="13"/>
  <c r="P55" i="5" s="1"/>
  <c r="BN8" i="10"/>
  <c r="BZ8" i="10" s="1"/>
  <c r="BQ8" i="10"/>
  <c r="CA8" i="10" s="1"/>
  <c r="BS9" i="14" l="1"/>
  <c r="BU9" i="14"/>
  <c r="BV9" i="14" s="1"/>
  <c r="BT9" i="14"/>
  <c r="BR8" i="10"/>
  <c r="BU8" i="10" s="1"/>
  <c r="BV8" i="10" s="1"/>
  <c r="D20" i="13"/>
  <c r="D9" i="13" l="1"/>
  <c r="CB9" i="14"/>
  <c r="CB8" i="10"/>
  <c r="N10" i="14"/>
  <c r="AB10" i="14" s="1"/>
  <c r="BI10" i="14" s="1"/>
  <c r="BS8" i="10"/>
  <c r="N9" i="10"/>
  <c r="AB9" i="10" s="1"/>
  <c r="BI9" i="10" s="1"/>
  <c r="BT8" i="10"/>
  <c r="BJ10" i="14" l="1"/>
  <c r="BK9" i="10"/>
  <c r="BY10" i="14"/>
  <c r="F24" i="13" s="1"/>
  <c r="BK10" i="14"/>
  <c r="BJ9" i="10"/>
  <c r="BY9" i="10"/>
  <c r="BN9" i="10" l="1"/>
  <c r="BZ9" i="10" s="1"/>
  <c r="BQ10" i="14"/>
  <c r="CA10" i="14" s="1"/>
  <c r="H24" i="13" s="1"/>
  <c r="E24" i="13" s="1"/>
  <c r="P70" i="5" s="1"/>
  <c r="BN10" i="14"/>
  <c r="BQ9" i="10"/>
  <c r="CA9" i="10" s="1"/>
  <c r="BR10" i="14" l="1"/>
  <c r="BU10" i="14" s="1"/>
  <c r="BV10" i="14" s="1"/>
  <c r="BR9" i="10"/>
  <c r="CB10" i="14" l="1"/>
  <c r="BT10" i="14"/>
  <c r="BS10" i="14"/>
  <c r="N11" i="14"/>
  <c r="AB11" i="14" s="1"/>
  <c r="BI11" i="14" s="1"/>
  <c r="BK11" i="14" s="1"/>
  <c r="BS9" i="10"/>
  <c r="BU9" i="10"/>
  <c r="BV9" i="10" s="1"/>
  <c r="BT9" i="10"/>
  <c r="D24" i="13" l="1"/>
  <c r="CB9" i="10"/>
  <c r="BY11" i="14"/>
  <c r="F19" i="13" s="1"/>
  <c r="BJ11" i="14"/>
  <c r="BN11" i="14" s="1"/>
  <c r="BZ11" i="14" s="1"/>
  <c r="G19" i="13" s="1"/>
  <c r="BQ11" i="14"/>
  <c r="N10" i="10"/>
  <c r="AB10" i="10" s="1"/>
  <c r="BI10" i="10" s="1"/>
  <c r="E19" i="13" l="1"/>
  <c r="P65" i="5" s="1"/>
  <c r="BY10" i="10"/>
  <c r="BR11" i="14"/>
  <c r="BU11" i="14" s="1"/>
  <c r="BV11" i="14" s="1"/>
  <c r="BK10" i="10"/>
  <c r="BN10" i="10" s="1"/>
  <c r="BZ10" i="10" s="1"/>
  <c r="BJ10" i="10"/>
  <c r="BS11" i="14" l="1"/>
  <c r="BT11" i="14"/>
  <c r="BQ10" i="10"/>
  <c r="CA10" i="10" s="1"/>
  <c r="N12" i="14" l="1"/>
  <c r="AB12" i="14" s="1"/>
  <c r="BI12" i="14" s="1"/>
  <c r="BR10" i="10"/>
  <c r="BT10" i="10" l="1"/>
  <c r="BU10" i="10"/>
  <c r="BV10" i="10" s="1"/>
  <c r="BY12" i="14"/>
  <c r="BK12" i="14"/>
  <c r="BJ12" i="14"/>
  <c r="CB11" i="14"/>
  <c r="D19" i="13"/>
  <c r="BS10" i="10"/>
  <c r="F8" i="13"/>
  <c r="F11" i="13"/>
  <c r="D11" i="13"/>
  <c r="CB10" i="10" l="1"/>
  <c r="BQ12" i="14"/>
  <c r="CA12" i="14" s="1"/>
  <c r="BN12" i="14"/>
  <c r="N11" i="10"/>
  <c r="AB11" i="10" s="1"/>
  <c r="BI11" i="10" s="1"/>
  <c r="D8" i="13"/>
  <c r="BJ11" i="10" l="1"/>
  <c r="BR12" i="14"/>
  <c r="BU12" i="14" s="1"/>
  <c r="BV12" i="14" s="1"/>
  <c r="BK11" i="10"/>
  <c r="BN11" i="10" s="1"/>
  <c r="BY11" i="10"/>
  <c r="BZ11" i="10"/>
  <c r="H8" i="13"/>
  <c r="E8" i="13" s="1"/>
  <c r="P54" i="5" s="1"/>
  <c r="H11" i="13"/>
  <c r="E11" i="13" s="1"/>
  <c r="P57" i="5" s="1"/>
  <c r="G25" i="13"/>
  <c r="BS12" i="14" l="1"/>
  <c r="BT12" i="14"/>
  <c r="CB12" i="14"/>
  <c r="N13" i="14"/>
  <c r="AB13" i="14" s="1"/>
  <c r="BI13" i="14" s="1"/>
  <c r="BQ11" i="10"/>
  <c r="CA11" i="10" s="1"/>
  <c r="BK13" i="14" l="1"/>
  <c r="BY13" i="14"/>
  <c r="BJ13" i="14"/>
  <c r="BR11" i="10"/>
  <c r="BS11" i="10" l="1"/>
  <c r="BU11" i="10"/>
  <c r="BV11" i="10" s="1"/>
  <c r="BQ13" i="14"/>
  <c r="CA13" i="14" s="1"/>
  <c r="BN13" i="14"/>
  <c r="BT11" i="10"/>
  <c r="BH4" i="3"/>
  <c r="BI4" i="3" s="1"/>
  <c r="N12" i="10" l="1"/>
  <c r="AB12" i="10" s="1"/>
  <c r="BI12" i="10" s="1"/>
  <c r="BY12" i="10" s="1"/>
  <c r="CB11" i="10"/>
  <c r="BJ4" i="3"/>
  <c r="BR13" i="14"/>
  <c r="BU13" i="14" s="1"/>
  <c r="BV13" i="14" s="1"/>
  <c r="G7" i="13"/>
  <c r="BK4" i="3"/>
  <c r="BY4" i="3"/>
  <c r="BH11" i="3"/>
  <c r="BH5" i="3"/>
  <c r="BH8" i="3"/>
  <c r="BH13" i="3"/>
  <c r="BH7" i="3"/>
  <c r="BH12" i="3"/>
  <c r="BH9" i="3"/>
  <c r="BH15" i="3"/>
  <c r="BH14" i="3"/>
  <c r="BH10" i="3"/>
  <c r="BJ12" i="10" l="1"/>
  <c r="BK12" i="10"/>
  <c r="BN12" i="10" s="1"/>
  <c r="BT13" i="14"/>
  <c r="BS13" i="14"/>
  <c r="CB13" i="14"/>
  <c r="N14" i="14"/>
  <c r="AB14" i="14" s="1"/>
  <c r="BI14" i="14" s="1"/>
  <c r="BZ12" i="10"/>
  <c r="BN4" i="3"/>
  <c r="BQ4" i="3"/>
  <c r="CA4" i="3" s="1"/>
  <c r="BQ12" i="10" l="1"/>
  <c r="CA12" i="10" s="1"/>
  <c r="BY14" i="14"/>
  <c r="BK14" i="14"/>
  <c r="BJ14" i="14"/>
  <c r="BR4" i="3"/>
  <c r="BU4" i="3" s="1"/>
  <c r="BV4" i="3" s="1"/>
  <c r="BR12" i="10" l="1"/>
  <c r="BS12" i="10" s="1"/>
  <c r="BS4" i="3"/>
  <c r="BQ14" i="14"/>
  <c r="CA14" i="14" s="1"/>
  <c r="BN14" i="14"/>
  <c r="BT4" i="3"/>
  <c r="BT12" i="10" l="1"/>
  <c r="BU12" i="10"/>
  <c r="N13" i="10" s="1"/>
  <c r="AB13" i="10" s="1"/>
  <c r="BI13" i="10" s="1"/>
  <c r="BR14" i="14"/>
  <c r="BU14" i="14" s="1"/>
  <c r="BV14" i="14" s="1"/>
  <c r="G17" i="13"/>
  <c r="N5" i="3"/>
  <c r="AB5" i="3" s="1"/>
  <c r="BI5" i="3" s="1"/>
  <c r="BV12" i="10" l="1"/>
  <c r="CB12" i="10" s="1"/>
  <c r="BK13" i="10"/>
  <c r="BN13" i="10" s="1"/>
  <c r="BJ5" i="3"/>
  <c r="BT14" i="14"/>
  <c r="BS14" i="14"/>
  <c r="CB14" i="14"/>
  <c r="N15" i="14"/>
  <c r="AB15" i="14" s="1"/>
  <c r="BI15" i="14" s="1"/>
  <c r="BJ13" i="10"/>
  <c r="BY13" i="10"/>
  <c r="BK5" i="3"/>
  <c r="BN5" i="3" s="1"/>
  <c r="BY5" i="3"/>
  <c r="BQ13" i="10" l="1"/>
  <c r="CA13" i="10" s="1"/>
  <c r="BK15" i="14"/>
  <c r="BY15" i="14"/>
  <c r="F7" i="13" s="1"/>
  <c r="BJ15" i="14"/>
  <c r="BZ13" i="10"/>
  <c r="BQ5" i="3"/>
  <c r="CA5" i="3" s="1"/>
  <c r="BR13" i="10" l="1"/>
  <c r="BU13" i="10" s="1"/>
  <c r="BV13" i="10" s="1"/>
  <c r="BN15" i="14"/>
  <c r="BQ15" i="14"/>
  <c r="CA15" i="14" s="1"/>
  <c r="H7" i="13" s="1"/>
  <c r="E7" i="13" s="1"/>
  <c r="P53" i="5" s="1"/>
  <c r="BR5" i="3"/>
  <c r="CB4" i="3"/>
  <c r="BS13" i="10" l="1"/>
  <c r="BT13" i="10"/>
  <c r="BS5" i="3"/>
  <c r="BU5" i="3"/>
  <c r="BV5" i="3" s="1"/>
  <c r="BR15" i="14"/>
  <c r="BU15" i="14" s="1"/>
  <c r="BV15" i="14" s="1"/>
  <c r="N14" i="10"/>
  <c r="AB14" i="10" s="1"/>
  <c r="BI14" i="10" s="1"/>
  <c r="CB13" i="10"/>
  <c r="BT5" i="3"/>
  <c r="G13" i="13"/>
  <c r="BT15" i="14" l="1"/>
  <c r="BS15" i="14"/>
  <c r="N16" i="14"/>
  <c r="AB16" i="14" s="1"/>
  <c r="BI16" i="14" s="1"/>
  <c r="BY14" i="10"/>
  <c r="BJ14" i="10"/>
  <c r="BK14" i="10"/>
  <c r="CB5" i="3"/>
  <c r="BK16" i="14" l="1"/>
  <c r="BY16" i="14"/>
  <c r="F17" i="13" s="1"/>
  <c r="BJ16" i="14"/>
  <c r="CB15" i="14"/>
  <c r="D7" i="13"/>
  <c r="BN14" i="10"/>
  <c r="BQ14" i="10"/>
  <c r="CA14" i="10" s="1"/>
  <c r="BQ16" i="14" l="1"/>
  <c r="CA16" i="14" s="1"/>
  <c r="H17" i="13" s="1"/>
  <c r="E17" i="13" s="1"/>
  <c r="P63" i="5" s="1"/>
  <c r="BN16" i="14"/>
  <c r="BZ14" i="10"/>
  <c r="BR14" i="10"/>
  <c r="BU14" i="10" s="1"/>
  <c r="BV14" i="10" s="1"/>
  <c r="BR16" i="14" l="1"/>
  <c r="BU16" i="14" s="1"/>
  <c r="BV16" i="14" s="1"/>
  <c r="BS14" i="10"/>
  <c r="BT14" i="10"/>
  <c r="BS16" i="14" l="1"/>
  <c r="BT16" i="14"/>
  <c r="N17" i="14"/>
  <c r="AB17" i="14" s="1"/>
  <c r="BI17" i="14" s="1"/>
  <c r="CB14" i="10"/>
  <c r="N15" i="10"/>
  <c r="AB15" i="10" s="1"/>
  <c r="BI15" i="10" s="1"/>
  <c r="G18" i="13"/>
  <c r="G16" i="13"/>
  <c r="H18" i="13"/>
  <c r="BY17" i="14" l="1"/>
  <c r="F13" i="13" s="1"/>
  <c r="BK17" i="14"/>
  <c r="BJ17" i="14"/>
  <c r="CB16" i="14"/>
  <c r="D17" i="13"/>
  <c r="BK15" i="10"/>
  <c r="BJ15" i="10"/>
  <c r="BY15" i="10"/>
  <c r="G28" i="13"/>
  <c r="G29" i="13" s="1"/>
  <c r="BQ17" i="14" l="1"/>
  <c r="CA17" i="14" s="1"/>
  <c r="H13" i="13" s="1"/>
  <c r="E13" i="13" s="1"/>
  <c r="P59" i="5" s="1"/>
  <c r="BN17" i="14"/>
  <c r="BQ15" i="10"/>
  <c r="CA15" i="10" s="1"/>
  <c r="BN15" i="10"/>
  <c r="BZ15" i="10" s="1"/>
  <c r="BZ16" i="10"/>
  <c r="BR17" i="14" l="1"/>
  <c r="BU17" i="14" s="1"/>
  <c r="BV17" i="14" s="1"/>
  <c r="BR15" i="10"/>
  <c r="BU15" i="10" s="1"/>
  <c r="BV15" i="10" s="1"/>
  <c r="F18" i="13"/>
  <c r="E18" i="13" s="1"/>
  <c r="P64" i="5" s="1"/>
  <c r="BT17" i="14" l="1"/>
  <c r="BS17" i="14"/>
  <c r="N18" i="14"/>
  <c r="AB18" i="14" s="1"/>
  <c r="BI18" i="14" s="1"/>
  <c r="BS15" i="10"/>
  <c r="BT15" i="10"/>
  <c r="BY18" i="14" l="1"/>
  <c r="BK18" i="14"/>
  <c r="BJ18" i="14"/>
  <c r="CB17" i="14"/>
  <c r="D13" i="13"/>
  <c r="N16" i="10"/>
  <c r="AB16" i="10" s="1"/>
  <c r="BI16" i="10" s="1"/>
  <c r="CB15" i="10"/>
  <c r="D18" i="13"/>
  <c r="BQ18" i="14" l="1"/>
  <c r="CA18" i="14" s="1"/>
  <c r="BN18" i="14"/>
  <c r="BK16" i="10"/>
  <c r="BJ16" i="10"/>
  <c r="BY16" i="10"/>
  <c r="BR18" i="14" l="1"/>
  <c r="BN16" i="10"/>
  <c r="BQ16" i="10"/>
  <c r="CA16" i="10" s="1"/>
  <c r="BU18" i="14" l="1"/>
  <c r="BV18" i="14" s="1"/>
  <c r="BS18" i="14"/>
  <c r="BT18" i="14"/>
  <c r="BR16" i="10"/>
  <c r="N19" i="14" l="1"/>
  <c r="AB19" i="14" s="1"/>
  <c r="BI19" i="14" s="1"/>
  <c r="BY19" i="14" s="1"/>
  <c r="CB18" i="14"/>
  <c r="BT16" i="10"/>
  <c r="BU16" i="10"/>
  <c r="BV16" i="10" s="1"/>
  <c r="BS16" i="10"/>
  <c r="N17" i="10"/>
  <c r="AB17" i="10" s="1"/>
  <c r="BI17" i="10" s="1"/>
  <c r="BZ18" i="10"/>
  <c r="BJ19" i="14" l="1"/>
  <c r="BK19" i="14"/>
  <c r="BN19" i="14" s="1"/>
  <c r="CB16" i="10"/>
  <c r="BJ17" i="10"/>
  <c r="BY17" i="10"/>
  <c r="BK17" i="10"/>
  <c r="F25" i="13"/>
  <c r="BQ19" i="14" l="1"/>
  <c r="CA19" i="14" s="1"/>
  <c r="BQ17" i="10"/>
  <c r="BN17" i="10"/>
  <c r="H25" i="13"/>
  <c r="E25" i="13" s="1"/>
  <c r="BR19" i="14" l="1"/>
  <c r="BU19" i="14" s="1"/>
  <c r="BR17" i="10"/>
  <c r="BU17" i="10" s="1"/>
  <c r="BV17" i="10" s="1"/>
  <c r="BS17" i="10"/>
  <c r="D25" i="13"/>
  <c r="P71" i="5"/>
  <c r="BV19" i="14" l="1"/>
  <c r="CB19" i="14" s="1"/>
  <c r="BS19" i="14"/>
  <c r="N20" i="14"/>
  <c r="AB20" i="14" s="1"/>
  <c r="BI20" i="14" s="1"/>
  <c r="BY20" i="14" s="1"/>
  <c r="BT19" i="14"/>
  <c r="BT17" i="10"/>
  <c r="CB17" i="10"/>
  <c r="N18" i="10"/>
  <c r="AB18" i="10" s="1"/>
  <c r="BI18" i="10" s="1"/>
  <c r="BK20" i="14" l="1"/>
  <c r="BN20" i="14" s="1"/>
  <c r="BJ20" i="14"/>
  <c r="BY18" i="10"/>
  <c r="BJ18" i="10"/>
  <c r="BK18" i="10"/>
  <c r="BQ20" i="14" l="1"/>
  <c r="CA20" i="14" s="1"/>
  <c r="BQ18" i="10"/>
  <c r="CA18" i="10" s="1"/>
  <c r="BN18" i="10"/>
  <c r="BR20" i="14" l="1"/>
  <c r="BU20" i="14" s="1"/>
  <c r="N21" i="14" s="1"/>
  <c r="AB21" i="14" s="1"/>
  <c r="BI21" i="14" s="1"/>
  <c r="BR18" i="10"/>
  <c r="BV20" i="14" l="1"/>
  <c r="CB20" i="14" s="1"/>
  <c r="BT20" i="14"/>
  <c r="BS20" i="14"/>
  <c r="BY21" i="14"/>
  <c r="BK21" i="14"/>
  <c r="BJ21" i="14"/>
  <c r="BU18" i="10"/>
  <c r="F16" i="13"/>
  <c r="F28" i="13" s="1"/>
  <c r="BS18" i="10"/>
  <c r="BT18" i="10"/>
  <c r="BH6" i="3"/>
  <c r="N19" i="10" l="1"/>
  <c r="AB19" i="10" s="1"/>
  <c r="BI19" i="10" s="1"/>
  <c r="BJ19" i="10" s="1"/>
  <c r="BV18" i="10"/>
  <c r="CB18" i="10" s="1"/>
  <c r="BN21" i="14"/>
  <c r="BQ21" i="14"/>
  <c r="CA21" i="14" s="1"/>
  <c r="H16" i="13" s="1"/>
  <c r="BK19" i="10" l="1"/>
  <c r="BQ19" i="10" s="1"/>
  <c r="CA19" i="10" s="1"/>
  <c r="BY19" i="10"/>
  <c r="BR21" i="14"/>
  <c r="BT21" i="14" s="1"/>
  <c r="E16" i="13"/>
  <c r="H28" i="13"/>
  <c r="H29" i="13" s="1"/>
  <c r="BN19" i="10" l="1"/>
  <c r="BZ19" i="10" s="1"/>
  <c r="BU21" i="14"/>
  <c r="BV21" i="14" s="1"/>
  <c r="BS21" i="14"/>
  <c r="P62" i="5"/>
  <c r="E28" i="13"/>
  <c r="P76" i="5" l="1" a="1"/>
  <c r="P77" i="5" a="1"/>
  <c r="P78" i="5" a="1"/>
  <c r="P75" i="5" a="1"/>
  <c r="P75" i="5" s="1"/>
  <c r="BR19" i="10"/>
  <c r="BU19" i="10" s="1"/>
  <c r="BV19" i="10" s="1"/>
  <c r="CB19" i="10" s="1"/>
  <c r="CB21" i="14"/>
  <c r="CB1" i="14" s="1"/>
  <c r="D16" i="13"/>
  <c r="D28" i="13" s="1"/>
  <c r="P79" i="5" a="1"/>
  <c r="P79" i="5" s="1"/>
  <c r="P76" i="5"/>
  <c r="P78" i="5"/>
  <c r="P77" i="5"/>
  <c r="BS19" i="10" l="1"/>
  <c r="N20" i="10"/>
  <c r="AB20" i="10" s="1"/>
  <c r="BI20" i="10" s="1"/>
  <c r="BY20" i="10" s="1"/>
  <c r="BT19" i="10"/>
  <c r="P80" i="5"/>
  <c r="F29" i="13" s="1"/>
  <c r="E29" i="13" s="1"/>
  <c r="D29" i="13" s="1"/>
  <c r="BK20" i="10" l="1"/>
  <c r="BN20" i="10" s="1"/>
  <c r="BZ20" i="10" s="1"/>
  <c r="BJ20" i="10"/>
  <c r="BQ20" i="10" l="1"/>
  <c r="CA20" i="10" s="1"/>
  <c r="BR20" i="10" l="1"/>
  <c r="BU20" i="10" s="1"/>
  <c r="BV20" i="10" s="1"/>
  <c r="BS20" i="10" l="1"/>
  <c r="BT20" i="10"/>
  <c r="CB20" i="10"/>
  <c r="N21" i="10"/>
  <c r="AB21" i="10" s="1"/>
  <c r="BI21" i="10" s="1"/>
  <c r="BK21" i="10" l="1"/>
  <c r="BJ21" i="10"/>
  <c r="BY21" i="10"/>
  <c r="BQ21" i="10" l="1"/>
  <c r="CA21" i="10" s="1"/>
  <c r="BN21" i="10"/>
  <c r="BZ21" i="10" s="1"/>
  <c r="BR21" i="10" l="1"/>
  <c r="BU21" i="10" s="1"/>
  <c r="BV21" i="10" s="1"/>
  <c r="BT21" i="10" l="1"/>
  <c r="BS21" i="10"/>
  <c r="CB21" i="10" l="1"/>
  <c r="N22" i="10"/>
  <c r="AB22" i="10" s="1"/>
  <c r="BI22" i="10" s="1"/>
  <c r="BK22" i="10" l="1"/>
  <c r="BJ22" i="10"/>
  <c r="BY22" i="10"/>
  <c r="BN22" i="10" l="1"/>
  <c r="BZ22" i="10" s="1"/>
  <c r="BQ22" i="10"/>
  <c r="CA22" i="10" s="1"/>
  <c r="BR22" i="10" l="1"/>
  <c r="BU22" i="10" s="1"/>
  <c r="BV22" i="10" s="1"/>
  <c r="BT22" i="10" l="1"/>
  <c r="BS22" i="10"/>
  <c r="N6" i="3"/>
  <c r="AB6" i="3" s="1"/>
  <c r="BI6" i="3" s="1"/>
  <c r="BJ6" i="3" l="1"/>
  <c r="CB22" i="10"/>
  <c r="N23" i="10"/>
  <c r="AB23" i="10" s="1"/>
  <c r="BI23" i="10" s="1"/>
  <c r="BK6" i="3"/>
  <c r="BN6" i="3" s="1"/>
  <c r="BZ6" i="3" s="1"/>
  <c r="BY6" i="3"/>
  <c r="BK23" i="10" l="1"/>
  <c r="BY23" i="10"/>
  <c r="BJ23" i="10"/>
  <c r="BQ6" i="3"/>
  <c r="BQ23" i="10" l="1"/>
  <c r="CA23" i="10" s="1"/>
  <c r="BN23" i="10"/>
  <c r="BZ23" i="10" s="1"/>
  <c r="BZ25" i="10"/>
  <c r="BR6" i="3"/>
  <c r="BU6" i="3" s="1"/>
  <c r="BV6" i="3" s="1"/>
  <c r="CA6" i="3"/>
  <c r="BR23" i="10" l="1"/>
  <c r="BU23" i="10" s="1"/>
  <c r="BV23" i="10" s="1"/>
  <c r="BS6" i="3"/>
  <c r="BT6" i="3"/>
  <c r="N7" i="3"/>
  <c r="AB7" i="3" s="1"/>
  <c r="BI7" i="3" s="1"/>
  <c r="BJ7" i="3" l="1"/>
  <c r="BT23" i="10"/>
  <c r="BS23" i="10"/>
  <c r="BY7" i="3"/>
  <c r="BK7" i="3"/>
  <c r="BQ7" i="3" l="1"/>
  <c r="CA7" i="3" s="1"/>
  <c r="CB23" i="10"/>
  <c r="N24" i="10"/>
  <c r="AB24" i="10" s="1"/>
  <c r="BI24" i="10" s="1"/>
  <c r="BN7" i="3"/>
  <c r="BZ7" i="3" s="1"/>
  <c r="BJ24" i="10" l="1"/>
  <c r="BY24" i="10"/>
  <c r="BK24" i="10"/>
  <c r="BR7" i="3"/>
  <c r="BU7" i="3" s="1"/>
  <c r="BV7" i="3" s="1"/>
  <c r="BN24" i="10" l="1"/>
  <c r="BZ24" i="10" s="1"/>
  <c r="BQ24" i="10"/>
  <c r="CA24" i="10" s="1"/>
  <c r="BT7" i="3"/>
  <c r="BS7" i="3"/>
  <c r="N8" i="3"/>
  <c r="AB8" i="3" s="1"/>
  <c r="BI8" i="3" s="1"/>
  <c r="BJ8" i="3" l="1"/>
  <c r="BR24" i="10"/>
  <c r="BK8" i="3"/>
  <c r="BY8" i="3"/>
  <c r="BU24" i="10" l="1"/>
  <c r="BV24" i="10" s="1"/>
  <c r="BQ8" i="3"/>
  <c r="CA8" i="3" s="1"/>
  <c r="BS24" i="10"/>
  <c r="BT24" i="10"/>
  <c r="BN8" i="3"/>
  <c r="BZ8" i="3" s="1"/>
  <c r="N25" i="10" l="1"/>
  <c r="AB25" i="10" s="1"/>
  <c r="BI25" i="10" s="1"/>
  <c r="BY25" i="10" s="1"/>
  <c r="CB24" i="10"/>
  <c r="BR8" i="3"/>
  <c r="BJ25" i="10" l="1"/>
  <c r="BK25" i="10"/>
  <c r="BN25" i="10" s="1"/>
  <c r="BS8" i="3"/>
  <c r="BU8" i="3"/>
  <c r="BV8" i="3" s="1"/>
  <c r="BT8" i="3"/>
  <c r="BQ25" i="10" l="1"/>
  <c r="CA25" i="10" s="1"/>
  <c r="N26" i="10"/>
  <c r="AB26" i="10" s="1"/>
  <c r="BI26" i="10" s="1"/>
  <c r="N9" i="3"/>
  <c r="AB9" i="3" s="1"/>
  <c r="BI9" i="3" s="1"/>
  <c r="BR25" i="10" l="1"/>
  <c r="BU25" i="10" s="1"/>
  <c r="BV25" i="10" s="1"/>
  <c r="BJ9" i="3"/>
  <c r="BJ26" i="10"/>
  <c r="BK26" i="10"/>
  <c r="BY26" i="10"/>
  <c r="BY9" i="3"/>
  <c r="BK9" i="3"/>
  <c r="BN9" i="3" s="1"/>
  <c r="BZ9" i="3" s="1"/>
  <c r="BS25" i="10" l="1"/>
  <c r="BT25" i="10"/>
  <c r="CB25" i="10"/>
  <c r="BQ26" i="10"/>
  <c r="BN26" i="10"/>
  <c r="BQ9" i="3"/>
  <c r="CA9" i="3" s="1"/>
  <c r="BR26" i="10" l="1"/>
  <c r="BU26" i="10" s="1"/>
  <c r="BV26" i="10" s="1"/>
  <c r="BS26" i="10"/>
  <c r="BR9" i="3"/>
  <c r="BS9" i="3" l="1"/>
  <c r="BU9" i="3"/>
  <c r="BV9" i="3" s="1"/>
  <c r="BT26" i="10"/>
  <c r="N27" i="10"/>
  <c r="AB27" i="10" s="1"/>
  <c r="BI27" i="10" s="1"/>
  <c r="BT9" i="3"/>
  <c r="N10" i="3" l="1"/>
  <c r="AB10" i="3" s="1"/>
  <c r="BI10" i="3" s="1"/>
  <c r="BJ27" i="10"/>
  <c r="BY27" i="10"/>
  <c r="BK27" i="10"/>
  <c r="CB26" i="10"/>
  <c r="BJ10" i="3" l="1"/>
  <c r="BK10" i="3"/>
  <c r="BN10" i="3" s="1"/>
  <c r="BZ10" i="3" s="1"/>
  <c r="BY10" i="3"/>
  <c r="BN27" i="10"/>
  <c r="BZ27" i="10" s="1"/>
  <c r="BQ27" i="10"/>
  <c r="CA27" i="10" s="1"/>
  <c r="BQ10" i="3" l="1"/>
  <c r="BR10" i="3" s="1"/>
  <c r="BR27" i="10"/>
  <c r="BS27" i="10" l="1"/>
  <c r="BU27" i="10"/>
  <c r="BV27" i="10" s="1"/>
  <c r="BS10" i="3"/>
  <c r="BU10" i="3"/>
  <c r="BV10" i="3" s="1"/>
  <c r="BT27" i="10"/>
  <c r="BT10" i="3"/>
  <c r="CB27" i="10" l="1"/>
  <c r="N28" i="10"/>
  <c r="AB28" i="10" s="1"/>
  <c r="BI28" i="10" s="1"/>
  <c r="N11" i="3"/>
  <c r="AB11" i="3" s="1"/>
  <c r="BI11" i="3" s="1"/>
  <c r="BJ11" i="3" l="1"/>
  <c r="BJ28" i="10"/>
  <c r="BY28" i="10"/>
  <c r="BK28" i="10"/>
  <c r="BK11" i="3"/>
  <c r="BY11" i="3"/>
  <c r="BQ28" i="10" l="1"/>
  <c r="CA28" i="10" s="1"/>
  <c r="BN28" i="10"/>
  <c r="BQ11" i="3"/>
  <c r="CA11" i="3" s="1"/>
  <c r="BN11" i="3"/>
  <c r="BZ11" i="3" s="1"/>
  <c r="BZ28" i="10" l="1"/>
  <c r="BR28" i="10"/>
  <c r="BU28" i="10" s="1"/>
  <c r="BV28" i="10" s="1"/>
  <c r="BR11" i="3"/>
  <c r="BS11" i="3" l="1"/>
  <c r="BU11" i="3"/>
  <c r="BV11" i="3" s="1"/>
  <c r="BS28" i="10"/>
  <c r="BT28" i="10"/>
  <c r="BT11" i="3"/>
  <c r="CB28" i="10" l="1"/>
  <c r="N29" i="10"/>
  <c r="AB29" i="10" s="1"/>
  <c r="BI29" i="10" s="1"/>
  <c r="N12" i="3"/>
  <c r="AB12" i="3" s="1"/>
  <c r="BI12" i="3" s="1"/>
  <c r="BJ12" i="3" l="1"/>
  <c r="BY29" i="10"/>
  <c r="BJ29" i="10"/>
  <c r="BK29" i="10"/>
  <c r="BK12" i="3"/>
  <c r="BY12" i="3"/>
  <c r="BQ29" i="10" l="1"/>
  <c r="CA29" i="10" s="1"/>
  <c r="BN29" i="10"/>
  <c r="BQ12" i="3"/>
  <c r="CA12" i="3" s="1"/>
  <c r="BN12" i="3"/>
  <c r="BZ12" i="3" s="1"/>
  <c r="BZ29" i="10" l="1"/>
  <c r="BR29" i="10"/>
  <c r="BU29" i="10" s="1"/>
  <c r="BV29" i="10" s="1"/>
  <c r="BR12" i="3"/>
  <c r="BU12" i="3" s="1"/>
  <c r="BV12" i="3" s="1"/>
  <c r="BS29" i="10" l="1"/>
  <c r="BT29" i="10"/>
  <c r="BT12" i="3"/>
  <c r="BS12" i="3"/>
  <c r="CB29" i="10" l="1"/>
  <c r="N30" i="10"/>
  <c r="AB30" i="10" s="1"/>
  <c r="BI30" i="10" s="1"/>
  <c r="N13" i="3"/>
  <c r="AB13" i="3" s="1"/>
  <c r="BI13" i="3" s="1"/>
  <c r="BY30" i="10" l="1"/>
  <c r="BK30" i="10"/>
  <c r="BJ30" i="10"/>
  <c r="BK13" i="3"/>
  <c r="BJ13" i="3"/>
  <c r="BY13" i="3"/>
  <c r="BN30" i="10" l="1"/>
  <c r="BZ30" i="10" s="1"/>
  <c r="BQ30" i="10"/>
  <c r="CA30" i="10" s="1"/>
  <c r="BN13" i="3"/>
  <c r="BZ13" i="3" s="1"/>
  <c r="BQ13" i="3"/>
  <c r="CA13" i="3" s="1"/>
  <c r="BR30" i="10" l="1"/>
  <c r="BU30" i="10" s="1"/>
  <c r="BV30" i="10" s="1"/>
  <c r="BR13" i="3"/>
  <c r="BS13" i="3" l="1"/>
  <c r="BU13" i="3"/>
  <c r="BV13" i="3" s="1"/>
  <c r="BS30" i="10"/>
  <c r="BT30" i="10"/>
  <c r="BZ34" i="10"/>
  <c r="BT13" i="3"/>
  <c r="CB30" i="10" l="1"/>
  <c r="N31" i="10"/>
  <c r="AB31" i="10" s="1"/>
  <c r="BI31" i="10" s="1"/>
  <c r="N14" i="3"/>
  <c r="AB14" i="3" s="1"/>
  <c r="BI14" i="3" s="1"/>
  <c r="BJ14" i="3" l="1"/>
  <c r="BJ31" i="10"/>
  <c r="BY31" i="10"/>
  <c r="BK31" i="10"/>
  <c r="BY14" i="3"/>
  <c r="BK14" i="3"/>
  <c r="BQ14" i="3" s="1"/>
  <c r="CA14" i="3" s="1"/>
  <c r="BQ31" i="10" l="1"/>
  <c r="CA31" i="10" s="1"/>
  <c r="BN31" i="10"/>
  <c r="BZ31" i="10" s="1"/>
  <c r="BN14" i="3"/>
  <c r="BZ14" i="3" s="1"/>
  <c r="BR31" i="10" l="1"/>
  <c r="BU31" i="10" s="1"/>
  <c r="BV31" i="10" s="1"/>
  <c r="BR14" i="3"/>
  <c r="BU14" i="3" l="1"/>
  <c r="BV14" i="3" s="1"/>
  <c r="BS31" i="10"/>
  <c r="BT31" i="10"/>
  <c r="BS14" i="3"/>
  <c r="BT14" i="3"/>
  <c r="BZ35" i="10"/>
  <c r="G17" i="12" s="1"/>
  <c r="N15" i="3" l="1"/>
  <c r="AB15" i="3" s="1"/>
  <c r="BI15" i="3" s="1"/>
  <c r="BK15" i="3" s="1"/>
  <c r="CB31" i="10"/>
  <c r="N32" i="10"/>
  <c r="AB32" i="10" s="1"/>
  <c r="BI32" i="10" s="1"/>
  <c r="BJ15" i="3" l="1"/>
  <c r="BN15" i="3" s="1"/>
  <c r="BZ15" i="3" s="1"/>
  <c r="BY15" i="3"/>
  <c r="BQ15" i="3"/>
  <c r="CA15" i="3" s="1"/>
  <c r="BY32" i="10"/>
  <c r="BJ32" i="10"/>
  <c r="BK32" i="10"/>
  <c r="BN32" i="10" l="1"/>
  <c r="BZ32" i="10" s="1"/>
  <c r="BQ32" i="10"/>
  <c r="CA32" i="10" s="1"/>
  <c r="BR15" i="3"/>
  <c r="BS15" i="3" l="1"/>
  <c r="BU15" i="3"/>
  <c r="BV15" i="3" s="1"/>
  <c r="BR32" i="10"/>
  <c r="BU32" i="10" s="1"/>
  <c r="BV32" i="10" s="1"/>
  <c r="BT15" i="3"/>
  <c r="X35" i="3"/>
  <c r="BS32" i="10" l="1"/>
  <c r="BT32" i="10"/>
  <c r="N16" i="3"/>
  <c r="S16" i="3" s="1"/>
  <c r="T16" i="3" s="1"/>
  <c r="Z16" i="3" s="1"/>
  <c r="AP35" i="3"/>
  <c r="AC16" i="3" l="1"/>
  <c r="AM16" i="3" s="1"/>
  <c r="AQ16" i="3" s="1"/>
  <c r="CB32" i="10"/>
  <c r="N33" i="10"/>
  <c r="AB33" i="10" s="1"/>
  <c r="BI33" i="10" s="1"/>
  <c r="AT20" i="3"/>
  <c r="AU20" i="3" s="1"/>
  <c r="AT17" i="3"/>
  <c r="AU17" i="3" s="1"/>
  <c r="AT27" i="3"/>
  <c r="AU27" i="3" s="1"/>
  <c r="AT33" i="3"/>
  <c r="AU33" i="3" s="1"/>
  <c r="AT21" i="3"/>
  <c r="AU21" i="3" s="1"/>
  <c r="AT55" i="3"/>
  <c r="AU55" i="3" s="1"/>
  <c r="AT29" i="3"/>
  <c r="AU29" i="3" s="1"/>
  <c r="AT54" i="3"/>
  <c r="AU54" i="3" s="1"/>
  <c r="AT19" i="3"/>
  <c r="AU19" i="3" s="1"/>
  <c r="AT30" i="3"/>
  <c r="AU30" i="3" s="1"/>
  <c r="AT18" i="3"/>
  <c r="AU18" i="3" s="1"/>
  <c r="AT31" i="3"/>
  <c r="AU31" i="3" s="1"/>
  <c r="AU16" i="3"/>
  <c r="AT53" i="3"/>
  <c r="AU53" i="3" s="1"/>
  <c r="AT51" i="3"/>
  <c r="AU51" i="3" s="1"/>
  <c r="AT40" i="3"/>
  <c r="AU40" i="3" s="1"/>
  <c r="AT44" i="3"/>
  <c r="AU44" i="3" s="1"/>
  <c r="AT61" i="3"/>
  <c r="AU61" i="3" s="1"/>
  <c r="AT50" i="3"/>
  <c r="AU50" i="3" s="1"/>
  <c r="AT64" i="3"/>
  <c r="AT63" i="3"/>
  <c r="AU63" i="3" s="1"/>
  <c r="AT62" i="3"/>
  <c r="AU62" i="3" s="1"/>
  <c r="AT48" i="3"/>
  <c r="AU48" i="3" s="1"/>
  <c r="AT39" i="3"/>
  <c r="AU39" i="3" s="1"/>
  <c r="AT34" i="3"/>
  <c r="AU34" i="3" s="1"/>
  <c r="AT47" i="3"/>
  <c r="AU47" i="3" s="1"/>
  <c r="AT46" i="3"/>
  <c r="AU46" i="3" s="1"/>
  <c r="AT36" i="3"/>
  <c r="AU36" i="3" s="1"/>
  <c r="AT41" i="3"/>
  <c r="AU41" i="3" s="1"/>
  <c r="AP17" i="3"/>
  <c r="AQ17" i="3" s="1"/>
  <c r="X22" i="3"/>
  <c r="AA16" i="3"/>
  <c r="AB16" i="3"/>
  <c r="BZ38" i="10"/>
  <c r="AP21" i="3" l="1"/>
  <c r="AQ21" i="3" s="1"/>
  <c r="BH21" i="3" s="1"/>
  <c r="BH17" i="3"/>
  <c r="AP22" i="3"/>
  <c r="AP18" i="3"/>
  <c r="AQ18" i="3" s="1"/>
  <c r="BH18" i="3" s="1"/>
  <c r="AP20" i="3"/>
  <c r="AQ20" i="3" s="1"/>
  <c r="BH20" i="3" s="1"/>
  <c r="AP19" i="3"/>
  <c r="AQ19" i="3" s="1"/>
  <c r="BH19" i="3" s="1"/>
  <c r="BH16" i="3"/>
  <c r="BI16" i="3" s="1"/>
  <c r="BJ33" i="10"/>
  <c r="BK33" i="10"/>
  <c r="BY33" i="10"/>
  <c r="BJ16" i="3" l="1"/>
  <c r="BK16" i="3"/>
  <c r="BN33" i="10"/>
  <c r="BZ33" i="10" s="1"/>
  <c r="BQ33" i="10"/>
  <c r="CA33" i="10" s="1"/>
  <c r="BY16" i="3"/>
  <c r="BQ16" i="3" l="1"/>
  <c r="CA16" i="3" s="1"/>
  <c r="BN16" i="3"/>
  <c r="BZ16" i="3" s="1"/>
  <c r="BR33" i="10"/>
  <c r="BU33" i="10" s="1"/>
  <c r="BV33" i="10" s="1"/>
  <c r="BR16" i="3" l="1"/>
  <c r="BS33" i="10"/>
  <c r="BT33" i="10"/>
  <c r="BU16" i="3" l="1"/>
  <c r="BV16" i="3" s="1"/>
  <c r="BS16" i="3"/>
  <c r="BT16" i="3"/>
  <c r="CB33" i="10"/>
  <c r="N34" i="10"/>
  <c r="AB34" i="10" s="1"/>
  <c r="BI34" i="10" s="1"/>
  <c r="N17" i="3" l="1"/>
  <c r="AB17" i="3" s="1"/>
  <c r="BI17" i="3" s="1"/>
  <c r="BJ17" i="3" s="1"/>
  <c r="BY34" i="10"/>
  <c r="BK34" i="10"/>
  <c r="BJ34" i="10"/>
  <c r="BY17" i="3" l="1"/>
  <c r="BK17" i="3"/>
  <c r="BQ17" i="3" s="1"/>
  <c r="CA17" i="3" s="1"/>
  <c r="BN34" i="10"/>
  <c r="BQ34" i="10"/>
  <c r="CA34" i="10" s="1"/>
  <c r="BZ17" i="3"/>
  <c r="BN17" i="3" l="1"/>
  <c r="BR17" i="3" s="1"/>
  <c r="BT17" i="3" s="1"/>
  <c r="BR34" i="10"/>
  <c r="BS17" i="3" l="1"/>
  <c r="BU17" i="3"/>
  <c r="BV17" i="3" s="1"/>
  <c r="BS34" i="10"/>
  <c r="BU34" i="10"/>
  <c r="BV34" i="10" s="1"/>
  <c r="BT34" i="10"/>
  <c r="N18" i="3" l="1"/>
  <c r="AB18" i="3" s="1"/>
  <c r="BI18" i="3" s="1"/>
  <c r="BK18" i="3" s="1"/>
  <c r="BN18" i="3" s="1"/>
  <c r="BZ18" i="3" s="1"/>
  <c r="CB34" i="10"/>
  <c r="N35" i="10"/>
  <c r="AB35" i="10" s="1"/>
  <c r="BI35" i="10" s="1"/>
  <c r="BJ18" i="3" l="1"/>
  <c r="BQ18" i="3" s="1"/>
  <c r="CA18" i="3" s="1"/>
  <c r="BY18" i="3"/>
  <c r="BY35" i="10"/>
  <c r="F17" i="12" s="1"/>
  <c r="BJ35" i="10"/>
  <c r="BK35" i="10"/>
  <c r="BR18" i="3" l="1"/>
  <c r="BT18" i="3" s="1"/>
  <c r="BQ35" i="10"/>
  <c r="CA35" i="10" s="1"/>
  <c r="H17" i="12" s="1"/>
  <c r="E17" i="12" s="1"/>
  <c r="N63" i="5" s="1"/>
  <c r="BN35" i="10"/>
  <c r="BS18" i="3" l="1"/>
  <c r="BU18" i="3"/>
  <c r="BV18" i="3" s="1"/>
  <c r="BR35" i="10"/>
  <c r="BU35" i="10" s="1"/>
  <c r="BV35" i="10" s="1"/>
  <c r="N19" i="3" l="1"/>
  <c r="AB19" i="3" s="1"/>
  <c r="BI19" i="3" s="1"/>
  <c r="BJ19" i="3" s="1"/>
  <c r="BT35" i="10"/>
  <c r="BS35" i="10"/>
  <c r="N36" i="10"/>
  <c r="AB36" i="10" s="1"/>
  <c r="BI36" i="10" s="1"/>
  <c r="BY19" i="3" l="1"/>
  <c r="BK19" i="3"/>
  <c r="BN19" i="3" s="1"/>
  <c r="BZ19" i="3" s="1"/>
  <c r="BY36" i="10"/>
  <c r="BJ36" i="10"/>
  <c r="BK36" i="10"/>
  <c r="CB35" i="10"/>
  <c r="D17" i="12"/>
  <c r="BQ19" i="3" l="1"/>
  <c r="CA19" i="3" s="1"/>
  <c r="BQ36" i="10"/>
  <c r="CA36" i="10" s="1"/>
  <c r="BN36" i="10"/>
  <c r="BZ36" i="10" s="1"/>
  <c r="BR19" i="3" l="1"/>
  <c r="BU19" i="3" s="1"/>
  <c r="BV19" i="3" s="1"/>
  <c r="BR36" i="10"/>
  <c r="BU36" i="10" s="1"/>
  <c r="BV36" i="10" s="1"/>
  <c r="BT19" i="3" l="1"/>
  <c r="BS19" i="3"/>
  <c r="N20" i="3"/>
  <c r="AB20" i="3" s="1"/>
  <c r="BI20" i="3" s="1"/>
  <c r="BJ20" i="3" s="1"/>
  <c r="BT36" i="10"/>
  <c r="BS36" i="10"/>
  <c r="BZ40" i="10"/>
  <c r="BK20" i="3" l="1"/>
  <c r="BQ20" i="3" s="1"/>
  <c r="CA20" i="3" s="1"/>
  <c r="BY20" i="3"/>
  <c r="I13" i="7" s="1"/>
  <c r="N37" i="10"/>
  <c r="AB37" i="10" s="1"/>
  <c r="BI37" i="10" s="1"/>
  <c r="CB36" i="10"/>
  <c r="BN20" i="3" l="1"/>
  <c r="BZ20" i="3" s="1"/>
  <c r="BY37" i="10"/>
  <c r="BK37" i="10"/>
  <c r="BJ37" i="10"/>
  <c r="BR20" i="3" l="1"/>
  <c r="BU20" i="3" s="1"/>
  <c r="BV20" i="3" s="1"/>
  <c r="BN37" i="10"/>
  <c r="BQ37" i="10"/>
  <c r="BS20" i="3" l="1"/>
  <c r="N21" i="3"/>
  <c r="AB21" i="3" s="1"/>
  <c r="BI21" i="3" s="1"/>
  <c r="BY21" i="3" s="1"/>
  <c r="BT20" i="3"/>
  <c r="BR37" i="10"/>
  <c r="BU37" i="10" s="1"/>
  <c r="BV37" i="10" s="1"/>
  <c r="BK21" i="3" l="1"/>
  <c r="BN21" i="3" s="1"/>
  <c r="BJ21" i="3"/>
  <c r="BS37" i="10"/>
  <c r="BT37" i="10"/>
  <c r="BQ21" i="3" l="1"/>
  <c r="CA21" i="3" s="1"/>
  <c r="CB37" i="10"/>
  <c r="N38" i="10"/>
  <c r="AB38" i="10" s="1"/>
  <c r="BI38" i="10" s="1"/>
  <c r="BZ21" i="3"/>
  <c r="BR21" i="3" l="1"/>
  <c r="BT21" i="3" s="1"/>
  <c r="BK38" i="10"/>
  <c r="BY38" i="10"/>
  <c r="BJ38" i="10"/>
  <c r="AP27" i="3"/>
  <c r="AQ27" i="3" s="1"/>
  <c r="BH27" i="3" s="1"/>
  <c r="AP31" i="3"/>
  <c r="AQ31" i="3" s="1"/>
  <c r="BH31" i="3" s="1"/>
  <c r="AP36" i="3"/>
  <c r="AQ36" i="3" s="1"/>
  <c r="BH36" i="3" s="1"/>
  <c r="AP33" i="3"/>
  <c r="AQ33" i="3" s="1"/>
  <c r="BH33" i="3" s="1"/>
  <c r="AP30" i="3"/>
  <c r="AQ30" i="3" s="1"/>
  <c r="BH30" i="3" s="1"/>
  <c r="AP34" i="3"/>
  <c r="AQ34" i="3" s="1"/>
  <c r="BH34" i="3" s="1"/>
  <c r="AP29" i="3"/>
  <c r="AQ29" i="3" s="1"/>
  <c r="BH29" i="3" s="1"/>
  <c r="BS21" i="3" l="1"/>
  <c r="BU21" i="3"/>
  <c r="BV21" i="3" s="1"/>
  <c r="BN38" i="10"/>
  <c r="BQ38" i="10"/>
  <c r="CA38" i="10" s="1"/>
  <c r="N22" i="3" l="1"/>
  <c r="S22" i="3" s="1"/>
  <c r="T22" i="3" s="1"/>
  <c r="BR38" i="10"/>
  <c r="BU38" i="10" s="1"/>
  <c r="BV38" i="10" s="1"/>
  <c r="Z22" i="3" l="1"/>
  <c r="AB22" i="3" s="1"/>
  <c r="BS38" i="10"/>
  <c r="BT38" i="10"/>
  <c r="CB38" i="10"/>
  <c r="N39" i="10"/>
  <c r="AB39" i="10" s="1"/>
  <c r="BI39" i="10" s="1"/>
  <c r="X23" i="3" l="1"/>
  <c r="AA22" i="3"/>
  <c r="AC22" i="3"/>
  <c r="AM22" i="3" s="1"/>
  <c r="BJ39" i="10"/>
  <c r="BY39" i="10"/>
  <c r="BK39" i="10"/>
  <c r="AP23" i="3" l="1"/>
  <c r="AQ22" i="3"/>
  <c r="BH22" i="3" s="1"/>
  <c r="BI22" i="3" s="1"/>
  <c r="BN39" i="10"/>
  <c r="BZ39" i="10" s="1"/>
  <c r="BQ39" i="10"/>
  <c r="CA39" i="10" s="1"/>
  <c r="BK22" i="3" l="1"/>
  <c r="BY22" i="3"/>
  <c r="BJ22" i="3"/>
  <c r="BR39" i="10"/>
  <c r="BQ22" i="3" l="1"/>
  <c r="CA22" i="3" s="1"/>
  <c r="BN22" i="3"/>
  <c r="BU39" i="10"/>
  <c r="BV39" i="10" s="1"/>
  <c r="BS39" i="10"/>
  <c r="BT39" i="10"/>
  <c r="N40" i="10" l="1"/>
  <c r="AB40" i="10" s="1"/>
  <c r="BI40" i="10" s="1"/>
  <c r="BJ40" i="10" s="1"/>
  <c r="BR22" i="3"/>
  <c r="BZ22" i="3"/>
  <c r="CB39" i="10"/>
  <c r="BK40" i="10" l="1"/>
  <c r="BN40" i="10" s="1"/>
  <c r="BY40" i="10"/>
  <c r="BU22" i="3"/>
  <c r="BV22" i="3" s="1"/>
  <c r="BT22" i="3"/>
  <c r="BS22" i="3"/>
  <c r="BQ40" i="10" l="1"/>
  <c r="CA40" i="10" s="1"/>
  <c r="CB22" i="3"/>
  <c r="N23" i="3"/>
  <c r="S23" i="3" s="1"/>
  <c r="T23" i="3" s="1"/>
  <c r="Z23" i="3" s="1"/>
  <c r="BR40" i="10" l="1"/>
  <c r="BU40" i="10" s="1"/>
  <c r="BV40" i="10" s="1"/>
  <c r="AA23" i="3"/>
  <c r="X24" i="3"/>
  <c r="AB23" i="3"/>
  <c r="AC23" i="3"/>
  <c r="AM23" i="3" s="1"/>
  <c r="BS40" i="10" l="1"/>
  <c r="BT40" i="10"/>
  <c r="AQ23" i="3"/>
  <c r="BH23" i="3" s="1"/>
  <c r="BI23" i="3" s="1"/>
  <c r="AP24" i="3"/>
  <c r="N41" i="10"/>
  <c r="AB41" i="10" s="1"/>
  <c r="BI41" i="10" s="1"/>
  <c r="BY41" i="10" s="1"/>
  <c r="CB40" i="10"/>
  <c r="BK23" i="3" l="1"/>
  <c r="BY23" i="3"/>
  <c r="BJ23" i="3"/>
  <c r="BJ41" i="10"/>
  <c r="BK41" i="10"/>
  <c r="BN23" i="3" l="1"/>
  <c r="BZ23" i="3" s="1"/>
  <c r="BQ23" i="3"/>
  <c r="CA23" i="3" s="1"/>
  <c r="BQ41" i="10"/>
  <c r="CA41" i="10" s="1"/>
  <c r="BN41" i="10"/>
  <c r="BR23" i="3" l="1"/>
  <c r="BR41" i="10"/>
  <c r="BT41" i="10" s="1"/>
  <c r="BZ25" i="3"/>
  <c r="BU23" i="3" l="1"/>
  <c r="BV23" i="3" s="1"/>
  <c r="BT23" i="3"/>
  <c r="BS23" i="3"/>
  <c r="BU41" i="10"/>
  <c r="N42" i="10" s="1"/>
  <c r="AB42" i="10" s="1"/>
  <c r="BI42" i="10" s="1"/>
  <c r="BS41" i="10"/>
  <c r="BZ45" i="10"/>
  <c r="BV41" i="10" l="1"/>
  <c r="CB41" i="10" s="1"/>
  <c r="N24" i="3"/>
  <c r="S24" i="3" s="1"/>
  <c r="T24" i="3" s="1"/>
  <c r="BY42" i="10"/>
  <c r="F23" i="12" s="1"/>
  <c r="BK42" i="10"/>
  <c r="BJ42" i="10"/>
  <c r="Z24" i="3" l="1"/>
  <c r="BQ42" i="10"/>
  <c r="CA42" i="10" s="1"/>
  <c r="H23" i="12" s="1"/>
  <c r="E23" i="12" s="1"/>
  <c r="BN42" i="10"/>
  <c r="AA24" i="3" l="1"/>
  <c r="AC24" i="3"/>
  <c r="AM24" i="3" s="1"/>
  <c r="AB24" i="3"/>
  <c r="BR42" i="10"/>
  <c r="BU42" i="10" s="1"/>
  <c r="BV42" i="10" s="1"/>
  <c r="AP28" i="3" l="1"/>
  <c r="AQ28" i="3" s="1"/>
  <c r="BH28" i="3" s="1"/>
  <c r="AP25" i="3"/>
  <c r="AQ25" i="3" s="1"/>
  <c r="BH25" i="3" s="1"/>
  <c r="AP26" i="3"/>
  <c r="AQ26" i="3" s="1"/>
  <c r="BH26" i="3" s="1"/>
  <c r="AP32" i="3"/>
  <c r="AQ32" i="3" s="1"/>
  <c r="BH32" i="3" s="1"/>
  <c r="AQ24" i="3"/>
  <c r="BH24" i="3" s="1"/>
  <c r="BI24" i="3" s="1"/>
  <c r="BS42" i="10"/>
  <c r="BT42" i="10"/>
  <c r="N43" i="10"/>
  <c r="AB43" i="10" s="1"/>
  <c r="BI43" i="10" s="1"/>
  <c r="BY24" i="3" l="1"/>
  <c r="BJ24" i="3"/>
  <c r="BK24" i="3"/>
  <c r="CB42" i="10"/>
  <c r="D23" i="12"/>
  <c r="BJ43" i="10"/>
  <c r="BK43" i="10"/>
  <c r="BY43" i="10"/>
  <c r="BN24" i="3" l="1"/>
  <c r="BZ24" i="3" s="1"/>
  <c r="BQ24" i="3"/>
  <c r="CA24" i="3" s="1"/>
  <c r="BQ43" i="10"/>
  <c r="CA43" i="10" s="1"/>
  <c r="BN43" i="10"/>
  <c r="BZ43" i="10" s="1"/>
  <c r="BR24" i="3" l="1"/>
  <c r="BU24" i="3" s="1"/>
  <c r="BV24" i="3" s="1"/>
  <c r="BR43" i="10"/>
  <c r="N25" i="3" l="1"/>
  <c r="AB25" i="3" s="1"/>
  <c r="BI25" i="3" s="1"/>
  <c r="BK25" i="3" s="1"/>
  <c r="BS24" i="3"/>
  <c r="BT24" i="3"/>
  <c r="BU43" i="10"/>
  <c r="BV43" i="10" s="1"/>
  <c r="BT43" i="10"/>
  <c r="BS43" i="10"/>
  <c r="BY25" i="3" l="1"/>
  <c r="BJ25" i="3"/>
  <c r="BQ25" i="3" s="1"/>
  <c r="CA25" i="3" s="1"/>
  <c r="BN25" i="3"/>
  <c r="CB43" i="10"/>
  <c r="N44" i="10"/>
  <c r="AB44" i="10" s="1"/>
  <c r="BI44" i="10" s="1"/>
  <c r="G6" i="12"/>
  <c r="BR25" i="3" l="1"/>
  <c r="BU25" i="3" s="1"/>
  <c r="BV25" i="3" s="1"/>
  <c r="BK44" i="10"/>
  <c r="BY44" i="10"/>
  <c r="BJ44" i="10"/>
  <c r="BS25" i="3" l="1"/>
  <c r="BT25" i="3"/>
  <c r="N26" i="3"/>
  <c r="AB26" i="3" s="1"/>
  <c r="BI26" i="3" s="1"/>
  <c r="BY26" i="3" s="1"/>
  <c r="BN44" i="10"/>
  <c r="BZ44" i="10" s="1"/>
  <c r="BQ44" i="10"/>
  <c r="CA44" i="10" s="1"/>
  <c r="BJ26" i="3" l="1"/>
  <c r="BK26" i="3"/>
  <c r="BR44" i="10"/>
  <c r="BQ26" i="3" l="1"/>
  <c r="CA26" i="3" s="1"/>
  <c r="BN26" i="3"/>
  <c r="BZ26" i="3" s="1"/>
  <c r="BU44" i="10"/>
  <c r="BV44" i="10" s="1"/>
  <c r="BT44" i="10"/>
  <c r="BS44" i="10"/>
  <c r="BR26" i="3" l="1"/>
  <c r="BU26" i="3" s="1"/>
  <c r="BV26" i="3" s="1"/>
  <c r="CB44" i="10"/>
  <c r="N45" i="10"/>
  <c r="AB45" i="10" s="1"/>
  <c r="BI45" i="10" s="1"/>
  <c r="N27" i="3" l="1"/>
  <c r="AB27" i="3" s="1"/>
  <c r="BI27" i="3" s="1"/>
  <c r="BJ27" i="3" s="1"/>
  <c r="BS26" i="3"/>
  <c r="BT26" i="3"/>
  <c r="BJ45" i="10"/>
  <c r="BK45" i="10"/>
  <c r="BY45" i="10"/>
  <c r="BY27" i="3" l="1"/>
  <c r="BK27" i="3"/>
  <c r="BQ27" i="3" s="1"/>
  <c r="CA27" i="3" s="1"/>
  <c r="BN45" i="10"/>
  <c r="BQ45" i="10"/>
  <c r="CA45" i="10" s="1"/>
  <c r="BN27" i="3" l="1"/>
  <c r="BZ27" i="3" s="1"/>
  <c r="BR45" i="10"/>
  <c r="BU45" i="10" s="1"/>
  <c r="N46" i="10"/>
  <c r="AB46" i="10" s="1"/>
  <c r="BI46" i="10" s="1"/>
  <c r="BR27" i="3" l="1"/>
  <c r="BU27" i="3" s="1"/>
  <c r="BV27" i="3" s="1"/>
  <c r="BV45" i="10"/>
  <c r="CB45" i="10" s="1"/>
  <c r="BS45" i="10"/>
  <c r="BT45" i="10"/>
  <c r="N28" i="3"/>
  <c r="AB28" i="3" s="1"/>
  <c r="BI28" i="3" s="1"/>
  <c r="BY46" i="10"/>
  <c r="BJ46" i="10"/>
  <c r="BK46" i="10"/>
  <c r="BZ32" i="3"/>
  <c r="BT27" i="3" l="1"/>
  <c r="BS27" i="3"/>
  <c r="BK28" i="3"/>
  <c r="BY28" i="3"/>
  <c r="BJ28" i="3"/>
  <c r="BQ46" i="10"/>
  <c r="CA46" i="10" s="1"/>
  <c r="BN46" i="10"/>
  <c r="BZ46" i="10" s="1"/>
  <c r="BN28" i="3" l="1"/>
  <c r="BZ28" i="3" s="1"/>
  <c r="BQ28" i="3"/>
  <c r="CA28" i="3" s="1"/>
  <c r="BR46" i="10"/>
  <c r="BR28" i="3" l="1"/>
  <c r="BS46" i="10"/>
  <c r="BU46" i="10"/>
  <c r="BV46" i="10" s="1"/>
  <c r="BT46" i="10"/>
  <c r="H15" i="12"/>
  <c r="F15" i="12"/>
  <c r="BU28" i="3" l="1"/>
  <c r="BV28" i="3" s="1"/>
  <c r="BS28" i="3"/>
  <c r="BT28" i="3"/>
  <c r="CB46" i="10"/>
  <c r="N47" i="10"/>
  <c r="AB47" i="10" s="1"/>
  <c r="BI47" i="10" s="1"/>
  <c r="E15" i="12"/>
  <c r="N61" i="5" s="1"/>
  <c r="N29" i="3" l="1"/>
  <c r="AB29" i="3" s="1"/>
  <c r="BI29" i="3" s="1"/>
  <c r="BY47" i="10"/>
  <c r="F12" i="12" s="1"/>
  <c r="BK47" i="10"/>
  <c r="BJ47" i="10"/>
  <c r="F10" i="12"/>
  <c r="BJ29" i="3" l="1"/>
  <c r="BY29" i="3"/>
  <c r="BK29" i="3"/>
  <c r="BN47" i="10"/>
  <c r="BQ47" i="10"/>
  <c r="CA47" i="10" s="1"/>
  <c r="H12" i="12" s="1"/>
  <c r="E12" i="12" s="1"/>
  <c r="N58" i="5" s="1"/>
  <c r="D15" i="12"/>
  <c r="H10" i="12"/>
  <c r="G10" i="12"/>
  <c r="H18" i="12"/>
  <c r="F18" i="12"/>
  <c r="N69" i="5"/>
  <c r="BQ29" i="3" l="1"/>
  <c r="CA29" i="3" s="1"/>
  <c r="BN29" i="3"/>
  <c r="BZ29" i="3" s="1"/>
  <c r="BR47" i="10"/>
  <c r="BU47" i="10" s="1"/>
  <c r="BV47" i="10" s="1"/>
  <c r="E10" i="12"/>
  <c r="N56" i="5" s="1"/>
  <c r="D18" i="12"/>
  <c r="S35" i="3"/>
  <c r="T35" i="3" s="1"/>
  <c r="Z35" i="3" s="1"/>
  <c r="BR29" i="3" l="1"/>
  <c r="BS47" i="10"/>
  <c r="BT47" i="10"/>
  <c r="N48" i="10"/>
  <c r="AB48" i="10" s="1"/>
  <c r="BI48" i="10" s="1"/>
  <c r="X37" i="3"/>
  <c r="AA35" i="3"/>
  <c r="AC35" i="3"/>
  <c r="AM35" i="3" s="1"/>
  <c r="X64" i="3"/>
  <c r="BS29" i="3" l="1"/>
  <c r="BU29" i="3"/>
  <c r="BV29" i="3" s="1"/>
  <c r="BT29" i="3"/>
  <c r="BK48" i="10"/>
  <c r="BJ48" i="10"/>
  <c r="BY48" i="10"/>
  <c r="F6" i="12" s="1"/>
  <c r="D12" i="12"/>
  <c r="CB47" i="10"/>
  <c r="AP52" i="3"/>
  <c r="AQ52" i="3" s="1"/>
  <c r="BH52" i="3" s="1"/>
  <c r="AP37" i="3"/>
  <c r="AQ35" i="3"/>
  <c r="BH35" i="3" s="1"/>
  <c r="CB29" i="3" l="1"/>
  <c r="N30" i="3"/>
  <c r="AB30" i="3" s="1"/>
  <c r="BI30" i="3" s="1"/>
  <c r="BN48" i="10"/>
  <c r="BQ48" i="10"/>
  <c r="CA48" i="10" s="1"/>
  <c r="H6" i="12" s="1"/>
  <c r="E6" i="12" s="1"/>
  <c r="N52" i="5" s="1"/>
  <c r="D10" i="12"/>
  <c r="BY30" i="3" l="1"/>
  <c r="BJ30" i="3"/>
  <c r="BK30" i="3"/>
  <c r="BR48" i="10"/>
  <c r="BU48" i="10" s="1"/>
  <c r="BV48" i="10" s="1"/>
  <c r="N50" i="10"/>
  <c r="AB50" i="10" s="1"/>
  <c r="BI50" i="10" s="1"/>
  <c r="G18" i="12"/>
  <c r="E18" i="12" s="1"/>
  <c r="N64" i="5" s="1"/>
  <c r="BN30" i="3" l="1"/>
  <c r="BZ30" i="3" s="1"/>
  <c r="BQ30" i="3"/>
  <c r="CA30" i="3" s="1"/>
  <c r="BS48" i="10"/>
  <c r="BT48" i="10"/>
  <c r="N49" i="10"/>
  <c r="AB49" i="10" s="1"/>
  <c r="BI49" i="10" s="1"/>
  <c r="BJ50" i="10"/>
  <c r="BK50" i="10"/>
  <c r="BY50" i="10"/>
  <c r="F22" i="12" s="1"/>
  <c r="E22" i="12" s="1"/>
  <c r="N68" i="5" s="1"/>
  <c r="BR30" i="3" l="1"/>
  <c r="CB48" i="10"/>
  <c r="D6" i="12"/>
  <c r="BY49" i="10"/>
  <c r="BJ49" i="10"/>
  <c r="BK49" i="10"/>
  <c r="BN50" i="10"/>
  <c r="BQ50" i="10"/>
  <c r="BU30" i="3" l="1"/>
  <c r="BV30" i="3" s="1"/>
  <c r="BS30" i="3"/>
  <c r="BT30" i="3"/>
  <c r="BN49" i="10"/>
  <c r="BQ49" i="10"/>
  <c r="CA49" i="10" s="1"/>
  <c r="BR50" i="10"/>
  <c r="N31" i="3" l="1"/>
  <c r="AB31" i="3" s="1"/>
  <c r="BI31" i="3" s="1"/>
  <c r="BR49" i="10"/>
  <c r="BT49" i="10" s="1"/>
  <c r="BT50" i="10"/>
  <c r="BU50" i="10"/>
  <c r="BV50" i="10" s="1"/>
  <c r="BS50" i="10"/>
  <c r="BJ31" i="3" l="1"/>
  <c r="BY31" i="3"/>
  <c r="BK31" i="3"/>
  <c r="BS49" i="10"/>
  <c r="BU49" i="10"/>
  <c r="N51" i="10" s="1"/>
  <c r="AB51" i="10" s="1"/>
  <c r="BI51" i="10" s="1"/>
  <c r="CB50" i="10"/>
  <c r="D22" i="12"/>
  <c r="BV49" i="10" l="1"/>
  <c r="CB49" i="10" s="1"/>
  <c r="BQ31" i="3"/>
  <c r="CA31" i="3" s="1"/>
  <c r="BN31" i="3"/>
  <c r="BZ31" i="3" s="1"/>
  <c r="BK51" i="10"/>
  <c r="BY51" i="10"/>
  <c r="BJ51" i="10"/>
  <c r="BR31" i="3" l="1"/>
  <c r="BN51" i="10"/>
  <c r="BZ51" i="10" s="1"/>
  <c r="BQ51" i="10"/>
  <c r="G14" i="12"/>
  <c r="BS31" i="3" l="1"/>
  <c r="BU31" i="3"/>
  <c r="BV31" i="3" s="1"/>
  <c r="BT31" i="3"/>
  <c r="BR51" i="10"/>
  <c r="BU51" i="10" s="1"/>
  <c r="BV51" i="10" s="1"/>
  <c r="N32" i="3" l="1"/>
  <c r="AB32" i="3" s="1"/>
  <c r="BI32" i="3" s="1"/>
  <c r="BS51" i="10"/>
  <c r="BT51" i="10"/>
  <c r="BJ32" i="3" l="1"/>
  <c r="BY32" i="3"/>
  <c r="BK32" i="3"/>
  <c r="CB51" i="10"/>
  <c r="N52" i="10"/>
  <c r="AB52" i="10" s="1"/>
  <c r="BI52" i="10" s="1"/>
  <c r="BQ32" i="3" l="1"/>
  <c r="CA32" i="3" s="1"/>
  <c r="BN32" i="3"/>
  <c r="BK52" i="10"/>
  <c r="BY52" i="10"/>
  <c r="BJ52" i="10"/>
  <c r="BR32" i="3" l="1"/>
  <c r="BU32" i="3" s="1"/>
  <c r="BV32" i="3" s="1"/>
  <c r="BN52" i="10"/>
  <c r="BZ52" i="10" s="1"/>
  <c r="BQ52" i="10"/>
  <c r="BZ38" i="3"/>
  <c r="BT32" i="3" l="1"/>
  <c r="BS32" i="3"/>
  <c r="N33" i="3"/>
  <c r="AB33" i="3" s="1"/>
  <c r="BI33" i="3" s="1"/>
  <c r="BR52" i="10"/>
  <c r="BU52" i="10" s="1"/>
  <c r="BV52" i="10" s="1"/>
  <c r="BY33" i="3" l="1"/>
  <c r="BK33" i="3"/>
  <c r="BJ33" i="3"/>
  <c r="BT52" i="10"/>
  <c r="BS52" i="10"/>
  <c r="BJ35" i="3"/>
  <c r="CB19" i="3"/>
  <c r="CB10" i="3"/>
  <c r="CB26" i="3"/>
  <c r="CB18" i="3"/>
  <c r="CB13" i="3"/>
  <c r="CB8" i="3"/>
  <c r="CB12" i="3"/>
  <c r="CB16" i="3"/>
  <c r="CB31" i="3"/>
  <c r="D13" i="7"/>
  <c r="F13" i="7"/>
  <c r="G13" i="7"/>
  <c r="CB24" i="3"/>
  <c r="CB28" i="3"/>
  <c r="BQ33" i="3" l="1"/>
  <c r="CA33" i="3" s="1"/>
  <c r="BN33" i="3"/>
  <c r="BZ33" i="3" s="1"/>
  <c r="CB52" i="10"/>
  <c r="N53" i="10"/>
  <c r="AB53" i="10" s="1"/>
  <c r="BI53" i="10" s="1"/>
  <c r="F19" i="12"/>
  <c r="CB14" i="3"/>
  <c r="CB17" i="3"/>
  <c r="CB11" i="3"/>
  <c r="CB6" i="3"/>
  <c r="CB15" i="3"/>
  <c r="CB9" i="3"/>
  <c r="CB23" i="3"/>
  <c r="CB30" i="3"/>
  <c r="CB20" i="3"/>
  <c r="H13" i="7" s="1"/>
  <c r="E13" i="7" s="1"/>
  <c r="O59" i="5" s="1"/>
  <c r="CB21" i="3"/>
  <c r="CB27" i="3"/>
  <c r="CB32" i="3"/>
  <c r="CB25" i="3"/>
  <c r="CB7" i="3"/>
  <c r="BR33" i="3" l="1"/>
  <c r="BK53" i="10"/>
  <c r="BY53" i="10"/>
  <c r="BJ53" i="10"/>
  <c r="H19" i="12"/>
  <c r="G19" i="12"/>
  <c r="BU33" i="3" l="1"/>
  <c r="BV33" i="3" s="1"/>
  <c r="BT33" i="3"/>
  <c r="BS33" i="3"/>
  <c r="BN53" i="10"/>
  <c r="BQ53" i="10"/>
  <c r="CA53" i="10" s="1"/>
  <c r="E19" i="12"/>
  <c r="N65" i="5" s="1"/>
  <c r="G28" i="12"/>
  <c r="G29" i="12" s="1"/>
  <c r="BS35" i="3"/>
  <c r="CB33" i="3" l="1"/>
  <c r="N34" i="3"/>
  <c r="AB34" i="3" s="1"/>
  <c r="BI34" i="3" s="1"/>
  <c r="BR53" i="10"/>
  <c r="BY34" i="3" l="1"/>
  <c r="BJ34" i="3"/>
  <c r="BK34" i="3"/>
  <c r="BU53" i="10"/>
  <c r="BV53" i="10" s="1"/>
  <c r="N35" i="3"/>
  <c r="AB35" i="3" s="1"/>
  <c r="BI35" i="3" s="1"/>
  <c r="BS53" i="10"/>
  <c r="BT53" i="10"/>
  <c r="BN34" i="3" l="1"/>
  <c r="BZ34" i="3" s="1"/>
  <c r="BQ34" i="3"/>
  <c r="CA34" i="3" s="1"/>
  <c r="CB53" i="10"/>
  <c r="BK35" i="3"/>
  <c r="BY35" i="3"/>
  <c r="F14" i="12"/>
  <c r="D19" i="12"/>
  <c r="AP44" i="3"/>
  <c r="AQ44" i="3" s="1"/>
  <c r="BH44" i="3" s="1"/>
  <c r="AP48" i="3"/>
  <c r="AQ48" i="3" s="1"/>
  <c r="BH48" i="3" s="1"/>
  <c r="AP53" i="3"/>
  <c r="AQ53" i="3" s="1"/>
  <c r="BH53" i="3" s="1"/>
  <c r="AP39" i="3"/>
  <c r="AQ39" i="3" s="1"/>
  <c r="BH39" i="3" s="1"/>
  <c r="AP51" i="3"/>
  <c r="AQ51" i="3" s="1"/>
  <c r="BH51" i="3" s="1"/>
  <c r="AP47" i="3"/>
  <c r="AQ47" i="3" s="1"/>
  <c r="BH47" i="3" s="1"/>
  <c r="AP40" i="3"/>
  <c r="AQ40" i="3" s="1"/>
  <c r="BH40" i="3" s="1"/>
  <c r="AP46" i="3"/>
  <c r="AQ46" i="3" s="1"/>
  <c r="BH46" i="3" s="1"/>
  <c r="AP41" i="3"/>
  <c r="AQ41" i="3" s="1"/>
  <c r="BH41" i="3" s="1"/>
  <c r="AP50" i="3"/>
  <c r="AQ50" i="3" s="1"/>
  <c r="BH50" i="3" s="1"/>
  <c r="BR34" i="3" l="1"/>
  <c r="BS34" i="3" s="1"/>
  <c r="BN35" i="3"/>
  <c r="BQ35" i="3"/>
  <c r="CA35" i="3" s="1"/>
  <c r="H22" i="7" s="1"/>
  <c r="F28" i="12"/>
  <c r="H14" i="12"/>
  <c r="H28" i="12" s="1"/>
  <c r="H29" i="12" s="1"/>
  <c r="BU34" i="3" l="1"/>
  <c r="BV34" i="3" s="1"/>
  <c r="BT34" i="3"/>
  <c r="BZ35" i="3"/>
  <c r="BR35" i="3"/>
  <c r="BU35" i="3" s="1"/>
  <c r="BV35" i="3" s="1"/>
  <c r="E14" i="12"/>
  <c r="N36" i="3" l="1"/>
  <c r="AB36" i="3" s="1"/>
  <c r="BI36" i="3" s="1"/>
  <c r="CB34" i="3"/>
  <c r="CB35" i="3"/>
  <c r="BT35" i="3"/>
  <c r="N60" i="5"/>
  <c r="E28" i="12"/>
  <c r="N78" i="5" l="1" a="1"/>
  <c r="N75" i="5" a="1"/>
  <c r="N76" i="5" a="1"/>
  <c r="N76" i="5" s="1"/>
  <c r="N77" i="5" a="1"/>
  <c r="N77" i="5" s="1"/>
  <c r="BK36" i="3"/>
  <c r="BY36" i="3"/>
  <c r="BJ36" i="3"/>
  <c r="N79" i="5" a="1"/>
  <c r="N79" i="5" s="1"/>
  <c r="N78" i="5"/>
  <c r="N75" i="5"/>
  <c r="CB1" i="10"/>
  <c r="D14" i="12"/>
  <c r="D28" i="12" s="1"/>
  <c r="BQ36" i="3" l="1"/>
  <c r="CA36" i="3" s="1"/>
  <c r="BN36" i="3"/>
  <c r="N80" i="5"/>
  <c r="F29" i="12" s="1"/>
  <c r="E29" i="12" s="1"/>
  <c r="D29" i="12" s="1"/>
  <c r="BZ36" i="3" l="1"/>
  <c r="BR36" i="3"/>
  <c r="BT36" i="3" l="1"/>
  <c r="BU36" i="3"/>
  <c r="BV36" i="3" s="1"/>
  <c r="BS36" i="3"/>
  <c r="CB36" i="3" l="1"/>
  <c r="N37" i="3"/>
  <c r="S37" i="3" s="1"/>
  <c r="T37" i="3" s="1"/>
  <c r="Z37" i="3" l="1"/>
  <c r="X56" i="3" l="1"/>
  <c r="AC37" i="3"/>
  <c r="AM37" i="3" s="1"/>
  <c r="AA37" i="3"/>
  <c r="AB37" i="3"/>
  <c r="AP43" i="3" l="1"/>
  <c r="AQ43" i="3" s="1"/>
  <c r="BH43" i="3" s="1"/>
  <c r="AP49" i="3"/>
  <c r="AQ49" i="3" s="1"/>
  <c r="BH49" i="3" s="1"/>
  <c r="AQ37" i="3"/>
  <c r="BH37" i="3" s="1"/>
  <c r="BI37" i="3" s="1"/>
  <c r="AP56" i="3"/>
  <c r="AP54" i="3"/>
  <c r="AQ54" i="3" s="1"/>
  <c r="BH54" i="3" s="1"/>
  <c r="AP38" i="3"/>
  <c r="AQ38" i="3" s="1"/>
  <c r="BH38" i="3" s="1"/>
  <c r="AP45" i="3"/>
  <c r="AQ45" i="3" s="1"/>
  <c r="BH45" i="3" s="1"/>
  <c r="AP55" i="3"/>
  <c r="AQ55" i="3" s="1"/>
  <c r="BH55" i="3" s="1"/>
  <c r="AP42" i="3"/>
  <c r="AQ42" i="3" s="1"/>
  <c r="BH42" i="3" s="1"/>
  <c r="BJ37" i="3" l="1"/>
  <c r="BK37" i="3"/>
  <c r="BY37" i="3"/>
  <c r="BQ37" i="3" l="1"/>
  <c r="CA37" i="3" s="1"/>
  <c r="BN37" i="3"/>
  <c r="BZ37" i="3" l="1"/>
  <c r="BR37" i="3"/>
  <c r="BU37" i="3" l="1"/>
  <c r="BT37" i="3"/>
  <c r="BS37" i="3"/>
  <c r="N38" i="3" l="1"/>
  <c r="AB38" i="3" s="1"/>
  <c r="BI38" i="3" s="1"/>
  <c r="BV37" i="3"/>
  <c r="CB37" i="3" s="1"/>
  <c r="BY38" i="3" l="1"/>
  <c r="BK38" i="3"/>
  <c r="BJ38" i="3"/>
  <c r="BQ38" i="3" l="1"/>
  <c r="CA38" i="3" s="1"/>
  <c r="BN38" i="3"/>
  <c r="BR38" i="3" l="1"/>
  <c r="BU38" i="3" s="1"/>
  <c r="BT38" i="3" l="1"/>
  <c r="BS38" i="3"/>
  <c r="BV38" i="3"/>
  <c r="CB38" i="3" s="1"/>
  <c r="N39" i="3"/>
  <c r="AB39" i="3" s="1"/>
  <c r="BI39" i="3" s="1"/>
  <c r="BJ39" i="3" l="1"/>
  <c r="BK39" i="3"/>
  <c r="BY39" i="3"/>
  <c r="BN39" i="3" l="1"/>
  <c r="BZ39" i="3" s="1"/>
  <c r="BQ39" i="3"/>
  <c r="CA39" i="3" s="1"/>
  <c r="BR39" i="3" l="1"/>
  <c r="BT39" i="3" l="1"/>
  <c r="BU39" i="3"/>
  <c r="BS39" i="3"/>
  <c r="N40" i="3" l="1"/>
  <c r="AB40" i="3" s="1"/>
  <c r="BI40" i="3" s="1"/>
  <c r="BV39" i="3"/>
  <c r="CB39" i="3" s="1"/>
  <c r="BK40" i="3" l="1"/>
  <c r="BY40" i="3"/>
  <c r="BJ40" i="3"/>
  <c r="BQ40" i="3" l="1"/>
  <c r="CA40" i="3" s="1"/>
  <c r="BN40" i="3"/>
  <c r="BZ40" i="3" s="1"/>
  <c r="BR40" i="3" l="1"/>
  <c r="BU40" i="3" l="1"/>
  <c r="BT40" i="3"/>
  <c r="BS40" i="3"/>
  <c r="BV40" i="3" l="1"/>
  <c r="CB40" i="3" s="1"/>
  <c r="N41" i="3"/>
  <c r="AB41" i="3" s="1"/>
  <c r="BI41" i="3" s="1"/>
  <c r="BK41" i="3" l="1"/>
  <c r="BY41" i="3"/>
  <c r="BJ41" i="3"/>
  <c r="BN41" i="3" l="1"/>
  <c r="BZ41" i="3" s="1"/>
  <c r="BQ41" i="3"/>
  <c r="CA41" i="3" s="1"/>
  <c r="BR41" i="3" l="1"/>
  <c r="BU41" i="3" l="1"/>
  <c r="BT41" i="3"/>
  <c r="BS41" i="3"/>
  <c r="BV41" i="3" l="1"/>
  <c r="CB41" i="3" s="1"/>
  <c r="N42" i="3"/>
  <c r="AB42" i="3" s="1"/>
  <c r="BI42" i="3" s="1"/>
  <c r="BK42" i="3" l="1"/>
  <c r="BY42" i="3"/>
  <c r="BJ42" i="3"/>
  <c r="BN42" i="3" l="1"/>
  <c r="BQ42" i="3"/>
  <c r="CA42" i="3" s="1"/>
  <c r="BR42" i="3" l="1"/>
  <c r="BS42" i="3" s="1"/>
  <c r="BT42" i="3" l="1"/>
  <c r="BU42" i="3"/>
  <c r="BV42" i="3" s="1"/>
  <c r="CB42" i="3" s="1"/>
  <c r="N43" i="3" l="1"/>
  <c r="AB43" i="3" s="1"/>
  <c r="BI43" i="3" s="1"/>
  <c r="BK43" i="3" s="1"/>
  <c r="BJ43" i="3" l="1"/>
  <c r="BQ43" i="3" s="1"/>
  <c r="CA43" i="3" s="1"/>
  <c r="BY43" i="3"/>
  <c r="BN43" i="3"/>
  <c r="BR43" i="3" l="1"/>
  <c r="BU43" i="3" s="1"/>
  <c r="BS43" i="3" l="1"/>
  <c r="BT43" i="3"/>
  <c r="BV43" i="3"/>
  <c r="CB43" i="3" s="1"/>
  <c r="N44" i="3"/>
  <c r="AB44" i="3" s="1"/>
  <c r="BI44" i="3" s="1"/>
  <c r="BJ44" i="3" l="1"/>
  <c r="BK44" i="3"/>
  <c r="BY44" i="3"/>
  <c r="BQ44" i="3" l="1"/>
  <c r="CA44" i="3" s="1"/>
  <c r="BN44" i="3"/>
  <c r="BZ44" i="3" s="1"/>
  <c r="BR44" i="3" l="1"/>
  <c r="BU44" i="3" s="1"/>
  <c r="BV44" i="3" s="1"/>
  <c r="CB44" i="3" s="1"/>
  <c r="N45" i="3" l="1"/>
  <c r="AB45" i="3" s="1"/>
  <c r="BI45" i="3" s="1"/>
  <c r="BJ45" i="3" s="1"/>
  <c r="BT44" i="3"/>
  <c r="BS44" i="3"/>
  <c r="BK45" i="3" l="1"/>
  <c r="BQ45" i="3" s="1"/>
  <c r="CA45" i="3" s="1"/>
  <c r="BY45" i="3"/>
  <c r="BN45" i="3" l="1"/>
  <c r="BR45" i="3" s="1"/>
  <c r="BU45" i="3" s="1"/>
  <c r="BS45" i="3" l="1"/>
  <c r="BT45" i="3"/>
  <c r="BV45" i="3"/>
  <c r="CB45" i="3" s="1"/>
  <c r="N46" i="3"/>
  <c r="AB46" i="3" s="1"/>
  <c r="BI46" i="3" s="1"/>
  <c r="BK46" i="3" l="1"/>
  <c r="BJ46" i="3"/>
  <c r="BY46" i="3"/>
  <c r="BN46" i="3" l="1"/>
  <c r="BZ46" i="3" s="1"/>
  <c r="BQ46" i="3"/>
  <c r="CA46" i="3" s="1"/>
  <c r="BR46" i="3" l="1"/>
  <c r="BU46" i="3" l="1"/>
  <c r="BT46" i="3"/>
  <c r="BS46" i="3"/>
  <c r="BV46" i="3" l="1"/>
  <c r="CB46" i="3" s="1"/>
  <c r="N47" i="3"/>
  <c r="AB47" i="3" s="1"/>
  <c r="BI47" i="3" s="1"/>
  <c r="BJ47" i="3" l="1"/>
  <c r="BK47" i="3"/>
  <c r="BY47" i="3"/>
  <c r="BQ47" i="3" l="1"/>
  <c r="CA47" i="3" s="1"/>
  <c r="BN47" i="3"/>
  <c r="BZ47" i="3" s="1"/>
  <c r="BR47" i="3" l="1"/>
  <c r="BU47" i="3" s="1"/>
  <c r="BV47" i="3" s="1"/>
  <c r="CB47" i="3" s="1"/>
  <c r="N48" i="3" l="1"/>
  <c r="AB48" i="3" s="1"/>
  <c r="BI48" i="3" s="1"/>
  <c r="BJ48" i="3" s="1"/>
  <c r="BS47" i="3"/>
  <c r="BT47" i="3"/>
  <c r="BY48" i="3" l="1"/>
  <c r="BK48" i="3"/>
  <c r="BQ48" i="3" s="1"/>
  <c r="CA48" i="3" s="1"/>
  <c r="BN48" i="3" l="1"/>
  <c r="BZ48" i="3" s="1"/>
  <c r="BR48" i="3" l="1"/>
  <c r="BT48" i="3" s="1"/>
  <c r="BS48" i="3" l="1"/>
  <c r="BU48" i="3"/>
  <c r="BV48" i="3" s="1"/>
  <c r="CB48" i="3" s="1"/>
  <c r="N49" i="3" l="1"/>
  <c r="AB49" i="3" s="1"/>
  <c r="BI49" i="3" s="1"/>
  <c r="BK49" i="3" s="1"/>
  <c r="BJ49" i="3" l="1"/>
  <c r="BQ49" i="3" s="1"/>
  <c r="CA49" i="3" s="1"/>
  <c r="BY49" i="3"/>
  <c r="BN49" i="3"/>
  <c r="BR49" i="3" l="1"/>
  <c r="BU49" i="3" s="1"/>
  <c r="BV49" i="3" s="1"/>
  <c r="CB49" i="3" s="1"/>
  <c r="N50" i="3" l="1"/>
  <c r="AB50" i="3" s="1"/>
  <c r="BI50" i="3" s="1"/>
  <c r="BK50" i="3" s="1"/>
  <c r="BQ50" i="3" s="1"/>
  <c r="CA50" i="3" s="1"/>
  <c r="BS49" i="3"/>
  <c r="BT49" i="3"/>
  <c r="BJ50" i="3" l="1"/>
  <c r="BN50" i="3" s="1"/>
  <c r="BZ50" i="3" s="1"/>
  <c r="BY50" i="3"/>
  <c r="BR50" i="3" l="1"/>
  <c r="BU50" i="3" s="1"/>
  <c r="BV50" i="3" s="1"/>
  <c r="BT50" i="3" l="1"/>
  <c r="BS50" i="3"/>
  <c r="CB50" i="3"/>
  <c r="N51" i="3"/>
  <c r="AB51" i="3" s="1"/>
  <c r="BI51" i="3" s="1"/>
  <c r="BJ52" i="3"/>
  <c r="BK51" i="3" l="1"/>
  <c r="BY51" i="3"/>
  <c r="BJ51" i="3"/>
  <c r="BN51" i="3" l="1"/>
  <c r="BZ51" i="3" s="1"/>
  <c r="BQ51" i="3"/>
  <c r="CA51" i="3" s="1"/>
  <c r="N52" i="3"/>
  <c r="AB52" i="3" s="1"/>
  <c r="BI52" i="3" s="1"/>
  <c r="BS52" i="3"/>
  <c r="BR51" i="3" l="1"/>
  <c r="BK52" i="3"/>
  <c r="BY52" i="3"/>
  <c r="BU51" i="3" l="1"/>
  <c r="BV51" i="3" s="1"/>
  <c r="BT51" i="3"/>
  <c r="BS51" i="3"/>
  <c r="BQ52" i="3"/>
  <c r="BN52" i="3"/>
  <c r="CB51" i="3" l="1"/>
  <c r="N53" i="3"/>
  <c r="AB53" i="3" s="1"/>
  <c r="BI53" i="3" s="1"/>
  <c r="BR52" i="3"/>
  <c r="BY53" i="3" l="1"/>
  <c r="BK53" i="3"/>
  <c r="BJ53" i="3"/>
  <c r="BU52" i="3"/>
  <c r="BV52" i="3" s="1"/>
  <c r="BT52" i="3"/>
  <c r="BQ53" i="3" l="1"/>
  <c r="CA53" i="3" s="1"/>
  <c r="BN53" i="3"/>
  <c r="BZ53" i="3" s="1"/>
  <c r="CB52" i="3"/>
  <c r="BR53" i="3" l="1"/>
  <c r="BT53" i="3" s="1"/>
  <c r="BS53" i="3" l="1"/>
  <c r="BU53" i="3"/>
  <c r="N54" i="3" s="1"/>
  <c r="AB54" i="3" s="1"/>
  <c r="BI54" i="3" s="1"/>
  <c r="BV53" i="3" l="1"/>
  <c r="CB53" i="3" s="1"/>
  <c r="BY54" i="3"/>
  <c r="BK54" i="3"/>
  <c r="BJ54" i="3"/>
  <c r="BQ54" i="3" l="1"/>
  <c r="CA54" i="3" s="1"/>
  <c r="BN54" i="3"/>
  <c r="BZ54" i="3" s="1"/>
  <c r="BR54" i="3" l="1"/>
  <c r="BU54" i="3" l="1"/>
  <c r="BV54" i="3" s="1"/>
  <c r="BS54" i="3"/>
  <c r="BT54" i="3"/>
  <c r="CB54" i="3" l="1"/>
  <c r="N55" i="3"/>
  <c r="AB55" i="3" s="1"/>
  <c r="BI55" i="3" s="1"/>
  <c r="BY55" i="3" l="1"/>
  <c r="BJ55" i="3"/>
  <c r="BK55" i="3"/>
  <c r="Z56" i="3"/>
  <c r="X57" i="3" s="1"/>
  <c r="Z57" i="3" s="1"/>
  <c r="Z64" i="3"/>
  <c r="BQ55" i="3" l="1"/>
  <c r="CA55" i="3" s="1"/>
  <c r="BN55" i="3"/>
  <c r="BZ55" i="3" s="1"/>
  <c r="AA57" i="3"/>
  <c r="X58" i="3"/>
  <c r="Z58" i="3" s="1"/>
  <c r="AA56" i="3"/>
  <c r="X80" i="3"/>
  <c r="AC64" i="3"/>
  <c r="AM64" i="3" s="1"/>
  <c r="AA64" i="3"/>
  <c r="BR55" i="3" l="1"/>
  <c r="AA58" i="3"/>
  <c r="X76" i="3"/>
  <c r="AP63" i="3"/>
  <c r="AQ63" i="3" s="1"/>
  <c r="BH63" i="3" s="1"/>
  <c r="AP61" i="3"/>
  <c r="AQ61" i="3" s="1"/>
  <c r="BH61" i="3" s="1"/>
  <c r="AP62" i="3"/>
  <c r="AQ62" i="3" s="1"/>
  <c r="BH62" i="3" s="1"/>
  <c r="AP64" i="3"/>
  <c r="AQ64" i="3" s="1"/>
  <c r="AP72" i="3"/>
  <c r="AQ72" i="3" s="1"/>
  <c r="AT91" i="3"/>
  <c r="AU91" i="3" s="1"/>
  <c r="AT69" i="3"/>
  <c r="AU69" i="3" s="1"/>
  <c r="AT85" i="3"/>
  <c r="AU85" i="3" s="1"/>
  <c r="AT93" i="3"/>
  <c r="AU93" i="3" s="1"/>
  <c r="AT75" i="3"/>
  <c r="AU75" i="3" s="1"/>
  <c r="AT99" i="3"/>
  <c r="AU99" i="3" s="1"/>
  <c r="AT90" i="3"/>
  <c r="AU90" i="3" s="1"/>
  <c r="AT68" i="3"/>
  <c r="AU68" i="3" s="1"/>
  <c r="AT70" i="3"/>
  <c r="AU70" i="3" s="1"/>
  <c r="AT78" i="3"/>
  <c r="AU78" i="3" s="1"/>
  <c r="AT72" i="3"/>
  <c r="AU72" i="3" s="1"/>
  <c r="AT84" i="3"/>
  <c r="AU84" i="3" s="1"/>
  <c r="AT100" i="3"/>
  <c r="AU100" i="3" s="1"/>
  <c r="AT94" i="3"/>
  <c r="AU94" i="3" s="1"/>
  <c r="AT73" i="3"/>
  <c r="AU73" i="3" s="1"/>
  <c r="AT89" i="3"/>
  <c r="AU89" i="3" s="1"/>
  <c r="AT79" i="3"/>
  <c r="AU79" i="3" s="1"/>
  <c r="AU64" i="3"/>
  <c r="AP68" i="3"/>
  <c r="AQ68" i="3" s="1"/>
  <c r="AP75" i="3"/>
  <c r="AQ75" i="3" s="1"/>
  <c r="AP74" i="3"/>
  <c r="AQ74" i="3" s="1"/>
  <c r="AP69" i="3"/>
  <c r="AQ69" i="3" s="1"/>
  <c r="AP70" i="3"/>
  <c r="AQ70" i="3" s="1"/>
  <c r="AP73" i="3"/>
  <c r="AQ73" i="3" s="1"/>
  <c r="BU55" i="3" l="1"/>
  <c r="BV55" i="3" s="1"/>
  <c r="BS55" i="3"/>
  <c r="BT55" i="3"/>
  <c r="BH72" i="3"/>
  <c r="BH69" i="3"/>
  <c r="BH70" i="3"/>
  <c r="BH68" i="3"/>
  <c r="BH73" i="3"/>
  <c r="BH64" i="3"/>
  <c r="CB55" i="3" l="1"/>
  <c r="N56" i="3"/>
  <c r="AB56" i="3" l="1"/>
  <c r="S56" i="3"/>
  <c r="T56" i="3" s="1"/>
  <c r="AC56" i="3" s="1"/>
  <c r="AM56" i="3" s="1"/>
  <c r="AQ56" i="3" l="1"/>
  <c r="BH56" i="3" s="1"/>
  <c r="BI56" i="3" s="1"/>
  <c r="AP57" i="3"/>
  <c r="BK56" i="3" l="1"/>
  <c r="BQ56" i="3" s="1"/>
  <c r="CA56" i="3" s="1"/>
  <c r="BJ56" i="3"/>
  <c r="BY56" i="3"/>
  <c r="BN56" i="3" l="1"/>
  <c r="BZ56" i="3" s="1"/>
  <c r="BH74" i="3"/>
  <c r="BR56" i="3" l="1"/>
  <c r="BZ59" i="3"/>
  <c r="BT56" i="3" l="1"/>
  <c r="BU56" i="3"/>
  <c r="BS56" i="3"/>
  <c r="BV56" i="3" l="1"/>
  <c r="CB56" i="3" s="1"/>
  <c r="N57" i="3"/>
  <c r="BH75" i="3"/>
  <c r="AB57" i="3" l="1"/>
  <c r="S57" i="3"/>
  <c r="T57" i="3" s="1"/>
  <c r="AC57" i="3" s="1"/>
  <c r="AM57" i="3" s="1"/>
  <c r="AP58" i="3" l="1"/>
  <c r="AQ57" i="3"/>
  <c r="BH57" i="3" s="1"/>
  <c r="BI57" i="3" s="1"/>
  <c r="BY57" i="3" l="1"/>
  <c r="BK57" i="3"/>
  <c r="BJ57" i="3"/>
  <c r="BN57" i="3" l="1"/>
  <c r="BZ57" i="3" s="1"/>
  <c r="BQ57" i="3"/>
  <c r="CA57" i="3" s="1"/>
  <c r="BR57" i="3" l="1"/>
  <c r="BZ60" i="3"/>
  <c r="BU57" i="3" l="1"/>
  <c r="BT57" i="3"/>
  <c r="BS57" i="3"/>
  <c r="BV57" i="3" l="1"/>
  <c r="CB57" i="3" s="1"/>
  <c r="N58" i="3"/>
  <c r="AB58" i="3" l="1"/>
  <c r="S58" i="3"/>
  <c r="T58" i="3" s="1"/>
  <c r="AC58" i="3" s="1"/>
  <c r="AM58" i="3" s="1"/>
  <c r="AP76" i="3" l="1"/>
  <c r="AP59" i="3"/>
  <c r="AQ59" i="3" s="1"/>
  <c r="BH59" i="3" s="1"/>
  <c r="AP67" i="3"/>
  <c r="AQ67" i="3" s="1"/>
  <c r="BH67" i="3" s="1"/>
  <c r="AP71" i="3"/>
  <c r="AQ71" i="3" s="1"/>
  <c r="BH71" i="3" s="1"/>
  <c r="AP65" i="3"/>
  <c r="AQ65" i="3" s="1"/>
  <c r="BH65" i="3" s="1"/>
  <c r="AP60" i="3"/>
  <c r="AQ60" i="3" s="1"/>
  <c r="BH60" i="3" s="1"/>
  <c r="AP66" i="3"/>
  <c r="AQ66" i="3" s="1"/>
  <c r="BH66" i="3" s="1"/>
  <c r="AQ58" i="3"/>
  <c r="BH58" i="3" s="1"/>
  <c r="BI58" i="3" s="1"/>
  <c r="BY58" i="3" l="1"/>
  <c r="BJ58" i="3"/>
  <c r="BK58" i="3"/>
  <c r="BN58" i="3" l="1"/>
  <c r="BZ58" i="3" s="1"/>
  <c r="BQ58" i="3"/>
  <c r="CA58" i="3" s="1"/>
  <c r="BR58" i="3" l="1"/>
  <c r="BU58" i="3" l="1"/>
  <c r="BS58" i="3"/>
  <c r="BT58" i="3"/>
  <c r="BV58" i="3" l="1"/>
  <c r="CB58" i="3" s="1"/>
  <c r="N59" i="3"/>
  <c r="AB59" i="3" s="1"/>
  <c r="BI59" i="3" s="1"/>
  <c r="BY59" i="3" l="1"/>
  <c r="BJ59" i="3"/>
  <c r="BK59" i="3"/>
  <c r="BQ59" i="3" l="1"/>
  <c r="CA59" i="3" s="1"/>
  <c r="BN59" i="3"/>
  <c r="CA61" i="3"/>
  <c r="BR59" i="3" l="1"/>
  <c r="BU59" i="3" s="1"/>
  <c r="BV59" i="3" s="1"/>
  <c r="CB59" i="3" s="1"/>
  <c r="N60" i="3"/>
  <c r="AB60" i="3" s="1"/>
  <c r="BI60" i="3" s="1"/>
  <c r="BS59" i="3" l="1"/>
  <c r="BT59" i="3"/>
  <c r="BY60" i="3"/>
  <c r="BK60" i="3"/>
  <c r="BJ60" i="3"/>
  <c r="BN60" i="3" l="1"/>
  <c r="BQ60" i="3"/>
  <c r="CA60" i="3" s="1"/>
  <c r="BR60" i="3" l="1"/>
  <c r="BU60" i="3" s="1"/>
  <c r="BV60" i="3" s="1"/>
  <c r="CB60" i="3" s="1"/>
  <c r="N61" i="3"/>
  <c r="AB61" i="3" s="1"/>
  <c r="BI61" i="3" s="1"/>
  <c r="BS60" i="3" l="1"/>
  <c r="BT60" i="3"/>
  <c r="BK61" i="3"/>
  <c r="BJ61" i="3"/>
  <c r="BY61" i="3"/>
  <c r="BQ61" i="3" l="1"/>
  <c r="BN61" i="3"/>
  <c r="BZ61" i="3" s="1"/>
  <c r="BR61" i="3" l="1"/>
  <c r="BU61" i="3" l="1"/>
  <c r="BT61" i="3"/>
  <c r="BS61" i="3"/>
  <c r="BV61" i="3" l="1"/>
  <c r="CB61" i="3" s="1"/>
  <c r="N62" i="3"/>
  <c r="AB62" i="3" s="1"/>
  <c r="BI62" i="3" s="1"/>
  <c r="BK62" i="3" l="1"/>
  <c r="BJ62" i="3"/>
  <c r="BY62" i="3"/>
  <c r="BN62" i="3" l="1"/>
  <c r="BZ62" i="3" s="1"/>
  <c r="BQ62" i="3"/>
  <c r="CA62" i="3" s="1"/>
  <c r="BR62" i="3" l="1"/>
  <c r="BU62" i="3" l="1"/>
  <c r="BT62" i="3"/>
  <c r="BS62" i="3"/>
  <c r="BV62" i="3" l="1"/>
  <c r="CB62" i="3" s="1"/>
  <c r="N63" i="3"/>
  <c r="AB63" i="3" s="1"/>
  <c r="BI63" i="3" s="1"/>
  <c r="BJ63" i="3" l="1"/>
  <c r="BY63" i="3"/>
  <c r="BK63" i="3"/>
  <c r="BN63" i="3" l="1"/>
  <c r="BZ63" i="3" s="1"/>
  <c r="BQ63" i="3"/>
  <c r="CA63" i="3" s="1"/>
  <c r="BZ65" i="3"/>
  <c r="BR63" i="3" l="1"/>
  <c r="BU63" i="3" l="1"/>
  <c r="BS63" i="3"/>
  <c r="BT63" i="3"/>
  <c r="BV63" i="3" l="1"/>
  <c r="CB63" i="3" s="1"/>
  <c r="N64" i="3"/>
  <c r="AB64" i="3" s="1"/>
  <c r="BI64" i="3" s="1"/>
  <c r="BY64" i="3" l="1"/>
  <c r="BJ64" i="3"/>
  <c r="BK64" i="3"/>
  <c r="BN64" i="3" l="1"/>
  <c r="BZ64" i="3" s="1"/>
  <c r="BQ64" i="3"/>
  <c r="CA64" i="3" s="1"/>
  <c r="BZ66" i="3"/>
  <c r="BR64" i="3" l="1"/>
  <c r="BU64" i="3" l="1"/>
  <c r="BT64" i="3"/>
  <c r="BS64" i="3"/>
  <c r="BV64" i="3" l="1"/>
  <c r="CB64" i="3" s="1"/>
  <c r="N65" i="3"/>
  <c r="AB65" i="3" s="1"/>
  <c r="BI65" i="3" s="1"/>
  <c r="BY65" i="3" l="1"/>
  <c r="BK65" i="3"/>
  <c r="BJ65" i="3"/>
  <c r="BN65" i="3" l="1"/>
  <c r="BQ65" i="3"/>
  <c r="CA65" i="3" s="1"/>
  <c r="BR65" i="3" l="1"/>
  <c r="BU65" i="3" s="1"/>
  <c r="BS65" i="3" l="1"/>
  <c r="BT65" i="3"/>
  <c r="BV65" i="3"/>
  <c r="CB65" i="3" s="1"/>
  <c r="N66" i="3"/>
  <c r="AB66" i="3" s="1"/>
  <c r="BI66" i="3" s="1"/>
  <c r="BY66" i="3" l="1"/>
  <c r="BK66" i="3"/>
  <c r="BJ66" i="3"/>
  <c r="BN66" i="3" l="1"/>
  <c r="BQ66" i="3"/>
  <c r="CA66" i="3" s="1"/>
  <c r="Z80" i="3"/>
  <c r="BR66" i="3" l="1"/>
  <c r="BU66" i="3" s="1"/>
  <c r="AA80" i="3"/>
  <c r="AC80" i="3"/>
  <c r="AM80" i="3" s="1"/>
  <c r="BS66" i="3" l="1"/>
  <c r="BT66" i="3"/>
  <c r="BV66" i="3"/>
  <c r="CB66" i="3" s="1"/>
  <c r="N67" i="3"/>
  <c r="AB67" i="3" s="1"/>
  <c r="BI67" i="3" s="1"/>
  <c r="AT96" i="3"/>
  <c r="AU96" i="3" s="1"/>
  <c r="AP95" i="3"/>
  <c r="AQ95" i="3" s="1"/>
  <c r="BH95" i="3" s="1"/>
  <c r="BK67" i="3" l="1"/>
  <c r="BY67" i="3"/>
  <c r="BJ67" i="3"/>
  <c r="BN67" i="3" l="1"/>
  <c r="BQ67" i="3"/>
  <c r="CA67" i="3" s="1"/>
  <c r="BR67" i="3" l="1"/>
  <c r="BU67" i="3" s="1"/>
  <c r="BS67" i="3" l="1"/>
  <c r="BT67" i="3"/>
  <c r="BV67" i="3"/>
  <c r="CB67" i="3" s="1"/>
  <c r="N68" i="3"/>
  <c r="AB68" i="3" s="1"/>
  <c r="BI68" i="3" s="1"/>
  <c r="BJ68" i="3" l="1"/>
  <c r="BY68" i="3"/>
  <c r="BK68" i="3"/>
  <c r="BQ68" i="3" l="1"/>
  <c r="CA68" i="3" s="1"/>
  <c r="BN68" i="3"/>
  <c r="BZ68" i="3" s="1"/>
  <c r="AP79" i="3"/>
  <c r="AQ79" i="3" s="1"/>
  <c r="BH79" i="3" s="1"/>
  <c r="AP90" i="3"/>
  <c r="AQ90" i="3" s="1"/>
  <c r="AP93" i="3"/>
  <c r="AQ93" i="3" s="1"/>
  <c r="BH93" i="3" s="1"/>
  <c r="AP89" i="3"/>
  <c r="AQ89" i="3" s="1"/>
  <c r="BH89" i="3" s="1"/>
  <c r="AP99" i="3"/>
  <c r="AQ99" i="3" s="1"/>
  <c r="AP94" i="3"/>
  <c r="AQ94" i="3" s="1"/>
  <c r="BH94" i="3" s="1"/>
  <c r="AP100" i="3"/>
  <c r="AQ100" i="3" s="1"/>
  <c r="AP84" i="3"/>
  <c r="AQ84" i="3" s="1"/>
  <c r="BH84" i="3" s="1"/>
  <c r="AP78" i="3"/>
  <c r="AQ78" i="3" s="1"/>
  <c r="BH78" i="3" s="1"/>
  <c r="BR68" i="3" l="1"/>
  <c r="BU68" i="3" s="1"/>
  <c r="BV68" i="3" s="1"/>
  <c r="CB68" i="3" s="1"/>
  <c r="N69" i="3"/>
  <c r="AB69" i="3" s="1"/>
  <c r="BI69" i="3" s="1"/>
  <c r="BS68" i="3" l="1"/>
  <c r="BT68" i="3"/>
  <c r="BK69" i="3"/>
  <c r="BY69" i="3"/>
  <c r="BJ69" i="3"/>
  <c r="BN69" i="3" l="1"/>
  <c r="BZ69" i="3" s="1"/>
  <c r="BQ69" i="3"/>
  <c r="CA69" i="3" s="1"/>
  <c r="BR69" i="3" l="1"/>
  <c r="BH90" i="3"/>
  <c r="BU69" i="3" l="1"/>
  <c r="BS69" i="3"/>
  <c r="BT69" i="3"/>
  <c r="BV69" i="3" l="1"/>
  <c r="CB69" i="3" s="1"/>
  <c r="N70" i="3"/>
  <c r="AB70" i="3" s="1"/>
  <c r="BI70" i="3" s="1"/>
  <c r="BK70" i="3" l="1"/>
  <c r="BJ70" i="3"/>
  <c r="BY70" i="3"/>
  <c r="BN70" i="3" l="1"/>
  <c r="BZ70" i="3" s="1"/>
  <c r="BQ70" i="3"/>
  <c r="CA70" i="3" s="1"/>
  <c r="BR70" i="3" l="1"/>
  <c r="BU70" i="3" l="1"/>
  <c r="BT70" i="3"/>
  <c r="BS70" i="3"/>
  <c r="BV70" i="3" l="1"/>
  <c r="CB70" i="3" s="1"/>
  <c r="N71" i="3"/>
  <c r="AB71" i="3" s="1"/>
  <c r="BI71" i="3" s="1"/>
  <c r="BK71" i="3" l="1"/>
  <c r="BJ71" i="3"/>
  <c r="BY71" i="3"/>
  <c r="BQ71" i="3" l="1"/>
  <c r="CA71" i="3" s="1"/>
  <c r="BN71" i="3"/>
  <c r="BR71" i="3" l="1"/>
  <c r="BU71" i="3" s="1"/>
  <c r="BS71" i="3" l="1"/>
  <c r="BT71" i="3"/>
  <c r="BV71" i="3"/>
  <c r="CB71" i="3" s="1"/>
  <c r="N72" i="3"/>
  <c r="AB72" i="3" s="1"/>
  <c r="BI72" i="3" s="1"/>
  <c r="BK72" i="3" l="1"/>
  <c r="BY72" i="3"/>
  <c r="BJ72" i="3"/>
  <c r="BQ72" i="3" l="1"/>
  <c r="CA72" i="3" s="1"/>
  <c r="BN72" i="3"/>
  <c r="BZ72" i="3" s="1"/>
  <c r="BR72" i="3" l="1"/>
  <c r="BU72" i="3" l="1"/>
  <c r="BS72" i="3"/>
  <c r="BT72" i="3"/>
  <c r="BV72" i="3" l="1"/>
  <c r="CB72" i="3" s="1"/>
  <c r="N73" i="3"/>
  <c r="AB73" i="3" s="1"/>
  <c r="BI73" i="3" s="1"/>
  <c r="BJ74" i="3"/>
  <c r="BJ73" i="3" l="1"/>
  <c r="BY73" i="3"/>
  <c r="BK73" i="3"/>
  <c r="F18" i="7"/>
  <c r="G18" i="7"/>
  <c r="BQ73" i="3" l="1"/>
  <c r="CA73" i="3" s="1"/>
  <c r="BN73" i="3"/>
  <c r="BZ73" i="3" s="1"/>
  <c r="BS74" i="3"/>
  <c r="H18" i="7"/>
  <c r="D18" i="7"/>
  <c r="BR73" i="3" l="1"/>
  <c r="N74" i="3"/>
  <c r="AB74" i="3" s="1"/>
  <c r="BI74" i="3" s="1"/>
  <c r="BH99" i="3"/>
  <c r="BU73" i="3" l="1"/>
  <c r="BT73" i="3"/>
  <c r="BS73" i="3"/>
  <c r="BK74" i="3"/>
  <c r="BY74" i="3"/>
  <c r="BH100" i="3"/>
  <c r="BV73" i="3" l="1"/>
  <c r="CB73" i="3" s="1"/>
  <c r="N75" i="3"/>
  <c r="AB75" i="3" s="1"/>
  <c r="BI75" i="3" s="1"/>
  <c r="BQ74" i="3"/>
  <c r="BN74" i="3"/>
  <c r="BJ75" i="3" l="1"/>
  <c r="BY75" i="3"/>
  <c r="BK75" i="3"/>
  <c r="BZ74" i="3"/>
  <c r="G22" i="7" s="1"/>
  <c r="BR74" i="3"/>
  <c r="BU74" i="3" s="1"/>
  <c r="BV74" i="3" s="1"/>
  <c r="Z76" i="3"/>
  <c r="BN75" i="3" l="1"/>
  <c r="BZ75" i="3" s="1"/>
  <c r="BQ75" i="3"/>
  <c r="CA75" i="3" s="1"/>
  <c r="CB74" i="3"/>
  <c r="BT74" i="3"/>
  <c r="AA76" i="3"/>
  <c r="BR75" i="3" l="1"/>
  <c r="AP80" i="3"/>
  <c r="AQ80" i="3" s="1"/>
  <c r="BH80" i="3" s="1"/>
  <c r="AP81" i="3"/>
  <c r="AQ81" i="3" s="1"/>
  <c r="BH81" i="3" s="1"/>
  <c r="AP82" i="3"/>
  <c r="AQ82" i="3" s="1"/>
  <c r="BH82" i="3" s="1"/>
  <c r="AP83" i="3"/>
  <c r="AQ83" i="3" s="1"/>
  <c r="BH83" i="3" s="1"/>
  <c r="AP96" i="3"/>
  <c r="AQ96" i="3" s="1"/>
  <c r="BH96" i="3" s="1"/>
  <c r="AP85" i="3"/>
  <c r="AQ85" i="3" s="1"/>
  <c r="BH85" i="3" s="1"/>
  <c r="AP91" i="3"/>
  <c r="AQ91" i="3" s="1"/>
  <c r="BH91" i="3" s="1"/>
  <c r="BU75" i="3" l="1"/>
  <c r="BS75" i="3"/>
  <c r="BT75" i="3"/>
  <c r="S76" i="3"/>
  <c r="T76" i="3" s="1"/>
  <c r="AC76" i="3" s="1"/>
  <c r="AM76" i="3" s="1"/>
  <c r="BV75" i="3" l="1"/>
  <c r="CB75" i="3" s="1"/>
  <c r="N76" i="3"/>
  <c r="AB76" i="3" s="1"/>
  <c r="AP88" i="3"/>
  <c r="AQ88" i="3" s="1"/>
  <c r="BH88" i="3" s="1"/>
  <c r="AP97" i="3"/>
  <c r="AQ97" i="3" s="1"/>
  <c r="BH97" i="3" s="1"/>
  <c r="AP87" i="3"/>
  <c r="AQ87" i="3" s="1"/>
  <c r="BH87" i="3" s="1"/>
  <c r="AP92" i="3"/>
  <c r="AQ92" i="3" s="1"/>
  <c r="BH92" i="3" s="1"/>
  <c r="AQ76" i="3"/>
  <c r="BH76" i="3" s="1"/>
  <c r="AP98" i="3"/>
  <c r="AQ98" i="3" s="1"/>
  <c r="BH98" i="3" s="1"/>
  <c r="AP77" i="3"/>
  <c r="AQ77" i="3" s="1"/>
  <c r="BH77" i="3" s="1"/>
  <c r="AP86" i="3"/>
  <c r="AQ86" i="3" s="1"/>
  <c r="BH86" i="3" s="1"/>
  <c r="BZ80" i="3"/>
  <c r="BI76" i="3" l="1"/>
  <c r="BK76" i="3" s="1"/>
  <c r="BQ76" i="3" s="1"/>
  <c r="CA76" i="3" s="1"/>
  <c r="BY76" i="3" l="1"/>
  <c r="F10" i="7" s="1"/>
  <c r="BJ76" i="3"/>
  <c r="BN76" i="3" s="1"/>
  <c r="BZ76" i="3" s="1"/>
  <c r="G10" i="7" s="1"/>
  <c r="BZ87" i="3"/>
  <c r="BR76" i="3" l="1"/>
  <c r="BU76" i="3" s="1"/>
  <c r="BV76" i="3" s="1"/>
  <c r="BS76" i="3" l="1"/>
  <c r="BT76" i="3"/>
  <c r="N77" i="3"/>
  <c r="AB77" i="3" s="1"/>
  <c r="BI77" i="3" s="1"/>
  <c r="BK77" i="3" s="1"/>
  <c r="BY77" i="3" l="1"/>
  <c r="BJ77" i="3"/>
  <c r="BQ77" i="3" s="1"/>
  <c r="CA77" i="3" s="1"/>
  <c r="BN77" i="3"/>
  <c r="D10" i="7"/>
  <c r="CB76" i="3"/>
  <c r="BR77" i="3" l="1"/>
  <c r="BU77" i="3" s="1"/>
  <c r="BV77" i="3" s="1"/>
  <c r="N78" i="3"/>
  <c r="AB78" i="3" s="1"/>
  <c r="BI78" i="3" s="1"/>
  <c r="CB77" i="3" l="1"/>
  <c r="BS77" i="3"/>
  <c r="BT77" i="3"/>
  <c r="BY78" i="3"/>
  <c r="BK78" i="3"/>
  <c r="BJ78" i="3"/>
  <c r="BN78" i="3" l="1"/>
  <c r="BZ78" i="3" s="1"/>
  <c r="BQ78" i="3"/>
  <c r="CA78" i="3" s="1"/>
  <c r="BR78" i="3" l="1"/>
  <c r="BU78" i="3" s="1"/>
  <c r="BV78" i="3" s="1"/>
  <c r="BS78" i="3" l="1"/>
  <c r="BT78" i="3"/>
  <c r="CB78" i="3" l="1"/>
  <c r="N79" i="3"/>
  <c r="AB79" i="3" s="1"/>
  <c r="BI79" i="3" s="1"/>
  <c r="BJ79" i="3" l="1"/>
  <c r="BK79" i="3"/>
  <c r="BY79" i="3"/>
  <c r="BQ79" i="3" l="1"/>
  <c r="CA79" i="3" s="1"/>
  <c r="BN79" i="3"/>
  <c r="BZ79" i="3" s="1"/>
  <c r="BR79" i="3" l="1"/>
  <c r="BU79" i="3" s="1"/>
  <c r="BV79" i="3" s="1"/>
  <c r="BS79" i="3" l="1"/>
  <c r="BT79" i="3"/>
  <c r="N80" i="3" l="1"/>
  <c r="AB80" i="3" s="1"/>
  <c r="BI80" i="3" s="1"/>
  <c r="CB79" i="3"/>
  <c r="BK80" i="3" l="1"/>
  <c r="BY80" i="3"/>
  <c r="BJ80" i="3"/>
  <c r="BN80" i="3" l="1"/>
  <c r="BQ80" i="3"/>
  <c r="CA80" i="3" s="1"/>
  <c r="BR80" i="3" l="1"/>
  <c r="BU80" i="3" s="1"/>
  <c r="BV80" i="3" s="1"/>
  <c r="BS80" i="3" l="1"/>
  <c r="BT80" i="3"/>
  <c r="N81" i="3"/>
  <c r="AB81" i="3" s="1"/>
  <c r="BI81" i="3" s="1"/>
  <c r="CB80" i="3"/>
  <c r="H10" i="7" s="1"/>
  <c r="BK81" i="3" l="1"/>
  <c r="BJ81" i="3"/>
  <c r="BY81" i="3"/>
  <c r="BN81" i="3" l="1"/>
  <c r="BQ81" i="3"/>
  <c r="CA81" i="3" s="1"/>
  <c r="BR81" i="3" l="1"/>
  <c r="BU81" i="3" s="1"/>
  <c r="BV81" i="3" s="1"/>
  <c r="BT81" i="3" l="1"/>
  <c r="BS81" i="3"/>
  <c r="N82" i="3" l="1"/>
  <c r="AB82" i="3" s="1"/>
  <c r="BI82" i="3" s="1"/>
  <c r="CB81" i="3"/>
  <c r="BJ82" i="3" l="1"/>
  <c r="BY82" i="3"/>
  <c r="BK82" i="3"/>
  <c r="BN82" i="3" l="1"/>
  <c r="BQ82" i="3"/>
  <c r="CA82" i="3" s="1"/>
  <c r="BR82" i="3" l="1"/>
  <c r="BU82" i="3" s="1"/>
  <c r="BV82" i="3" s="1"/>
  <c r="BS82" i="3" l="1"/>
  <c r="BT82" i="3"/>
  <c r="CB82" i="3"/>
  <c r="N83" i="3"/>
  <c r="AB83" i="3" s="1"/>
  <c r="BI83" i="3" s="1"/>
  <c r="BK83" i="3" l="1"/>
  <c r="BY83" i="3"/>
  <c r="BJ83" i="3"/>
  <c r="BN83" i="3" l="1"/>
  <c r="BZ83" i="3" s="1"/>
  <c r="G23" i="7" s="1"/>
  <c r="BQ83" i="3"/>
  <c r="CA83" i="3" s="1"/>
  <c r="BR83" i="3" l="1"/>
  <c r="BU83" i="3" s="1"/>
  <c r="BV83" i="3" s="1"/>
  <c r="BS83" i="3" l="1"/>
  <c r="BT83" i="3"/>
  <c r="N84" i="3" l="1"/>
  <c r="AB84" i="3" s="1"/>
  <c r="BI84" i="3" s="1"/>
  <c r="D23" i="7" l="1"/>
  <c r="CB83" i="3"/>
  <c r="BJ84" i="3"/>
  <c r="BK84" i="3"/>
  <c r="BY84" i="3"/>
  <c r="BN84" i="3" l="1"/>
  <c r="BZ84" i="3" s="1"/>
  <c r="BQ84" i="3"/>
  <c r="CA84" i="3" s="1"/>
  <c r="BR84" i="3" l="1"/>
  <c r="BU84" i="3" s="1"/>
  <c r="BV84" i="3" s="1"/>
  <c r="BT84" i="3" l="1"/>
  <c r="BS84" i="3"/>
  <c r="CB84" i="3" l="1"/>
  <c r="N85" i="3"/>
  <c r="AB85" i="3" s="1"/>
  <c r="BI85" i="3" s="1"/>
  <c r="BK85" i="3" l="1"/>
  <c r="BJ85" i="3"/>
  <c r="BY85" i="3"/>
  <c r="BQ85" i="3" l="1"/>
  <c r="CA85" i="3" s="1"/>
  <c r="BN85" i="3"/>
  <c r="BZ85" i="3" s="1"/>
  <c r="BR85" i="3" l="1"/>
  <c r="BU85" i="3" s="1"/>
  <c r="BV85" i="3" s="1"/>
  <c r="D20" i="7"/>
  <c r="I19" i="7"/>
  <c r="I18" i="7"/>
  <c r="E18" i="7" s="1"/>
  <c r="O64" i="5" s="1"/>
  <c r="I10" i="7"/>
  <c r="I20" i="7"/>
  <c r="BS85" i="3" l="1"/>
  <c r="BT85" i="3"/>
  <c r="E10" i="7"/>
  <c r="O56" i="5" s="1"/>
  <c r="I28" i="7"/>
  <c r="I29" i="7" s="1"/>
  <c r="CB85" i="3" l="1"/>
  <c r="N86" i="3"/>
  <c r="AB86" i="3" s="1"/>
  <c r="BI86" i="3" s="1"/>
  <c r="BJ86" i="3" l="1"/>
  <c r="BY86" i="3"/>
  <c r="BK86" i="3"/>
  <c r="BN86" i="3" l="1"/>
  <c r="BQ86" i="3"/>
  <c r="CA86" i="3" s="1"/>
  <c r="H20" i="7"/>
  <c r="BR86" i="3" l="1"/>
  <c r="BU86" i="3" s="1"/>
  <c r="BV86" i="3" s="1"/>
  <c r="BT86" i="3" l="1"/>
  <c r="BS86" i="3"/>
  <c r="CB86" i="3" l="1"/>
  <c r="N87" i="3"/>
  <c r="AB87" i="3" s="1"/>
  <c r="BI87" i="3" s="1"/>
  <c r="BK87" i="3" l="1"/>
  <c r="BY87" i="3"/>
  <c r="BJ87" i="3"/>
  <c r="BQ87" i="3" l="1"/>
  <c r="CA87" i="3" s="1"/>
  <c r="BN87" i="3"/>
  <c r="BR87" i="3" l="1"/>
  <c r="BU87" i="3" s="1"/>
  <c r="BV87" i="3" s="1"/>
  <c r="BT87" i="3" l="1"/>
  <c r="BS87" i="3"/>
  <c r="CB87" i="3"/>
  <c r="N88" i="3"/>
  <c r="AB88" i="3" s="1"/>
  <c r="BI88" i="3" s="1"/>
  <c r="BJ88" i="3" l="1"/>
  <c r="BK88" i="3"/>
  <c r="BY88" i="3"/>
  <c r="BQ88" i="3" l="1"/>
  <c r="CA88" i="3" s="1"/>
  <c r="BN88" i="3"/>
  <c r="F23" i="7"/>
  <c r="BR88" i="3" l="1"/>
  <c r="G25" i="7"/>
  <c r="BU88" i="3" l="1"/>
  <c r="BV88" i="3" s="1"/>
  <c r="BS88" i="3"/>
  <c r="BT88" i="3"/>
  <c r="N89" i="3" l="1"/>
  <c r="AB89" i="3" s="1"/>
  <c r="BI89" i="3" s="1"/>
  <c r="BJ89" i="3" s="1"/>
  <c r="CB88" i="3"/>
  <c r="BY89" i="3" l="1"/>
  <c r="BK89" i="3"/>
  <c r="BQ89" i="3" s="1"/>
  <c r="CA89" i="3" s="1"/>
  <c r="F20" i="7"/>
  <c r="BN89" i="3" l="1"/>
  <c r="BZ89" i="3" s="1"/>
  <c r="G20" i="7"/>
  <c r="E20" i="7" s="1"/>
  <c r="O66" i="5" s="1"/>
  <c r="BR89" i="3" l="1"/>
  <c r="BU89" i="3" s="1"/>
  <c r="BV89" i="3" s="1"/>
  <c r="N90" i="3"/>
  <c r="AB90" i="3" s="1"/>
  <c r="BI90" i="3" s="1"/>
  <c r="CB89" i="3" l="1"/>
  <c r="BS89" i="3"/>
  <c r="BT89" i="3"/>
  <c r="BY90" i="3"/>
  <c r="BJ90" i="3"/>
  <c r="BK90" i="3"/>
  <c r="BN90" i="3" l="1"/>
  <c r="BZ90" i="3" s="1"/>
  <c r="BQ90" i="3"/>
  <c r="CA90" i="3" s="1"/>
  <c r="BR90" i="3" l="1"/>
  <c r="BU90" i="3" s="1"/>
  <c r="BV90" i="3" s="1"/>
  <c r="BT90" i="3" l="1"/>
  <c r="BS90" i="3"/>
  <c r="CB90" i="3" l="1"/>
  <c r="N91" i="3"/>
  <c r="AB91" i="3" s="1"/>
  <c r="BI91" i="3" s="1"/>
  <c r="BK91" i="3" l="1"/>
  <c r="BJ91" i="3"/>
  <c r="BY91" i="3"/>
  <c r="BQ91" i="3" l="1"/>
  <c r="CA91" i="3" s="1"/>
  <c r="BN91" i="3"/>
  <c r="BZ91" i="3" s="1"/>
  <c r="BR91" i="3" l="1"/>
  <c r="BU91" i="3" s="1"/>
  <c r="BV91" i="3" s="1"/>
  <c r="BS91" i="3" l="1"/>
  <c r="BT91" i="3"/>
  <c r="CB91" i="3" l="1"/>
  <c r="N92" i="3"/>
  <c r="AB92" i="3" s="1"/>
  <c r="BI92" i="3" s="1"/>
  <c r="BK92" i="3" l="1"/>
  <c r="BY92" i="3"/>
  <c r="BJ92" i="3"/>
  <c r="BN92" i="3" l="1"/>
  <c r="BQ92" i="3"/>
  <c r="CA92" i="3" s="1"/>
  <c r="BR92" i="3" l="1"/>
  <c r="BU92" i="3" s="1"/>
  <c r="BV92" i="3" s="1"/>
  <c r="BT92" i="3" l="1"/>
  <c r="BS92" i="3"/>
  <c r="CB92" i="3"/>
  <c r="N93" i="3"/>
  <c r="AB93" i="3" s="1"/>
  <c r="BI93" i="3" s="1"/>
  <c r="BY93" i="3" l="1"/>
  <c r="BK93" i="3"/>
  <c r="BJ93" i="3"/>
  <c r="BQ93" i="3" l="1"/>
  <c r="CA93" i="3" s="1"/>
  <c r="BN93" i="3"/>
  <c r="BZ93" i="3" s="1"/>
  <c r="BR93" i="3" l="1"/>
  <c r="BU93" i="3" s="1"/>
  <c r="BV93" i="3" s="1"/>
  <c r="BS93" i="3" l="1"/>
  <c r="BT93" i="3"/>
  <c r="CB93" i="3" l="1"/>
  <c r="N94" i="3"/>
  <c r="AB94" i="3" s="1"/>
  <c r="BI94" i="3" s="1"/>
  <c r="BY94" i="3" l="1"/>
  <c r="BJ94" i="3"/>
  <c r="BK94" i="3"/>
  <c r="BQ94" i="3" l="1"/>
  <c r="CA94" i="3" s="1"/>
  <c r="BN94" i="3"/>
  <c r="BZ94" i="3" s="1"/>
  <c r="BR94" i="3" l="1"/>
  <c r="BT94" i="3" l="1"/>
  <c r="BU94" i="3"/>
  <c r="BV94" i="3" s="1"/>
  <c r="N95" i="3"/>
  <c r="AB95" i="3" s="1"/>
  <c r="BI95" i="3" s="1"/>
  <c r="BS94" i="3"/>
  <c r="BJ95" i="3" l="1"/>
  <c r="BY95" i="3"/>
  <c r="F22" i="7" s="1"/>
  <c r="E22" i="7" s="1"/>
  <c r="O68" i="5" s="1"/>
  <c r="BK95" i="3"/>
  <c r="CB94" i="3"/>
  <c r="BN95" i="3" l="1"/>
  <c r="BQ95" i="3"/>
  <c r="BR95" i="3" l="1"/>
  <c r="BU95" i="3" s="1"/>
  <c r="BV95" i="3" s="1"/>
  <c r="BS95" i="3"/>
  <c r="BT95" i="3" l="1"/>
  <c r="CB95" i="3"/>
  <c r="N96" i="3"/>
  <c r="AB96" i="3" s="1"/>
  <c r="BI96" i="3" s="1"/>
  <c r="D22" i="7"/>
  <c r="BK96" i="3" l="1"/>
  <c r="BJ96" i="3"/>
  <c r="BY96" i="3"/>
  <c r="F21" i="7" s="1"/>
  <c r="BN96" i="3" l="1"/>
  <c r="BZ96" i="3" s="1"/>
  <c r="G21" i="7" s="1"/>
  <c r="BQ96" i="3"/>
  <c r="CA96" i="3" s="1"/>
  <c r="H21" i="7" s="1"/>
  <c r="E21" i="7" l="1"/>
  <c r="O67" i="5" s="1"/>
  <c r="BR96" i="3"/>
  <c r="BU96" i="3" s="1"/>
  <c r="BV96" i="3" s="1"/>
  <c r="BT96" i="3" l="1"/>
  <c r="BS96" i="3"/>
  <c r="CB96" i="3" l="1"/>
  <c r="N97" i="3"/>
  <c r="AB97" i="3" s="1"/>
  <c r="BI97" i="3" s="1"/>
  <c r="D21" i="7"/>
  <c r="BK97" i="3" l="1"/>
  <c r="BY97" i="3"/>
  <c r="BJ97" i="3"/>
  <c r="BQ97" i="3" l="1"/>
  <c r="CA97" i="3" s="1"/>
  <c r="BN97" i="3"/>
  <c r="BR97" i="3" l="1"/>
  <c r="BS97" i="3" l="1"/>
  <c r="BU97" i="3"/>
  <c r="BV97" i="3" s="1"/>
  <c r="BT97" i="3"/>
  <c r="N98" i="3" l="1"/>
  <c r="AB98" i="3" s="1"/>
  <c r="BI98" i="3" s="1"/>
  <c r="BJ98" i="3" s="1"/>
  <c r="CB97" i="3"/>
  <c r="BK98" i="3" l="1"/>
  <c r="BQ98" i="3" s="1"/>
  <c r="CA98" i="3" s="1"/>
  <c r="H25" i="7" s="1"/>
  <c r="BY98" i="3"/>
  <c r="F25" i="7" s="1"/>
  <c r="BN98" i="3" l="1"/>
  <c r="BR98" i="3" s="1"/>
  <c r="E25" i="7"/>
  <c r="O71" i="5" s="1"/>
  <c r="BT98" i="3" l="1"/>
  <c r="BU98" i="3"/>
  <c r="BV98" i="3" s="1"/>
  <c r="BS98" i="3"/>
  <c r="N99" i="3" l="1"/>
  <c r="AB99" i="3" s="1"/>
  <c r="BI99" i="3" s="1"/>
  <c r="BJ99" i="3" s="1"/>
  <c r="D25" i="7"/>
  <c r="CB98" i="3"/>
  <c r="BK99" i="3" l="1"/>
  <c r="BQ99" i="3" s="1"/>
  <c r="CA99" i="3" s="1"/>
  <c r="BY99" i="3"/>
  <c r="BN99" i="3" l="1"/>
  <c r="BZ99" i="3" s="1"/>
  <c r="BR99" i="3" l="1"/>
  <c r="BU99" i="3" s="1"/>
  <c r="BV99" i="3" s="1"/>
  <c r="BS99" i="3" l="1"/>
  <c r="BT99" i="3"/>
  <c r="N100" i="3"/>
  <c r="AB100" i="3" s="1"/>
  <c r="BI100" i="3" s="1"/>
  <c r="CB99" i="3"/>
  <c r="H23" i="7"/>
  <c r="E23" i="7" s="1"/>
  <c r="O69" i="5" s="1"/>
  <c r="BY100" i="3" l="1"/>
  <c r="F19" i="7" s="1"/>
  <c r="F28" i="7" s="1"/>
  <c r="BK100" i="3"/>
  <c r="BJ100" i="3"/>
  <c r="BQ100" i="3" l="1"/>
  <c r="CA100" i="3" s="1"/>
  <c r="H19" i="7" s="1"/>
  <c r="H28" i="7" s="1"/>
  <c r="H29" i="7" s="1"/>
  <c r="BN100" i="3"/>
  <c r="BZ100" i="3" s="1"/>
  <c r="G19" i="7" s="1"/>
  <c r="G28" i="7" s="1"/>
  <c r="G29" i="7" s="1"/>
  <c r="BR100" i="3" l="1"/>
  <c r="BU100" i="3" s="1"/>
  <c r="BV100" i="3" s="1"/>
  <c r="E19" i="7"/>
  <c r="E28" i="7" l="1"/>
  <c r="O65" i="5"/>
  <c r="BT100" i="3"/>
  <c r="BS100" i="3"/>
  <c r="O77" i="5" l="1" a="1"/>
  <c r="O75" i="5" a="1"/>
  <c r="O76" i="5" a="1"/>
  <c r="O78" i="5" a="1"/>
  <c r="D19" i="7"/>
  <c r="D28" i="7" s="1"/>
  <c r="CB100" i="3"/>
  <c r="CB1" i="3" s="1"/>
  <c r="O79" i="5" a="1"/>
  <c r="O79" i="5" s="1"/>
  <c r="O75" i="5"/>
  <c r="O77" i="5"/>
  <c r="O78" i="5"/>
  <c r="O76" i="5"/>
  <c r="O80" i="5" l="1"/>
  <c r="F29" i="7" s="1"/>
  <c r="E29" i="7" s="1"/>
  <c r="D29" i="7" s="1"/>
</calcChain>
</file>

<file path=xl/comments1.xml><?xml version="1.0" encoding="utf-8"?>
<comments xmlns="http://schemas.openxmlformats.org/spreadsheetml/2006/main">
  <authors>
    <author>Andrew Ascoli</author>
  </authors>
  <commentList>
    <comment ref="I12" authorId="0" shapeId="0">
      <text>
        <r>
          <rPr>
            <sz val="9"/>
            <color indexed="81"/>
            <rFont val="Tahoma"/>
            <family val="2"/>
          </rPr>
          <t xml:space="preserve">Uses slightly different logic due to being affected by the "Additional Options".
</t>
        </r>
      </text>
    </comment>
  </commentList>
</comments>
</file>

<file path=xl/comments2.xml><?xml version="1.0" encoding="utf-8"?>
<comments xmlns="http://schemas.openxmlformats.org/spreadsheetml/2006/main">
  <authors>
    <author>Andrew Ascoli</author>
  </authors>
  <commentList>
    <comment ref="I56" authorId="0" shapeId="0">
      <text>
        <r>
          <rPr>
            <sz val="9"/>
            <color indexed="81"/>
            <rFont val="Tahoma"/>
            <family val="2"/>
          </rPr>
          <t xml:space="preserve">Uses slightly different logic due to being affected by the "Additional Options".
</t>
        </r>
      </text>
    </comment>
  </commentList>
</comments>
</file>

<file path=xl/sharedStrings.xml><?xml version="1.0" encoding="utf-8"?>
<sst xmlns="http://schemas.openxmlformats.org/spreadsheetml/2006/main" count="1280" uniqueCount="389">
  <si>
    <t>Copayment</t>
  </si>
  <si>
    <t>Coinsurance</t>
  </si>
  <si>
    <t>Plan deductible</t>
  </si>
  <si>
    <t>Benefit deductible</t>
  </si>
  <si>
    <t>Co-payment</t>
  </si>
  <si>
    <t>Allowed amount</t>
  </si>
  <si>
    <t>Benefit Category</t>
  </si>
  <si>
    <t>Date</t>
  </si>
  <si>
    <t>Benefit category</t>
  </si>
  <si>
    <t>Claim number</t>
  </si>
  <si>
    <t>Co-insurance</t>
  </si>
  <si>
    <t>Total subscriber payment</t>
  </si>
  <si>
    <t>Covered amount</t>
  </si>
  <si>
    <t>Cost Sharing Type</t>
  </si>
  <si>
    <t>Not Covered</t>
  </si>
  <si>
    <t>Cost-sharing type</t>
  </si>
  <si>
    <t>Coverage Limit per Month</t>
  </si>
  <si>
    <t>Coverage Limit per Year</t>
  </si>
  <si>
    <t>Item or Service Code</t>
  </si>
  <si>
    <t>Prior use (annual)</t>
  </si>
  <si>
    <t>Calendar Month</t>
  </si>
  <si>
    <t>Prior use (month)</t>
  </si>
  <si>
    <t>Monthly limit</t>
  </si>
  <si>
    <t>Annual limit</t>
  </si>
  <si>
    <t>Non-covered and exclusions</t>
  </si>
  <si>
    <t>Subscriber-paid deductible</t>
  </si>
  <si>
    <t>Subscriber-paid copayment</t>
  </si>
  <si>
    <t>Subscriber-paid coinsurance</t>
  </si>
  <si>
    <t>Inpatient Hospital Care (Facility)</t>
  </si>
  <si>
    <t>Professional Services: Primary Care</t>
  </si>
  <si>
    <t>Professional Services: Obstetric Care (Bundled)</t>
  </si>
  <si>
    <t>Professional Services: Procedures &amp; Other</t>
  </si>
  <si>
    <t>Diagnostic Services: Radiology</t>
  </si>
  <si>
    <t>Diagnostic Services: Laboratory</t>
  </si>
  <si>
    <t>Prescription Drugs: Generic</t>
  </si>
  <si>
    <t>Prescription Drugs: Branded</t>
  </si>
  <si>
    <t>Over-the-counter Drugs</t>
  </si>
  <si>
    <t>Preventive Services &amp; Vaccines</t>
  </si>
  <si>
    <t>Durable Medical Equipment</t>
  </si>
  <si>
    <t>Medical Supplies</t>
  </si>
  <si>
    <t>Plan Deductible</t>
  </si>
  <si>
    <t>CPT©, HCPCS, or
Other Billing Code</t>
  </si>
  <si>
    <t>Provider
Type</t>
  </si>
  <si>
    <t>Allowed
Amount</t>
  </si>
  <si>
    <t>Notes</t>
  </si>
  <si>
    <t>Pharmacy Retail</t>
  </si>
  <si>
    <t>Glucagon Emergency Kit</t>
  </si>
  <si>
    <t>Primary</t>
  </si>
  <si>
    <t>Routine Venipuncture</t>
  </si>
  <si>
    <t xml:space="preserve">OneTouch Delica Lancing Device </t>
  </si>
  <si>
    <t xml:space="preserve">OneTouch Ultra Blue Test Strips (Rx - box of 100) [usage = 2 strips/day; 60 per month] </t>
  </si>
  <si>
    <t>OneTouch Delica Lancets (100 per box)  [usage = 60 lancets per month]</t>
  </si>
  <si>
    <t>OneTouch Ultra Control Solution (2 vials/box)</t>
  </si>
  <si>
    <t>OneTouch Ultra 2 Blood Glucose Meter Kit</t>
  </si>
  <si>
    <t>Comprehen Metabolic Panel</t>
  </si>
  <si>
    <t>Lipid panel</t>
  </si>
  <si>
    <t>Microalbumin Quantitative</t>
  </si>
  <si>
    <t>Assay of Urine Creatinine</t>
  </si>
  <si>
    <t>BD Ultrafine Insulin Syringes / 30G/ 0.5cc  [usage = 30 syringes per month]</t>
  </si>
  <si>
    <t>Assay Glucose Blood Quant</t>
  </si>
  <si>
    <t>Glycosylated Hemoglobin Test</t>
  </si>
  <si>
    <t>Insulin glargine 100 unit/ml injectable solution (Rx - 10ml vial)  [20 units QD; expires 28 days after first use]</t>
  </si>
  <si>
    <t>Dietician</t>
  </si>
  <si>
    <t>Med Nutrition Indiv Subseq</t>
  </si>
  <si>
    <t>Diabetes Educator</t>
  </si>
  <si>
    <t>Ophthalmology</t>
  </si>
  <si>
    <t>Office/Outpatient Visit New</t>
  </si>
  <si>
    <t>Podiatry</t>
  </si>
  <si>
    <t>Office/Outpatient Visit Est</t>
  </si>
  <si>
    <t>Aspirin 81mg (OTC - bottle 100) [usage = 1 QD; #30 pills per month]</t>
  </si>
  <si>
    <t>Immunization Admin ADMIN</t>
  </si>
  <si>
    <t xml:space="preserve">Immunization admin each add </t>
  </si>
  <si>
    <t>Flu Vaccine No Preserv 3 &amp; &gt;</t>
  </si>
  <si>
    <t>Subscriber pays:</t>
  </si>
  <si>
    <t>Plan payment (unrounded)</t>
  </si>
  <si>
    <t>Allowed Amount (unrounded)</t>
  </si>
  <si>
    <t>Total (unrounded)</t>
  </si>
  <si>
    <t>Deductibles</t>
  </si>
  <si>
    <t>Copayments</t>
  </si>
  <si>
    <t>Exclusions &amp; Limits</t>
  </si>
  <si>
    <t>Inpatient Facility</t>
  </si>
  <si>
    <t>Anesthesiology</t>
  </si>
  <si>
    <t>Anesth/analg vag delivery</t>
  </si>
  <si>
    <t>OBGYN</t>
  </si>
  <si>
    <t>Obstetrical Care</t>
  </si>
  <si>
    <t>Prenatal Vitamins (OTC - Bottle of 100) [1 pill daily; 30 pills/month]</t>
  </si>
  <si>
    <t xml:space="preserve"> Immunization Admin</t>
  </si>
  <si>
    <t>Flu Vaccine N0 Preserv 3 &amp; &gt;</t>
  </si>
  <si>
    <t>Cystic fibrosis screen</t>
  </si>
  <si>
    <t>Radiology</t>
  </si>
  <si>
    <t>OB US &gt;/= 14 WKS SNGL FETUS</t>
  </si>
  <si>
    <t>Obstetric Panel</t>
  </si>
  <si>
    <t>80055 - Global OB panel code</t>
  </si>
  <si>
    <t>Alpha-fetoprotein serum</t>
  </si>
  <si>
    <t>Maternal serum quad screen</t>
  </si>
  <si>
    <t>Glucose Test</t>
  </si>
  <si>
    <t>Chorionic gonadotropin test</t>
  </si>
  <si>
    <t>Complete cbc w/auto diff wbc</t>
  </si>
  <si>
    <t>Inhibin A</t>
  </si>
  <si>
    <t>HIV-1</t>
  </si>
  <si>
    <t>Strep B DNA Amp Probe</t>
  </si>
  <si>
    <t xml:space="preserve">Detect agnt mult dna ampli </t>
  </si>
  <si>
    <t>Gonorrhea / Chlamydia screen</t>
  </si>
  <si>
    <t>Vaginal delivery w/o complicating diagnoses</t>
  </si>
  <si>
    <t>Urine Pregnancy Test</t>
  </si>
  <si>
    <t>Benefit Deductible</t>
  </si>
  <si>
    <t>Coverage Limits</t>
  </si>
  <si>
    <t>Type of cost sharing that applies</t>
  </si>
  <si>
    <t>per month</t>
  </si>
  <si>
    <t>per year</t>
  </si>
  <si>
    <t>Benefit Deductible Only</t>
  </si>
  <si>
    <t>Copayment Only</t>
  </si>
  <si>
    <t>No Cost Sharing</t>
  </si>
  <si>
    <t>Plan Deductible Only</t>
  </si>
  <si>
    <t>Coinsurance Only</t>
  </si>
  <si>
    <t>Individual Out-of-Pocket (OOP) Limit</t>
  </si>
  <si>
    <t>A0425</t>
  </si>
  <si>
    <t>E0114</t>
  </si>
  <si>
    <t>Q4038</t>
  </si>
  <si>
    <t>Ground mileage, per statute mile</t>
  </si>
  <si>
    <t>Emergency department visit for evaluation and management of patient, which req 3 key components. Usually, presenting problem(s) are high severity, &amp; require urgent physician evaluation but do not pose</t>
  </si>
  <si>
    <t>Radiologic examination, foot; complete, minimum of 3 views</t>
  </si>
  <si>
    <t>Closed treatment of metatarsal fracture; without manipulation, each</t>
  </si>
  <si>
    <t>Crutches, underarm, other than wood, adjustable or fixed, pair, with pads, tips, and handgrips</t>
  </si>
  <si>
    <t>Office or other outpatient visit for the evaluation and management of a new patient, which requires at least 3 key components. Physicians typically spend 30 minutes face-to-face with the patient.</t>
  </si>
  <si>
    <t>Application of short leg cast (below knee to toes);</t>
  </si>
  <si>
    <t>Cast supplies, short leg cast, adult (11 years +), fiberglass</t>
  </si>
  <si>
    <t>Office or other outpatient visit for the evaluation and management of an established patient, which requires at least 2 of 3 key components. Physicians typically spend 15 minutes face-to-face with the</t>
  </si>
  <si>
    <t>Physical therapy evaluation</t>
  </si>
  <si>
    <t>PLAN_ID</t>
  </si>
  <si>
    <t>PLAN_PAYS</t>
  </si>
  <si>
    <t>SUBSCRIBER_DEDUC</t>
  </si>
  <si>
    <t>SUBSCRIBER_COPAY</t>
  </si>
  <si>
    <t>SUBSCRIBER_COINS</t>
  </si>
  <si>
    <t>SUBSCRIBER_EXCL</t>
  </si>
  <si>
    <t>SUBSCRIBER_PAYS</t>
  </si>
  <si>
    <t>Description</t>
  </si>
  <si>
    <t>Covered amount remaining after deductibles</t>
  </si>
  <si>
    <t>OOP</t>
  </si>
  <si>
    <t>limit applies?</t>
  </si>
  <si>
    <t>Cost sharing description</t>
  </si>
  <si>
    <t>Allowed Amount</t>
  </si>
  <si>
    <t>Total (rounded)</t>
  </si>
  <si>
    <t>Rx deductible</t>
  </si>
  <si>
    <t>Rx Deductible</t>
  </si>
  <si>
    <t xml:space="preserve">Option 2: </t>
  </si>
  <si>
    <t>You have three options for loading plan-level data.</t>
  </si>
  <si>
    <t>Option 3:</t>
  </si>
  <si>
    <t>Copy and paste data from an external file into the plan input data worksheet.</t>
  </si>
  <si>
    <t>This worksheet contains the benefit parameters for multiple plans.</t>
  </si>
  <si>
    <t>Click the button that corresponds to the mode you want to use.</t>
  </si>
  <si>
    <t>The user enters data for an individual plan and views the results.</t>
  </si>
  <si>
    <t>The user loads data for multiple plans and runs the calculator.</t>
  </si>
  <si>
    <t xml:space="preserve">the results to an external file, or copy and paste the results for </t>
  </si>
  <si>
    <t>Summary of Subscriber &amp; Plan Payments</t>
  </si>
  <si>
    <t>This worksheet saves the results for the plans listed on the PLAN_OUTPUT_DATA worksheet.</t>
  </si>
  <si>
    <t>You can update the output by clicking on the button to the left.</t>
  </si>
  <si>
    <t>After the output data have been recalculated the RESULTS_SUMMARY worksheet will be displayed.</t>
  </si>
  <si>
    <t>Welcome to the Coverage Examples Cost Sharing Calculator</t>
  </si>
  <si>
    <t>All insurer data entry fields are highlighted in orange.</t>
  </si>
  <si>
    <t>The Cost Sharing Calculator operates in two modes.</t>
  </si>
  <si>
    <t>The user can then browse the results for the individual plans, save</t>
  </si>
  <si>
    <t>Single Plan Mode</t>
  </si>
  <si>
    <t xml:space="preserve">Enter or modify data for each plan. </t>
  </si>
  <si>
    <t>Data entry fields are highlighted in orange.</t>
  </si>
  <si>
    <t>Multiple Plan Mode</t>
  </si>
  <si>
    <t>In multiple plan mode you load data for multiple plans into the calculator.</t>
  </si>
  <si>
    <t>The calculator will check your plan benefit design data for errors and calculate</t>
  </si>
  <si>
    <t>subscriber cost sharing for each plan.</t>
  </si>
  <si>
    <t>After loading plan data you can browse the output and review the benefit design</t>
  </si>
  <si>
    <t>parameters for each plan. You can also correct any errors that were identfied</t>
  </si>
  <si>
    <t>and update your input data by switching to Single Plan Mode.</t>
  </si>
  <si>
    <t>Select the option you want to use by clicking the appropriate button.</t>
  </si>
  <si>
    <t>Click the button to the left to switch to Single Plan Mode</t>
  </si>
  <si>
    <t>You can copy and paste data for individual plans from an external source starting on row 8.</t>
  </si>
  <si>
    <t>the individual plans to a separate worksheet.</t>
  </si>
  <si>
    <t>Type 2 Diabetes Example: Summary of Subscriber and Plan Payments</t>
  </si>
  <si>
    <t>Maternity Example: Summary of Subscriber and Plan Payments</t>
  </si>
  <si>
    <t>Foot Fracture Example: Summary of Subscriber and Plan Payments</t>
  </si>
  <si>
    <t>Maternity Example</t>
  </si>
  <si>
    <t>Diabetes Type 2 Example</t>
  </si>
  <si>
    <t>Foot Fracture Example</t>
  </si>
  <si>
    <t>Plan 2</t>
  </si>
  <si>
    <t>Ophthalmological services: medical examination &amp; evaluation, with initiation or continuation of diagnostic and treatment program, comprehensive, established patient, 1 or more visits</t>
  </si>
  <si>
    <t>Cost sharing¹</t>
  </si>
  <si>
    <t>¹ The benefit-specific deductible, copayment amount, or coinsurance rate that determines consumer liability.</t>
  </si>
  <si>
    <t>² Outpatient services include non-professional Emergency Department services. Professional services fall under the Professional Services benefit categories.</t>
  </si>
  <si>
    <t>Emergency Department (Facility)</t>
  </si>
  <si>
    <t>Ambulance</t>
  </si>
  <si>
    <t>Professional Services: Physical Therapy</t>
  </si>
  <si>
    <t>Over-the-counter Medical Supplies</t>
  </si>
  <si>
    <t>Plan Design Errors</t>
  </si>
  <si>
    <t>Errors exist</t>
  </si>
  <si>
    <t>Has benefit deductible</t>
  </si>
  <si>
    <t>Has co-payment</t>
  </si>
  <si>
    <t>Has co-insurance</t>
  </si>
  <si>
    <t>Has monthly limit</t>
  </si>
  <si>
    <t>Has annual limit</t>
  </si>
  <si>
    <t>Has OOP limit</t>
  </si>
  <si>
    <t>OOP limit applies</t>
  </si>
  <si>
    <t>subscriber pays toward plan deductible</t>
  </si>
  <si>
    <t>subscriber pays toward Rx deductible</t>
  </si>
  <si>
    <t>subscriber pays toward benefit deductible</t>
  </si>
  <si>
    <t>Out of Pocket Limit</t>
  </si>
  <si>
    <t>Deductible D</t>
  </si>
  <si>
    <t>Deductible C</t>
  </si>
  <si>
    <t>Coverage type</t>
  </si>
  <si>
    <t>Other Facility Services</t>
  </si>
  <si>
    <t>Professional Services: Specialist</t>
  </si>
  <si>
    <t>Professional Services: Emergency Department</t>
  </si>
  <si>
    <t>Other Items &amp; Services</t>
  </si>
  <si>
    <t>Coverage Options Table</t>
  </si>
  <si>
    <t>Optional Deductible C</t>
  </si>
  <si>
    <t>Optional Deductible D</t>
  </si>
  <si>
    <t>subscriber pays toward deductible C</t>
  </si>
  <si>
    <t>subscriber pays toward deductible D</t>
  </si>
  <si>
    <t>subscriber pays toward any deductible</t>
  </si>
  <si>
    <t>OPL applies</t>
  </si>
  <si>
    <t>Exclusions</t>
  </si>
  <si>
    <t>Allowable Charge ChkSum</t>
  </si>
  <si>
    <t>Parameters specified in plan benefit design</t>
  </si>
  <si>
    <t>A0429</t>
  </si>
  <si>
    <t>Ambulance service, basic life support, emergency transport (bls-emergency)</t>
  </si>
  <si>
    <t>Assay of estriol</t>
  </si>
  <si>
    <t>CFTR gene analysis, common variants</t>
  </si>
  <si>
    <t>Valid Benefit Category</t>
  </si>
  <si>
    <t>Timeline Count</t>
  </si>
  <si>
    <t>plan payment</t>
  </si>
  <si>
    <t>Plan Parameters</t>
  </si>
  <si>
    <t>Enter data for each plan in Single Plan Mode and save the data to the input data worksheet.</t>
  </si>
  <si>
    <t>Diabetes Example</t>
  </si>
  <si>
    <t>S99929A</t>
  </si>
  <si>
    <t>O80, Z370</t>
  </si>
  <si>
    <t>S92353A</t>
  </si>
  <si>
    <t>E119.00, Z7982, Z794</t>
  </si>
  <si>
    <t>Z3400</t>
  </si>
  <si>
    <t>Z23</t>
  </si>
  <si>
    <t>Z392</t>
  </si>
  <si>
    <t>Z3201</t>
  </si>
  <si>
    <t>Z3800</t>
  </si>
  <si>
    <t>Diagnosis Code 
(ICD-10)</t>
  </si>
  <si>
    <t>OOP Limit</t>
  </si>
  <si>
    <t>Cost sharing Type</t>
  </si>
  <si>
    <t>Monthly Limits</t>
  </si>
  <si>
    <t>Annual Limits</t>
  </si>
  <si>
    <t>OOP Limit Applies</t>
  </si>
  <si>
    <t>Plan Selection:</t>
  </si>
  <si>
    <t>Total Plan Count:</t>
  </si>
  <si>
    <t>Current Plan:</t>
  </si>
  <si>
    <t>BENEFIT_DESIGN Parameters Changed?</t>
  </si>
  <si>
    <t>Plan Name</t>
  </si>
  <si>
    <t>Select Plan:</t>
  </si>
  <si>
    <t>Curent Plan Name:</t>
  </si>
  <si>
    <t>BENEFIT_DESIGN Tab</t>
  </si>
  <si>
    <t>RESULTS_SUMMARY Tab</t>
  </si>
  <si>
    <t>Import data from external file.  External file should reflect the plan input data worksheet, starting on Row 6.</t>
  </si>
  <si>
    <t>Plan 1</t>
  </si>
  <si>
    <t>Plan 3</t>
  </si>
  <si>
    <t>Deductible C Only</t>
  </si>
  <si>
    <t>Begin Primary Care Cost-Sharing After A Set Number of Visits?</t>
  </si>
  <si>
    <t>Allowed amount after copayment or coinsurance</t>
  </si>
  <si>
    <t>OPL</t>
  </si>
  <si>
    <t>Remaining OPL</t>
  </si>
  <si>
    <t>Subscriber-paid deductible after applying OPL</t>
  </si>
  <si>
    <t>Subscriber-paid costsharing after OPL</t>
  </si>
  <si>
    <t>Service Not covered</t>
  </si>
  <si>
    <t>Not Covered because use limit exceeded</t>
  </si>
  <si>
    <t>Coverage Table</t>
  </si>
  <si>
    <t>No</t>
  </si>
  <si>
    <t>Remaining OPL after previous subscriber payments</t>
  </si>
  <si>
    <t>Remaining Rx deductible after previous subscriber payments</t>
  </si>
  <si>
    <t>Remaining plan deductible after previous subscriber payments</t>
  </si>
  <si>
    <t>Remaining deductible C after previous subscriber payments</t>
  </si>
  <si>
    <t>Deductible D Only</t>
  </si>
  <si>
    <t>Remaining deductible D after previous subscriber payments</t>
  </si>
  <si>
    <t>Remaining benefit deductible after previous subcriber payments</t>
  </si>
  <si>
    <t>Coverage type valid</t>
  </si>
  <si>
    <t>Monthly limit valid</t>
  </si>
  <si>
    <t>Annual limit valid</t>
  </si>
  <si>
    <t>OOP limit valid</t>
  </si>
  <si>
    <t>uses plan deductible</t>
  </si>
  <si>
    <t>uses rx deductible</t>
  </si>
  <si>
    <t>uses deductible C</t>
  </si>
  <si>
    <t>uses deductible D</t>
  </si>
  <si>
    <t>uses benefit deductible</t>
  </si>
  <si>
    <t>uses copayment</t>
  </si>
  <si>
    <t>uses coinsurance</t>
  </si>
  <si>
    <t>Monthly Limit Valid?</t>
  </si>
  <si>
    <t>Annual Limit Valid?</t>
  </si>
  <si>
    <t>Not Covered because monthly limit exceeded</t>
  </si>
  <si>
    <t>OPL Valid?</t>
  </si>
  <si>
    <t>Uses Plan deductible?</t>
  </si>
  <si>
    <t>Uses rx deductible?</t>
  </si>
  <si>
    <t>Uses deductible C?</t>
  </si>
  <si>
    <t>Uses deductible D?</t>
  </si>
  <si>
    <t>Uses benefit deductible?</t>
  </si>
  <si>
    <t>Copay Paid</t>
  </si>
  <si>
    <t>Uses Copay?</t>
  </si>
  <si>
    <t>Uses Coinsurance?</t>
  </si>
  <si>
    <t>Copay Value</t>
  </si>
  <si>
    <t>Coinsurance Value</t>
  </si>
  <si>
    <t>Total subscriber payment After OPL</t>
  </si>
  <si>
    <t>Coinsurance Paid</t>
  </si>
  <si>
    <t>Primary Care Prior Use</t>
  </si>
  <si>
    <t>Remaining Covered Amount</t>
  </si>
  <si>
    <t>Visit Covered at 100% by plan</t>
  </si>
  <si>
    <t>Primary Care Visit?</t>
  </si>
  <si>
    <t>Additional Options</t>
  </si>
  <si>
    <t># Visits</t>
  </si>
  <si>
    <t>Applies?</t>
  </si>
  <si>
    <t>Begin Primary Care Cost-Sharing Deductible or Coinsurance After a Set Number of Copays?</t>
  </si>
  <si>
    <t>Can Option apply?</t>
  </si>
  <si>
    <t>Total Not Covered because use limit exceeded</t>
  </si>
  <si>
    <t>Primary Care Prior Copay Paid</t>
  </si>
  <si>
    <t>Plan Paid</t>
  </si>
  <si>
    <t>Rx Deductible Only</t>
  </si>
  <si>
    <t>Plan Deductible + Copay</t>
  </si>
  <si>
    <t>Rx Deductible + Copay</t>
  </si>
  <si>
    <t>Deductible C + Copay</t>
  </si>
  <si>
    <t>Deductible D + Copay</t>
  </si>
  <si>
    <t>Benefit Deductible + Copay</t>
  </si>
  <si>
    <t>Plan Deductible + Coins</t>
  </si>
  <si>
    <t>Rx Deductible + Coins</t>
  </si>
  <si>
    <t>Deductible C + Coins</t>
  </si>
  <si>
    <t>Deductible D + Coins</t>
  </si>
  <si>
    <t>Benefit Deductible + Coins</t>
  </si>
  <si>
    <t>Plan Payment</t>
  </si>
  <si>
    <t>Diabetes Spending</t>
  </si>
  <si>
    <t>Maternity Spending</t>
  </si>
  <si>
    <t>Foot Fracture Spending</t>
  </si>
  <si>
    <t>Spending when Plan Deduct Applies?</t>
  </si>
  <si>
    <t>Spending when Rx Deduct Applies?</t>
  </si>
  <si>
    <t>Spending when Deduct C Applies?</t>
  </si>
  <si>
    <t>Spending when Deduct D Applies?</t>
  </si>
  <si>
    <t>Total Benefit Deductible In Categories with Spending</t>
  </si>
  <si>
    <t>Sum of Applicable Deductibles</t>
  </si>
  <si>
    <t>Oxycodone/APAP 5mg/325mg (Rx) [1 pill Q6H PRN;  30 pills]</t>
  </si>
  <si>
    <t>Ibuprofen 800mg (Rx) [1 pill Q8H PRN; 30 pills]</t>
  </si>
  <si>
    <t>Polyethylene Glycol 3350 [1 dose / 17 GM daily]</t>
  </si>
  <si>
    <t>Cytopath c/v auto fluid redo</t>
  </si>
  <si>
    <t>Ultrasound of pregnant uterus, 1 or more fetus(es)</t>
  </si>
  <si>
    <t>Urine culture/colony count</t>
  </si>
  <si>
    <t>Urinalysis auto w/scope</t>
  </si>
  <si>
    <t>Chylmd trach dna amp probe</t>
  </si>
  <si>
    <t>N.gonorrhoeae dna amp prob</t>
  </si>
  <si>
    <t>59400 - Global OB package description/code</t>
  </si>
  <si>
    <t>Pap smear</t>
  </si>
  <si>
    <t>Lisinopril 20mg (Rx) [1 QD; #30 pills/month]</t>
  </si>
  <si>
    <t>G0108</t>
  </si>
  <si>
    <t>Diabetes outpatient self-management training services, individual, per 30 minutes</t>
  </si>
  <si>
    <t>Vaccine for pneumococcal polysaccharide for injection beneath the skin or into muscle, patient 2 years or older</t>
  </si>
  <si>
    <t>Metformin Hydrochloride 500 MG TABLET [ #60 pills/month]</t>
  </si>
  <si>
    <t>Atorvastatin 40 MG tablet 90 CT [ #30 pills/month]</t>
  </si>
  <si>
    <t>Bundled into 6</t>
  </si>
  <si>
    <t>Post partum visit; Bundled into 6</t>
  </si>
  <si>
    <t>X-ray of ankle, minimum of 3 views</t>
  </si>
  <si>
    <t xml:space="preserve">Therapeutic procedure, 1 or more areas, 2 sessions (15 minutes/session); therapeutic exercises to develop strength and endurance, range of motion and flexibility. </t>
  </si>
  <si>
    <t>L4361</t>
  </si>
  <si>
    <t>Walking boot, pneumatic and/or vacuum, with or without joints, with or without interface material, prefabricated, off-the-shelf</t>
  </si>
  <si>
    <t>Prescription Drugs: Insulin</t>
  </si>
  <si>
    <t>Ambulance (land)</t>
  </si>
  <si>
    <t>Outpatient Hospital</t>
  </si>
  <si>
    <t>Physical Therapy</t>
  </si>
  <si>
    <t>Phase 1: Determine Covered Amount</t>
  </si>
  <si>
    <t>Phase 2: Apply OOP Limit</t>
  </si>
  <si>
    <t>Phase 3a: Apply Special cost sharing - Begin Primary Care cost-sharing after a set number of visits?</t>
  </si>
  <si>
    <t>Phase 3b: Apply special cost sharing: Begin primary care cost sharing deductible or coinsurance after a set number of copays?</t>
  </si>
  <si>
    <t>Phase 4: Apply monthly/annual limit</t>
  </si>
  <si>
    <t>Phase 5: Plan deductible</t>
  </si>
  <si>
    <t>Phase 5: Rx deductible</t>
  </si>
  <si>
    <t>Phase 5: Optional deductible C</t>
  </si>
  <si>
    <t>Phase 5: Optional deductible D</t>
  </si>
  <si>
    <t>Phase 5: Benefit deductible</t>
  </si>
  <si>
    <t>Phase 5 Summary</t>
  </si>
  <si>
    <t>Phase 6: Apply copay and coinsurance</t>
  </si>
  <si>
    <t>Phase 7: Calculate total subscriber pays</t>
  </si>
  <si>
    <t>Phase 8: Summarize payments by payer and phase category</t>
  </si>
  <si>
    <t>Professional Services: Inpatient</t>
  </si>
  <si>
    <t>00093015010</t>
  </si>
  <si>
    <t>Week supply of Acetaminophen 300 MG / Codeine Phosphate 30 MG Oral Tablet</t>
  </si>
  <si>
    <t>Subscriber-Paid Copay</t>
  </si>
  <si>
    <t>Plan 4</t>
  </si>
  <si>
    <t>Plan 5</t>
  </si>
  <si>
    <t>Plan 6</t>
  </si>
  <si>
    <t>Patient Pays**:</t>
  </si>
  <si>
    <t>*Note: Plan Pays Amount will display as empty if the amount is negative due to rounding.
**Note: Patient Pays Amount is capped at the individual out of pocket limit.  Total Amounts may not add up due to rounding.</t>
  </si>
  <si>
    <t>Plan Pays*:</t>
  </si>
  <si>
    <r>
      <t xml:space="preserve">PRA Disclosure Statement: </t>
    </r>
    <r>
      <rPr>
        <sz val="8"/>
        <color theme="1"/>
        <rFont val="Arial"/>
        <family val="2"/>
      </rPr>
      <t xml:space="preserve">According to the Paperwork Reduction Act of 1995, no persons are required to respond to a collection of information unless it displays a valid OMB control number.  The valid OMB control number for this information collection is </t>
    </r>
    <r>
      <rPr>
        <b/>
        <sz val="8"/>
        <color theme="1"/>
        <rFont val="Arial"/>
        <family val="2"/>
      </rPr>
      <t>0938-1146  (Expires 10/31/2022).</t>
    </r>
    <r>
      <rPr>
        <sz val="8"/>
        <color theme="1"/>
        <rFont val="Arial"/>
        <family val="2"/>
      </rPr>
      <t>  The time required to complete this information collection is estimated to average [</t>
    </r>
    <r>
      <rPr>
        <b/>
        <sz val="8"/>
        <color theme="1"/>
        <rFont val="Arial"/>
        <family val="2"/>
      </rPr>
      <t>0.08]</t>
    </r>
    <r>
      <rPr>
        <sz val="8"/>
        <color theme="1"/>
        <rFont val="Arial"/>
        <family val="2"/>
      </rPr>
      <t xml:space="preserve">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r>
  </si>
  <si>
    <t>(DT - OMB control number: 1545-0047/Expiration Date: 12/31/2019)(DOL - OMB control number: 1210-0147/
Expiration date: 5/31/2022)(HHS - OMB control number: 0938-1146/Expiration date: 10/31/2022)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</si>
</sst>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quot;$&quot;#,##0"/>
    <numFmt numFmtId="166" formatCode="mm/dd/yyyy;@"/>
    <numFmt numFmtId="167" formatCode="&quot;$&quot;#,###;;&quot;$&quot;0"/>
    <numFmt numFmtId="168" formatCode="##%;\-##%;0%"/>
    <numFmt numFmtId="169" formatCode="&quot;$&quot;#,##0_);[Red]\(&quot;$&quot;#,##0\);\-"/>
    <numFmt numFmtId="170" formatCode="&quot;$&quot;#,##0.00_);[Red]\(&quot;$&quot;#,##0.00\);\-"/>
    <numFmt numFmtId="171" formatCode="&quot;plan &quot;0"/>
    <numFmt numFmtId="172" formatCode="_(* #,##0_);_(* \(#,##0\);_(*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000000"/>
      <name val="Calibri"/>
      <family val="2"/>
    </font>
    <font>
      <sz val="10"/>
      <color theme="1"/>
      <name val="Calibri"/>
      <family val="2"/>
      <scheme val="minor"/>
    </font>
    <font>
      <sz val="9"/>
      <color indexed="81"/>
      <name val="Tahoma"/>
      <family val="2"/>
    </font>
    <font>
      <b/>
      <sz val="8"/>
      <color theme="1"/>
      <name val="Arial"/>
      <family val="2"/>
    </font>
    <font>
      <sz val="8"/>
      <color theme="1"/>
      <name val="Arial"/>
      <family val="2"/>
    </font>
    <font>
      <sz val="8"/>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DDDEC"/>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style="thin">
        <color auto="1"/>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auto="1"/>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auto="1"/>
      </right>
      <top style="thin">
        <color indexed="64"/>
      </top>
      <bottom style="medium">
        <color indexed="64"/>
      </bottom>
      <diagonal/>
    </border>
    <border>
      <left style="thin">
        <color auto="1"/>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auto="1"/>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indexed="64"/>
      </right>
      <top style="medium">
        <color indexed="64"/>
      </top>
      <bottom style="medium">
        <color indexed="64"/>
      </bottom>
      <diagonal/>
    </border>
    <border>
      <left style="thin">
        <color auto="1"/>
      </left>
      <right style="thin">
        <color indexed="64"/>
      </right>
      <top style="medium">
        <color indexed="64"/>
      </top>
      <bottom/>
      <diagonal/>
    </border>
    <border>
      <left style="thin">
        <color auto="1"/>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167" fontId="1" fillId="5" borderId="8" applyFont="0" applyFill="0" applyBorder="0" applyAlignment="0" applyProtection="0">
      <alignment horizontal="center"/>
    </xf>
    <xf numFmtId="168" fontId="1" fillId="5" borderId="8" applyFont="0" applyFill="0" applyBorder="0" applyAlignment="0" applyProtection="0">
      <alignment horizontal="center"/>
    </xf>
    <xf numFmtId="43" fontId="1" fillId="0" borderId="0" applyFont="0" applyFill="0" applyBorder="0" applyAlignment="0" applyProtection="0"/>
  </cellStyleXfs>
  <cellXfs count="360">
    <xf numFmtId="0" fontId="0" fillId="0" borderId="0" xfId="0"/>
    <xf numFmtId="0" fontId="0" fillId="0" borderId="0" xfId="0" applyAlignment="1">
      <alignment horizontal="center"/>
    </xf>
    <xf numFmtId="0" fontId="2" fillId="0" borderId="0" xfId="0" applyFont="1"/>
    <xf numFmtId="0" fontId="0" fillId="0" borderId="0" xfId="0" applyNumberFormat="1"/>
    <xf numFmtId="0" fontId="0" fillId="0" borderId="0" xfId="0" applyAlignment="1">
      <alignment wrapText="1"/>
    </xf>
    <xf numFmtId="165" fontId="0" fillId="0" borderId="0" xfId="0" applyNumberFormat="1"/>
    <xf numFmtId="0" fontId="0" fillId="0" borderId="0" xfId="0" applyNumberFormat="1" applyAlignment="1">
      <alignment horizontal="center"/>
    </xf>
    <xf numFmtId="0" fontId="2" fillId="0" borderId="0" xfId="0" applyNumberFormat="1" applyFont="1"/>
    <xf numFmtId="9" fontId="0" fillId="0" borderId="0" xfId="1" applyFont="1"/>
    <xf numFmtId="167" fontId="0" fillId="6" borderId="8" xfId="3" applyFont="1" applyFill="1" applyBorder="1" applyAlignment="1">
      <alignment horizontal="right"/>
    </xf>
    <xf numFmtId="0" fontId="0" fillId="2" borderId="11" xfId="0" applyFill="1" applyBorder="1" applyAlignment="1">
      <alignment horizontal="left"/>
    </xf>
    <xf numFmtId="0" fontId="0" fillId="2" borderId="5" xfId="0" applyFill="1" applyBorder="1" applyAlignment="1">
      <alignment horizontal="left"/>
    </xf>
    <xf numFmtId="167" fontId="0" fillId="7" borderId="8" xfId="3" applyFont="1" applyFill="1" applyBorder="1" applyAlignment="1">
      <alignment horizontal="right"/>
    </xf>
    <xf numFmtId="167" fontId="3" fillId="6" borderId="8" xfId="3" applyFont="1" applyFill="1" applyBorder="1" applyAlignment="1">
      <alignment horizontal="right"/>
    </xf>
    <xf numFmtId="0" fontId="0" fillId="0" borderId="0" xfId="0" applyFill="1"/>
    <xf numFmtId="8" fontId="0" fillId="0" borderId="0" xfId="0" applyNumberFormat="1"/>
    <xf numFmtId="0" fontId="0" fillId="0" borderId="0" xfId="0" applyBorder="1"/>
    <xf numFmtId="0" fontId="0" fillId="5" borderId="13" xfId="0" applyFill="1" applyBorder="1" applyAlignment="1" applyProtection="1">
      <alignment horizontal="left"/>
      <protection locked="0"/>
    </xf>
    <xf numFmtId="0" fontId="0" fillId="0" borderId="14" xfId="0" applyBorder="1"/>
    <xf numFmtId="0" fontId="0" fillId="0" borderId="15" xfId="0" applyBorder="1" applyAlignment="1">
      <alignment horizontal="centerContinuous"/>
    </xf>
    <xf numFmtId="0" fontId="0" fillId="0" borderId="16" xfId="0" applyBorder="1" applyAlignment="1">
      <alignment horizontal="centerContinuous"/>
    </xf>
    <xf numFmtId="0" fontId="0" fillId="2" borderId="18" xfId="0" applyFill="1" applyBorder="1"/>
    <xf numFmtId="0" fontId="0" fillId="2" borderId="19" xfId="0" applyFill="1" applyBorder="1" applyAlignment="1">
      <alignment horizontal="center" wrapText="1"/>
    </xf>
    <xf numFmtId="0" fontId="0" fillId="2" borderId="20" xfId="0" applyFill="1" applyBorder="1" applyAlignment="1">
      <alignment horizontal="center" wrapText="1"/>
    </xf>
    <xf numFmtId="0" fontId="0" fillId="2" borderId="21" xfId="0" applyFill="1" applyBorder="1" applyAlignment="1">
      <alignment horizontal="center" wrapText="1"/>
    </xf>
    <xf numFmtId="0" fontId="0" fillId="2" borderId="22" xfId="0" applyFill="1" applyBorder="1"/>
    <xf numFmtId="0" fontId="0" fillId="5" borderId="3" xfId="0" applyFill="1" applyBorder="1" applyAlignment="1" applyProtection="1">
      <alignment horizontal="left"/>
      <protection locked="0"/>
    </xf>
    <xf numFmtId="165" fontId="0" fillId="5" borderId="23" xfId="3" applyNumberFormat="1" applyFont="1" applyFill="1" applyBorder="1" applyAlignment="1" applyProtection="1">
      <alignment horizontal="center"/>
      <protection locked="0"/>
    </xf>
    <xf numFmtId="0" fontId="0" fillId="8" borderId="8" xfId="0" applyFill="1" applyBorder="1" applyAlignment="1">
      <alignment horizontal="center"/>
    </xf>
    <xf numFmtId="0" fontId="0" fillId="2" borderId="25" xfId="0" applyFill="1" applyBorder="1"/>
    <xf numFmtId="168" fontId="0" fillId="8" borderId="3" xfId="4" applyFont="1" applyFill="1" applyBorder="1" applyAlignment="1" applyProtection="1">
      <alignment horizontal="center"/>
      <protection locked="0"/>
    </xf>
    <xf numFmtId="0" fontId="0" fillId="2" borderId="27" xfId="0" applyFill="1" applyBorder="1"/>
    <xf numFmtId="167" fontId="0" fillId="8" borderId="28" xfId="3" applyFont="1" applyFill="1" applyBorder="1" applyAlignment="1" applyProtection="1">
      <alignment horizontal="center"/>
      <protection locked="0"/>
    </xf>
    <xf numFmtId="0" fontId="0" fillId="8" borderId="20" xfId="0" applyFill="1" applyBorder="1" applyAlignment="1">
      <alignment horizontal="center"/>
    </xf>
    <xf numFmtId="0" fontId="0" fillId="8" borderId="24" xfId="0" applyFill="1" applyBorder="1" applyAlignment="1" applyProtection="1">
      <alignment horizontal="center"/>
      <protection locked="0"/>
    </xf>
    <xf numFmtId="0" fontId="0" fillId="8" borderId="29" xfId="0" applyFill="1" applyBorder="1" applyAlignment="1" applyProtection="1">
      <alignment horizontal="center"/>
      <protection locked="0"/>
    </xf>
    <xf numFmtId="0" fontId="0" fillId="0" borderId="17" xfId="0" applyBorder="1" applyAlignment="1">
      <alignment horizontal="center"/>
    </xf>
    <xf numFmtId="0" fontId="0" fillId="0" borderId="20" xfId="0" applyBorder="1" applyAlignment="1">
      <alignment horizontal="center" wrapText="1"/>
    </xf>
    <xf numFmtId="0" fontId="0" fillId="0" borderId="19" xfId="0" applyBorder="1" applyAlignment="1">
      <alignment horizontal="center" wrapText="1"/>
    </xf>
    <xf numFmtId="0" fontId="0" fillId="2" borderId="4" xfId="0" applyFill="1" applyBorder="1" applyAlignment="1"/>
    <xf numFmtId="0" fontId="0" fillId="2" borderId="5" xfId="0" applyFill="1" applyBorder="1" applyAlignment="1"/>
    <xf numFmtId="0" fontId="0" fillId="2" borderId="6" xfId="0" applyFill="1" applyBorder="1" applyAlignment="1"/>
    <xf numFmtId="0" fontId="0" fillId="2" borderId="7" xfId="0" applyFill="1" applyBorder="1" applyAlignment="1"/>
    <xf numFmtId="0" fontId="0" fillId="2" borderId="9" xfId="0" applyFill="1" applyBorder="1" applyAlignment="1"/>
    <xf numFmtId="0" fontId="0" fillId="2" borderId="10" xfId="0" applyFill="1" applyBorder="1" applyAlignment="1"/>
    <xf numFmtId="0" fontId="0" fillId="2" borderId="11" xfId="0" applyFill="1" applyBorder="1" applyAlignment="1"/>
    <xf numFmtId="0" fontId="0" fillId="2" borderId="12" xfId="0" applyFill="1" applyBorder="1" applyAlignment="1"/>
    <xf numFmtId="0" fontId="0" fillId="2" borderId="8" xfId="0" applyFill="1" applyBorder="1" applyAlignment="1"/>
    <xf numFmtId="0" fontId="0" fillId="2" borderId="2" xfId="0" applyFill="1" applyBorder="1" applyAlignment="1"/>
    <xf numFmtId="0" fontId="0" fillId="4" borderId="1" xfId="0" applyFill="1" applyBorder="1" applyAlignment="1">
      <alignment horizontal="centerContinuous"/>
    </xf>
    <xf numFmtId="0" fontId="0" fillId="4" borderId="2" xfId="0" applyFill="1" applyBorder="1" applyAlignment="1">
      <alignment horizontal="centerContinuous"/>
    </xf>
    <xf numFmtId="0" fontId="0" fillId="4" borderId="3" xfId="0" applyFill="1" applyBorder="1" applyAlignment="1">
      <alignment horizontal="centerContinuous"/>
    </xf>
    <xf numFmtId="0" fontId="2" fillId="2" borderId="8" xfId="0" applyFont="1" applyFill="1" applyBorder="1" applyAlignment="1">
      <alignment horizontal="left"/>
    </xf>
    <xf numFmtId="0" fontId="2" fillId="2" borderId="1" xfId="0" applyFont="1" applyFill="1" applyBorder="1" applyAlignment="1">
      <alignment horizontal="left"/>
    </xf>
    <xf numFmtId="0" fontId="0" fillId="4" borderId="7" xfId="0" applyFill="1" applyBorder="1" applyAlignment="1"/>
    <xf numFmtId="0" fontId="0" fillId="4" borderId="0" xfId="0" applyFill="1" applyBorder="1" applyAlignment="1"/>
    <xf numFmtId="0" fontId="0" fillId="4" borderId="9" xfId="0" applyFill="1" applyBorder="1" applyAlignment="1"/>
    <xf numFmtId="0" fontId="0" fillId="4" borderId="10" xfId="0" applyFill="1" applyBorder="1" applyAlignment="1"/>
    <xf numFmtId="0" fontId="0" fillId="4" borderId="11" xfId="0" applyFill="1" applyBorder="1" applyAlignment="1"/>
    <xf numFmtId="0" fontId="0" fillId="4" borderId="12" xfId="0" applyFill="1" applyBorder="1" applyAlignment="1"/>
    <xf numFmtId="169" fontId="0" fillId="0" borderId="0" xfId="0" applyNumberFormat="1" applyBorder="1"/>
    <xf numFmtId="169" fontId="0" fillId="0" borderId="31" xfId="0" applyNumberFormat="1" applyBorder="1"/>
    <xf numFmtId="169" fontId="0" fillId="0" borderId="35" xfId="0" applyNumberFormat="1" applyBorder="1"/>
    <xf numFmtId="169" fontId="0" fillId="0" borderId="36" xfId="0" applyNumberFormat="1" applyBorder="1"/>
    <xf numFmtId="169" fontId="0" fillId="0" borderId="37" xfId="0" applyNumberFormat="1" applyBorder="1"/>
    <xf numFmtId="7" fontId="0" fillId="0" borderId="0" xfId="0" applyNumberFormat="1"/>
    <xf numFmtId="0" fontId="0" fillId="3" borderId="0" xfId="0" applyFill="1"/>
    <xf numFmtId="0" fontId="0" fillId="3" borderId="0" xfId="0" applyFill="1" applyBorder="1"/>
    <xf numFmtId="0" fontId="0" fillId="3" borderId="0" xfId="0" applyFill="1" applyAlignment="1">
      <alignment horizontal="center"/>
    </xf>
    <xf numFmtId="0" fontId="0" fillId="3" borderId="0" xfId="0" applyFill="1" applyBorder="1" applyAlignment="1"/>
    <xf numFmtId="0" fontId="0" fillId="3" borderId="0" xfId="0" applyFill="1" applyBorder="1" applyAlignment="1">
      <alignment horizontal="center"/>
    </xf>
    <xf numFmtId="0" fontId="0" fillId="2" borderId="41" xfId="0" applyFill="1" applyBorder="1"/>
    <xf numFmtId="168" fontId="0" fillId="8" borderId="6" xfId="4" applyFont="1" applyFill="1" applyBorder="1" applyAlignment="1" applyProtection="1">
      <alignment horizontal="center"/>
      <protection locked="0"/>
    </xf>
    <xf numFmtId="0" fontId="0" fillId="8" borderId="30" xfId="0" applyFill="1" applyBorder="1" applyAlignment="1">
      <alignment horizontal="center"/>
    </xf>
    <xf numFmtId="0" fontId="0" fillId="8" borderId="42" xfId="0" applyFill="1" applyBorder="1" applyAlignment="1" applyProtection="1">
      <alignment horizontal="center"/>
      <protection locked="0"/>
    </xf>
    <xf numFmtId="0" fontId="0" fillId="9" borderId="0" xfId="0" applyNumberFormat="1" applyFill="1"/>
    <xf numFmtId="0" fontId="0" fillId="4" borderId="0" xfId="0" applyNumberFormat="1" applyFill="1"/>
    <xf numFmtId="0" fontId="2" fillId="3" borderId="0" xfId="0" applyFont="1" applyFill="1" applyAlignment="1">
      <alignment horizontal="center"/>
    </xf>
    <xf numFmtId="0" fontId="2" fillId="3" borderId="0" xfId="0" applyFont="1" applyFill="1"/>
    <xf numFmtId="0" fontId="2" fillId="3" borderId="0" xfId="0" applyFont="1" applyFill="1" applyBorder="1"/>
    <xf numFmtId="0" fontId="0" fillId="10" borderId="0" xfId="0" applyFill="1"/>
    <xf numFmtId="0" fontId="0" fillId="3" borderId="0" xfId="0" applyFill="1" applyBorder="1" applyAlignment="1">
      <alignment horizontal="right"/>
    </xf>
    <xf numFmtId="0" fontId="0" fillId="4" borderId="0" xfId="0" applyFill="1"/>
    <xf numFmtId="0" fontId="2" fillId="4" borderId="1" xfId="0" applyFont="1" applyFill="1" applyBorder="1"/>
    <xf numFmtId="0" fontId="2" fillId="4" borderId="2" xfId="0" applyFont="1" applyFill="1" applyBorder="1"/>
    <xf numFmtId="0" fontId="2" fillId="4" borderId="2" xfId="0" applyFont="1" applyFill="1" applyBorder="1" applyAlignment="1">
      <alignment horizontal="center"/>
    </xf>
    <xf numFmtId="0" fontId="2" fillId="4" borderId="2" xfId="0" applyFont="1" applyFill="1" applyBorder="1" applyAlignment="1"/>
    <xf numFmtId="0" fontId="2" fillId="4" borderId="3" xfId="0" applyFont="1" applyFill="1" applyBorder="1" applyAlignment="1"/>
    <xf numFmtId="7" fontId="0" fillId="4" borderId="0" xfId="0" applyNumberFormat="1" applyFill="1"/>
    <xf numFmtId="7" fontId="0" fillId="9" borderId="0" xfId="0" applyNumberFormat="1" applyFill="1"/>
    <xf numFmtId="0" fontId="2" fillId="4" borderId="0" xfId="0" applyFont="1" applyFill="1" applyAlignment="1">
      <alignment horizontal="centerContinuous"/>
    </xf>
    <xf numFmtId="171" fontId="2" fillId="3" borderId="0" xfId="0" applyNumberFormat="1" applyFont="1" applyFill="1" applyBorder="1" applyAlignment="1">
      <alignment horizontal="center"/>
    </xf>
    <xf numFmtId="0" fontId="5" fillId="3" borderId="0" xfId="0" applyFont="1" applyFill="1"/>
    <xf numFmtId="0" fontId="5" fillId="3" borderId="0" xfId="0" applyFont="1" applyFill="1" applyBorder="1"/>
    <xf numFmtId="0" fontId="5" fillId="3" borderId="0" xfId="0" applyFont="1" applyFill="1" applyAlignment="1">
      <alignment horizontal="center"/>
    </xf>
    <xf numFmtId="165" fontId="0" fillId="8" borderId="28" xfId="3" applyNumberFormat="1" applyFont="1" applyFill="1" applyBorder="1" applyAlignment="1" applyProtection="1">
      <alignment horizontal="center"/>
      <protection locked="0"/>
    </xf>
    <xf numFmtId="0" fontId="0" fillId="0" borderId="44" xfId="0" applyBorder="1"/>
    <xf numFmtId="0" fontId="0" fillId="2" borderId="45" xfId="0" applyFill="1" applyBorder="1" applyAlignment="1">
      <alignment horizontal="center" wrapText="1"/>
    </xf>
    <xf numFmtId="0" fontId="0" fillId="2" borderId="47" xfId="0" applyFill="1" applyBorder="1"/>
    <xf numFmtId="165" fontId="0" fillId="8" borderId="48" xfId="3" applyNumberFormat="1" applyFont="1" applyFill="1" applyBorder="1" applyAlignment="1" applyProtection="1">
      <alignment horizontal="center"/>
      <protection locked="0"/>
    </xf>
    <xf numFmtId="167" fontId="0" fillId="8" borderId="48" xfId="3" applyFont="1" applyFill="1" applyBorder="1" applyAlignment="1" applyProtection="1">
      <alignment horizontal="center"/>
      <protection locked="0"/>
    </xf>
    <xf numFmtId="0" fontId="0" fillId="8" borderId="43" xfId="0" applyFill="1" applyBorder="1" applyAlignment="1">
      <alignment horizontal="center"/>
    </xf>
    <xf numFmtId="0" fontId="0" fillId="8" borderId="49" xfId="0" applyFill="1" applyBorder="1" applyAlignment="1" applyProtection="1">
      <alignment horizontal="center"/>
      <protection locked="0"/>
    </xf>
    <xf numFmtId="165" fontId="0" fillId="12" borderId="8" xfId="4" applyNumberFormat="1" applyFont="1" applyFill="1" applyBorder="1" applyAlignment="1" applyProtection="1">
      <alignment horizontal="center"/>
      <protection locked="0"/>
    </xf>
    <xf numFmtId="165" fontId="0" fillId="12" borderId="30" xfId="4" applyNumberFormat="1" applyFont="1" applyFill="1" applyBorder="1" applyAlignment="1" applyProtection="1">
      <alignment horizontal="center"/>
      <protection locked="0"/>
    </xf>
    <xf numFmtId="165" fontId="0" fillId="12" borderId="20" xfId="3" applyNumberFormat="1" applyFont="1" applyFill="1" applyBorder="1" applyAlignment="1" applyProtection="1">
      <alignment horizontal="center"/>
      <protection locked="0"/>
    </xf>
    <xf numFmtId="0" fontId="0" fillId="2" borderId="13" xfId="0" applyFill="1" applyBorder="1"/>
    <xf numFmtId="0" fontId="0" fillId="12" borderId="46" xfId="0" applyNumberFormat="1" applyFill="1" applyBorder="1"/>
    <xf numFmtId="0" fontId="0" fillId="12" borderId="50" xfId="0" applyNumberFormat="1" applyFill="1" applyBorder="1"/>
    <xf numFmtId="0" fontId="0" fillId="12" borderId="8" xfId="0" applyNumberFormat="1" applyFill="1" applyBorder="1"/>
    <xf numFmtId="0" fontId="0" fillId="12" borderId="51" xfId="0" applyNumberFormat="1" applyFill="1" applyBorder="1"/>
    <xf numFmtId="0" fontId="0" fillId="0" borderId="52" xfId="0" applyBorder="1" applyAlignment="1">
      <alignment horizontal="centerContinuous"/>
    </xf>
    <xf numFmtId="0" fontId="0" fillId="2" borderId="27" xfId="0" applyFill="1" applyBorder="1" applyAlignment="1">
      <alignment horizontal="center" wrapText="1"/>
    </xf>
    <xf numFmtId="168" fontId="0" fillId="8" borderId="22" xfId="4" applyFont="1" applyFill="1" applyBorder="1" applyAlignment="1" applyProtection="1">
      <alignment horizontal="center"/>
      <protection locked="0"/>
    </xf>
    <xf numFmtId="168" fontId="0" fillId="8" borderId="41" xfId="4" applyFont="1" applyFill="1" applyBorder="1" applyAlignment="1" applyProtection="1">
      <alignment horizontal="center"/>
      <protection locked="0"/>
    </xf>
    <xf numFmtId="165" fontId="0" fillId="8" borderId="27" xfId="3" applyNumberFormat="1" applyFont="1" applyFill="1" applyBorder="1" applyAlignment="1" applyProtection="1">
      <alignment horizontal="center"/>
      <protection locked="0"/>
    </xf>
    <xf numFmtId="0" fontId="0" fillId="0" borderId="13" xfId="0" applyNumberFormat="1" applyFill="1" applyBorder="1"/>
    <xf numFmtId="0" fontId="0" fillId="0" borderId="46" xfId="0" applyNumberFormat="1" applyFill="1" applyBorder="1"/>
    <xf numFmtId="0" fontId="0" fillId="0" borderId="50" xfId="0" applyNumberFormat="1" applyFill="1" applyBorder="1"/>
    <xf numFmtId="0" fontId="0" fillId="0" borderId="22" xfId="0" applyNumberFormat="1" applyFill="1" applyBorder="1"/>
    <xf numFmtId="0" fontId="0" fillId="0" borderId="8" xfId="0" applyNumberFormat="1" applyFill="1" applyBorder="1"/>
    <xf numFmtId="0" fontId="0" fillId="0" borderId="51" xfId="0" applyNumberFormat="1" applyFill="1" applyBorder="1"/>
    <xf numFmtId="165" fontId="0" fillId="11" borderId="43" xfId="3" applyNumberFormat="1" applyFont="1" applyFill="1" applyBorder="1" applyAlignment="1" applyProtection="1">
      <alignment horizontal="center"/>
      <protection locked="0"/>
    </xf>
    <xf numFmtId="165" fontId="0" fillId="11" borderId="48" xfId="3" applyNumberFormat="1" applyFont="1" applyFill="1" applyBorder="1" applyAlignment="1" applyProtection="1">
      <alignment horizontal="center"/>
      <protection locked="0"/>
    </xf>
    <xf numFmtId="167" fontId="0" fillId="11" borderId="48" xfId="3" applyFont="1" applyFill="1" applyBorder="1" applyAlignment="1" applyProtection="1">
      <alignment horizontal="center"/>
      <protection locked="0"/>
    </xf>
    <xf numFmtId="0" fontId="0" fillId="11" borderId="43" xfId="0" applyFill="1" applyBorder="1" applyAlignment="1">
      <alignment horizontal="center"/>
    </xf>
    <xf numFmtId="0" fontId="0" fillId="11" borderId="49" xfId="0" applyFill="1" applyBorder="1" applyAlignment="1" applyProtection="1">
      <alignment horizontal="center"/>
      <protection locked="0"/>
    </xf>
    <xf numFmtId="0" fontId="0" fillId="0" borderId="0" xfId="0" applyAlignment="1">
      <alignment vertical="top"/>
    </xf>
    <xf numFmtId="0" fontId="0" fillId="0" borderId="0" xfId="0" applyAlignment="1">
      <alignment horizontal="center" vertical="top"/>
    </xf>
    <xf numFmtId="4" fontId="0" fillId="0" borderId="0" xfId="0" applyNumberFormat="1" applyAlignment="1">
      <alignment vertical="top"/>
    </xf>
    <xf numFmtId="0" fontId="0" fillId="0" borderId="0" xfId="0" applyFill="1" applyAlignment="1">
      <alignment horizontal="center" vertical="top"/>
    </xf>
    <xf numFmtId="0" fontId="0" fillId="0" borderId="0" xfId="0" applyFill="1" applyAlignment="1">
      <alignment vertical="top"/>
    </xf>
    <xf numFmtId="4" fontId="0" fillId="0" borderId="0" xfId="0" applyNumberFormat="1" applyFill="1" applyAlignment="1">
      <alignment vertical="top"/>
    </xf>
    <xf numFmtId="0" fontId="2" fillId="0" borderId="0" xfId="0" applyFont="1" applyAlignment="1">
      <alignment wrapText="1"/>
    </xf>
    <xf numFmtId="0" fontId="2" fillId="0" borderId="0" xfId="0" applyFont="1" applyAlignment="1">
      <alignment horizontal="center" wrapText="1"/>
    </xf>
    <xf numFmtId="0" fontId="0" fillId="0" borderId="0" xfId="0" applyAlignment="1">
      <alignment vertical="top" wrapText="1"/>
    </xf>
    <xf numFmtId="0" fontId="0" fillId="0" borderId="0" xfId="0" applyFill="1" applyAlignment="1">
      <alignment vertical="top" wrapText="1"/>
    </xf>
    <xf numFmtId="0" fontId="0" fillId="0" borderId="0" xfId="0" applyProtection="1"/>
    <xf numFmtId="0" fontId="5" fillId="0" borderId="0" xfId="0" applyFont="1" applyProtection="1"/>
    <xf numFmtId="0" fontId="0" fillId="0" borderId="0" xfId="0" applyAlignment="1" applyProtection="1">
      <alignment vertical="top"/>
      <protection locked="0"/>
    </xf>
    <xf numFmtId="0" fontId="2" fillId="3" borderId="0" xfId="0" applyFont="1" applyFill="1" applyBorder="1" applyAlignment="1">
      <alignment horizontal="right"/>
    </xf>
    <xf numFmtId="0" fontId="0" fillId="5" borderId="53" xfId="0" applyFill="1" applyBorder="1" applyAlignment="1" applyProtection="1">
      <alignment horizontal="center"/>
      <protection locked="0"/>
    </xf>
    <xf numFmtId="0" fontId="2" fillId="2" borderId="55" xfId="0" applyFont="1" applyFill="1" applyBorder="1" applyAlignment="1">
      <alignment horizontal="center"/>
    </xf>
    <xf numFmtId="0" fontId="2" fillId="3" borderId="0" xfId="0" applyFont="1" applyFill="1" applyAlignment="1">
      <alignment horizontal="right"/>
    </xf>
    <xf numFmtId="0" fontId="0" fillId="0" borderId="0" xfId="0" applyAlignment="1" applyProtection="1"/>
    <xf numFmtId="0" fontId="2" fillId="0" borderId="0" xfId="0" applyFont="1" applyProtection="1"/>
    <xf numFmtId="0" fontId="2" fillId="0" borderId="0" xfId="0" applyFont="1" applyAlignment="1">
      <alignment horizontal="center"/>
    </xf>
    <xf numFmtId="0" fontId="2" fillId="0" borderId="0" xfId="0" applyNumberFormat="1" applyFont="1" applyAlignment="1">
      <alignment wrapText="1"/>
    </xf>
    <xf numFmtId="0" fontId="0" fillId="0" borderId="0" xfId="0" applyNumberFormat="1" applyProtection="1"/>
    <xf numFmtId="0" fontId="2" fillId="13" borderId="47" xfId="0" applyFont="1" applyFill="1" applyBorder="1" applyAlignment="1">
      <alignment horizontal="center" vertical="center" wrapText="1"/>
    </xf>
    <xf numFmtId="166" fontId="2" fillId="13" borderId="43" xfId="0" applyNumberFormat="1" applyFont="1" applyFill="1" applyBorder="1" applyAlignment="1">
      <alignment horizontal="center" vertical="center" wrapText="1"/>
    </xf>
    <xf numFmtId="0" fontId="2" fillId="13" borderId="43" xfId="0" applyNumberFormat="1" applyFont="1" applyFill="1" applyBorder="1" applyAlignment="1">
      <alignment horizontal="center" vertical="center" wrapText="1"/>
    </xf>
    <xf numFmtId="0" fontId="2" fillId="13" borderId="43" xfId="0" applyFont="1" applyFill="1" applyBorder="1" applyAlignment="1">
      <alignment horizontal="center" vertical="center" wrapText="1"/>
    </xf>
    <xf numFmtId="0" fontId="2" fillId="13" borderId="49" xfId="0" applyFont="1" applyFill="1" applyBorder="1" applyAlignment="1">
      <alignment horizontal="center" vertical="center" wrapText="1"/>
    </xf>
    <xf numFmtId="164" fontId="2" fillId="13" borderId="47" xfId="0" applyNumberFormat="1" applyFont="1" applyFill="1" applyBorder="1" applyAlignment="1">
      <alignment horizontal="center" vertical="center" wrapText="1"/>
    </xf>
    <xf numFmtId="164" fontId="2" fillId="13" borderId="49" xfId="0" applyNumberFormat="1" applyFont="1" applyFill="1" applyBorder="1" applyAlignment="1">
      <alignment horizontal="center" vertical="center" wrapText="1"/>
    </xf>
    <xf numFmtId="172" fontId="2" fillId="13" borderId="43" xfId="5" applyNumberFormat="1" applyFont="1" applyFill="1" applyBorder="1" applyAlignment="1">
      <alignment horizontal="center" vertical="center" wrapText="1"/>
    </xf>
    <xf numFmtId="164" fontId="2" fillId="13" borderId="43" xfId="0" applyNumberFormat="1" applyFont="1" applyFill="1" applyBorder="1" applyAlignment="1">
      <alignment horizontal="center" vertical="center" wrapText="1"/>
    </xf>
    <xf numFmtId="0" fontId="2" fillId="13" borderId="47" xfId="0" applyNumberFormat="1" applyFont="1" applyFill="1" applyBorder="1" applyAlignment="1">
      <alignment horizontal="center" vertical="center" wrapText="1"/>
    </xf>
    <xf numFmtId="0" fontId="2" fillId="13" borderId="48" xfId="0" applyNumberFormat="1" applyFont="1" applyFill="1" applyBorder="1" applyAlignment="1">
      <alignment horizontal="center" vertical="center" wrapText="1"/>
    </xf>
    <xf numFmtId="8" fontId="2" fillId="13" borderId="47" xfId="0" applyNumberFormat="1" applyFont="1" applyFill="1" applyBorder="1" applyAlignment="1">
      <alignment horizontal="center" vertical="center" wrapText="1"/>
    </xf>
    <xf numFmtId="170" fontId="2" fillId="13" borderId="49" xfId="2" applyNumberFormat="1" applyFont="1" applyFill="1" applyBorder="1" applyAlignment="1">
      <alignment horizontal="center" vertical="center" wrapText="1"/>
    </xf>
    <xf numFmtId="164" fontId="2" fillId="13" borderId="47" xfId="2" applyNumberFormat="1" applyFont="1" applyFill="1" applyBorder="1" applyAlignment="1">
      <alignment horizontal="center" vertical="center" wrapText="1"/>
    </xf>
    <xf numFmtId="170" fontId="2" fillId="13" borderId="43" xfId="2" applyNumberFormat="1" applyFont="1" applyFill="1" applyBorder="1" applyAlignment="1">
      <alignment horizontal="center" vertical="center" wrapText="1"/>
    </xf>
    <xf numFmtId="164" fontId="2" fillId="13" borderId="55" xfId="0" applyNumberFormat="1" applyFont="1" applyFill="1" applyBorder="1" applyAlignment="1">
      <alignment horizontal="centerContinuous"/>
    </xf>
    <xf numFmtId="164" fontId="0" fillId="13" borderId="57" xfId="0" applyNumberFormat="1" applyFill="1" applyBorder="1" applyAlignment="1">
      <alignment horizontal="centerContinuous"/>
    </xf>
    <xf numFmtId="0" fontId="2" fillId="13" borderId="55" xfId="0" applyFont="1" applyFill="1" applyBorder="1" applyAlignment="1">
      <alignment horizontal="centerContinuous"/>
    </xf>
    <xf numFmtId="0" fontId="0" fillId="13" borderId="56" xfId="0" applyNumberFormat="1" applyFill="1" applyBorder="1" applyAlignment="1">
      <alignment horizontal="centerContinuous"/>
    </xf>
    <xf numFmtId="172" fontId="0" fillId="13" borderId="56" xfId="5" applyNumberFormat="1" applyFont="1" applyFill="1" applyBorder="1" applyAlignment="1">
      <alignment horizontal="centerContinuous"/>
    </xf>
    <xf numFmtId="164" fontId="0" fillId="13" borderId="56" xfId="0" applyNumberFormat="1" applyFill="1" applyBorder="1" applyAlignment="1">
      <alignment horizontal="centerContinuous"/>
    </xf>
    <xf numFmtId="0" fontId="2" fillId="13" borderId="55" xfId="0" applyNumberFormat="1" applyFont="1" applyFill="1" applyBorder="1" applyAlignment="1">
      <alignment horizontal="centerContinuous"/>
    </xf>
    <xf numFmtId="0" fontId="2" fillId="13" borderId="56" xfId="0" applyNumberFormat="1" applyFont="1" applyFill="1" applyBorder="1" applyAlignment="1">
      <alignment horizontal="centerContinuous"/>
    </xf>
    <xf numFmtId="164" fontId="2" fillId="13" borderId="56" xfId="0" applyNumberFormat="1" applyFont="1" applyFill="1" applyBorder="1" applyAlignment="1">
      <alignment horizontal="centerContinuous"/>
    </xf>
    <xf numFmtId="164" fontId="2" fillId="13" borderId="57" xfId="0" applyNumberFormat="1" applyFont="1" applyFill="1" applyBorder="1" applyAlignment="1">
      <alignment horizontal="centerContinuous"/>
    </xf>
    <xf numFmtId="8" fontId="2" fillId="13" borderId="55" xfId="0" applyNumberFormat="1" applyFont="1" applyFill="1" applyBorder="1" applyAlignment="1">
      <alignment horizontal="centerContinuous"/>
    </xf>
    <xf numFmtId="8" fontId="0" fillId="13" borderId="57" xfId="0" applyNumberFormat="1" applyFill="1" applyBorder="1" applyAlignment="1">
      <alignment horizontal="centerContinuous"/>
    </xf>
    <xf numFmtId="170" fontId="2" fillId="13" borderId="55" xfId="2" applyNumberFormat="1" applyFont="1" applyFill="1" applyBorder="1" applyAlignment="1">
      <alignment horizontal="centerContinuous"/>
    </xf>
    <xf numFmtId="170" fontId="2" fillId="13" borderId="56" xfId="2" applyNumberFormat="1" applyFont="1" applyFill="1" applyBorder="1" applyAlignment="1">
      <alignment horizontal="centerContinuous"/>
    </xf>
    <xf numFmtId="0" fontId="2" fillId="13" borderId="57" xfId="0" applyFont="1" applyFill="1" applyBorder="1" applyAlignment="1">
      <alignment horizontal="centerContinuous"/>
    </xf>
    <xf numFmtId="0" fontId="0" fillId="2" borderId="0" xfId="0" applyFill="1" applyAlignment="1">
      <alignment horizontal="center"/>
    </xf>
    <xf numFmtId="166" fontId="0" fillId="2" borderId="0" xfId="0" applyNumberFormat="1" applyFill="1"/>
    <xf numFmtId="0" fontId="0" fillId="2" borderId="0" xfId="0" applyNumberFormat="1" applyFill="1" applyAlignment="1">
      <alignment horizontal="center"/>
    </xf>
    <xf numFmtId="0" fontId="0" fillId="2" borderId="0" xfId="0" applyNumberFormat="1" applyFill="1" applyAlignment="1">
      <alignment horizontal="left"/>
    </xf>
    <xf numFmtId="0" fontId="0" fillId="2" borderId="0" xfId="0" applyFill="1"/>
    <xf numFmtId="164" fontId="0" fillId="2" borderId="0" xfId="0" applyNumberFormat="1" applyFill="1"/>
    <xf numFmtId="0" fontId="0" fillId="2" borderId="0" xfId="0" applyNumberFormat="1" applyFill="1"/>
    <xf numFmtId="172" fontId="0" fillId="2" borderId="0" xfId="5" applyNumberFormat="1" applyFont="1" applyFill="1"/>
    <xf numFmtId="0" fontId="0" fillId="2" borderId="0" xfId="0" applyNumberFormat="1" applyFill="1" applyAlignment="1">
      <alignment horizontal="right"/>
    </xf>
    <xf numFmtId="164" fontId="0" fillId="2" borderId="0" xfId="0" applyNumberFormat="1" applyFill="1" applyAlignment="1">
      <alignment horizontal="right"/>
    </xf>
    <xf numFmtId="8" fontId="0" fillId="2" borderId="0" xfId="0" applyNumberFormat="1" applyFill="1"/>
    <xf numFmtId="164" fontId="0" fillId="2" borderId="0" xfId="2" applyNumberFormat="1" applyFont="1" applyFill="1"/>
    <xf numFmtId="170" fontId="0" fillId="2" borderId="0" xfId="2" applyNumberFormat="1" applyFont="1" applyFill="1"/>
    <xf numFmtId="164" fontId="0" fillId="2" borderId="0" xfId="0" applyNumberFormat="1" applyFill="1" applyProtection="1">
      <protection locked="0"/>
    </xf>
    <xf numFmtId="0" fontId="0" fillId="2" borderId="13" xfId="0" applyFill="1" applyBorder="1" applyAlignment="1">
      <alignment horizontal="center"/>
    </xf>
    <xf numFmtId="166" fontId="0" fillId="2" borderId="46" xfId="0" applyNumberFormat="1" applyFill="1" applyBorder="1"/>
    <xf numFmtId="0" fontId="0" fillId="2" borderId="46" xfId="0" applyNumberFormat="1" applyFill="1" applyBorder="1"/>
    <xf numFmtId="0" fontId="0" fillId="2" borderId="46" xfId="0" applyNumberFormat="1" applyFill="1" applyBorder="1" applyAlignment="1">
      <alignment horizontal="center"/>
    </xf>
    <xf numFmtId="0" fontId="0" fillId="2" borderId="46" xfId="0" applyFill="1" applyBorder="1" applyAlignment="1">
      <alignment horizontal="left"/>
    </xf>
    <xf numFmtId="0" fontId="0" fillId="2" borderId="46" xfId="0" applyFill="1" applyBorder="1"/>
    <xf numFmtId="0" fontId="0" fillId="2" borderId="58" xfId="0" applyFill="1" applyBorder="1"/>
    <xf numFmtId="170" fontId="0" fillId="2" borderId="13" xfId="2" applyNumberFormat="1" applyFont="1" applyFill="1" applyBorder="1"/>
    <xf numFmtId="170" fontId="0" fillId="2" borderId="58" xfId="2" applyNumberFormat="1" applyFont="1" applyFill="1" applyBorder="1"/>
    <xf numFmtId="172" fontId="0" fillId="2" borderId="46" xfId="5" applyNumberFormat="1" applyFont="1" applyFill="1" applyBorder="1"/>
    <xf numFmtId="170" fontId="0" fillId="2" borderId="46" xfId="2" applyNumberFormat="1" applyFont="1" applyFill="1" applyBorder="1"/>
    <xf numFmtId="0" fontId="0" fillId="2" borderId="46" xfId="0" applyNumberFormat="1" applyFill="1" applyBorder="1" applyAlignment="1">
      <alignment horizontal="right"/>
    </xf>
    <xf numFmtId="0" fontId="0" fillId="2" borderId="13" xfId="0" applyNumberFormat="1" applyFill="1" applyBorder="1"/>
    <xf numFmtId="164" fontId="0" fillId="2" borderId="46" xfId="0" applyNumberFormat="1" applyFill="1" applyBorder="1"/>
    <xf numFmtId="0" fontId="0" fillId="2" borderId="22" xfId="0" applyFill="1" applyBorder="1" applyAlignment="1">
      <alignment horizontal="center"/>
    </xf>
    <xf numFmtId="166" fontId="0" fillId="2" borderId="8" xfId="0" applyNumberFormat="1" applyFill="1" applyBorder="1"/>
    <xf numFmtId="0" fontId="0" fillId="2" borderId="8" xfId="0" applyNumberFormat="1" applyFill="1" applyBorder="1"/>
    <xf numFmtId="0" fontId="0" fillId="2" borderId="8" xfId="0" applyNumberFormat="1" applyFill="1" applyBorder="1" applyAlignment="1">
      <alignment horizontal="center"/>
    </xf>
    <xf numFmtId="0" fontId="0" fillId="2" borderId="8" xfId="0" applyFill="1" applyBorder="1" applyAlignment="1">
      <alignment horizontal="left"/>
    </xf>
    <xf numFmtId="0" fontId="0" fillId="2" borderId="8" xfId="0" applyFill="1" applyBorder="1"/>
    <xf numFmtId="0" fontId="0" fillId="2" borderId="24" xfId="0" applyFill="1" applyBorder="1"/>
    <xf numFmtId="170" fontId="0" fillId="2" borderId="22" xfId="2" applyNumberFormat="1" applyFont="1" applyFill="1" applyBorder="1"/>
    <xf numFmtId="170" fontId="0" fillId="2" borderId="24" xfId="2" applyNumberFormat="1" applyFont="1" applyFill="1" applyBorder="1"/>
    <xf numFmtId="172" fontId="0" fillId="2" borderId="8" xfId="5" applyNumberFormat="1" applyFont="1" applyFill="1" applyBorder="1"/>
    <xf numFmtId="170" fontId="0" fillId="2" borderId="8" xfId="2" applyNumberFormat="1" applyFont="1" applyFill="1" applyBorder="1"/>
    <xf numFmtId="0" fontId="0" fillId="2" borderId="8" xfId="0" applyNumberFormat="1" applyFill="1" applyBorder="1" applyAlignment="1">
      <alignment horizontal="right"/>
    </xf>
    <xf numFmtId="0" fontId="0" fillId="2" borderId="22" xfId="0" applyNumberFormat="1" applyFill="1" applyBorder="1"/>
    <xf numFmtId="164" fontId="0" fillId="2" borderId="8" xfId="0" applyNumberFormat="1" applyFill="1" applyBorder="1"/>
    <xf numFmtId="0" fontId="0" fillId="2" borderId="27" xfId="0" applyFill="1" applyBorder="1" applyAlignment="1">
      <alignment horizontal="center"/>
    </xf>
    <xf numFmtId="166" fontId="0" fillId="2" borderId="20" xfId="0" applyNumberFormat="1" applyFill="1" applyBorder="1"/>
    <xf numFmtId="0" fontId="0" fillId="2" borderId="20" xfId="0" applyNumberFormat="1" applyFill="1" applyBorder="1"/>
    <xf numFmtId="0" fontId="0" fillId="2" borderId="20" xfId="0" applyNumberFormat="1" applyFill="1" applyBorder="1" applyAlignment="1">
      <alignment horizontal="center"/>
    </xf>
    <xf numFmtId="0" fontId="0" fillId="2" borderId="20" xfId="0" applyFill="1" applyBorder="1" applyAlignment="1">
      <alignment horizontal="left"/>
    </xf>
    <xf numFmtId="0" fontId="0" fillId="2" borderId="20" xfId="0" applyFill="1" applyBorder="1"/>
    <xf numFmtId="0" fontId="0" fillId="2" borderId="29" xfId="0" applyFill="1" applyBorder="1"/>
    <xf numFmtId="170" fontId="0" fillId="2" borderId="27" xfId="2" applyNumberFormat="1" applyFont="1" applyFill="1" applyBorder="1"/>
    <xf numFmtId="170" fontId="0" fillId="2" borderId="29" xfId="2" applyNumberFormat="1" applyFont="1" applyFill="1" applyBorder="1"/>
    <xf numFmtId="172" fontId="0" fillId="2" borderId="20" xfId="5" applyNumberFormat="1" applyFont="1" applyFill="1" applyBorder="1"/>
    <xf numFmtId="170" fontId="0" fillId="2" borderId="20" xfId="2" applyNumberFormat="1" applyFont="1" applyFill="1" applyBorder="1"/>
    <xf numFmtId="0" fontId="0" fillId="2" borderId="20" xfId="0" applyNumberFormat="1" applyFill="1" applyBorder="1" applyAlignment="1">
      <alignment horizontal="right"/>
    </xf>
    <xf numFmtId="0" fontId="0" fillId="2" borderId="27" xfId="0" applyNumberFormat="1" applyFill="1" applyBorder="1"/>
    <xf numFmtId="164" fontId="0" fillId="2" borderId="20" xfId="0" applyNumberFormat="1" applyFill="1" applyBorder="1"/>
    <xf numFmtId="0" fontId="2" fillId="0" borderId="0" xfId="0" applyFont="1" applyAlignment="1" applyProtection="1"/>
    <xf numFmtId="0" fontId="2" fillId="0" borderId="0" xfId="0" applyNumberFormat="1" applyFont="1" applyAlignment="1">
      <alignment horizontal="center"/>
    </xf>
    <xf numFmtId="0" fontId="2" fillId="0" borderId="0" xfId="0" applyFont="1" applyAlignment="1" applyProtection="1">
      <alignment horizontal="center"/>
    </xf>
    <xf numFmtId="0" fontId="2" fillId="0" borderId="0" xfId="0" applyFont="1" applyAlignment="1" applyProtection="1">
      <alignment horizontal="center" wrapText="1"/>
    </xf>
    <xf numFmtId="170" fontId="0" fillId="2" borderId="0" xfId="0" applyNumberFormat="1" applyFill="1"/>
    <xf numFmtId="9" fontId="0" fillId="2" borderId="0" xfId="1" applyFont="1" applyFill="1"/>
    <xf numFmtId="9" fontId="2" fillId="13" borderId="56" xfId="1" applyFont="1" applyFill="1" applyBorder="1" applyAlignment="1">
      <alignment horizontal="centerContinuous"/>
    </xf>
    <xf numFmtId="9" fontId="2" fillId="13" borderId="43" xfId="1" applyFont="1" applyFill="1" applyBorder="1" applyAlignment="1">
      <alignment horizontal="center" vertical="center" wrapText="1"/>
    </xf>
    <xf numFmtId="9" fontId="0" fillId="2" borderId="46" xfId="1" applyFont="1" applyFill="1" applyBorder="1"/>
    <xf numFmtId="9" fontId="0" fillId="2" borderId="8" xfId="1" applyFont="1" applyFill="1" applyBorder="1"/>
    <xf numFmtId="9" fontId="0" fillId="2" borderId="20" xfId="1" applyFont="1" applyFill="1" applyBorder="1"/>
    <xf numFmtId="9" fontId="0" fillId="5" borderId="23" xfId="1" applyFont="1" applyFill="1" applyBorder="1" applyAlignment="1" applyProtection="1">
      <alignment horizontal="center"/>
      <protection locked="0"/>
    </xf>
    <xf numFmtId="0" fontId="0" fillId="5" borderId="23" xfId="3" applyNumberFormat="1" applyFont="1" applyFill="1" applyBorder="1" applyAlignment="1" applyProtection="1">
      <alignment horizontal="center"/>
      <protection locked="0"/>
    </xf>
    <xf numFmtId="0" fontId="0" fillId="2" borderId="0" xfId="0" applyFill="1" applyBorder="1"/>
    <xf numFmtId="164" fontId="2" fillId="13" borderId="48" xfId="0" applyNumberFormat="1" applyFont="1" applyFill="1" applyBorder="1" applyAlignment="1">
      <alignment horizontal="center" vertical="center" wrapText="1"/>
    </xf>
    <xf numFmtId="170" fontId="0" fillId="2" borderId="12" xfId="2" applyNumberFormat="1" applyFont="1" applyFill="1" applyBorder="1"/>
    <xf numFmtId="170" fontId="0" fillId="2" borderId="3" xfId="2" applyNumberFormat="1" applyFont="1" applyFill="1" applyBorder="1"/>
    <xf numFmtId="170" fontId="0" fillId="2" borderId="28" xfId="2" applyNumberFormat="1" applyFont="1" applyFill="1" applyBorder="1"/>
    <xf numFmtId="0" fontId="0" fillId="2" borderId="8" xfId="5" applyNumberFormat="1" applyFont="1" applyFill="1" applyBorder="1"/>
    <xf numFmtId="0" fontId="0" fillId="2" borderId="20" xfId="5" applyNumberFormat="1" applyFont="1" applyFill="1" applyBorder="1"/>
    <xf numFmtId="0" fontId="0" fillId="5" borderId="26" xfId="3" applyNumberFormat="1" applyFont="1" applyFill="1" applyBorder="1" applyAlignment="1" applyProtection="1">
      <alignment horizontal="center"/>
      <protection locked="0"/>
    </xf>
    <xf numFmtId="165" fontId="0" fillId="5" borderId="45" xfId="3" applyNumberFormat="1" applyFont="1" applyFill="1" applyBorder="1" applyAlignment="1" applyProtection="1">
      <alignment horizontal="center"/>
      <protection locked="0"/>
    </xf>
    <xf numFmtId="165" fontId="0" fillId="8" borderId="20" xfId="3" applyNumberFormat="1" applyFont="1" applyFill="1" applyBorder="1" applyAlignment="1" applyProtection="1">
      <alignment horizontal="center"/>
      <protection locked="0"/>
    </xf>
    <xf numFmtId="0" fontId="2" fillId="2" borderId="47" xfId="0" applyFont="1" applyFill="1" applyBorder="1" applyAlignment="1">
      <alignment horizontal="center"/>
    </xf>
    <xf numFmtId="0" fontId="2" fillId="2" borderId="57" xfId="0" applyFont="1" applyFill="1" applyBorder="1" applyAlignment="1">
      <alignment horizontal="center"/>
    </xf>
    <xf numFmtId="0" fontId="2" fillId="2" borderId="43" xfId="0" applyFont="1" applyFill="1" applyBorder="1" applyAlignment="1">
      <alignment horizontal="center"/>
    </xf>
    <xf numFmtId="0" fontId="0" fillId="2" borderId="13" xfId="0" applyFill="1" applyBorder="1" applyAlignment="1">
      <alignment wrapText="1"/>
    </xf>
    <xf numFmtId="0" fontId="0" fillId="2" borderId="27" xfId="0" applyFill="1" applyBorder="1" applyAlignment="1">
      <alignment wrapText="1"/>
    </xf>
    <xf numFmtId="0" fontId="0" fillId="5" borderId="46" xfId="3" applyNumberFormat="1" applyFont="1" applyFill="1" applyBorder="1" applyAlignment="1" applyProtection="1">
      <alignment horizontal="center" vertical="center"/>
      <protection locked="0"/>
    </xf>
    <xf numFmtId="0" fontId="0" fillId="5" borderId="26" xfId="3" applyNumberFormat="1" applyFont="1" applyFill="1" applyBorder="1" applyAlignment="1" applyProtection="1">
      <alignment horizontal="center" vertical="center"/>
      <protection locked="0"/>
    </xf>
    <xf numFmtId="0" fontId="0" fillId="5" borderId="21" xfId="3" applyNumberFormat="1" applyFont="1" applyFill="1" applyBorder="1" applyAlignment="1" applyProtection="1">
      <alignment horizontal="center" vertical="center"/>
      <protection locked="0"/>
    </xf>
    <xf numFmtId="0" fontId="2" fillId="0" borderId="15" xfId="0" applyFont="1" applyBorder="1" applyAlignment="1">
      <alignment horizontal="centerContinuous"/>
    </xf>
    <xf numFmtId="0" fontId="2" fillId="0" borderId="16" xfId="0" applyFont="1" applyBorder="1" applyAlignment="1">
      <alignment horizontal="centerContinuous"/>
    </xf>
    <xf numFmtId="0" fontId="2" fillId="0" borderId="17" xfId="0" applyFont="1" applyBorder="1" applyAlignment="1">
      <alignment horizontal="center"/>
    </xf>
    <xf numFmtId="0" fontId="2" fillId="2" borderId="28" xfId="0" applyFont="1" applyFill="1" applyBorder="1" applyAlignment="1">
      <alignment horizontal="center" wrapText="1"/>
    </xf>
    <xf numFmtId="0" fontId="2" fillId="2" borderId="19" xfId="0" applyFont="1" applyFill="1" applyBorder="1" applyAlignment="1">
      <alignment horizontal="center" wrapText="1"/>
    </xf>
    <xf numFmtId="0" fontId="2" fillId="0" borderId="20" xfId="0" applyFont="1" applyBorder="1" applyAlignment="1">
      <alignment horizontal="center" wrapText="1"/>
    </xf>
    <xf numFmtId="0" fontId="2" fillId="0" borderId="19" xfId="0" applyFont="1" applyBorder="1" applyAlignment="1">
      <alignment horizontal="center" wrapText="1"/>
    </xf>
    <xf numFmtId="0" fontId="2" fillId="2" borderId="21" xfId="0" applyFont="1" applyFill="1" applyBorder="1" applyAlignment="1">
      <alignment horizontal="center" wrapText="1"/>
    </xf>
    <xf numFmtId="0" fontId="0" fillId="0" borderId="22" xfId="0" applyNumberFormat="1" applyFill="1" applyBorder="1" applyAlignment="1">
      <alignment vertical="center"/>
    </xf>
    <xf numFmtId="0" fontId="0" fillId="0" borderId="24" xfId="0" applyNumberFormat="1" applyFill="1" applyBorder="1" applyAlignment="1">
      <alignment vertical="center"/>
    </xf>
    <xf numFmtId="0" fontId="0" fillId="0" borderId="27" xfId="0" applyNumberFormat="1" applyFill="1" applyBorder="1" applyAlignment="1">
      <alignment vertical="center"/>
    </xf>
    <xf numFmtId="0" fontId="0" fillId="0" borderId="29" xfId="0" applyNumberFormat="1" applyFill="1" applyBorder="1" applyAlignment="1">
      <alignment vertical="center"/>
    </xf>
    <xf numFmtId="0" fontId="0" fillId="12" borderId="8" xfId="0" applyNumberFormat="1" applyFill="1" applyBorder="1" applyAlignment="1">
      <alignment vertical="center"/>
    </xf>
    <xf numFmtId="0" fontId="0" fillId="12" borderId="20" xfId="0" applyNumberFormat="1" applyFill="1" applyBorder="1" applyAlignment="1">
      <alignment vertical="center"/>
    </xf>
    <xf numFmtId="0" fontId="0" fillId="12" borderId="24" xfId="0" applyNumberFormat="1" applyFill="1" applyBorder="1" applyAlignment="1">
      <alignment vertical="center"/>
    </xf>
    <xf numFmtId="0" fontId="0" fillId="12" borderId="29" xfId="0" applyNumberFormat="1" applyFill="1" applyBorder="1" applyAlignment="1">
      <alignment vertical="center"/>
    </xf>
    <xf numFmtId="168" fontId="0" fillId="8" borderId="54" xfId="4" applyFont="1" applyFill="1" applyBorder="1" applyAlignment="1" applyProtection="1">
      <alignment horizontal="center"/>
      <protection locked="0"/>
    </xf>
    <xf numFmtId="168" fontId="0" fillId="8" borderId="14" xfId="4" applyFont="1" applyFill="1" applyBorder="1" applyAlignment="1" applyProtection="1">
      <alignment horizontal="center"/>
      <protection locked="0"/>
    </xf>
    <xf numFmtId="0" fontId="0" fillId="8" borderId="44" xfId="0" applyFill="1" applyBorder="1" applyAlignment="1">
      <alignment horizontal="center"/>
    </xf>
    <xf numFmtId="0" fontId="0" fillId="8" borderId="17" xfId="0" applyFill="1" applyBorder="1" applyAlignment="1" applyProtection="1">
      <alignment horizontal="center"/>
      <protection locked="0"/>
    </xf>
    <xf numFmtId="167" fontId="0" fillId="8" borderId="27" xfId="3" applyFont="1" applyFill="1" applyBorder="1" applyAlignment="1" applyProtection="1">
      <alignment horizontal="center"/>
      <protection locked="0"/>
    </xf>
    <xf numFmtId="0" fontId="0" fillId="2" borderId="12" xfId="2" applyNumberFormat="1" applyFont="1" applyFill="1" applyBorder="1"/>
    <xf numFmtId="0" fontId="0" fillId="2" borderId="3" xfId="2" applyNumberFormat="1" applyFont="1" applyFill="1" applyBorder="1"/>
    <xf numFmtId="0" fontId="0" fillId="2" borderId="28" xfId="2" applyNumberFormat="1" applyFont="1" applyFill="1" applyBorder="1"/>
    <xf numFmtId="8" fontId="0" fillId="2" borderId="58" xfId="2" applyNumberFormat="1" applyFont="1" applyFill="1" applyBorder="1"/>
    <xf numFmtId="164" fontId="2" fillId="13" borderId="59" xfId="0" applyNumberFormat="1" applyFont="1" applyFill="1" applyBorder="1" applyAlignment="1">
      <alignment horizontal="center" vertical="center" wrapText="1"/>
    </xf>
    <xf numFmtId="170" fontId="0" fillId="2" borderId="60" xfId="2" applyNumberFormat="1" applyFont="1" applyFill="1" applyBorder="1"/>
    <xf numFmtId="170" fontId="0" fillId="2" borderId="1" xfId="2" applyNumberFormat="1" applyFont="1" applyFill="1" applyBorder="1"/>
    <xf numFmtId="170" fontId="0" fillId="2" borderId="61" xfId="2" applyNumberFormat="1" applyFont="1" applyFill="1" applyBorder="1"/>
    <xf numFmtId="170" fontId="0" fillId="2" borderId="16" xfId="2" applyNumberFormat="1" applyFont="1" applyFill="1" applyBorder="1"/>
    <xf numFmtId="0" fontId="0" fillId="0" borderId="31" xfId="0" applyFont="1" applyBorder="1" applyAlignment="1"/>
    <xf numFmtId="0" fontId="2" fillId="2" borderId="8" xfId="0" applyFont="1" applyFill="1" applyBorder="1"/>
    <xf numFmtId="0" fontId="2" fillId="2" borderId="2" xfId="0" applyFont="1" applyFill="1" applyBorder="1"/>
    <xf numFmtId="0" fontId="2" fillId="2" borderId="3" xfId="0" applyFont="1" applyFill="1" applyBorder="1"/>
    <xf numFmtId="0" fontId="2" fillId="2" borderId="23" xfId="0" applyFont="1" applyFill="1" applyBorder="1" applyAlignment="1">
      <alignment horizontal="center" vertical="center"/>
    </xf>
    <xf numFmtId="0" fontId="2" fillId="2" borderId="8" xfId="0" applyFont="1" applyFill="1" applyBorder="1" applyAlignment="1">
      <alignment wrapText="1"/>
    </xf>
    <xf numFmtId="0" fontId="2" fillId="2" borderId="32" xfId="0" applyFont="1" applyFill="1" applyBorder="1" applyAlignment="1">
      <alignment wrapText="1"/>
    </xf>
    <xf numFmtId="0" fontId="2" fillId="2" borderId="33" xfId="0" applyFont="1" applyFill="1" applyBorder="1" applyAlignment="1">
      <alignment wrapText="1"/>
    </xf>
    <xf numFmtId="0" fontId="2" fillId="2" borderId="34" xfId="0" applyFont="1" applyFill="1" applyBorder="1" applyAlignment="1">
      <alignment wrapText="1"/>
    </xf>
    <xf numFmtId="0" fontId="2" fillId="2" borderId="8" xfId="0" applyFont="1" applyFill="1" applyBorder="1" applyAlignment="1"/>
    <xf numFmtId="165" fontId="2" fillId="2" borderId="2" xfId="0" applyNumberFormat="1" applyFont="1" applyFill="1" applyBorder="1"/>
    <xf numFmtId="165" fontId="2" fillId="2" borderId="8" xfId="0" applyNumberFormat="1" applyFont="1" applyFill="1" applyBorder="1" applyAlignment="1">
      <alignment horizontal="right"/>
    </xf>
    <xf numFmtId="165" fontId="2" fillId="2" borderId="32" xfId="0" applyNumberFormat="1" applyFont="1" applyFill="1" applyBorder="1" applyAlignment="1">
      <alignment horizontal="right"/>
    </xf>
    <xf numFmtId="165" fontId="2" fillId="2" borderId="33" xfId="0" applyNumberFormat="1" applyFont="1" applyFill="1" applyBorder="1" applyAlignment="1">
      <alignment horizontal="right"/>
    </xf>
    <xf numFmtId="165" fontId="2" fillId="2" borderId="34" xfId="0" applyNumberFormat="1" applyFont="1" applyFill="1" applyBorder="1" applyAlignment="1">
      <alignment horizontal="right"/>
    </xf>
    <xf numFmtId="0" fontId="2" fillId="2" borderId="23" xfId="0" applyFont="1" applyFill="1" applyBorder="1" applyAlignment="1"/>
    <xf numFmtId="165" fontId="2" fillId="2" borderId="23" xfId="0" applyNumberFormat="1" applyFont="1" applyFill="1" applyBorder="1" applyAlignment="1">
      <alignment horizontal="right"/>
    </xf>
    <xf numFmtId="165" fontId="2" fillId="2" borderId="38" xfId="0" applyNumberFormat="1" applyFont="1" applyFill="1" applyBorder="1" applyAlignment="1">
      <alignment horizontal="right"/>
    </xf>
    <xf numFmtId="165" fontId="2" fillId="2" borderId="39" xfId="0" applyNumberFormat="1" applyFont="1" applyFill="1" applyBorder="1" applyAlignment="1">
      <alignment horizontal="right"/>
    </xf>
    <xf numFmtId="165" fontId="2" fillId="2" borderId="40" xfId="0" applyNumberFormat="1" applyFont="1" applyFill="1" applyBorder="1" applyAlignment="1">
      <alignment horizontal="right"/>
    </xf>
    <xf numFmtId="0" fontId="2" fillId="0" borderId="0" xfId="0" applyFont="1" applyAlignment="1">
      <alignment horizontal="right"/>
    </xf>
    <xf numFmtId="0" fontId="0" fillId="0" borderId="0" xfId="5" applyNumberFormat="1" applyFont="1"/>
    <xf numFmtId="164" fontId="0" fillId="0" borderId="0" xfId="0" applyNumberFormat="1" applyAlignment="1">
      <alignment vertical="top"/>
    </xf>
    <xf numFmtId="164" fontId="0" fillId="0" borderId="0" xfId="0" applyNumberFormat="1" applyFill="1" applyAlignment="1">
      <alignment vertical="top"/>
    </xf>
    <xf numFmtId="0" fontId="0" fillId="0" borderId="0" xfId="0" applyFill="1" applyAlignment="1" applyProtection="1">
      <alignment vertical="top"/>
      <protection locked="0"/>
    </xf>
    <xf numFmtId="0" fontId="0" fillId="0" borderId="0" xfId="0" quotePrefix="1" applyAlignment="1">
      <alignment horizontal="center" vertical="top"/>
    </xf>
    <xf numFmtId="4" fontId="0" fillId="0" borderId="0" xfId="0" applyNumberFormat="1" applyFill="1"/>
    <xf numFmtId="164" fontId="0" fillId="0" borderId="0" xfId="0" applyNumberFormat="1" applyFill="1"/>
    <xf numFmtId="0" fontId="0" fillId="2" borderId="41" xfId="0" applyFill="1" applyBorder="1" applyAlignment="1">
      <alignment horizontal="center"/>
    </xf>
    <xf numFmtId="166" fontId="0" fillId="2" borderId="30" xfId="0" applyNumberFormat="1" applyFill="1" applyBorder="1"/>
    <xf numFmtId="0" fontId="0" fillId="2" borderId="30" xfId="0" applyNumberFormat="1" applyFill="1" applyBorder="1"/>
    <xf numFmtId="0" fontId="0" fillId="2" borderId="30" xfId="0" applyFill="1" applyBorder="1" applyAlignment="1">
      <alignment horizontal="left"/>
    </xf>
    <xf numFmtId="0" fontId="0" fillId="2" borderId="30" xfId="0" applyFill="1" applyBorder="1"/>
    <xf numFmtId="0" fontId="0" fillId="2" borderId="42" xfId="0" applyFill="1" applyBorder="1"/>
    <xf numFmtId="170" fontId="0" fillId="2" borderId="41" xfId="2" applyNumberFormat="1" applyFont="1" applyFill="1" applyBorder="1"/>
    <xf numFmtId="170" fontId="0" fillId="2" borderId="30" xfId="2" applyNumberFormat="1" applyFont="1" applyFill="1" applyBorder="1"/>
    <xf numFmtId="170" fontId="0" fillId="2" borderId="6" xfId="2" applyNumberFormat="1" applyFont="1" applyFill="1" applyBorder="1"/>
    <xf numFmtId="0" fontId="0" fillId="2" borderId="30" xfId="0" applyNumberFormat="1" applyFill="1" applyBorder="1" applyAlignment="1">
      <alignment horizontal="right"/>
    </xf>
    <xf numFmtId="170" fontId="0" fillId="2" borderId="42" xfId="2" applyNumberFormat="1" applyFont="1" applyFill="1" applyBorder="1"/>
    <xf numFmtId="0" fontId="0" fillId="2" borderId="6" xfId="2" applyNumberFormat="1" applyFont="1" applyFill="1" applyBorder="1"/>
    <xf numFmtId="0" fontId="0" fillId="2" borderId="30" xfId="5" applyNumberFormat="1" applyFont="1" applyFill="1" applyBorder="1"/>
    <xf numFmtId="170" fontId="0" fillId="2" borderId="4" xfId="2" applyNumberFormat="1" applyFont="1" applyFill="1" applyBorder="1"/>
    <xf numFmtId="172" fontId="0" fillId="2" borderId="30" xfId="5" applyNumberFormat="1" applyFont="1" applyFill="1" applyBorder="1"/>
    <xf numFmtId="0" fontId="0" fillId="2" borderId="41" xfId="0" applyNumberFormat="1" applyFill="1" applyBorder="1"/>
    <xf numFmtId="164" fontId="0" fillId="2" borderId="30" xfId="0" applyNumberFormat="1" applyFill="1" applyBorder="1"/>
    <xf numFmtId="9" fontId="0" fillId="2" borderId="30" xfId="1" applyFont="1" applyFill="1" applyBorder="1"/>
    <xf numFmtId="0" fontId="0" fillId="5" borderId="20" xfId="3" applyNumberFormat="1" applyFont="1" applyFill="1" applyBorder="1" applyAlignment="1" applyProtection="1">
      <alignment horizontal="center" vertical="center"/>
      <protection locked="0"/>
    </xf>
    <xf numFmtId="0" fontId="2" fillId="2" borderId="5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0" fillId="3" borderId="4" xfId="0" applyFont="1" applyFill="1" applyBorder="1" applyAlignment="1">
      <alignment horizontal="left" vertical="top" wrapText="1"/>
    </xf>
    <xf numFmtId="0" fontId="0" fillId="3" borderId="5" xfId="0" applyFont="1" applyFill="1" applyBorder="1" applyAlignment="1">
      <alignment horizontal="left" vertical="top" wrapText="1"/>
    </xf>
    <xf numFmtId="0" fontId="0" fillId="3" borderId="6" xfId="0" applyFont="1" applyFill="1" applyBorder="1" applyAlignment="1">
      <alignment horizontal="left" vertical="top" wrapText="1"/>
    </xf>
    <xf numFmtId="0" fontId="0" fillId="3" borderId="7"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12" xfId="0" applyFont="1" applyFill="1" applyBorder="1" applyAlignment="1">
      <alignment horizontal="left" vertical="top" wrapText="1"/>
    </xf>
    <xf numFmtId="0" fontId="2" fillId="2" borderId="3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7" fillId="3" borderId="0" xfId="0" applyFont="1" applyFill="1" applyAlignment="1">
      <alignment horizontal="left" vertical="center" wrapText="1"/>
    </xf>
    <xf numFmtId="0" fontId="9" fillId="3" borderId="0" xfId="0" applyFont="1" applyFill="1" applyAlignment="1">
      <alignment horizontal="right" wrapText="1"/>
    </xf>
  </cellXfs>
  <cellStyles count="6">
    <cellStyle name="Comma" xfId="5" builtinId="3"/>
    <cellStyle name="Currency" xfId="2" builtinId="4"/>
    <cellStyle name="Dollar" xfId="3"/>
    <cellStyle name="Normal" xfId="0" builtinId="0"/>
    <cellStyle name="Perc" xfId="4"/>
    <cellStyle name="Percent" xfId="1" builtinId="5"/>
  </cellStyles>
  <dxfs count="24">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s>
  <tableStyles count="0" defaultTableStyle="TableStyleMedium2" defaultPivotStyle="PivotStyleLight16"/>
  <colors>
    <mruColors>
      <color rgb="FFCDDD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6/relationships/vbaProject" Target="vbaProject.bin"/><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xdr:colOff>
          <xdr:row>9</xdr:row>
          <xdr:rowOff>0</xdr:rowOff>
        </xdr:from>
        <xdr:to>
          <xdr:col>2</xdr:col>
          <xdr:colOff>552450</xdr:colOff>
          <xdr:row>10</xdr:row>
          <xdr:rowOff>66675</xdr:rowOff>
        </xdr:to>
        <xdr:sp macro="" textlink="">
          <xdr:nvSpPr>
            <xdr:cNvPr id="36865" name="Button 1" hidden="1">
              <a:extLst>
                <a:ext uri="{63B3BB69-23CF-44E3-9099-C40C66FF867C}">
                  <a14:compatExt spid="_x0000_s3686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Single Plan Mode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xdr:colOff>
          <xdr:row>11</xdr:row>
          <xdr:rowOff>9525</xdr:rowOff>
        </xdr:from>
        <xdr:to>
          <xdr:col>2</xdr:col>
          <xdr:colOff>552450</xdr:colOff>
          <xdr:row>12</xdr:row>
          <xdr:rowOff>76200</xdr:rowOff>
        </xdr:to>
        <xdr:sp macro="" textlink="">
          <xdr:nvSpPr>
            <xdr:cNvPr id="36866" name="Button 2" hidden="1">
              <a:extLst>
                <a:ext uri="{63B3BB69-23CF-44E3-9099-C40C66FF867C}">
                  <a14:compatExt spid="_x0000_s3686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Multi-Plan Mode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13</xdr:row>
          <xdr:rowOff>9525</xdr:rowOff>
        </xdr:from>
        <xdr:to>
          <xdr:col>1</xdr:col>
          <xdr:colOff>638175</xdr:colOff>
          <xdr:row>14</xdr:row>
          <xdr:rowOff>85725</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Option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9525</xdr:rowOff>
        </xdr:from>
        <xdr:to>
          <xdr:col>2</xdr:col>
          <xdr:colOff>466725</xdr:colOff>
          <xdr:row>20</xdr:row>
          <xdr:rowOff>85725</xdr:rowOff>
        </xdr:to>
        <xdr:sp macro="" textlink="">
          <xdr:nvSpPr>
            <xdr:cNvPr id="19460" name="Button 4" hidden="1">
              <a:extLst>
                <a:ext uri="{63B3BB69-23CF-44E3-9099-C40C66FF867C}">
                  <a14:compatExt spid="_x0000_s1946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Single Plan Mode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1</xdr:col>
          <xdr:colOff>638175</xdr:colOff>
          <xdr:row>16</xdr:row>
          <xdr:rowOff>76200</xdr:rowOff>
        </xdr:to>
        <xdr:sp macro="" textlink="">
          <xdr:nvSpPr>
            <xdr:cNvPr id="19461" name="Button 5" hidden="1">
              <a:extLst>
                <a:ext uri="{63B3BB69-23CF-44E3-9099-C40C66FF867C}">
                  <a14:compatExt spid="_x0000_s1946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Option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1</xdr:col>
          <xdr:colOff>638175</xdr:colOff>
          <xdr:row>18</xdr:row>
          <xdr:rowOff>76200</xdr:rowOff>
        </xdr:to>
        <xdr:sp macro="" textlink="">
          <xdr:nvSpPr>
            <xdr:cNvPr id="19462" name="Button 6" hidden="1">
              <a:extLst>
                <a:ext uri="{63B3BB69-23CF-44E3-9099-C40C66FF867C}">
                  <a14:compatExt spid="_x0000_s1946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Option 3</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9525</xdr:colOff>
          <xdr:row>0</xdr:row>
          <xdr:rowOff>161925</xdr:rowOff>
        </xdr:from>
        <xdr:to>
          <xdr:col>8</xdr:col>
          <xdr:colOff>571500</xdr:colOff>
          <xdr:row>2</xdr:row>
          <xdr:rowOff>38100</xdr:rowOff>
        </xdr:to>
        <xdr:sp macro="" textlink="">
          <xdr:nvSpPr>
            <xdr:cNvPr id="3073" name="Button 1" hidden="1">
              <a:extLst>
                <a:ext uri="{63B3BB69-23CF-44E3-9099-C40C66FF867C}">
                  <a14:compatExt spid="_x0000_s307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Multi-Plan Mode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2</xdr:row>
          <xdr:rowOff>123825</xdr:rowOff>
        </xdr:from>
        <xdr:to>
          <xdr:col>8</xdr:col>
          <xdr:colOff>571500</xdr:colOff>
          <xdr:row>4</xdr:row>
          <xdr:rowOff>0</xdr:rowOff>
        </xdr:to>
        <xdr:sp macro="" textlink="">
          <xdr:nvSpPr>
            <xdr:cNvPr id="3074" name="Button 2" hidden="1">
              <a:extLst>
                <a:ext uri="{63B3BB69-23CF-44E3-9099-C40C66FF867C}">
                  <a14:compatExt spid="_x0000_s307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Run Calculator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2</xdr:row>
          <xdr:rowOff>133350</xdr:rowOff>
        </xdr:from>
        <xdr:to>
          <xdr:col>4</xdr:col>
          <xdr:colOff>695325</xdr:colOff>
          <xdr:row>4</xdr:row>
          <xdr:rowOff>9525</xdr:rowOff>
        </xdr:to>
        <xdr:sp macro="" textlink="">
          <xdr:nvSpPr>
            <xdr:cNvPr id="3169" name="Button 5" hidden="1">
              <a:extLst>
                <a:ext uri="{63B3BB69-23CF-44E3-9099-C40C66FF867C}">
                  <a14:compatExt spid="_x0000_s316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Update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704850</xdr:colOff>
          <xdr:row>2</xdr:row>
          <xdr:rowOff>133350</xdr:rowOff>
        </xdr:from>
        <xdr:to>
          <xdr:col>5</xdr:col>
          <xdr:colOff>704850</xdr:colOff>
          <xdr:row>4</xdr:row>
          <xdr:rowOff>9525</xdr:rowOff>
        </xdr:to>
        <xdr:sp macro="" textlink="">
          <xdr:nvSpPr>
            <xdr:cNvPr id="3170" name="Button 6" hidden="1">
              <a:extLst>
                <a:ext uri="{63B3BB69-23CF-44E3-9099-C40C66FF867C}">
                  <a14:compatExt spid="_x0000_s317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Save 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133350</xdr:rowOff>
        </xdr:from>
        <xdr:to>
          <xdr:col>3</xdr:col>
          <xdr:colOff>695325</xdr:colOff>
          <xdr:row>4</xdr:row>
          <xdr:rowOff>9525</xdr:rowOff>
        </xdr:to>
        <xdr:sp macro="" textlink="">
          <xdr:nvSpPr>
            <xdr:cNvPr id="3326" name="Button 5" hidden="1">
              <a:extLst>
                <a:ext uri="{63B3BB69-23CF-44E3-9099-C40C66FF867C}">
                  <a14:compatExt spid="_x0000_s332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Clear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0</xdr:row>
          <xdr:rowOff>180975</xdr:rowOff>
        </xdr:from>
        <xdr:to>
          <xdr:col>4</xdr:col>
          <xdr:colOff>628650</xdr:colOff>
          <xdr:row>2</xdr:row>
          <xdr:rowOff>66675</xdr:rowOff>
        </xdr:to>
        <xdr:sp macro="" textlink="">
          <xdr:nvSpPr>
            <xdr:cNvPr id="3464" name="cbBDPlanSelect" hidden="1">
              <a:extLst>
                <a:ext uri="{63B3BB69-23CF-44E3-9099-C40C66FF867C}">
                  <a14:compatExt spid="_x0000_s34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704850</xdr:colOff>
          <xdr:row>1</xdr:row>
          <xdr:rowOff>0</xdr:rowOff>
        </xdr:from>
        <xdr:to>
          <xdr:col>5</xdr:col>
          <xdr:colOff>704850</xdr:colOff>
          <xdr:row>2</xdr:row>
          <xdr:rowOff>66675</xdr:rowOff>
        </xdr:to>
        <xdr:sp macro="" textlink="">
          <xdr:nvSpPr>
            <xdr:cNvPr id="3465" name="Button 6" hidden="1">
              <a:extLst>
                <a:ext uri="{63B3BB69-23CF-44E3-9099-C40C66FF867C}">
                  <a14:compatExt spid="_x0000_s346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Load</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95250</xdr:colOff>
          <xdr:row>2</xdr:row>
          <xdr:rowOff>104775</xdr:rowOff>
        </xdr:from>
        <xdr:to>
          <xdr:col>0</xdr:col>
          <xdr:colOff>1238250</xdr:colOff>
          <xdr:row>3</xdr:row>
          <xdr:rowOff>171450</xdr:rowOff>
        </xdr:to>
        <xdr:sp macro="" textlink="">
          <xdr:nvSpPr>
            <xdr:cNvPr id="33793" name="Button 1" hidden="1">
              <a:extLst>
                <a:ext uri="{63B3BB69-23CF-44E3-9099-C40C66FF867C}">
                  <a14:compatExt spid="_x0000_s3379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Run Calculator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104775</xdr:colOff>
          <xdr:row>0</xdr:row>
          <xdr:rowOff>114300</xdr:rowOff>
        </xdr:from>
        <xdr:to>
          <xdr:col>0</xdr:col>
          <xdr:colOff>1247775</xdr:colOff>
          <xdr:row>1</xdr:row>
          <xdr:rowOff>180975</xdr:rowOff>
        </xdr:to>
        <xdr:sp macro="" textlink="">
          <xdr:nvSpPr>
            <xdr:cNvPr id="33794" name="Button 2" hidden="1">
              <a:extLst>
                <a:ext uri="{63B3BB69-23CF-44E3-9099-C40C66FF867C}">
                  <a14:compatExt spid="_x0000_s3379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Return to Menu</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123825</xdr:colOff>
          <xdr:row>2</xdr:row>
          <xdr:rowOff>95250</xdr:rowOff>
        </xdr:from>
        <xdr:to>
          <xdr:col>0</xdr:col>
          <xdr:colOff>1266825</xdr:colOff>
          <xdr:row>3</xdr:row>
          <xdr:rowOff>161925</xdr:rowOff>
        </xdr:to>
        <xdr:sp macro="" textlink="">
          <xdr:nvSpPr>
            <xdr:cNvPr id="59394" name="Button 2" hidden="1">
              <a:extLst>
                <a:ext uri="{63B3BB69-23CF-44E3-9099-C40C66FF867C}">
                  <a14:compatExt spid="_x0000_s5939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Run Calculator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133350</xdr:colOff>
          <xdr:row>0</xdr:row>
          <xdr:rowOff>142875</xdr:rowOff>
        </xdr:from>
        <xdr:to>
          <xdr:col>0</xdr:col>
          <xdr:colOff>1276350</xdr:colOff>
          <xdr:row>2</xdr:row>
          <xdr:rowOff>47625</xdr:rowOff>
        </xdr:to>
        <xdr:sp macro="" textlink="">
          <xdr:nvSpPr>
            <xdr:cNvPr id="59395" name="Button 3" hidden="1">
              <a:extLst>
                <a:ext uri="{63B3BB69-23CF-44E3-9099-C40C66FF867C}">
                  <a14:compatExt spid="_x0000_s5939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Results Summary</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95250</xdr:colOff>
          <xdr:row>18</xdr:row>
          <xdr:rowOff>66675</xdr:rowOff>
        </xdr:from>
        <xdr:to>
          <xdr:col>2</xdr:col>
          <xdr:colOff>581025</xdr:colOff>
          <xdr:row>19</xdr:row>
          <xdr:rowOff>104775</xdr:rowOff>
        </xdr:to>
        <xdr:sp macro="" textlink="">
          <xdr:nvSpPr>
            <xdr:cNvPr id="4097" name="Button 1" hidden="1">
              <a:extLst>
                <a:ext uri="{63B3BB69-23CF-44E3-9099-C40C66FF867C}">
                  <a14:compatExt spid="_x0000_s409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Detail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590550</xdr:colOff>
          <xdr:row>18</xdr:row>
          <xdr:rowOff>66675</xdr:rowOff>
        </xdr:from>
        <xdr:to>
          <xdr:col>3</xdr:col>
          <xdr:colOff>9525</xdr:colOff>
          <xdr:row>19</xdr:row>
          <xdr:rowOff>104775</xdr:rowOff>
        </xdr:to>
        <xdr:sp macro="" textlink="">
          <xdr:nvSpPr>
            <xdr:cNvPr id="4098" name="Button 2" hidden="1">
              <a:extLst>
                <a:ext uri="{63B3BB69-23CF-44E3-9099-C40C66FF867C}">
                  <a14:compatExt spid="_x0000_s409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Timeline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95250</xdr:colOff>
          <xdr:row>18</xdr:row>
          <xdr:rowOff>66675</xdr:rowOff>
        </xdr:from>
        <xdr:to>
          <xdr:col>7</xdr:col>
          <xdr:colOff>581025</xdr:colOff>
          <xdr:row>19</xdr:row>
          <xdr:rowOff>104775</xdr:rowOff>
        </xdr:to>
        <xdr:sp macro="" textlink="">
          <xdr:nvSpPr>
            <xdr:cNvPr id="4099" name="Button 3" hidden="1">
              <a:extLst>
                <a:ext uri="{63B3BB69-23CF-44E3-9099-C40C66FF867C}">
                  <a14:compatExt spid="_x0000_s409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Detail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590550</xdr:colOff>
          <xdr:row>18</xdr:row>
          <xdr:rowOff>66675</xdr:rowOff>
        </xdr:from>
        <xdr:to>
          <xdr:col>8</xdr:col>
          <xdr:colOff>9525</xdr:colOff>
          <xdr:row>19</xdr:row>
          <xdr:rowOff>104775</xdr:rowOff>
        </xdr:to>
        <xdr:sp macro="" textlink="">
          <xdr:nvSpPr>
            <xdr:cNvPr id="4100" name="Button 4" hidden="1">
              <a:extLst>
                <a:ext uri="{63B3BB69-23CF-44E3-9099-C40C66FF867C}">
                  <a14:compatExt spid="_x0000_s41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Timeline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95250</xdr:colOff>
          <xdr:row>32</xdr:row>
          <xdr:rowOff>66675</xdr:rowOff>
        </xdr:from>
        <xdr:to>
          <xdr:col>2</xdr:col>
          <xdr:colOff>581025</xdr:colOff>
          <xdr:row>33</xdr:row>
          <xdr:rowOff>104775</xdr:rowOff>
        </xdr:to>
        <xdr:sp macro="" textlink="">
          <xdr:nvSpPr>
            <xdr:cNvPr id="4101" name="Button 5" hidden="1">
              <a:extLst>
                <a:ext uri="{63B3BB69-23CF-44E3-9099-C40C66FF867C}">
                  <a14:compatExt spid="_x0000_s410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Detail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590550</xdr:colOff>
          <xdr:row>32</xdr:row>
          <xdr:rowOff>66675</xdr:rowOff>
        </xdr:from>
        <xdr:to>
          <xdr:col>3</xdr:col>
          <xdr:colOff>9525</xdr:colOff>
          <xdr:row>33</xdr:row>
          <xdr:rowOff>104775</xdr:rowOff>
        </xdr:to>
        <xdr:sp macro="" textlink="">
          <xdr:nvSpPr>
            <xdr:cNvPr id="4102" name="Button 6" hidden="1">
              <a:extLst>
                <a:ext uri="{63B3BB69-23CF-44E3-9099-C40C66FF867C}">
                  <a14:compatExt spid="_x0000_s410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Timeline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0</xdr:row>
          <xdr:rowOff>171450</xdr:rowOff>
        </xdr:from>
        <xdr:to>
          <xdr:col>2</xdr:col>
          <xdr:colOff>838200</xdr:colOff>
          <xdr:row>2</xdr:row>
          <xdr:rowOff>38100</xdr:rowOff>
        </xdr:to>
        <xdr:sp macro="" textlink="">
          <xdr:nvSpPr>
            <xdr:cNvPr id="4109" name="Button 13" hidden="1">
              <a:extLst>
                <a:ext uri="{63B3BB69-23CF-44E3-9099-C40C66FF867C}">
                  <a14:compatExt spid="_x0000_s410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View Input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1200150</xdr:colOff>
          <xdr:row>1</xdr:row>
          <xdr:rowOff>0</xdr:rowOff>
        </xdr:from>
        <xdr:to>
          <xdr:col>10</xdr:col>
          <xdr:colOff>47625</xdr:colOff>
          <xdr:row>2</xdr:row>
          <xdr:rowOff>57150</xdr:rowOff>
        </xdr:to>
        <xdr:sp macro="" textlink="">
          <xdr:nvSpPr>
            <xdr:cNvPr id="4110" name="Button 14" hidden="1">
              <a:extLst>
                <a:ext uri="{63B3BB69-23CF-44E3-9099-C40C66FF867C}">
                  <a14:compatExt spid="_x0000_s411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View Output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2</xdr:row>
          <xdr:rowOff>152400</xdr:rowOff>
        </xdr:from>
        <xdr:to>
          <xdr:col>2</xdr:col>
          <xdr:colOff>847725</xdr:colOff>
          <xdr:row>4</xdr:row>
          <xdr:rowOff>19050</xdr:rowOff>
        </xdr:to>
        <xdr:sp macro="" textlink="">
          <xdr:nvSpPr>
            <xdr:cNvPr id="4111" name="Button 15" hidden="1">
              <a:extLst>
                <a:ext uri="{63B3BB69-23CF-44E3-9099-C40C66FF867C}">
                  <a14:compatExt spid="_x0000_s411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Plan Parameters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1200150</xdr:colOff>
          <xdr:row>2</xdr:row>
          <xdr:rowOff>171450</xdr:rowOff>
        </xdr:from>
        <xdr:to>
          <xdr:col>10</xdr:col>
          <xdr:colOff>38100</xdr:colOff>
          <xdr:row>4</xdr:row>
          <xdr:rowOff>38100</xdr:rowOff>
        </xdr:to>
        <xdr:sp macro="" textlink="">
          <xdr:nvSpPr>
            <xdr:cNvPr id="4112" name="Button 16" hidden="1">
              <a:extLst>
                <a:ext uri="{63B3BB69-23CF-44E3-9099-C40C66FF867C}">
                  <a14:compatExt spid="_x0000_s411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Export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18</xdr:row>
          <xdr:rowOff>66675</xdr:rowOff>
        </xdr:from>
        <xdr:to>
          <xdr:col>4</xdr:col>
          <xdr:colOff>219075</xdr:colOff>
          <xdr:row>19</xdr:row>
          <xdr:rowOff>104775</xdr:rowOff>
        </xdr:to>
        <xdr:sp macro="" textlink="">
          <xdr:nvSpPr>
            <xdr:cNvPr id="4113" name="Button 17" hidden="1">
              <a:extLst>
                <a:ext uri="{63B3BB69-23CF-44E3-9099-C40C66FF867C}">
                  <a14:compatExt spid="_x0000_s411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Line Item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28575</xdr:colOff>
          <xdr:row>18</xdr:row>
          <xdr:rowOff>66675</xdr:rowOff>
        </xdr:from>
        <xdr:to>
          <xdr:col>9</xdr:col>
          <xdr:colOff>219075</xdr:colOff>
          <xdr:row>19</xdr:row>
          <xdr:rowOff>104775</xdr:rowOff>
        </xdr:to>
        <xdr:sp macro="" textlink="">
          <xdr:nvSpPr>
            <xdr:cNvPr id="4114" name="Button 18" hidden="1">
              <a:extLst>
                <a:ext uri="{63B3BB69-23CF-44E3-9099-C40C66FF867C}">
                  <a14:compatExt spid="_x0000_s411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Line Item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28575</xdr:colOff>
          <xdr:row>32</xdr:row>
          <xdr:rowOff>66675</xdr:rowOff>
        </xdr:from>
        <xdr:to>
          <xdr:col>4</xdr:col>
          <xdr:colOff>219075</xdr:colOff>
          <xdr:row>33</xdr:row>
          <xdr:rowOff>104775</xdr:rowOff>
        </xdr:to>
        <xdr:sp macro="" textlink="">
          <xdr:nvSpPr>
            <xdr:cNvPr id="4115" name="Button 19" hidden="1">
              <a:extLst>
                <a:ext uri="{63B3BB69-23CF-44E3-9099-C40C66FF867C}">
                  <a14:compatExt spid="_x0000_s4115"/>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Line Item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xdr:row>
          <xdr:rowOff>161925</xdr:rowOff>
        </xdr:from>
        <xdr:to>
          <xdr:col>7</xdr:col>
          <xdr:colOff>495300</xdr:colOff>
          <xdr:row>4</xdr:row>
          <xdr:rowOff>47625</xdr:rowOff>
        </xdr:to>
        <xdr:sp macro="" textlink="">
          <xdr:nvSpPr>
            <xdr:cNvPr id="4116" name="cbRSPlanSelect" hidden="1">
              <a:extLst>
                <a:ext uri="{63B3BB69-23CF-44E3-9099-C40C66FF867C}">
                  <a14:compatExt spid="_x0000_s4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552450</xdr:colOff>
          <xdr:row>2</xdr:row>
          <xdr:rowOff>161925</xdr:rowOff>
        </xdr:from>
        <xdr:to>
          <xdr:col>7</xdr:col>
          <xdr:colOff>1009650</xdr:colOff>
          <xdr:row>4</xdr:row>
          <xdr:rowOff>38100</xdr:rowOff>
        </xdr:to>
        <xdr:sp macro="" textlink="">
          <xdr:nvSpPr>
            <xdr:cNvPr id="4123" name="Button 27" hidden="1">
              <a:extLst>
                <a:ext uri="{63B3BB69-23CF-44E3-9099-C40C66FF867C}">
                  <a14:compatExt spid="_x0000_s4123"/>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Load</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image" Target="../media/image1.emf"/><Relationship Id="rId10" Type="http://schemas.openxmlformats.org/officeDocument/2006/relationships/ctrlProp" Target="../ctrlProps/ctrlProp11.xml"/><Relationship Id="rId4" Type="http://schemas.openxmlformats.org/officeDocument/2006/relationships/control" Target="../activeX/activeX1.xml"/><Relationship Id="rId9"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8.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6.xml"/><Relationship Id="rId16" Type="http://schemas.openxmlformats.org/officeDocument/2006/relationships/ctrlProp" Target="../ctrlProps/ctrlProp27.xml"/><Relationship Id="rId1" Type="http://schemas.openxmlformats.org/officeDocument/2006/relationships/printerSettings" Target="../printerSettings/printerSettings9.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image" Target="../media/image2.emf"/><Relationship Id="rId15" Type="http://schemas.openxmlformats.org/officeDocument/2006/relationships/ctrlProp" Target="../ctrlProps/ctrlProp26.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ontrol" Target="../activeX/activeX2.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Welcome"/>
  <dimension ref="A1:E17"/>
  <sheetViews>
    <sheetView tabSelected="1" workbookViewId="0">
      <selection sqref="A1:E1"/>
    </sheetView>
  </sheetViews>
  <sheetFormatPr defaultColWidth="0" defaultRowHeight="15" zeroHeight="1" x14ac:dyDescent="0.25"/>
  <cols>
    <col min="1" max="1" width="2.7109375" customWidth="1"/>
    <col min="2" max="3" width="9.140625" customWidth="1"/>
    <col min="4" max="4" width="62.7109375" customWidth="1"/>
    <col min="5" max="5" width="2.7109375" customWidth="1"/>
    <col min="6" max="16384" width="9.140625" hidden="1"/>
  </cols>
  <sheetData>
    <row r="1" spans="1:5" ht="24" customHeight="1" x14ac:dyDescent="0.25">
      <c r="A1" s="359" t="s">
        <v>388</v>
      </c>
      <c r="B1" s="359"/>
      <c r="C1" s="359"/>
      <c r="D1" s="359"/>
      <c r="E1" s="359"/>
    </row>
    <row r="2" spans="1:5" x14ac:dyDescent="0.25">
      <c r="A2" s="66"/>
      <c r="B2" s="66"/>
      <c r="C2" s="66"/>
      <c r="D2" s="66"/>
      <c r="E2" s="66"/>
    </row>
    <row r="3" spans="1:5" x14ac:dyDescent="0.25">
      <c r="A3" s="66"/>
      <c r="B3" s="90" t="s">
        <v>158</v>
      </c>
      <c r="C3" s="90"/>
      <c r="D3" s="90"/>
      <c r="E3" s="66"/>
    </row>
    <row r="4" spans="1:5" x14ac:dyDescent="0.25">
      <c r="A4" s="66"/>
      <c r="B4" s="66"/>
      <c r="C4" s="66"/>
      <c r="D4" s="66"/>
      <c r="E4" s="66"/>
    </row>
    <row r="5" spans="1:5" x14ac:dyDescent="0.25">
      <c r="A5" s="66"/>
      <c r="B5" s="66" t="s">
        <v>159</v>
      </c>
      <c r="C5" s="66"/>
      <c r="D5" s="66"/>
      <c r="E5" s="66"/>
    </row>
    <row r="6" spans="1:5" x14ac:dyDescent="0.25">
      <c r="A6" s="66"/>
      <c r="B6" s="66"/>
      <c r="C6" s="66"/>
      <c r="D6" s="66"/>
      <c r="E6" s="66"/>
    </row>
    <row r="7" spans="1:5" x14ac:dyDescent="0.25">
      <c r="A7" s="66"/>
      <c r="B7" s="80" t="s">
        <v>160</v>
      </c>
      <c r="C7" s="80"/>
      <c r="D7" s="80"/>
      <c r="E7" s="66"/>
    </row>
    <row r="8" spans="1:5" x14ac:dyDescent="0.25">
      <c r="A8" s="66"/>
      <c r="B8" s="80" t="s">
        <v>150</v>
      </c>
      <c r="C8" s="80"/>
      <c r="D8" s="80"/>
      <c r="E8" s="66"/>
    </row>
    <row r="9" spans="1:5" x14ac:dyDescent="0.25">
      <c r="A9" s="66"/>
      <c r="B9" s="66"/>
      <c r="C9" s="66"/>
      <c r="D9" s="66"/>
      <c r="E9" s="66"/>
    </row>
    <row r="10" spans="1:5" x14ac:dyDescent="0.25">
      <c r="A10" s="66"/>
      <c r="B10" s="66"/>
      <c r="C10" s="66"/>
      <c r="D10" s="80" t="s">
        <v>151</v>
      </c>
      <c r="E10" s="66"/>
    </row>
    <row r="11" spans="1:5" x14ac:dyDescent="0.25">
      <c r="A11" s="66"/>
      <c r="B11" s="66"/>
      <c r="C11" s="66"/>
      <c r="D11" s="66"/>
      <c r="E11" s="66"/>
    </row>
    <row r="12" spans="1:5" x14ac:dyDescent="0.25">
      <c r="A12" s="66"/>
      <c r="B12" s="66"/>
      <c r="C12" s="66"/>
      <c r="D12" s="80" t="s">
        <v>152</v>
      </c>
      <c r="E12" s="66"/>
    </row>
    <row r="13" spans="1:5" x14ac:dyDescent="0.25">
      <c r="A13" s="66"/>
      <c r="B13" s="66"/>
      <c r="C13" s="66"/>
      <c r="D13" s="80" t="s">
        <v>161</v>
      </c>
      <c r="E13" s="66"/>
    </row>
    <row r="14" spans="1:5" x14ac:dyDescent="0.25">
      <c r="A14" s="66"/>
      <c r="B14" s="66"/>
      <c r="C14" s="66"/>
      <c r="D14" s="80" t="s">
        <v>153</v>
      </c>
      <c r="E14" s="66"/>
    </row>
    <row r="15" spans="1:5" x14ac:dyDescent="0.25">
      <c r="A15" s="66"/>
      <c r="B15" s="66"/>
      <c r="C15" s="66"/>
      <c r="D15" s="80" t="s">
        <v>175</v>
      </c>
      <c r="E15" s="66"/>
    </row>
    <row r="16" spans="1:5" x14ac:dyDescent="0.25">
      <c r="A16" s="66"/>
      <c r="B16" s="66"/>
      <c r="C16" s="66"/>
      <c r="D16" s="66"/>
      <c r="E16" s="66"/>
    </row>
    <row r="17" spans="1:5" ht="97.5" customHeight="1" x14ac:dyDescent="0.25">
      <c r="A17" s="66"/>
      <c r="B17" s="358" t="s">
        <v>387</v>
      </c>
      <c r="C17" s="358"/>
      <c r="D17" s="358"/>
      <c r="E17" s="66"/>
    </row>
  </sheetData>
  <mergeCells count="2">
    <mergeCell ref="B17:D17"/>
    <mergeCell ref="A1:E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macro="[0]!SinglePlanMode">
                <anchor moveWithCells="1" sizeWithCells="1">
                  <from>
                    <xdr:col>1</xdr:col>
                    <xdr:colOff>19050</xdr:colOff>
                    <xdr:row>9</xdr:row>
                    <xdr:rowOff>0</xdr:rowOff>
                  </from>
                  <to>
                    <xdr:col>2</xdr:col>
                    <xdr:colOff>552450</xdr:colOff>
                    <xdr:row>10</xdr:row>
                    <xdr:rowOff>66675</xdr:rowOff>
                  </to>
                </anchor>
              </controlPr>
            </control>
          </mc:Choice>
        </mc:AlternateContent>
        <mc:AlternateContent xmlns:mc="http://schemas.openxmlformats.org/markup-compatibility/2006">
          <mc:Choice Requires="x14">
            <control shapeId="36866" r:id="rId5" name="Button 2">
              <controlPr defaultSize="0" print="0" autoFill="0" autoPict="0" macro="[0]!MultiPlanMode">
                <anchor moveWithCells="1" sizeWithCells="1">
                  <from>
                    <xdr:col>1</xdr:col>
                    <xdr:colOff>19050</xdr:colOff>
                    <xdr:row>11</xdr:row>
                    <xdr:rowOff>9525</xdr:rowOff>
                  </from>
                  <to>
                    <xdr:col>2</xdr:col>
                    <xdr:colOff>552450</xdr:colOff>
                    <xdr:row>12</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ummary_Maternity"/>
  <dimension ref="A1:K30"/>
  <sheetViews>
    <sheetView workbookViewId="0">
      <selection activeCell="C12" sqref="C12"/>
    </sheetView>
  </sheetViews>
  <sheetFormatPr defaultColWidth="0" defaultRowHeight="15" customHeight="1" zeroHeight="1" x14ac:dyDescent="0.25"/>
  <cols>
    <col min="1" max="1" width="2.7109375" customWidth="1"/>
    <col min="2" max="2" width="43.7109375" bestFit="1" customWidth="1"/>
    <col min="3" max="3" width="16.140625" bestFit="1" customWidth="1"/>
    <col min="4" max="9" width="12.7109375" customWidth="1"/>
    <col min="10" max="10" width="2.7109375" customWidth="1"/>
    <col min="11" max="11" width="0" hidden="1" customWidth="1"/>
    <col min="12" max="16384" width="9.140625" hidden="1"/>
  </cols>
  <sheetData>
    <row r="1" spans="1:10" x14ac:dyDescent="0.25">
      <c r="A1" s="66"/>
      <c r="B1" s="66"/>
      <c r="C1" s="66"/>
      <c r="D1" s="66"/>
      <c r="E1" s="66"/>
      <c r="F1" s="66"/>
      <c r="G1" s="66"/>
      <c r="H1" s="66"/>
      <c r="I1" s="66"/>
      <c r="J1" s="66"/>
    </row>
    <row r="2" spans="1:10" x14ac:dyDescent="0.25">
      <c r="A2" s="66"/>
      <c r="B2" s="78" t="s">
        <v>177</v>
      </c>
      <c r="C2" s="66"/>
      <c r="D2" s="66"/>
      <c r="E2" s="66"/>
      <c r="F2" s="66"/>
      <c r="G2" s="66"/>
      <c r="H2" s="66"/>
      <c r="I2" s="66"/>
      <c r="J2" s="66"/>
    </row>
    <row r="3" spans="1:10" x14ac:dyDescent="0.25">
      <c r="A3" s="66"/>
      <c r="B3" s="66"/>
      <c r="C3" s="66"/>
      <c r="D3" s="66"/>
      <c r="E3" s="66"/>
      <c r="F3" s="66"/>
      <c r="G3" s="66"/>
      <c r="H3" s="66"/>
      <c r="I3" s="66"/>
      <c r="J3" s="66"/>
    </row>
    <row r="4" spans="1:10" x14ac:dyDescent="0.25">
      <c r="A4" s="66"/>
      <c r="B4" s="297" t="str">
        <f>nrCBPlanNameRS</f>
        <v>Plan 1</v>
      </c>
      <c r="C4" s="356" t="s">
        <v>141</v>
      </c>
      <c r="D4" s="356" t="s">
        <v>326</v>
      </c>
      <c r="E4" s="298" t="s">
        <v>73</v>
      </c>
      <c r="F4" s="298"/>
      <c r="G4" s="298"/>
      <c r="H4" s="298"/>
      <c r="I4" s="299"/>
      <c r="J4" s="66"/>
    </row>
    <row r="5" spans="1:10" ht="45" x14ac:dyDescent="0.25">
      <c r="A5" s="66"/>
      <c r="B5" s="300" t="s">
        <v>8</v>
      </c>
      <c r="C5" s="357" t="s">
        <v>75</v>
      </c>
      <c r="D5" s="357"/>
      <c r="E5" s="301" t="s">
        <v>11</v>
      </c>
      <c r="F5" s="302" t="s">
        <v>25</v>
      </c>
      <c r="G5" s="303" t="s">
        <v>26</v>
      </c>
      <c r="H5" s="303" t="s">
        <v>27</v>
      </c>
      <c r="I5" s="304" t="s">
        <v>24</v>
      </c>
      <c r="J5" s="66"/>
    </row>
    <row r="6" spans="1:10" x14ac:dyDescent="0.25">
      <c r="A6" s="66"/>
      <c r="B6" s="296" t="str">
        <f>BENEFIT_DESIGN!B10</f>
        <v>Inpatient Hospital Care (Facility)</v>
      </c>
      <c r="C6" s="60">
        <f>SUMIFS(MATERNITY_TIMELINE!AllowedAmt,MATERNITY_TIMELINE!BenefitCategory,$B6)</f>
        <v>7060.58</v>
      </c>
      <c r="D6" s="61">
        <f>SUMIFS(MATERNITY_TIMELINE!PlanPaymentAmt,MATERNITY_TIMELINE!BenefitCategory,$B6)</f>
        <v>0</v>
      </c>
      <c r="E6" s="61">
        <f t="shared" ref="E6:E20" si="0">SUM(F6:I6)</f>
        <v>7060.58</v>
      </c>
      <c r="F6" s="62">
        <f>SUMIFS(MATERNITY_TIMELINE!SubscriberPayDeduc,MATERNITY_TIMELINE!BenefitCategory,$B6)</f>
        <v>0</v>
      </c>
      <c r="G6" s="63">
        <f>SUMIFS(MATERNITY_TIMELINE!SubscriberPayCopay,MATERNITY_TIMELINE!BenefitCategory,$B6)</f>
        <v>0</v>
      </c>
      <c r="H6" s="63">
        <f>SUMIFS(MATERNITY_TIMELINE!SubscriberPayCoins,MATERNITY_TIMELINE!BenefitCategory,$B6)</f>
        <v>0</v>
      </c>
      <c r="I6" s="64">
        <f>SUMIFS(MATERNITY_TIMELINE!SubscriberPayNonCov,MATERNITY_TIMELINE!BenefitCategory,$B6)+SUMIFS(MATERNITY_TIMELINE!SubscriberPayExclusion,MATERNITY_TIMELINE!BenefitCategory,$B6)</f>
        <v>7060.58</v>
      </c>
      <c r="J6" s="66"/>
    </row>
    <row r="7" spans="1:10" x14ac:dyDescent="0.25">
      <c r="A7" s="66"/>
      <c r="B7" s="296" t="str">
        <f>BENEFIT_DESIGN!B11</f>
        <v>Other Facility Services</v>
      </c>
      <c r="C7" s="60">
        <f>SUMIFS(MATERNITY_TIMELINE!AllowedAmt,MATERNITY_TIMELINE!BenefitCategory,$B7)</f>
        <v>0</v>
      </c>
      <c r="D7" s="61">
        <f>SUMIFS(MATERNITY_TIMELINE!PlanPaymentAmt,MATERNITY_TIMELINE!BenefitCategory,$B7)</f>
        <v>0</v>
      </c>
      <c r="E7" s="61">
        <f t="shared" si="0"/>
        <v>0</v>
      </c>
      <c r="F7" s="62">
        <f>SUMIFS(MATERNITY_TIMELINE!SubscriberPayDeduc,MATERNITY_TIMELINE!BenefitCategory,$B7)</f>
        <v>0</v>
      </c>
      <c r="G7" s="63">
        <f>SUMIFS(MATERNITY_TIMELINE!SubscriberPayCopay,MATERNITY_TIMELINE!BenefitCategory,$B7)</f>
        <v>0</v>
      </c>
      <c r="H7" s="63">
        <f>SUMIFS(MATERNITY_TIMELINE!SubscriberPayCoins,MATERNITY_TIMELINE!BenefitCategory,$B7)</f>
        <v>0</v>
      </c>
      <c r="I7" s="64">
        <f>SUMIFS(MATERNITY_TIMELINE!SubscriberPayNonCov,MATERNITY_TIMELINE!BenefitCategory,$B7)+SUMIFS(MATERNITY_TIMELINE!SubscriberPayExclusion,MATERNITY_TIMELINE!BenefitCategory,$B7)</f>
        <v>0</v>
      </c>
      <c r="J7" s="66"/>
    </row>
    <row r="8" spans="1:10" x14ac:dyDescent="0.25">
      <c r="A8" s="66"/>
      <c r="B8" s="296" t="str">
        <f>BENEFIT_DESIGN!B12</f>
        <v>Emergency Department (Facility)</v>
      </c>
      <c r="C8" s="60">
        <f>SUMIFS(MATERNITY_TIMELINE!AllowedAmt,MATERNITY_TIMELINE!BenefitCategory,$B8)</f>
        <v>0</v>
      </c>
      <c r="D8" s="61">
        <f>SUMIFS(MATERNITY_TIMELINE!PlanPaymentAmt,MATERNITY_TIMELINE!BenefitCategory,$B8)</f>
        <v>0</v>
      </c>
      <c r="E8" s="61">
        <f t="shared" si="0"/>
        <v>0</v>
      </c>
      <c r="F8" s="62">
        <f>SUMIFS(MATERNITY_TIMELINE!SubscriberPayDeduc,MATERNITY_TIMELINE!BenefitCategory,$B8)</f>
        <v>0</v>
      </c>
      <c r="G8" s="63">
        <f>SUMIFS(MATERNITY_TIMELINE!SubscriberPayCopay,MATERNITY_TIMELINE!BenefitCategory,$B8)</f>
        <v>0</v>
      </c>
      <c r="H8" s="63">
        <f>SUMIFS(MATERNITY_TIMELINE!SubscriberPayCoins,MATERNITY_TIMELINE!BenefitCategory,$B8)</f>
        <v>0</v>
      </c>
      <c r="I8" s="64">
        <f>SUMIFS(MATERNITY_TIMELINE!SubscriberPayNonCov,MATERNITY_TIMELINE!BenefitCategory,$B8)+SUMIFS(MATERNITY_TIMELINE!SubscriberPayExclusion,MATERNITY_TIMELINE!BenefitCategory,$B8)</f>
        <v>0</v>
      </c>
      <c r="J8" s="66"/>
    </row>
    <row r="9" spans="1:10" x14ac:dyDescent="0.25">
      <c r="A9" s="66"/>
      <c r="B9" s="296" t="str">
        <f>BENEFIT_DESIGN!B13</f>
        <v>Ambulance</v>
      </c>
      <c r="C9" s="60">
        <f>SUMIFS(MATERNITY_TIMELINE!AllowedAmt,MATERNITY_TIMELINE!BenefitCategory,$B9)</f>
        <v>0</v>
      </c>
      <c r="D9" s="61">
        <f>SUMIFS(MATERNITY_TIMELINE!PlanPaymentAmt,MATERNITY_TIMELINE!BenefitCategory,$B9)</f>
        <v>0</v>
      </c>
      <c r="E9" s="61">
        <f t="shared" si="0"/>
        <v>0</v>
      </c>
      <c r="F9" s="62">
        <f>SUMIFS(MATERNITY_TIMELINE!SubscriberPayDeduc,MATERNITY_TIMELINE!BenefitCategory,$B9)</f>
        <v>0</v>
      </c>
      <c r="G9" s="63">
        <f>SUMIFS(MATERNITY_TIMELINE!SubscriberPayCopay,MATERNITY_TIMELINE!BenefitCategory,$B9)</f>
        <v>0</v>
      </c>
      <c r="H9" s="63">
        <f>SUMIFS(MATERNITY_TIMELINE!SubscriberPayCoins,MATERNITY_TIMELINE!BenefitCategory,$B9)</f>
        <v>0</v>
      </c>
      <c r="I9" s="64">
        <f>SUMIFS(MATERNITY_TIMELINE!SubscriberPayNonCov,MATERNITY_TIMELINE!BenefitCategory,$B9)+SUMIFS(MATERNITY_TIMELINE!SubscriberPayExclusion,MATERNITY_TIMELINE!BenefitCategory,$B9)</f>
        <v>0</v>
      </c>
      <c r="J9" s="66"/>
    </row>
    <row r="10" spans="1:10" x14ac:dyDescent="0.25">
      <c r="A10" s="66"/>
      <c r="B10" s="296" t="str">
        <f>BENEFIT_DESIGN!B14</f>
        <v>Professional Services: Primary Care</v>
      </c>
      <c r="C10" s="60">
        <f>SUMIFS(MATERNITY_TIMELINE!AllowedAmt,MATERNITY_TIMELINE!BenefitCategory,$B10)</f>
        <v>0</v>
      </c>
      <c r="D10" s="61">
        <f>SUMIFS(MATERNITY_TIMELINE!PlanPaymentAmt,MATERNITY_TIMELINE!BenefitCategory,$B10)</f>
        <v>0</v>
      </c>
      <c r="E10" s="61">
        <f t="shared" si="0"/>
        <v>0</v>
      </c>
      <c r="F10" s="62">
        <f>SUMIFS(MATERNITY_TIMELINE!SubscriberPayDeduc,MATERNITY_TIMELINE!BenefitCategory,$B10)</f>
        <v>0</v>
      </c>
      <c r="G10" s="63">
        <f>SUMIFS(MATERNITY_TIMELINE!SubscriberPayCopay,MATERNITY_TIMELINE!BenefitCategory,$B10)</f>
        <v>0</v>
      </c>
      <c r="H10" s="63">
        <f>SUMIFS(MATERNITY_TIMELINE!SubscriberPayCoins,MATERNITY_TIMELINE!BenefitCategory,$B10)</f>
        <v>0</v>
      </c>
      <c r="I10" s="64">
        <f>SUMIFS(MATERNITY_TIMELINE!SubscriberPayNonCov,MATERNITY_TIMELINE!BenefitCategory,$B10)+SUMIFS(MATERNITY_TIMELINE!SubscriberPayExclusion,MATERNITY_TIMELINE!BenefitCategory,$B10)</f>
        <v>0</v>
      </c>
      <c r="J10" s="66"/>
    </row>
    <row r="11" spans="1:10" x14ac:dyDescent="0.25">
      <c r="A11" s="66"/>
      <c r="B11" s="296" t="str">
        <f>BENEFIT_DESIGN!B15</f>
        <v>Professional Services: Emergency Department</v>
      </c>
      <c r="C11" s="60">
        <f>SUMIFS(MATERNITY_TIMELINE!AllowedAmt,MATERNITY_TIMELINE!BenefitCategory,$B11)</f>
        <v>0</v>
      </c>
      <c r="D11" s="61">
        <f>SUMIFS(MATERNITY_TIMELINE!PlanPaymentAmt,MATERNITY_TIMELINE!BenefitCategory,$B11)</f>
        <v>0</v>
      </c>
      <c r="E11" s="61">
        <f t="shared" si="0"/>
        <v>0</v>
      </c>
      <c r="F11" s="62">
        <f>SUMIFS(MATERNITY_TIMELINE!SubscriberPayDeduc,MATERNITY_TIMELINE!BenefitCategory,$B11)</f>
        <v>0</v>
      </c>
      <c r="G11" s="63">
        <f>SUMIFS(MATERNITY_TIMELINE!SubscriberPayCopay,MATERNITY_TIMELINE!BenefitCategory,$B11)</f>
        <v>0</v>
      </c>
      <c r="H11" s="63">
        <f>SUMIFS(MATERNITY_TIMELINE!SubscriberPayCoins,MATERNITY_TIMELINE!BenefitCategory,$B11)</f>
        <v>0</v>
      </c>
      <c r="I11" s="64">
        <f>SUMIFS(MATERNITY_TIMELINE!SubscriberPayNonCov,MATERNITY_TIMELINE!BenefitCategory,$B11)+SUMIFS(MATERNITY_TIMELINE!SubscriberPayExclusion,MATERNITY_TIMELINE!BenefitCategory,$B11)</f>
        <v>0</v>
      </c>
      <c r="J11" s="66"/>
    </row>
    <row r="12" spans="1:10" x14ac:dyDescent="0.25">
      <c r="A12" s="66"/>
      <c r="B12" s="296" t="str">
        <f>BENEFIT_DESIGN!B16</f>
        <v>Professional Services: Inpatient</v>
      </c>
      <c r="C12" s="60">
        <f>SUMIFS(MATERNITY_TIMELINE!AllowedAmt,MATERNITY_TIMELINE!BenefitCategory,$B12)</f>
        <v>1399.34</v>
      </c>
      <c r="D12" s="61">
        <f>SUMIFS(MATERNITY_TIMELINE!PlanPaymentAmt,MATERNITY_TIMELINE!BenefitCategory,$B12)</f>
        <v>0</v>
      </c>
      <c r="E12" s="61">
        <f t="shared" ref="E12" si="1">SUM(F12:I12)</f>
        <v>1399.34</v>
      </c>
      <c r="F12" s="62">
        <f>SUMIFS(MATERNITY_TIMELINE!SubscriberPayDeduc,MATERNITY_TIMELINE!BenefitCategory,$B12)</f>
        <v>0</v>
      </c>
      <c r="G12" s="63">
        <f>SUMIFS(MATERNITY_TIMELINE!SubscriberPayCopay,MATERNITY_TIMELINE!BenefitCategory,$B12)</f>
        <v>0</v>
      </c>
      <c r="H12" s="63">
        <f>SUMIFS(MATERNITY_TIMELINE!SubscriberPayCoins,MATERNITY_TIMELINE!BenefitCategory,$B12)</f>
        <v>0</v>
      </c>
      <c r="I12" s="64">
        <f>SUMIFS(MATERNITY_TIMELINE!SubscriberPayNonCov,MATERNITY_TIMELINE!BenefitCategory,$B12)+SUMIFS(MATERNITY_TIMELINE!SubscriberPayExclusion,MATERNITY_TIMELINE!BenefitCategory,$B12)</f>
        <v>1399.34</v>
      </c>
      <c r="J12" s="66"/>
    </row>
    <row r="13" spans="1:10" x14ac:dyDescent="0.25">
      <c r="A13" s="66"/>
      <c r="B13" s="296" t="str">
        <f>BENEFIT_DESIGN!B17</f>
        <v>Professional Services: Specialist</v>
      </c>
      <c r="C13" s="60">
        <f>SUMIFS(MATERNITY_TIMELINE!AllowedAmt,MATERNITY_TIMELINE!BenefitCategory,$B13)</f>
        <v>0</v>
      </c>
      <c r="D13" s="61">
        <f>SUMIFS(MATERNITY_TIMELINE!PlanPaymentAmt,MATERNITY_TIMELINE!BenefitCategory,$B13)</f>
        <v>0</v>
      </c>
      <c r="E13" s="61">
        <f t="shared" si="0"/>
        <v>0</v>
      </c>
      <c r="F13" s="62">
        <f>SUMIFS(MATERNITY_TIMELINE!SubscriberPayDeduc,MATERNITY_TIMELINE!BenefitCategory,$B13)</f>
        <v>0</v>
      </c>
      <c r="G13" s="63">
        <f>SUMIFS(MATERNITY_TIMELINE!SubscriberPayCopay,MATERNITY_TIMELINE!BenefitCategory,$B13)</f>
        <v>0</v>
      </c>
      <c r="H13" s="63">
        <f>SUMIFS(MATERNITY_TIMELINE!SubscriberPayCoins,MATERNITY_TIMELINE!BenefitCategory,$B13)</f>
        <v>0</v>
      </c>
      <c r="I13" s="64">
        <f>SUMIFS(MATERNITY_TIMELINE!SubscriberPayNonCov,MATERNITY_TIMELINE!BenefitCategory,$B13)+SUMIFS(MATERNITY_TIMELINE!SubscriberPayExclusion,MATERNITY_TIMELINE!BenefitCategory,$B13)</f>
        <v>0</v>
      </c>
      <c r="J13" s="66"/>
    </row>
    <row r="14" spans="1:10" x14ac:dyDescent="0.25">
      <c r="A14" s="66"/>
      <c r="B14" s="296" t="str">
        <f>BENEFIT_DESIGN!B18</f>
        <v>Professional Services: Obstetric Care (Bundled)</v>
      </c>
      <c r="C14" s="60">
        <f>SUMIFS(MATERNITY_TIMELINE!AllowedAmt,MATERNITY_TIMELINE!BenefitCategory,$B14)</f>
        <v>2609.9299999999998</v>
      </c>
      <c r="D14" s="61">
        <f>SUMIFS(MATERNITY_TIMELINE!PlanPaymentAmt,MATERNITY_TIMELINE!BenefitCategory,$B14)</f>
        <v>0</v>
      </c>
      <c r="E14" s="61">
        <f t="shared" si="0"/>
        <v>2609.9299999999998</v>
      </c>
      <c r="F14" s="62">
        <f>SUMIFS(MATERNITY_TIMELINE!SubscriberPayDeduc,MATERNITY_TIMELINE!BenefitCategory,$B14)</f>
        <v>0</v>
      </c>
      <c r="G14" s="63">
        <f>SUMIFS(MATERNITY_TIMELINE!SubscriberPayCopay,MATERNITY_TIMELINE!BenefitCategory,$B14)</f>
        <v>0</v>
      </c>
      <c r="H14" s="63">
        <f>SUMIFS(MATERNITY_TIMELINE!SubscriberPayCoins,MATERNITY_TIMELINE!BenefitCategory,$B14)</f>
        <v>0</v>
      </c>
      <c r="I14" s="64">
        <f>SUMIFS(MATERNITY_TIMELINE!SubscriberPayNonCov,MATERNITY_TIMELINE!BenefitCategory,$B14)+SUMIFS(MATERNITY_TIMELINE!SubscriberPayExclusion,MATERNITY_TIMELINE!BenefitCategory,$B14)</f>
        <v>2609.9299999999998</v>
      </c>
      <c r="J14" s="66"/>
    </row>
    <row r="15" spans="1:10" x14ac:dyDescent="0.25">
      <c r="A15" s="66"/>
      <c r="B15" s="296" t="str">
        <f>BENEFIT_DESIGN!B19</f>
        <v>Professional Services: Procedures &amp; Other</v>
      </c>
      <c r="C15" s="60">
        <f>SUMIFS(MATERNITY_TIMELINE!AllowedAmt,MATERNITY_TIMELINE!BenefitCategory,$B15)</f>
        <v>0</v>
      </c>
      <c r="D15" s="61">
        <f>SUMIFS(MATERNITY_TIMELINE!PlanPaymentAmt,MATERNITY_TIMELINE!BenefitCategory,$B15)</f>
        <v>0</v>
      </c>
      <c r="E15" s="61">
        <f t="shared" si="0"/>
        <v>0</v>
      </c>
      <c r="F15" s="62">
        <f>SUMIFS(MATERNITY_TIMELINE!SubscriberPayDeduc,MATERNITY_TIMELINE!BenefitCategory,$B15)</f>
        <v>0</v>
      </c>
      <c r="G15" s="63">
        <f>SUMIFS(MATERNITY_TIMELINE!SubscriberPayCopay,MATERNITY_TIMELINE!BenefitCategory,$B15)</f>
        <v>0</v>
      </c>
      <c r="H15" s="63">
        <f>SUMIFS(MATERNITY_TIMELINE!SubscriberPayCoins,MATERNITY_TIMELINE!BenefitCategory,$B15)</f>
        <v>0</v>
      </c>
      <c r="I15" s="64">
        <f>SUMIFS(MATERNITY_TIMELINE!SubscriberPayNonCov,MATERNITY_TIMELINE!BenefitCategory,$B15)+SUMIFS(MATERNITY_TIMELINE!SubscriberPayExclusion,MATERNITY_TIMELINE!BenefitCategory,$B15)</f>
        <v>0</v>
      </c>
      <c r="J15" s="66"/>
    </row>
    <row r="16" spans="1:10" x14ac:dyDescent="0.25">
      <c r="A16" s="66"/>
      <c r="B16" s="296" t="str">
        <f>BENEFIT_DESIGN!B20</f>
        <v>Professional Services: Physical Therapy</v>
      </c>
      <c r="C16" s="60">
        <f>SUMIFS(MATERNITY_TIMELINE!AllowedAmt,MATERNITY_TIMELINE!BenefitCategory,$B16)</f>
        <v>0</v>
      </c>
      <c r="D16" s="61">
        <f>SUMIFS(MATERNITY_TIMELINE!PlanPaymentAmt,MATERNITY_TIMELINE!BenefitCategory,$B16)</f>
        <v>0</v>
      </c>
      <c r="E16" s="61">
        <f t="shared" si="0"/>
        <v>0</v>
      </c>
      <c r="F16" s="62">
        <f>SUMIFS(MATERNITY_TIMELINE!SubscriberPayDeduc,MATERNITY_TIMELINE!BenefitCategory,$B16)</f>
        <v>0</v>
      </c>
      <c r="G16" s="63">
        <f>SUMIFS(MATERNITY_TIMELINE!SubscriberPayCopay,MATERNITY_TIMELINE!BenefitCategory,$B16)</f>
        <v>0</v>
      </c>
      <c r="H16" s="63">
        <f>SUMIFS(MATERNITY_TIMELINE!SubscriberPayCoins,MATERNITY_TIMELINE!BenefitCategory,$B16)</f>
        <v>0</v>
      </c>
      <c r="I16" s="64">
        <f>SUMIFS(MATERNITY_TIMELINE!SubscriberPayNonCov,MATERNITY_TIMELINE!BenefitCategory,$B16)+SUMIFS(MATERNITY_TIMELINE!SubscriberPayExclusion,MATERNITY_TIMELINE!BenefitCategory,$B16)</f>
        <v>0</v>
      </c>
      <c r="J16" s="66"/>
    </row>
    <row r="17" spans="1:10" x14ac:dyDescent="0.25">
      <c r="A17" s="66"/>
      <c r="B17" s="296" t="str">
        <f>BENEFIT_DESIGN!B21</f>
        <v>Diagnostic Services: Radiology</v>
      </c>
      <c r="C17" s="60">
        <f>SUMIFS(MATERNITY_TIMELINE!AllowedAmt,MATERNITY_TIMELINE!BenefitCategory,$B17)</f>
        <v>343.40999999999997</v>
      </c>
      <c r="D17" s="61">
        <f>SUMIFS(MATERNITY_TIMELINE!PlanPaymentAmt,MATERNITY_TIMELINE!BenefitCategory,$B17)</f>
        <v>0</v>
      </c>
      <c r="E17" s="61">
        <f t="shared" si="0"/>
        <v>343.40999999999997</v>
      </c>
      <c r="F17" s="62">
        <f>SUMIFS(MATERNITY_TIMELINE!SubscriberPayDeduc,MATERNITY_TIMELINE!BenefitCategory,$B17)</f>
        <v>0</v>
      </c>
      <c r="G17" s="63">
        <f>SUMIFS(MATERNITY_TIMELINE!SubscriberPayCopay,MATERNITY_TIMELINE!BenefitCategory,$B17)</f>
        <v>0</v>
      </c>
      <c r="H17" s="63">
        <f>SUMIFS(MATERNITY_TIMELINE!SubscriberPayCoins,MATERNITY_TIMELINE!BenefitCategory,$B17)</f>
        <v>0</v>
      </c>
      <c r="I17" s="64">
        <f>SUMIFS(MATERNITY_TIMELINE!SubscriberPayNonCov,MATERNITY_TIMELINE!BenefitCategory,$B17)+SUMIFS(MATERNITY_TIMELINE!SubscriberPayExclusion,MATERNITY_TIMELINE!BenefitCategory,$B17)</f>
        <v>343.40999999999997</v>
      </c>
      <c r="J17" s="66"/>
    </row>
    <row r="18" spans="1:10" x14ac:dyDescent="0.25">
      <c r="A18" s="66"/>
      <c r="B18" s="296" t="str">
        <f>BENEFIT_DESIGN!B22</f>
        <v>Diagnostic Services: Laboratory</v>
      </c>
      <c r="C18" s="60">
        <f>SUMIFS(MATERNITY_TIMELINE!AllowedAmt,MATERNITY_TIMELINE!BenefitCategory,$B18)</f>
        <v>1153.24</v>
      </c>
      <c r="D18" s="61">
        <f>SUMIFS(MATERNITY_TIMELINE!PlanPaymentAmt,MATERNITY_TIMELINE!BenefitCategory,$B18)</f>
        <v>0</v>
      </c>
      <c r="E18" s="61">
        <f t="shared" si="0"/>
        <v>1153.24</v>
      </c>
      <c r="F18" s="62">
        <f>SUMIFS(MATERNITY_TIMELINE!SubscriberPayDeduc,MATERNITY_TIMELINE!BenefitCategory,$B18)</f>
        <v>0</v>
      </c>
      <c r="G18" s="63">
        <f>SUMIFS(MATERNITY_TIMELINE!SubscriberPayCopay,MATERNITY_TIMELINE!BenefitCategory,$B18)</f>
        <v>0</v>
      </c>
      <c r="H18" s="63">
        <f>SUMIFS(MATERNITY_TIMELINE!SubscriberPayCoins,MATERNITY_TIMELINE!BenefitCategory,$B18)</f>
        <v>0</v>
      </c>
      <c r="I18" s="64">
        <f>SUMIFS(MATERNITY_TIMELINE!SubscriberPayNonCov,MATERNITY_TIMELINE!BenefitCategory,$B18)+SUMIFS(MATERNITY_TIMELINE!SubscriberPayExclusion,MATERNITY_TIMELINE!BenefitCategory,$B18)</f>
        <v>1153.24</v>
      </c>
      <c r="J18" s="66"/>
    </row>
    <row r="19" spans="1:10" x14ac:dyDescent="0.25">
      <c r="A19" s="66"/>
      <c r="B19" s="296" t="str">
        <f>BENEFIT_DESIGN!B23</f>
        <v>Prescription Drugs: Generic</v>
      </c>
      <c r="C19" s="60">
        <f>SUMIFS(MATERNITY_TIMELINE!AllowedAmt,MATERNITY_TIMELINE!BenefitCategory,$B19)</f>
        <v>10.57</v>
      </c>
      <c r="D19" s="61">
        <f>SUMIFS(MATERNITY_TIMELINE!PlanPaymentAmt,MATERNITY_TIMELINE!BenefitCategory,$B19)</f>
        <v>0</v>
      </c>
      <c r="E19" s="61">
        <f t="shared" si="0"/>
        <v>10.57</v>
      </c>
      <c r="F19" s="62">
        <f>SUMIFS(MATERNITY_TIMELINE!SubscriberPayDeduc,MATERNITY_TIMELINE!BenefitCategory,$B19)</f>
        <v>0</v>
      </c>
      <c r="G19" s="63">
        <f>SUMIFS(MATERNITY_TIMELINE!SubscriberPayCopay,MATERNITY_TIMELINE!BenefitCategory,$B19)</f>
        <v>0</v>
      </c>
      <c r="H19" s="63">
        <f>SUMIFS(MATERNITY_TIMELINE!SubscriberPayCoins,MATERNITY_TIMELINE!BenefitCategory,$B19)</f>
        <v>0</v>
      </c>
      <c r="I19" s="64">
        <f>SUMIFS(MATERNITY_TIMELINE!SubscriberPayNonCov,MATERNITY_TIMELINE!BenefitCategory,$B19)+SUMIFS(MATERNITY_TIMELINE!SubscriberPayExclusion,MATERNITY_TIMELINE!BenefitCategory,$B19)</f>
        <v>10.57</v>
      </c>
      <c r="J19" s="66"/>
    </row>
    <row r="20" spans="1:10" x14ac:dyDescent="0.25">
      <c r="A20" s="66"/>
      <c r="B20" s="296" t="str">
        <f>BENEFIT_DESIGN!B24</f>
        <v>Prescription Drugs: Branded</v>
      </c>
      <c r="C20" s="60">
        <f>SUMIFS(MATERNITY_TIMELINE!AllowedAmt,MATERNITY_TIMELINE!BenefitCategory,$B20)</f>
        <v>0</v>
      </c>
      <c r="D20" s="61">
        <f>SUMIFS(MATERNITY_TIMELINE!PlanPaymentAmt,MATERNITY_TIMELINE!BenefitCategory,$B20)</f>
        <v>0</v>
      </c>
      <c r="E20" s="61">
        <f t="shared" si="0"/>
        <v>0</v>
      </c>
      <c r="F20" s="62">
        <f>SUMIFS(MATERNITY_TIMELINE!SubscriberPayDeduc,MATERNITY_TIMELINE!BenefitCategory,$B20)</f>
        <v>0</v>
      </c>
      <c r="G20" s="63">
        <f>SUMIFS(MATERNITY_TIMELINE!SubscriberPayCopay,MATERNITY_TIMELINE!BenefitCategory,$B20)</f>
        <v>0</v>
      </c>
      <c r="H20" s="63">
        <f>SUMIFS(MATERNITY_TIMELINE!SubscriberPayCoins,MATERNITY_TIMELINE!BenefitCategory,$B20)</f>
        <v>0</v>
      </c>
      <c r="I20" s="64">
        <f>SUMIFS(MATERNITY_TIMELINE!SubscriberPayNonCov,MATERNITY_TIMELINE!BenefitCategory,$B20)+SUMIFS(MATERNITY_TIMELINE!SubscriberPayExclusion,MATERNITY_TIMELINE!BenefitCategory,$B20)</f>
        <v>0</v>
      </c>
      <c r="J20" s="66"/>
    </row>
    <row r="21" spans="1:10" x14ac:dyDescent="0.25">
      <c r="A21" s="66"/>
      <c r="B21" s="296" t="str">
        <f>BENEFIT_DESIGN!B25</f>
        <v>Prescription Drugs: Insulin</v>
      </c>
      <c r="C21" s="60">
        <f>SUMIFS(MATERNITY_TIMELINE!AllowedAmt,MATERNITY_TIMELINE!BenefitCategory,$B21)</f>
        <v>0</v>
      </c>
      <c r="D21" s="61">
        <f>SUMIFS(MATERNITY_TIMELINE!PlanPaymentAmt,MATERNITY_TIMELINE!BenefitCategory,$B21)</f>
        <v>0</v>
      </c>
      <c r="E21" s="61">
        <f t="shared" ref="E21:E27" si="2">SUM(F21:I21)</f>
        <v>0</v>
      </c>
      <c r="F21" s="62">
        <f>SUMIFS(MATERNITY_TIMELINE!SubscriberPayDeduc,MATERNITY_TIMELINE!BenefitCategory,$B21)</f>
        <v>0</v>
      </c>
      <c r="G21" s="63">
        <f>SUMIFS(MATERNITY_TIMELINE!SubscriberPayCopay,MATERNITY_TIMELINE!BenefitCategory,$B21)</f>
        <v>0</v>
      </c>
      <c r="H21" s="63">
        <f>SUMIFS(MATERNITY_TIMELINE!SubscriberPayCoins,MATERNITY_TIMELINE!BenefitCategory,$B21)</f>
        <v>0</v>
      </c>
      <c r="I21" s="64">
        <f>SUMIFS(MATERNITY_TIMELINE!SubscriberPayNonCov,MATERNITY_TIMELINE!BenefitCategory,$B21)+SUMIFS(MATERNITY_TIMELINE!SubscriberPayExclusion,MATERNITY_TIMELINE!BenefitCategory,$B21)</f>
        <v>0</v>
      </c>
      <c r="J21" s="66"/>
    </row>
    <row r="22" spans="1:10" x14ac:dyDescent="0.25">
      <c r="A22" s="66"/>
      <c r="B22" s="296" t="str">
        <f>BENEFIT_DESIGN!B26</f>
        <v>Over-the-counter Drugs</v>
      </c>
      <c r="C22" s="60">
        <f>SUMIFS(MATERNITY_TIMELINE!AllowedAmt,MATERNITY_TIMELINE!BenefitCategory,$B22)</f>
        <v>61.02</v>
      </c>
      <c r="D22" s="61">
        <f>SUMIFS(MATERNITY_TIMELINE!PlanPaymentAmt,MATERNITY_TIMELINE!BenefitCategory,$B22)</f>
        <v>0</v>
      </c>
      <c r="E22" s="61">
        <f t="shared" si="2"/>
        <v>61.02</v>
      </c>
      <c r="F22" s="62">
        <f>SUMIFS(MATERNITY_TIMELINE!SubscriberPayDeduc,MATERNITY_TIMELINE!BenefitCategory,$B22)</f>
        <v>0</v>
      </c>
      <c r="G22" s="63">
        <f>SUMIFS(MATERNITY_TIMELINE!SubscriberPayCopay,MATERNITY_TIMELINE!BenefitCategory,$B22)</f>
        <v>0</v>
      </c>
      <c r="H22" s="63">
        <f>SUMIFS(MATERNITY_TIMELINE!SubscriberPayCoins,MATERNITY_TIMELINE!BenefitCategory,$B22)</f>
        <v>0</v>
      </c>
      <c r="I22" s="64">
        <f>SUMIFS(MATERNITY_TIMELINE!SubscriberPayNonCov,MATERNITY_TIMELINE!BenefitCategory,$B22)+SUMIFS(MATERNITY_TIMELINE!SubscriberPayExclusion,MATERNITY_TIMELINE!BenefitCategory,$B22)</f>
        <v>61.02</v>
      </c>
      <c r="J22" s="66"/>
    </row>
    <row r="23" spans="1:10" x14ac:dyDescent="0.25">
      <c r="A23" s="66"/>
      <c r="B23" s="296" t="str">
        <f>BENEFIT_DESIGN!B27</f>
        <v>Preventive Services &amp; Vaccines</v>
      </c>
      <c r="C23" s="60">
        <f>SUMIFS(MATERNITY_TIMELINE!AllowedAmt,MATERNITY_TIMELINE!BenefitCategory,$B23)</f>
        <v>48.76</v>
      </c>
      <c r="D23" s="61">
        <f>SUMIFS(MATERNITY_TIMELINE!PlanPaymentAmt,MATERNITY_TIMELINE!BenefitCategory,$B23)</f>
        <v>0</v>
      </c>
      <c r="E23" s="61">
        <f t="shared" si="2"/>
        <v>48.76</v>
      </c>
      <c r="F23" s="62">
        <f>SUMIFS(MATERNITY_TIMELINE!SubscriberPayDeduc,MATERNITY_TIMELINE!BenefitCategory,$B23)</f>
        <v>0</v>
      </c>
      <c r="G23" s="63">
        <f>SUMIFS(MATERNITY_TIMELINE!SubscriberPayCopay,MATERNITY_TIMELINE!BenefitCategory,$B23)</f>
        <v>0</v>
      </c>
      <c r="H23" s="63">
        <f>SUMIFS(MATERNITY_TIMELINE!SubscriberPayCoins,MATERNITY_TIMELINE!BenefitCategory,$B23)</f>
        <v>0</v>
      </c>
      <c r="I23" s="64">
        <f>SUMIFS(MATERNITY_TIMELINE!SubscriberPayNonCov,MATERNITY_TIMELINE!BenefitCategory,$B23)+SUMIFS(MATERNITY_TIMELINE!SubscriberPayExclusion,MATERNITY_TIMELINE!BenefitCategory,$B23)</f>
        <v>48.76</v>
      </c>
      <c r="J23" s="66"/>
    </row>
    <row r="24" spans="1:10" x14ac:dyDescent="0.25">
      <c r="A24" s="66"/>
      <c r="B24" s="296" t="str">
        <f>BENEFIT_DESIGN!B28</f>
        <v>Durable Medical Equipment</v>
      </c>
      <c r="C24" s="60">
        <f>SUMIFS(MATERNITY_TIMELINE!AllowedAmt,MATERNITY_TIMELINE!BenefitCategory,$B24)</f>
        <v>0</v>
      </c>
      <c r="D24" s="61">
        <f>SUMIFS(MATERNITY_TIMELINE!PlanPaymentAmt,MATERNITY_TIMELINE!BenefitCategory,$B24)</f>
        <v>0</v>
      </c>
      <c r="E24" s="61">
        <f t="shared" si="2"/>
        <v>0</v>
      </c>
      <c r="F24" s="62">
        <f>SUMIFS(MATERNITY_TIMELINE!SubscriberPayDeduc,MATERNITY_TIMELINE!BenefitCategory,$B24)</f>
        <v>0</v>
      </c>
      <c r="G24" s="63">
        <f>SUMIFS(MATERNITY_TIMELINE!SubscriberPayCopay,MATERNITY_TIMELINE!BenefitCategory,$B24)</f>
        <v>0</v>
      </c>
      <c r="H24" s="63">
        <f>SUMIFS(MATERNITY_TIMELINE!SubscriberPayCoins,MATERNITY_TIMELINE!BenefitCategory,$B24)</f>
        <v>0</v>
      </c>
      <c r="I24" s="64">
        <f>SUMIFS(MATERNITY_TIMELINE!SubscriberPayNonCov,MATERNITY_TIMELINE!BenefitCategory,$B24)+SUMIFS(MATERNITY_TIMELINE!SubscriberPayExclusion,MATERNITY_TIMELINE!BenefitCategory,$B24)</f>
        <v>0</v>
      </c>
      <c r="J24" s="66"/>
    </row>
    <row r="25" spans="1:10" x14ac:dyDescent="0.25">
      <c r="A25" s="66"/>
      <c r="B25" s="296" t="str">
        <f>BENEFIT_DESIGN!B29</f>
        <v>Medical Supplies</v>
      </c>
      <c r="C25" s="60">
        <f>SUMIFS(MATERNITY_TIMELINE!AllowedAmt,MATERNITY_TIMELINE!BenefitCategory,$B25)</f>
        <v>0</v>
      </c>
      <c r="D25" s="61">
        <f>SUMIFS(MATERNITY_TIMELINE!PlanPaymentAmt,MATERNITY_TIMELINE!BenefitCategory,$B25)</f>
        <v>0</v>
      </c>
      <c r="E25" s="61">
        <f t="shared" si="2"/>
        <v>0</v>
      </c>
      <c r="F25" s="62">
        <f>SUMIFS(MATERNITY_TIMELINE!SubscriberPayDeduc,MATERNITY_TIMELINE!BenefitCategory,$B25)</f>
        <v>0</v>
      </c>
      <c r="G25" s="63">
        <f>SUMIFS(MATERNITY_TIMELINE!SubscriberPayCopay,MATERNITY_TIMELINE!BenefitCategory,$B25)</f>
        <v>0</v>
      </c>
      <c r="H25" s="63">
        <f>SUMIFS(MATERNITY_TIMELINE!SubscriberPayCoins,MATERNITY_TIMELINE!BenefitCategory,$B25)</f>
        <v>0</v>
      </c>
      <c r="I25" s="64">
        <f>SUMIFS(MATERNITY_TIMELINE!SubscriberPayNonCov,MATERNITY_TIMELINE!BenefitCategory,$B25)+SUMIFS(MATERNITY_TIMELINE!SubscriberPayExclusion,MATERNITY_TIMELINE!BenefitCategory,$B25)</f>
        <v>0</v>
      </c>
      <c r="J25" s="66"/>
    </row>
    <row r="26" spans="1:10" x14ac:dyDescent="0.25">
      <c r="A26" s="66"/>
      <c r="B26" s="296" t="str">
        <f>BENEFIT_DESIGN!B30</f>
        <v>Over-the-counter Medical Supplies</v>
      </c>
      <c r="C26" s="60">
        <f>SUMIFS(MATERNITY_TIMELINE!AllowedAmt,MATERNITY_TIMELINE!BenefitCategory,$B26)</f>
        <v>0</v>
      </c>
      <c r="D26" s="61">
        <f>SUMIFS(MATERNITY_TIMELINE!PlanPaymentAmt,MATERNITY_TIMELINE!BenefitCategory,$B26)</f>
        <v>0</v>
      </c>
      <c r="E26" s="61">
        <f t="shared" si="2"/>
        <v>0</v>
      </c>
      <c r="F26" s="62">
        <f>SUMIFS(MATERNITY_TIMELINE!SubscriberPayDeduc,MATERNITY_TIMELINE!BenefitCategory,$B26)</f>
        <v>0</v>
      </c>
      <c r="G26" s="63">
        <f>SUMIFS(MATERNITY_TIMELINE!SubscriberPayCopay,MATERNITY_TIMELINE!BenefitCategory,$B26)</f>
        <v>0</v>
      </c>
      <c r="H26" s="63">
        <f>SUMIFS(MATERNITY_TIMELINE!SubscriberPayCoins,MATERNITY_TIMELINE!BenefitCategory,$B26)</f>
        <v>0</v>
      </c>
      <c r="I26" s="64">
        <f>SUMIFS(MATERNITY_TIMELINE!SubscriberPayNonCov,MATERNITY_TIMELINE!BenefitCategory,$B26)+SUMIFS(MATERNITY_TIMELINE!SubscriberPayExclusion,MATERNITY_TIMELINE!BenefitCategory,$B26)</f>
        <v>0</v>
      </c>
      <c r="J26" s="66"/>
    </row>
    <row r="27" spans="1:10" x14ac:dyDescent="0.25">
      <c r="A27" s="66"/>
      <c r="B27" s="296" t="str">
        <f>BENEFIT_DESIGN!B31</f>
        <v>Other Items &amp; Services</v>
      </c>
      <c r="C27" s="60">
        <f>SUMIFS(MATERNITY_TIMELINE!AllowedAmt,MATERNITY_TIMELINE!BenefitCategory,$B27)</f>
        <v>0</v>
      </c>
      <c r="D27" s="61">
        <f>SUMIFS(MATERNITY_TIMELINE!PlanPaymentAmt,MATERNITY_TIMELINE!BenefitCategory,$B27)</f>
        <v>0</v>
      </c>
      <c r="E27" s="61">
        <f t="shared" si="2"/>
        <v>0</v>
      </c>
      <c r="F27" s="62">
        <f>SUMIFS(MATERNITY_TIMELINE!SubscriberPayDeduc,MATERNITY_TIMELINE!BenefitCategory,$B27)</f>
        <v>0</v>
      </c>
      <c r="G27" s="63">
        <f>SUMIFS(MATERNITY_TIMELINE!SubscriberPayCopay,MATERNITY_TIMELINE!BenefitCategory,$B27)</f>
        <v>0</v>
      </c>
      <c r="H27" s="63">
        <f>SUMIFS(MATERNITY_TIMELINE!SubscriberPayCoins,MATERNITY_TIMELINE!BenefitCategory,$B27)</f>
        <v>0</v>
      </c>
      <c r="I27" s="64">
        <f>SUMIFS(MATERNITY_TIMELINE!SubscriberPayNonCov,MATERNITY_TIMELINE!BenefitCategory,$B27)+SUMIFS(MATERNITY_TIMELINE!SubscriberPayExclusion,MATERNITY_TIMELINE!BenefitCategory,$B27)</f>
        <v>0</v>
      </c>
      <c r="J27" s="66"/>
    </row>
    <row r="28" spans="1:10" x14ac:dyDescent="0.25">
      <c r="A28" s="66"/>
      <c r="B28" s="305" t="s">
        <v>76</v>
      </c>
      <c r="C28" s="306">
        <f>SUM(C6:C27)</f>
        <v>12686.85</v>
      </c>
      <c r="D28" s="307">
        <f>IFERROR(IF(BENEFIT_DESIGN_ERRORS!$C$39,"ERROR",SUM(D6:D27)),"ERROR")</f>
        <v>0</v>
      </c>
      <c r="E28" s="307">
        <f>IFERROR(IF(BENEFIT_DESIGN_ERRORS!$C$39,"ERROR",SUM(E6:E27)),"ERROR")</f>
        <v>12686.85</v>
      </c>
      <c r="F28" s="308">
        <f>IFERROR(IF(BENEFIT_DESIGN_ERRORS!$C$39,"ERROR",SUM(F6:F27)),"ERROR")</f>
        <v>0</v>
      </c>
      <c r="G28" s="309">
        <f>IFERROR(IF(BENEFIT_DESIGN_ERRORS!$C$39,"ERROR",SUM(G6:G27)),"ERROR")</f>
        <v>0</v>
      </c>
      <c r="H28" s="309">
        <f>IFERROR(IF(BENEFIT_DESIGN_ERRORS!$C$39,"ERROR",SUM(H6:H27)),"ERROR")</f>
        <v>0</v>
      </c>
      <c r="I28" s="310">
        <f>IFERROR(IF(BENEFIT_DESIGN_ERRORS!$C$39,"ERROR",SUM(I6:I27)),"ERROR")</f>
        <v>12686.85</v>
      </c>
      <c r="J28" s="66"/>
    </row>
    <row r="29" spans="1:10" x14ac:dyDescent="0.25">
      <c r="A29" s="66"/>
      <c r="B29" s="311" t="s">
        <v>142</v>
      </c>
      <c r="C29" s="312">
        <f t="shared" ref="C29" si="3">MROUND(C28,IF(C28&gt;=100,100,10))</f>
        <v>12700</v>
      </c>
      <c r="D29" s="312">
        <f>IFERROR(C29-E29,"ERROR")</f>
        <v>0</v>
      </c>
      <c r="E29" s="312">
        <f>IFERROR(IF(BENEFIT_DESIGN_ERRORS!$C$39,"ERROR",MIN(SUM(F29:H29),BENEFIT_DESIGN!C36)+I29),"ERROR")</f>
        <v>12700</v>
      </c>
      <c r="F29" s="313">
        <f>IFERROR(
IF(BENEFIT_DESIGN_ERRORS!$C$39,"ERROR",
MIN(
MROUND(F28,IF(F28&gt;=100,100,10)),
BENEFIT_PARAMETERS!$N$80)
),"ERROR")</f>
        <v>0</v>
      </c>
      <c r="G29" s="314">
        <f>IFERROR(IF(BENEFIT_DESIGN_ERRORS!$C$39,"ERROR",MROUND(G28,IF(G28&gt;=100,100,10))),"ERROR")</f>
        <v>0</v>
      </c>
      <c r="H29" s="314">
        <f>IFERROR(IF(BENEFIT_DESIGN_ERRORS!$C$39,"ERROR",MROUND(H28,IF(H28&gt;=100,100,10))),"ERROR")</f>
        <v>0</v>
      </c>
      <c r="I29" s="315">
        <f>IFERROR(IF(BENEFIT_DESIGN_ERRORS!$C$39,"ERROR",MROUND(I28,IF(I28&gt;=100,100,10))),"ERROR")</f>
        <v>12700</v>
      </c>
      <c r="J29" s="66"/>
    </row>
    <row r="30" spans="1:10" x14ac:dyDescent="0.25">
      <c r="A30" s="66"/>
      <c r="B30" s="66"/>
      <c r="C30" s="66"/>
      <c r="D30" s="66"/>
      <c r="E30" s="66"/>
      <c r="F30" s="66"/>
      <c r="G30" s="66"/>
      <c r="H30" s="66"/>
      <c r="I30" s="66"/>
      <c r="J30" s="66"/>
    </row>
  </sheetData>
  <mergeCells count="2">
    <mergeCell ref="C4:C5"/>
    <mergeCell ref="D4: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neItem_Maternity"/>
  <dimension ref="A1:L38"/>
  <sheetViews>
    <sheetView workbookViewId="0"/>
  </sheetViews>
  <sheetFormatPr defaultRowHeight="15" x14ac:dyDescent="0.25"/>
  <cols>
    <col min="1" max="1" width="10.7109375" style="127" customWidth="1"/>
    <col min="2" max="3" width="20.7109375" style="128" customWidth="1"/>
    <col min="4" max="4" width="20.7109375" style="127" customWidth="1"/>
    <col min="5" max="5" width="40.7109375" style="127" customWidth="1"/>
    <col min="6" max="6" width="40.7109375" style="135" customWidth="1"/>
    <col min="7" max="7" width="16.7109375" style="127" customWidth="1"/>
    <col min="8" max="8" width="20.7109375" style="127" customWidth="1"/>
    <col min="9" max="9" width="22" style="127" bestFit="1" customWidth="1"/>
    <col min="10" max="10" width="15.28515625" style="128" bestFit="1" customWidth="1"/>
  </cols>
  <sheetData>
    <row r="1" spans="1:12" s="2" customFormat="1" ht="45" x14ac:dyDescent="0.25">
      <c r="A1" s="133" t="s">
        <v>18</v>
      </c>
      <c r="B1" s="134" t="s">
        <v>240</v>
      </c>
      <c r="C1" s="134" t="s">
        <v>41</v>
      </c>
      <c r="D1" s="133" t="s">
        <v>42</v>
      </c>
      <c r="E1" s="133" t="s">
        <v>6</v>
      </c>
      <c r="F1" s="133" t="s">
        <v>136</v>
      </c>
      <c r="G1" s="133" t="s">
        <v>43</v>
      </c>
      <c r="H1" s="133" t="s">
        <v>44</v>
      </c>
      <c r="I1" s="133" t="s">
        <v>225</v>
      </c>
      <c r="J1" s="134" t="s">
        <v>226</v>
      </c>
    </row>
    <row r="2" spans="1:12" s="14" customFormat="1" ht="30" x14ac:dyDescent="0.25">
      <c r="A2" s="127">
        <v>1</v>
      </c>
      <c r="B2" s="128"/>
      <c r="C2" s="128">
        <v>228298150</v>
      </c>
      <c r="D2" s="127" t="s">
        <v>45</v>
      </c>
      <c r="E2" s="139" t="s">
        <v>34</v>
      </c>
      <c r="F2" s="135" t="s">
        <v>336</v>
      </c>
      <c r="G2" s="318">
        <v>6.8</v>
      </c>
      <c r="H2" s="127"/>
      <c r="I2" s="127" t="b">
        <f t="shared" ref="I2:I33" si="0">IF(ISERROR(VLOOKUP(E2,BenefitCategoryList,1,FALSE)),FALSE,TRUE)</f>
        <v>1</v>
      </c>
      <c r="J2" s="130">
        <f>COUNTIF(MATERNITY_TIMELINE!ServiceCode,A2)</f>
        <v>1</v>
      </c>
      <c r="L2" s="323"/>
    </row>
    <row r="3" spans="1:12" s="14" customFormat="1" ht="30" x14ac:dyDescent="0.25">
      <c r="A3" s="127">
        <v>2</v>
      </c>
      <c r="B3" s="128"/>
      <c r="C3" s="128">
        <v>53746046605</v>
      </c>
      <c r="D3" s="127" t="s">
        <v>45</v>
      </c>
      <c r="E3" s="139" t="s">
        <v>34</v>
      </c>
      <c r="F3" s="135" t="s">
        <v>337</v>
      </c>
      <c r="G3" s="318">
        <v>3.77</v>
      </c>
      <c r="H3" s="127"/>
      <c r="I3" s="127" t="b">
        <f t="shared" si="0"/>
        <v>1</v>
      </c>
      <c r="J3" s="130">
        <f>COUNTIF(MATERNITY_TIMELINE!ServiceCode,A3)</f>
        <v>1</v>
      </c>
      <c r="L3" s="323"/>
    </row>
    <row r="4" spans="1:12" s="14" customFormat="1" x14ac:dyDescent="0.25">
      <c r="A4" s="131">
        <v>5</v>
      </c>
      <c r="B4" s="130" t="s">
        <v>232</v>
      </c>
      <c r="C4" s="130">
        <v>1967</v>
      </c>
      <c r="D4" s="131" t="s">
        <v>81</v>
      </c>
      <c r="E4" s="320" t="s">
        <v>377</v>
      </c>
      <c r="F4" s="136" t="s">
        <v>82</v>
      </c>
      <c r="G4" s="319">
        <v>1399.34</v>
      </c>
      <c r="H4" s="131"/>
      <c r="I4" s="131" t="b">
        <f t="shared" si="0"/>
        <v>1</v>
      </c>
      <c r="J4" s="130">
        <f>COUNTIF(MATERNITY_TIMELINE!ServiceCode,A4)</f>
        <v>1</v>
      </c>
      <c r="L4" s="323"/>
    </row>
    <row r="5" spans="1:12" s="14" customFormat="1" x14ac:dyDescent="0.25">
      <c r="A5" s="127">
        <v>6</v>
      </c>
      <c r="B5" s="128" t="s">
        <v>232</v>
      </c>
      <c r="C5" s="128">
        <v>59400</v>
      </c>
      <c r="D5" s="127" t="s">
        <v>83</v>
      </c>
      <c r="E5" s="139" t="s">
        <v>30</v>
      </c>
      <c r="F5" s="135" t="s">
        <v>84</v>
      </c>
      <c r="G5" s="318">
        <v>2609.9299999999998</v>
      </c>
      <c r="H5" s="127" t="s">
        <v>345</v>
      </c>
      <c r="I5" s="127" t="b">
        <f t="shared" si="0"/>
        <v>1</v>
      </c>
      <c r="J5" s="130">
        <f>COUNTIF(MATERNITY_TIMELINE!ServiceCode,A5)</f>
        <v>1</v>
      </c>
      <c r="L5" s="323"/>
    </row>
    <row r="6" spans="1:12" s="14" customFormat="1" ht="30" x14ac:dyDescent="0.25">
      <c r="A6" s="127">
        <v>7</v>
      </c>
      <c r="B6" s="128"/>
      <c r="C6" s="128">
        <v>51991045757</v>
      </c>
      <c r="D6" s="127" t="s">
        <v>45</v>
      </c>
      <c r="E6" s="139" t="s">
        <v>36</v>
      </c>
      <c r="F6" s="135" t="s">
        <v>338</v>
      </c>
      <c r="G6" s="318">
        <v>15.1</v>
      </c>
      <c r="H6" s="127"/>
      <c r="I6" s="127" t="b">
        <f t="shared" si="0"/>
        <v>1</v>
      </c>
      <c r="J6" s="130">
        <f>COUNTIF(MATERNITY_TIMELINE!ServiceCode,A6)</f>
        <v>1</v>
      </c>
      <c r="L6" s="323"/>
    </row>
    <row r="7" spans="1:12" s="14" customFormat="1" ht="30" x14ac:dyDescent="0.25">
      <c r="A7" s="127">
        <v>8</v>
      </c>
      <c r="B7" s="128"/>
      <c r="C7" s="128">
        <v>44946104501</v>
      </c>
      <c r="D7" s="127" t="s">
        <v>45</v>
      </c>
      <c r="E7" s="139" t="s">
        <v>36</v>
      </c>
      <c r="F7" s="135" t="s">
        <v>85</v>
      </c>
      <c r="G7" s="318">
        <v>11.48</v>
      </c>
      <c r="H7" s="127"/>
      <c r="I7" s="127" t="b">
        <f t="shared" si="0"/>
        <v>1</v>
      </c>
      <c r="J7" s="130">
        <f>COUNTIF(MATERNITY_TIMELINE!ServiceCode,A7)</f>
        <v>4</v>
      </c>
      <c r="L7" s="323"/>
    </row>
    <row r="8" spans="1:12" s="14" customFormat="1" x14ac:dyDescent="0.25">
      <c r="A8" s="127">
        <v>10</v>
      </c>
      <c r="B8" s="128" t="s">
        <v>236</v>
      </c>
      <c r="C8" s="128">
        <v>90471</v>
      </c>
      <c r="D8" s="127" t="s">
        <v>83</v>
      </c>
      <c r="E8" s="139" t="s">
        <v>37</v>
      </c>
      <c r="F8" s="135" t="s">
        <v>86</v>
      </c>
      <c r="G8" s="318">
        <v>28.56</v>
      </c>
      <c r="H8" s="127"/>
      <c r="I8" s="127" t="b">
        <f t="shared" si="0"/>
        <v>1</v>
      </c>
      <c r="J8" s="130">
        <f>COUNTIF(MATERNITY_TIMELINE!ServiceCode,A8)</f>
        <v>1</v>
      </c>
      <c r="L8" s="323"/>
    </row>
    <row r="9" spans="1:12" s="14" customFormat="1" x14ac:dyDescent="0.25">
      <c r="A9" s="127">
        <v>11</v>
      </c>
      <c r="B9" s="128" t="s">
        <v>236</v>
      </c>
      <c r="C9" s="128">
        <v>90656</v>
      </c>
      <c r="D9" s="127" t="s">
        <v>83</v>
      </c>
      <c r="E9" s="139" t="s">
        <v>37</v>
      </c>
      <c r="F9" s="135" t="s">
        <v>87</v>
      </c>
      <c r="G9" s="318">
        <v>20.2</v>
      </c>
      <c r="H9" s="127"/>
      <c r="I9" s="127" t="b">
        <f t="shared" si="0"/>
        <v>1</v>
      </c>
      <c r="J9" s="130">
        <f>COUNTIF(MATERNITY_TIMELINE!ServiceCode,A9)</f>
        <v>1</v>
      </c>
      <c r="L9" s="323"/>
    </row>
    <row r="10" spans="1:12" s="14" customFormat="1" x14ac:dyDescent="0.25">
      <c r="A10" s="127">
        <v>12</v>
      </c>
      <c r="B10" s="128" t="s">
        <v>235</v>
      </c>
      <c r="C10" s="128">
        <v>36415</v>
      </c>
      <c r="D10" s="127" t="s">
        <v>83</v>
      </c>
      <c r="E10" s="139" t="s">
        <v>33</v>
      </c>
      <c r="F10" s="135" t="s">
        <v>48</v>
      </c>
      <c r="G10" s="318">
        <v>5.3</v>
      </c>
      <c r="H10" s="127" t="s">
        <v>88</v>
      </c>
      <c r="I10" s="127" t="b">
        <f t="shared" si="0"/>
        <v>1</v>
      </c>
      <c r="J10" s="130">
        <f>COUNTIF(MATERNITY_TIMELINE!ServiceCode,A10)</f>
        <v>3</v>
      </c>
      <c r="L10" s="323"/>
    </row>
    <row r="11" spans="1:12" s="14" customFormat="1" x14ac:dyDescent="0.25">
      <c r="A11" s="127">
        <v>13</v>
      </c>
      <c r="B11" s="128" t="s">
        <v>235</v>
      </c>
      <c r="C11" s="128">
        <v>76805</v>
      </c>
      <c r="D11" s="127" t="s">
        <v>89</v>
      </c>
      <c r="E11" s="139" t="s">
        <v>32</v>
      </c>
      <c r="F11" s="135" t="s">
        <v>90</v>
      </c>
      <c r="G11" s="318">
        <v>209.73</v>
      </c>
      <c r="H11" s="127"/>
      <c r="I11" s="127" t="b">
        <f t="shared" si="0"/>
        <v>1</v>
      </c>
      <c r="J11" s="130">
        <f>COUNTIF(MATERNITY_TIMELINE!ServiceCode,A11)</f>
        <v>1</v>
      </c>
      <c r="L11" s="323"/>
    </row>
    <row r="12" spans="1:12" s="14" customFormat="1" x14ac:dyDescent="0.25">
      <c r="A12" s="127">
        <v>14</v>
      </c>
      <c r="B12" s="128" t="s">
        <v>235</v>
      </c>
      <c r="C12" s="128">
        <v>80055</v>
      </c>
      <c r="D12" s="127" t="s">
        <v>83</v>
      </c>
      <c r="E12" s="139" t="s">
        <v>33</v>
      </c>
      <c r="F12" s="135" t="s">
        <v>91</v>
      </c>
      <c r="G12" s="318">
        <v>56.04</v>
      </c>
      <c r="H12" s="127" t="s">
        <v>92</v>
      </c>
      <c r="I12" s="127" t="b">
        <f t="shared" si="0"/>
        <v>1</v>
      </c>
      <c r="J12" s="130">
        <f>COUNTIF(MATERNITY_TIMELINE!ServiceCode,A12)</f>
        <v>1</v>
      </c>
      <c r="L12" s="323"/>
    </row>
    <row r="13" spans="1:12" s="14" customFormat="1" x14ac:dyDescent="0.25">
      <c r="A13" s="127">
        <v>15</v>
      </c>
      <c r="B13" s="128" t="s">
        <v>235</v>
      </c>
      <c r="C13" s="128">
        <v>82105</v>
      </c>
      <c r="D13" s="127" t="s">
        <v>83</v>
      </c>
      <c r="E13" s="139" t="s">
        <v>33</v>
      </c>
      <c r="F13" s="135" t="s">
        <v>93</v>
      </c>
      <c r="G13" s="318">
        <v>23.21</v>
      </c>
      <c r="H13" s="127" t="s">
        <v>94</v>
      </c>
      <c r="I13" s="127" t="b">
        <f t="shared" si="0"/>
        <v>1</v>
      </c>
      <c r="J13" s="130">
        <f>COUNTIF(MATERNITY_TIMELINE!ServiceCode,A13)</f>
        <v>1</v>
      </c>
      <c r="L13" s="323"/>
    </row>
    <row r="14" spans="1:12" s="14" customFormat="1" x14ac:dyDescent="0.25">
      <c r="A14" s="127">
        <v>16</v>
      </c>
      <c r="B14" s="128" t="s">
        <v>235</v>
      </c>
      <c r="C14" s="128">
        <v>82677</v>
      </c>
      <c r="D14" s="127" t="s">
        <v>83</v>
      </c>
      <c r="E14" s="139" t="s">
        <v>33</v>
      </c>
      <c r="F14" s="135" t="s">
        <v>223</v>
      </c>
      <c r="G14" s="318">
        <v>28.67</v>
      </c>
      <c r="H14" s="127" t="s">
        <v>94</v>
      </c>
      <c r="I14" s="127" t="b">
        <f t="shared" si="0"/>
        <v>1</v>
      </c>
      <c r="J14" s="130">
        <f>COUNTIF(MATERNITY_TIMELINE!ServiceCode,A14)</f>
        <v>1</v>
      </c>
      <c r="L14" s="323"/>
    </row>
    <row r="15" spans="1:12" s="14" customFormat="1" x14ac:dyDescent="0.25">
      <c r="A15" s="127">
        <v>17</v>
      </c>
      <c r="B15" s="128" t="s">
        <v>235</v>
      </c>
      <c r="C15" s="128">
        <v>82947</v>
      </c>
      <c r="D15" s="127" t="s">
        <v>83</v>
      </c>
      <c r="E15" s="139" t="s">
        <v>33</v>
      </c>
      <c r="F15" s="135" t="s">
        <v>59</v>
      </c>
      <c r="G15" s="318">
        <v>8.2100000000000009</v>
      </c>
      <c r="H15" s="127"/>
      <c r="I15" s="127" t="b">
        <f t="shared" si="0"/>
        <v>1</v>
      </c>
      <c r="J15" s="130">
        <f>COUNTIF(MATERNITY_TIMELINE!ServiceCode,A15)</f>
        <v>1</v>
      </c>
      <c r="L15" s="323"/>
    </row>
    <row r="16" spans="1:12" s="14" customFormat="1" x14ac:dyDescent="0.25">
      <c r="A16" s="127">
        <v>18</v>
      </c>
      <c r="B16" s="128" t="s">
        <v>235</v>
      </c>
      <c r="C16" s="128">
        <v>82950</v>
      </c>
      <c r="D16" s="127" t="s">
        <v>83</v>
      </c>
      <c r="E16" s="139" t="s">
        <v>33</v>
      </c>
      <c r="F16" s="135" t="s">
        <v>95</v>
      </c>
      <c r="G16" s="318">
        <v>10.029999999999999</v>
      </c>
      <c r="H16" s="127"/>
      <c r="I16" s="127" t="b">
        <f t="shared" si="0"/>
        <v>1</v>
      </c>
      <c r="J16" s="130">
        <f>COUNTIF(MATERNITY_TIMELINE!ServiceCode,A16)</f>
        <v>1</v>
      </c>
      <c r="L16" s="323"/>
    </row>
    <row r="17" spans="1:12" s="14" customFormat="1" x14ac:dyDescent="0.25">
      <c r="A17" s="127">
        <v>25</v>
      </c>
      <c r="B17" s="128" t="s">
        <v>235</v>
      </c>
      <c r="C17" s="128">
        <v>84702</v>
      </c>
      <c r="D17" s="127" t="s">
        <v>83</v>
      </c>
      <c r="E17" s="139" t="s">
        <v>33</v>
      </c>
      <c r="F17" s="135" t="s">
        <v>96</v>
      </c>
      <c r="G17" s="318">
        <v>24.94</v>
      </c>
      <c r="H17" s="127" t="s">
        <v>94</v>
      </c>
      <c r="I17" s="127" t="b">
        <f t="shared" si="0"/>
        <v>1</v>
      </c>
      <c r="J17" s="130">
        <f>COUNTIF(MATERNITY_TIMELINE!ServiceCode,A17)</f>
        <v>1</v>
      </c>
      <c r="L17" s="323"/>
    </row>
    <row r="18" spans="1:12" s="14" customFormat="1" x14ac:dyDescent="0.25">
      <c r="A18" s="127">
        <v>26</v>
      </c>
      <c r="B18" s="128" t="s">
        <v>235</v>
      </c>
      <c r="C18" s="128">
        <v>85025</v>
      </c>
      <c r="D18" s="127" t="s">
        <v>83</v>
      </c>
      <c r="E18" s="139" t="s">
        <v>33</v>
      </c>
      <c r="F18" s="135" t="s">
        <v>97</v>
      </c>
      <c r="G18" s="318">
        <v>13.99</v>
      </c>
      <c r="H18" s="127"/>
      <c r="I18" s="127" t="b">
        <f t="shared" si="0"/>
        <v>1</v>
      </c>
      <c r="J18" s="130">
        <f>COUNTIF(MATERNITY_TIMELINE!ServiceCode,A18)</f>
        <v>1</v>
      </c>
      <c r="L18" s="323"/>
    </row>
    <row r="19" spans="1:12" s="14" customFormat="1" x14ac:dyDescent="0.25">
      <c r="A19" s="127">
        <v>27</v>
      </c>
      <c r="B19" s="128" t="s">
        <v>235</v>
      </c>
      <c r="C19" s="128">
        <v>86336</v>
      </c>
      <c r="D19" s="127" t="s">
        <v>83</v>
      </c>
      <c r="E19" s="139" t="s">
        <v>33</v>
      </c>
      <c r="F19" s="135" t="s">
        <v>98</v>
      </c>
      <c r="G19" s="318">
        <v>21.67</v>
      </c>
      <c r="H19" s="127" t="s">
        <v>94</v>
      </c>
      <c r="I19" s="127" t="b">
        <f t="shared" si="0"/>
        <v>1</v>
      </c>
      <c r="J19" s="130">
        <f>COUNTIF(MATERNITY_TIMELINE!ServiceCode,A19)</f>
        <v>1</v>
      </c>
      <c r="L19" s="323"/>
    </row>
    <row r="20" spans="1:12" s="14" customFormat="1" x14ac:dyDescent="0.25">
      <c r="A20" s="127">
        <v>28</v>
      </c>
      <c r="B20" s="128" t="s">
        <v>235</v>
      </c>
      <c r="C20" s="128">
        <v>86701</v>
      </c>
      <c r="D20" s="127" t="s">
        <v>83</v>
      </c>
      <c r="E20" s="139" t="s">
        <v>33</v>
      </c>
      <c r="F20" s="135" t="s">
        <v>99</v>
      </c>
      <c r="G20" s="318">
        <v>17.37</v>
      </c>
      <c r="H20" s="127"/>
      <c r="I20" s="127" t="b">
        <f t="shared" si="0"/>
        <v>1</v>
      </c>
      <c r="J20" s="130">
        <f>COUNTIF(MATERNITY_TIMELINE!ServiceCode,A20)</f>
        <v>1</v>
      </c>
      <c r="L20" s="323"/>
    </row>
    <row r="21" spans="1:12" s="14" customFormat="1" x14ac:dyDescent="0.25">
      <c r="A21" s="127">
        <v>29</v>
      </c>
      <c r="B21" s="128" t="s">
        <v>235</v>
      </c>
      <c r="C21" s="128">
        <v>87653</v>
      </c>
      <c r="D21" s="127" t="s">
        <v>83</v>
      </c>
      <c r="E21" s="139" t="s">
        <v>33</v>
      </c>
      <c r="F21" s="135" t="s">
        <v>100</v>
      </c>
      <c r="G21" s="318">
        <v>61.22</v>
      </c>
      <c r="H21" s="127"/>
      <c r="I21" s="127" t="b">
        <f t="shared" si="0"/>
        <v>1</v>
      </c>
      <c r="J21" s="130">
        <f>COUNTIF(MATERNITY_TIMELINE!ServiceCode,A21)</f>
        <v>1</v>
      </c>
      <c r="L21" s="323"/>
    </row>
    <row r="22" spans="1:12" s="14" customFormat="1" x14ac:dyDescent="0.25">
      <c r="A22" s="131">
        <v>30</v>
      </c>
      <c r="B22" s="130" t="s">
        <v>235</v>
      </c>
      <c r="C22" s="130">
        <v>87801</v>
      </c>
      <c r="D22" s="131" t="s">
        <v>83</v>
      </c>
      <c r="E22" s="139" t="s">
        <v>33</v>
      </c>
      <c r="F22" s="136" t="s">
        <v>101</v>
      </c>
      <c r="G22" s="319">
        <v>119.67</v>
      </c>
      <c r="H22" s="131" t="s">
        <v>102</v>
      </c>
      <c r="I22" s="127" t="b">
        <f t="shared" si="0"/>
        <v>1</v>
      </c>
      <c r="J22" s="130">
        <f>COUNTIF(MATERNITY_TIMELINE!ServiceCode,A22)</f>
        <v>1</v>
      </c>
      <c r="L22" s="323"/>
    </row>
    <row r="23" spans="1:12" s="14" customFormat="1" x14ac:dyDescent="0.25">
      <c r="A23" s="127">
        <v>31</v>
      </c>
      <c r="B23" s="128" t="s">
        <v>235</v>
      </c>
      <c r="C23" s="128">
        <v>88175</v>
      </c>
      <c r="D23" s="127" t="s">
        <v>83</v>
      </c>
      <c r="E23" s="139" t="s">
        <v>33</v>
      </c>
      <c r="F23" s="135" t="s">
        <v>339</v>
      </c>
      <c r="G23" s="318">
        <v>36.94</v>
      </c>
      <c r="H23" s="127" t="s">
        <v>346</v>
      </c>
      <c r="I23" s="127" t="b">
        <f t="shared" si="0"/>
        <v>1</v>
      </c>
      <c r="J23" s="130">
        <f>COUNTIF(MATERNITY_TIMELINE!ServiceCode,A23)</f>
        <v>1</v>
      </c>
      <c r="L23" s="323"/>
    </row>
    <row r="24" spans="1:12" s="14" customFormat="1" x14ac:dyDescent="0.25">
      <c r="A24" s="127">
        <v>32</v>
      </c>
      <c r="B24" s="128" t="s">
        <v>235</v>
      </c>
      <c r="C24" s="128">
        <v>59400</v>
      </c>
      <c r="D24" s="127" t="s">
        <v>83</v>
      </c>
      <c r="E24" s="139" t="s">
        <v>30</v>
      </c>
      <c r="F24" s="135" t="s">
        <v>68</v>
      </c>
      <c r="G24" s="318"/>
      <c r="H24" s="127" t="s">
        <v>353</v>
      </c>
      <c r="I24" s="127" t="b">
        <f t="shared" si="0"/>
        <v>1</v>
      </c>
      <c r="J24" s="130">
        <f>COUNTIF(MATERNITY_TIMELINE!ServiceCode,A24)</f>
        <v>14</v>
      </c>
      <c r="L24" s="323"/>
    </row>
    <row r="25" spans="1:12" s="14" customFormat="1" x14ac:dyDescent="0.25">
      <c r="A25" s="127">
        <v>33</v>
      </c>
      <c r="B25" s="128" t="s">
        <v>237</v>
      </c>
      <c r="C25" s="128">
        <v>59400</v>
      </c>
      <c r="D25" s="127" t="s">
        <v>83</v>
      </c>
      <c r="E25" s="139" t="s">
        <v>30</v>
      </c>
      <c r="F25" s="135" t="s">
        <v>68</v>
      </c>
      <c r="G25" s="318"/>
      <c r="H25" s="127" t="s">
        <v>354</v>
      </c>
      <c r="I25" s="127" t="b">
        <f t="shared" si="0"/>
        <v>1</v>
      </c>
      <c r="J25" s="130">
        <f>COUNTIF(MATERNITY_TIMELINE!ServiceCode,A25)</f>
        <v>1</v>
      </c>
      <c r="L25" s="323"/>
    </row>
    <row r="26" spans="1:12" s="14" customFormat="1" ht="30" x14ac:dyDescent="0.25">
      <c r="A26" s="131">
        <v>34</v>
      </c>
      <c r="B26" s="130" t="s">
        <v>239</v>
      </c>
      <c r="C26" s="130">
        <v>775</v>
      </c>
      <c r="D26" s="131" t="s">
        <v>80</v>
      </c>
      <c r="E26" s="320" t="s">
        <v>28</v>
      </c>
      <c r="F26" s="136" t="s">
        <v>103</v>
      </c>
      <c r="G26" s="319">
        <v>7060.58</v>
      </c>
      <c r="H26" s="131"/>
      <c r="I26" s="131" t="b">
        <f t="shared" si="0"/>
        <v>1</v>
      </c>
      <c r="J26" s="130">
        <f>COUNTIF(MATERNITY_TIMELINE!ServiceCode,A26)</f>
        <v>1</v>
      </c>
      <c r="L26" s="323"/>
    </row>
    <row r="27" spans="1:12" s="14" customFormat="1" x14ac:dyDescent="0.25">
      <c r="A27" s="127">
        <v>35</v>
      </c>
      <c r="B27" s="128" t="s">
        <v>238</v>
      </c>
      <c r="C27" s="128">
        <v>81025</v>
      </c>
      <c r="D27" s="127" t="s">
        <v>83</v>
      </c>
      <c r="E27" s="139" t="s">
        <v>33</v>
      </c>
      <c r="F27" s="135" t="s">
        <v>104</v>
      </c>
      <c r="G27" s="318">
        <v>9.86</v>
      </c>
      <c r="H27" s="127"/>
      <c r="I27" s="127" t="b">
        <f t="shared" si="0"/>
        <v>1</v>
      </c>
      <c r="J27" s="130">
        <f>COUNTIF(MATERNITY_TIMELINE!ServiceCode,A27)</f>
        <v>1</v>
      </c>
      <c r="L27" s="323"/>
    </row>
    <row r="28" spans="1:12" s="14" customFormat="1" x14ac:dyDescent="0.25">
      <c r="A28" s="127">
        <v>37</v>
      </c>
      <c r="B28" s="128" t="s">
        <v>235</v>
      </c>
      <c r="C28" s="128">
        <v>81220</v>
      </c>
      <c r="D28" s="127" t="s">
        <v>83</v>
      </c>
      <c r="E28" s="139" t="s">
        <v>33</v>
      </c>
      <c r="F28" s="135" t="s">
        <v>224</v>
      </c>
      <c r="G28" s="318">
        <v>595.42999999999995</v>
      </c>
      <c r="H28" s="127"/>
      <c r="I28" s="127" t="b">
        <f t="shared" si="0"/>
        <v>1</v>
      </c>
      <c r="J28" s="130">
        <f>COUNTIF(MATERNITY_TIMELINE!ServiceCode,A28)</f>
        <v>1</v>
      </c>
      <c r="L28" s="323"/>
    </row>
    <row r="29" spans="1:12" s="14" customFormat="1" ht="30" x14ac:dyDescent="0.25">
      <c r="A29" s="131">
        <v>41</v>
      </c>
      <c r="B29" s="130" t="s">
        <v>235</v>
      </c>
      <c r="C29" s="130">
        <v>76815</v>
      </c>
      <c r="D29" s="131" t="s">
        <v>89</v>
      </c>
      <c r="E29" s="320" t="s">
        <v>32</v>
      </c>
      <c r="F29" s="136" t="s">
        <v>340</v>
      </c>
      <c r="G29" s="319">
        <v>133.68</v>
      </c>
      <c r="H29" s="131"/>
      <c r="I29" s="131" t="b">
        <f t="shared" si="0"/>
        <v>1</v>
      </c>
      <c r="J29" s="130">
        <f>COUNTIF(MATERNITY_TIMELINE!ServiceCode,A29)</f>
        <v>1</v>
      </c>
      <c r="L29" s="323"/>
    </row>
    <row r="30" spans="1:12" s="14" customFormat="1" x14ac:dyDescent="0.25">
      <c r="A30" s="127">
        <v>42</v>
      </c>
      <c r="B30" s="128" t="s">
        <v>235</v>
      </c>
      <c r="C30" s="128">
        <v>87086</v>
      </c>
      <c r="D30" s="127" t="s">
        <v>83</v>
      </c>
      <c r="E30" s="139" t="s">
        <v>33</v>
      </c>
      <c r="F30" s="135" t="s">
        <v>341</v>
      </c>
      <c r="G30" s="318">
        <v>13.12</v>
      </c>
      <c r="H30" s="127"/>
      <c r="I30" s="127" t="b">
        <f t="shared" si="0"/>
        <v>1</v>
      </c>
      <c r="J30" s="130">
        <f>COUNTIF(MATERNITY_TIMELINE!ServiceCode,A30)</f>
        <v>1</v>
      </c>
      <c r="L30" s="323"/>
    </row>
    <row r="31" spans="1:12" s="14" customFormat="1" x14ac:dyDescent="0.25">
      <c r="A31" s="127">
        <v>43</v>
      </c>
      <c r="B31" s="128" t="s">
        <v>235</v>
      </c>
      <c r="C31" s="128">
        <v>81001</v>
      </c>
      <c r="D31" s="127" t="s">
        <v>83</v>
      </c>
      <c r="E31" s="139" t="s">
        <v>33</v>
      </c>
      <c r="F31" s="135" t="s">
        <v>342</v>
      </c>
      <c r="G31" s="318">
        <v>8.67</v>
      </c>
      <c r="H31" s="127"/>
      <c r="I31" s="127" t="b">
        <f t="shared" si="0"/>
        <v>1</v>
      </c>
      <c r="J31" s="130">
        <f>COUNTIF(MATERNITY_TIMELINE!ServiceCode,A31)</f>
        <v>1</v>
      </c>
      <c r="L31" s="323"/>
    </row>
    <row r="32" spans="1:12" s="14" customFormat="1" x14ac:dyDescent="0.25">
      <c r="A32" s="127">
        <v>44</v>
      </c>
      <c r="B32" s="128" t="s">
        <v>235</v>
      </c>
      <c r="C32" s="128">
        <v>87491</v>
      </c>
      <c r="D32" s="127" t="s">
        <v>83</v>
      </c>
      <c r="E32" s="139" t="s">
        <v>33</v>
      </c>
      <c r="F32" s="135" t="s">
        <v>343</v>
      </c>
      <c r="G32" s="318">
        <v>44.48</v>
      </c>
      <c r="H32" s="127"/>
      <c r="I32" s="127" t="b">
        <f t="shared" si="0"/>
        <v>1</v>
      </c>
      <c r="J32" s="128">
        <f>COUNTIF(MATERNITY_TIMELINE!ServiceCode,A32)</f>
        <v>1</v>
      </c>
      <c r="L32" s="323"/>
    </row>
    <row r="33" spans="1:12" s="14" customFormat="1" x14ac:dyDescent="0.25">
      <c r="A33" s="127">
        <v>45</v>
      </c>
      <c r="B33" s="128" t="s">
        <v>235</v>
      </c>
      <c r="C33" s="128">
        <v>87591</v>
      </c>
      <c r="D33" s="127" t="s">
        <v>83</v>
      </c>
      <c r="E33" s="139" t="s">
        <v>33</v>
      </c>
      <c r="F33" s="135" t="s">
        <v>344</v>
      </c>
      <c r="G33" s="318">
        <v>43.82</v>
      </c>
      <c r="H33" s="127"/>
      <c r="I33" s="127" t="b">
        <f t="shared" si="0"/>
        <v>1</v>
      </c>
      <c r="J33" s="128">
        <f>COUNTIF(MATERNITY_TIMELINE!ServiceCode,A33)</f>
        <v>1</v>
      </c>
      <c r="L33" s="323"/>
    </row>
    <row r="34" spans="1:12" s="14" customFormat="1" x14ac:dyDescent="0.25">
      <c r="A34" s="127"/>
      <c r="B34" s="128"/>
      <c r="C34" s="128"/>
      <c r="D34" s="127"/>
      <c r="E34" s="139"/>
      <c r="F34" s="135"/>
      <c r="G34" s="318"/>
      <c r="H34" s="127"/>
      <c r="I34" s="127"/>
      <c r="J34" s="128"/>
    </row>
    <row r="35" spans="1:12" x14ac:dyDescent="0.25">
      <c r="E35" s="139"/>
      <c r="G35" s="318"/>
    </row>
    <row r="36" spans="1:12" x14ac:dyDescent="0.25">
      <c r="E36" s="139"/>
    </row>
    <row r="37" spans="1:12" x14ac:dyDescent="0.25">
      <c r="E37" s="139"/>
    </row>
    <row r="38" spans="1:12" x14ac:dyDescent="0.25">
      <c r="E38" s="139"/>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BENEFIT_DESIGN!$B$10:$B$31</xm:f>
          </x14:formula1>
          <xm:sqref>E2:E48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ummary_Diabetes"/>
  <dimension ref="A1:K30"/>
  <sheetViews>
    <sheetView workbookViewId="0">
      <selection activeCell="D29" sqref="D29"/>
    </sheetView>
  </sheetViews>
  <sheetFormatPr defaultColWidth="0" defaultRowHeight="15" zeroHeight="1" x14ac:dyDescent="0.25"/>
  <cols>
    <col min="1" max="1" width="2.7109375" customWidth="1"/>
    <col min="2" max="2" width="43.7109375" bestFit="1" customWidth="1"/>
    <col min="3" max="3" width="16.140625" bestFit="1" customWidth="1"/>
    <col min="4" max="9" width="12.7109375" customWidth="1"/>
    <col min="10" max="10" width="2.7109375" customWidth="1"/>
    <col min="11" max="11" width="0" hidden="1" customWidth="1"/>
    <col min="12" max="16384" width="9.140625" hidden="1"/>
  </cols>
  <sheetData>
    <row r="1" spans="1:10" x14ac:dyDescent="0.25">
      <c r="A1" s="66"/>
      <c r="B1" s="66"/>
      <c r="C1" s="66"/>
      <c r="D1" s="66"/>
      <c r="E1" s="66"/>
      <c r="F1" s="66"/>
      <c r="G1" s="66"/>
      <c r="H1" s="66"/>
      <c r="I1" s="66"/>
      <c r="J1" s="66"/>
    </row>
    <row r="2" spans="1:10" x14ac:dyDescent="0.25">
      <c r="A2" s="66"/>
      <c r="B2" s="78" t="s">
        <v>176</v>
      </c>
      <c r="C2" s="66"/>
      <c r="D2" s="66"/>
      <c r="E2" s="66"/>
      <c r="F2" s="66"/>
      <c r="G2" s="66"/>
      <c r="H2" s="66"/>
      <c r="I2" s="66"/>
      <c r="J2" s="66"/>
    </row>
    <row r="3" spans="1:10" x14ac:dyDescent="0.25">
      <c r="A3" s="66"/>
      <c r="B3" s="66"/>
      <c r="C3" s="66"/>
      <c r="D3" s="66"/>
      <c r="E3" s="66"/>
      <c r="F3" s="66"/>
      <c r="G3" s="66"/>
      <c r="H3" s="66"/>
      <c r="I3" s="66"/>
      <c r="J3" s="66"/>
    </row>
    <row r="4" spans="1:10" x14ac:dyDescent="0.25">
      <c r="A4" s="66"/>
      <c r="B4" s="297" t="str">
        <f>nrCBPlanNameRS</f>
        <v>Plan 1</v>
      </c>
      <c r="C4" s="356" t="s">
        <v>141</v>
      </c>
      <c r="D4" s="356" t="s">
        <v>326</v>
      </c>
      <c r="E4" s="298" t="s">
        <v>73</v>
      </c>
      <c r="F4" s="298"/>
      <c r="G4" s="298"/>
      <c r="H4" s="298"/>
      <c r="I4" s="299"/>
      <c r="J4" s="66"/>
    </row>
    <row r="5" spans="1:10" ht="45" x14ac:dyDescent="0.25">
      <c r="A5" s="66"/>
      <c r="B5" s="300" t="s">
        <v>8</v>
      </c>
      <c r="C5" s="357"/>
      <c r="D5" s="357"/>
      <c r="E5" s="301" t="s">
        <v>11</v>
      </c>
      <c r="F5" s="302" t="s">
        <v>25</v>
      </c>
      <c r="G5" s="303" t="s">
        <v>26</v>
      </c>
      <c r="H5" s="303" t="s">
        <v>27</v>
      </c>
      <c r="I5" s="304" t="s">
        <v>24</v>
      </c>
      <c r="J5" s="66"/>
    </row>
    <row r="6" spans="1:10" x14ac:dyDescent="0.25">
      <c r="A6" s="66"/>
      <c r="B6" s="296" t="str">
        <f>BENEFIT_DESIGN!B10</f>
        <v>Inpatient Hospital Care (Facility)</v>
      </c>
      <c r="C6" s="60">
        <f>SUMIFS(DIABETES_TIMELINE!AllowedAmt,DIABETES_TIMELINE!BenefitCategory,$B6)</f>
        <v>0</v>
      </c>
      <c r="D6" s="61">
        <f>SUMIFS(DIABETES_TIMELINE!PlanPaymentAmt,DIABETES_TIMELINE!BenefitCategory,$B6)</f>
        <v>0</v>
      </c>
      <c r="E6" s="61">
        <f t="shared" ref="E6" si="0">SUM(F6:I6)</f>
        <v>0</v>
      </c>
      <c r="F6" s="62">
        <f>SUMIFS(DIABETES_TIMELINE!SubscriberPayDeduc,DIABETES_TIMELINE!BenefitCategory,$B6)</f>
        <v>0</v>
      </c>
      <c r="G6" s="63">
        <f>SUMIFS(DIABETES_TIMELINE!SubscriberPayCopay,DIABETES_TIMELINE!BenefitCategory,$B6)</f>
        <v>0</v>
      </c>
      <c r="H6" s="63">
        <f>SUMIFS(DIABETES_TIMELINE!SubscriberPayCoins,DIABETES_TIMELINE!BenefitCategory,$B6)</f>
        <v>0</v>
      </c>
      <c r="I6" s="64">
        <f>SUMIFS(DIABETES_TIMELINE!SubscriberPayNonCov,DIABETES_TIMELINE!BenefitCategory,$B6)+SUMIFS(DIABETES_TIMELINE!SubscriberPayExclusion,DIABETES_TIMELINE!BenefitCategory,$B6)</f>
        <v>0</v>
      </c>
      <c r="J6" s="66"/>
    </row>
    <row r="7" spans="1:10" x14ac:dyDescent="0.25">
      <c r="A7" s="66"/>
      <c r="B7" s="296" t="str">
        <f>BENEFIT_DESIGN!B11</f>
        <v>Other Facility Services</v>
      </c>
      <c r="C7" s="60">
        <f>SUMIFS(DIABETES_TIMELINE!AllowedAmt,DIABETES_TIMELINE!BenefitCategory,$B7)</f>
        <v>0</v>
      </c>
      <c r="D7" s="61">
        <f>SUMIFS(DIABETES_TIMELINE!PlanPaymentAmt,DIABETES_TIMELINE!BenefitCategory,$B7)</f>
        <v>0</v>
      </c>
      <c r="E7" s="61">
        <f t="shared" ref="E7:E20" si="1">SUM(F7:I7)</f>
        <v>0</v>
      </c>
      <c r="F7" s="62">
        <f>SUMIFS(DIABETES_TIMELINE!SubscriberPayDeduc,DIABETES_TIMELINE!BenefitCategory,$B7)</f>
        <v>0</v>
      </c>
      <c r="G7" s="63">
        <f>SUMIFS(DIABETES_TIMELINE!SubscriberPayCopay,DIABETES_TIMELINE!BenefitCategory,$B7)</f>
        <v>0</v>
      </c>
      <c r="H7" s="63">
        <f>SUMIFS(DIABETES_TIMELINE!SubscriberPayCoins,DIABETES_TIMELINE!BenefitCategory,$B7)</f>
        <v>0</v>
      </c>
      <c r="I7" s="64">
        <f>SUMIFS(DIABETES_TIMELINE!SubscriberPayNonCov,DIABETES_TIMELINE!BenefitCategory,$B7)+SUMIFS(DIABETES_TIMELINE!SubscriberPayExclusion,DIABETES_TIMELINE!BenefitCategory,$B7)</f>
        <v>0</v>
      </c>
      <c r="J7" s="66"/>
    </row>
    <row r="8" spans="1:10" x14ac:dyDescent="0.25">
      <c r="A8" s="66"/>
      <c r="B8" s="296" t="str">
        <f>BENEFIT_DESIGN!B12</f>
        <v>Emergency Department (Facility)</v>
      </c>
      <c r="C8" s="60">
        <f>SUMIFS(DIABETES_TIMELINE!AllowedAmt,DIABETES_TIMELINE!BenefitCategory,$B8)</f>
        <v>0</v>
      </c>
      <c r="D8" s="61">
        <f>SUMIFS(DIABETES_TIMELINE!PlanPaymentAmt,DIABETES_TIMELINE!BenefitCategory,$B8)</f>
        <v>0</v>
      </c>
      <c r="E8" s="61">
        <f t="shared" si="1"/>
        <v>0</v>
      </c>
      <c r="F8" s="62">
        <f>SUMIFS(DIABETES_TIMELINE!SubscriberPayDeduc,DIABETES_TIMELINE!BenefitCategory,$B8)</f>
        <v>0</v>
      </c>
      <c r="G8" s="63">
        <f>SUMIFS(DIABETES_TIMELINE!SubscriberPayCopay,DIABETES_TIMELINE!BenefitCategory,$B8)</f>
        <v>0</v>
      </c>
      <c r="H8" s="63">
        <f>SUMIFS(DIABETES_TIMELINE!SubscriberPayCoins,DIABETES_TIMELINE!BenefitCategory,$B8)</f>
        <v>0</v>
      </c>
      <c r="I8" s="64">
        <f>SUMIFS(DIABETES_TIMELINE!SubscriberPayNonCov,DIABETES_TIMELINE!BenefitCategory,$B8)+SUMIFS(DIABETES_TIMELINE!SubscriberPayExclusion,DIABETES_TIMELINE!BenefitCategory,$B8)</f>
        <v>0</v>
      </c>
      <c r="J8" s="66"/>
    </row>
    <row r="9" spans="1:10" x14ac:dyDescent="0.25">
      <c r="A9" s="66"/>
      <c r="B9" s="296" t="str">
        <f>BENEFIT_DESIGN!B13</f>
        <v>Ambulance</v>
      </c>
      <c r="C9" s="60">
        <f>SUMIFS(DIABETES_TIMELINE!AllowedAmt,DIABETES_TIMELINE!BenefitCategory,$B9)</f>
        <v>0</v>
      </c>
      <c r="D9" s="61">
        <f>SUMIFS(DIABETES_TIMELINE!PlanPaymentAmt,DIABETES_TIMELINE!BenefitCategory,$B9)</f>
        <v>0</v>
      </c>
      <c r="E9" s="61">
        <f t="shared" si="1"/>
        <v>0</v>
      </c>
      <c r="F9" s="62">
        <f>SUMIFS(DIABETES_TIMELINE!SubscriberPayDeduc,DIABETES_TIMELINE!BenefitCategory,$B9)</f>
        <v>0</v>
      </c>
      <c r="G9" s="63">
        <f>SUMIFS(DIABETES_TIMELINE!SubscriberPayCopay,DIABETES_TIMELINE!BenefitCategory,$B9)</f>
        <v>0</v>
      </c>
      <c r="H9" s="63">
        <f>SUMIFS(DIABETES_TIMELINE!SubscriberPayCoins,DIABETES_TIMELINE!BenefitCategory,$B9)</f>
        <v>0</v>
      </c>
      <c r="I9" s="64">
        <f>SUMIFS(DIABETES_TIMELINE!SubscriberPayNonCov,DIABETES_TIMELINE!BenefitCategory,$B9)+SUMIFS(DIABETES_TIMELINE!SubscriberPayExclusion,DIABETES_TIMELINE!BenefitCategory,$B9)</f>
        <v>0</v>
      </c>
      <c r="J9" s="66"/>
    </row>
    <row r="10" spans="1:10" x14ac:dyDescent="0.25">
      <c r="A10" s="66"/>
      <c r="B10" s="296" t="str">
        <f>BENEFIT_DESIGN!B14</f>
        <v>Professional Services: Primary Care</v>
      </c>
      <c r="C10" s="60">
        <f>SUMIFS(DIABETES_TIMELINE!AllowedAmt,DIABETES_TIMELINE!BenefitCategory,$B10)</f>
        <v>716.1</v>
      </c>
      <c r="D10" s="61">
        <f>SUMIFS(DIABETES_TIMELINE!PlanPaymentAmt,DIABETES_TIMELINE!BenefitCategory,$B10)</f>
        <v>0</v>
      </c>
      <c r="E10" s="61">
        <f t="shared" si="1"/>
        <v>716.1</v>
      </c>
      <c r="F10" s="62">
        <f>SUMIFS(DIABETES_TIMELINE!SubscriberPayDeduc,DIABETES_TIMELINE!BenefitCategory,$B10)</f>
        <v>0</v>
      </c>
      <c r="G10" s="63">
        <f>SUMIFS(DIABETES_TIMELINE!SubscriberPayCopay,DIABETES_TIMELINE!BenefitCategory,$B10)</f>
        <v>0</v>
      </c>
      <c r="H10" s="63">
        <f>SUMIFS(DIABETES_TIMELINE!SubscriberPayCoins,DIABETES_TIMELINE!BenefitCategory,$B10)</f>
        <v>0</v>
      </c>
      <c r="I10" s="64">
        <f>SUMIFS(DIABETES_TIMELINE!SubscriberPayNonCov,DIABETES_TIMELINE!BenefitCategory,$B10)+SUMIFS(DIABETES_TIMELINE!SubscriberPayExclusion,DIABETES_TIMELINE!BenefitCategory,$B10)</f>
        <v>716.1</v>
      </c>
      <c r="J10" s="66"/>
    </row>
    <row r="11" spans="1:10" x14ac:dyDescent="0.25">
      <c r="A11" s="66"/>
      <c r="B11" s="296" t="str">
        <f>BENEFIT_DESIGN!B15</f>
        <v>Professional Services: Emergency Department</v>
      </c>
      <c r="C11" s="60">
        <f>SUMIFS(DIABETES_TIMELINE!AllowedAmt,DIABETES_TIMELINE!BenefitCategory,$B11)</f>
        <v>0</v>
      </c>
      <c r="D11" s="61">
        <f>SUMIFS(DIABETES_TIMELINE!PlanPaymentAmt,DIABETES_TIMELINE!BenefitCategory,$B11)</f>
        <v>0</v>
      </c>
      <c r="E11" s="61">
        <f t="shared" si="1"/>
        <v>0</v>
      </c>
      <c r="F11" s="62">
        <f>SUMIFS(DIABETES_TIMELINE!SubscriberPayDeduc,DIABETES_TIMELINE!BenefitCategory,$B11)</f>
        <v>0</v>
      </c>
      <c r="G11" s="63">
        <f>SUMIFS(DIABETES_TIMELINE!SubscriberPayCopay,DIABETES_TIMELINE!BenefitCategory,$B11)</f>
        <v>0</v>
      </c>
      <c r="H11" s="63">
        <f>SUMIFS(DIABETES_TIMELINE!SubscriberPayCoins,DIABETES_TIMELINE!BenefitCategory,$B11)</f>
        <v>0</v>
      </c>
      <c r="I11" s="64">
        <f>SUMIFS(DIABETES_TIMELINE!SubscriberPayNonCov,DIABETES_TIMELINE!BenefitCategory,$B11)+SUMIFS(DIABETES_TIMELINE!SubscriberPayExclusion,DIABETES_TIMELINE!BenefitCategory,$B11)</f>
        <v>0</v>
      </c>
      <c r="J11" s="66"/>
    </row>
    <row r="12" spans="1:10" x14ac:dyDescent="0.25">
      <c r="A12" s="66"/>
      <c r="B12" s="296" t="str">
        <f>BENEFIT_DESIGN!B16</f>
        <v>Professional Services: Inpatient</v>
      </c>
      <c r="C12" s="60">
        <f>SUMIFS(DIABETES_TIMELINE!AllowedAmt,DIABETES_TIMELINE!BenefitCategory,$B12)</f>
        <v>0</v>
      </c>
      <c r="D12" s="61">
        <f>SUMIFS(DIABETES_TIMELINE!PlanPaymentAmt,DIABETES_TIMELINE!BenefitCategory,$B12)</f>
        <v>0</v>
      </c>
      <c r="E12" s="61">
        <f t="shared" ref="E12" si="2">SUM(F12:I12)</f>
        <v>0</v>
      </c>
      <c r="F12" s="62">
        <f>SUMIFS(DIABETES_TIMELINE!SubscriberPayDeduc,DIABETES_TIMELINE!BenefitCategory,$B12)</f>
        <v>0</v>
      </c>
      <c r="G12" s="63">
        <f>SUMIFS(DIABETES_TIMELINE!SubscriberPayCopay,DIABETES_TIMELINE!BenefitCategory,$B12)</f>
        <v>0</v>
      </c>
      <c r="H12" s="63">
        <f>SUMIFS(DIABETES_TIMELINE!SubscriberPayCoins,DIABETES_TIMELINE!BenefitCategory,$B12)</f>
        <v>0</v>
      </c>
      <c r="I12" s="64">
        <f>SUMIFS(DIABETES_TIMELINE!SubscriberPayNonCov,DIABETES_TIMELINE!BenefitCategory,$B12)+SUMIFS(DIABETES_TIMELINE!SubscriberPayExclusion,DIABETES_TIMELINE!BenefitCategory,$B12)</f>
        <v>0</v>
      </c>
      <c r="J12" s="66"/>
    </row>
    <row r="13" spans="1:10" x14ac:dyDescent="0.25">
      <c r="A13" s="66"/>
      <c r="B13" s="296" t="str">
        <f>BENEFIT_DESIGN!B17</f>
        <v>Professional Services: Specialist</v>
      </c>
      <c r="C13" s="60">
        <f>SUMIFS(DIABETES_TIMELINE!AllowedAmt,DIABETES_TIMELINE!BenefitCategory,$B13)</f>
        <v>300.74</v>
      </c>
      <c r="D13" s="61">
        <f>SUMIFS(DIABETES_TIMELINE!PlanPaymentAmt,DIABETES_TIMELINE!BenefitCategory,$B13)</f>
        <v>0</v>
      </c>
      <c r="E13" s="61">
        <f t="shared" si="1"/>
        <v>300.74</v>
      </c>
      <c r="F13" s="62">
        <f>SUMIFS(DIABETES_TIMELINE!SubscriberPayDeduc,DIABETES_TIMELINE!BenefitCategory,$B13)</f>
        <v>0</v>
      </c>
      <c r="G13" s="63">
        <f>SUMIFS(DIABETES_TIMELINE!SubscriberPayCopay,DIABETES_TIMELINE!BenefitCategory,$B13)</f>
        <v>0</v>
      </c>
      <c r="H13" s="63">
        <f>SUMIFS(DIABETES_TIMELINE!SubscriberPayCoins,DIABETES_TIMELINE!BenefitCategory,$B13)</f>
        <v>0</v>
      </c>
      <c r="I13" s="64">
        <f>SUMIFS(DIABETES_TIMELINE!SubscriberPayNonCov,DIABETES_TIMELINE!BenefitCategory,$B13)+SUMIFS(DIABETES_TIMELINE!SubscriberPayExclusion,DIABETES_TIMELINE!BenefitCategory,$B13)</f>
        <v>300.74</v>
      </c>
      <c r="J13" s="66"/>
    </row>
    <row r="14" spans="1:10" x14ac:dyDescent="0.25">
      <c r="A14" s="66"/>
      <c r="B14" s="296" t="str">
        <f>BENEFIT_DESIGN!B18</f>
        <v>Professional Services: Obstetric Care (Bundled)</v>
      </c>
      <c r="C14" s="60">
        <f>SUMIFS(DIABETES_TIMELINE!AllowedAmt,DIABETES_TIMELINE!BenefitCategory,$B14)</f>
        <v>0</v>
      </c>
      <c r="D14" s="61">
        <f>SUMIFS(DIABETES_TIMELINE!PlanPaymentAmt,DIABETES_TIMELINE!BenefitCategory,$B14)</f>
        <v>0</v>
      </c>
      <c r="E14" s="61">
        <f t="shared" si="1"/>
        <v>0</v>
      </c>
      <c r="F14" s="62">
        <f>SUMIFS(DIABETES_TIMELINE!SubscriberPayDeduc,DIABETES_TIMELINE!BenefitCategory,$B14)</f>
        <v>0</v>
      </c>
      <c r="G14" s="63">
        <f>SUMIFS(DIABETES_TIMELINE!SubscriberPayCopay,DIABETES_TIMELINE!BenefitCategory,$B14)</f>
        <v>0</v>
      </c>
      <c r="H14" s="63">
        <f>SUMIFS(DIABETES_TIMELINE!SubscriberPayCoins,DIABETES_TIMELINE!BenefitCategory,$B14)</f>
        <v>0</v>
      </c>
      <c r="I14" s="64">
        <f>SUMIFS(DIABETES_TIMELINE!SubscriberPayNonCov,DIABETES_TIMELINE!BenefitCategory,$B14)+SUMIFS(DIABETES_TIMELINE!SubscriberPayExclusion,DIABETES_TIMELINE!BenefitCategory,$B14)</f>
        <v>0</v>
      </c>
      <c r="J14" s="66"/>
    </row>
    <row r="15" spans="1:10" x14ac:dyDescent="0.25">
      <c r="A15" s="66"/>
      <c r="B15" s="296" t="str">
        <f>BENEFIT_DESIGN!B19</f>
        <v>Professional Services: Procedures &amp; Other</v>
      </c>
      <c r="C15" s="60">
        <f>SUMIFS(DIABETES_TIMELINE!AllowedAmt,DIABETES_TIMELINE!BenefitCategory,$B15)</f>
        <v>0</v>
      </c>
      <c r="D15" s="61">
        <f>SUMIFS(DIABETES_TIMELINE!PlanPaymentAmt,DIABETES_TIMELINE!BenefitCategory,$B15)</f>
        <v>0</v>
      </c>
      <c r="E15" s="61">
        <f t="shared" si="1"/>
        <v>0</v>
      </c>
      <c r="F15" s="62">
        <f>SUMIFS(DIABETES_TIMELINE!SubscriberPayDeduc,DIABETES_TIMELINE!BenefitCategory,$B15)</f>
        <v>0</v>
      </c>
      <c r="G15" s="63">
        <f>SUMIFS(DIABETES_TIMELINE!SubscriberPayCopay,DIABETES_TIMELINE!BenefitCategory,$B15)</f>
        <v>0</v>
      </c>
      <c r="H15" s="63">
        <f>SUMIFS(DIABETES_TIMELINE!SubscriberPayCoins,DIABETES_TIMELINE!BenefitCategory,$B15)</f>
        <v>0</v>
      </c>
      <c r="I15" s="64">
        <f>SUMIFS(DIABETES_TIMELINE!SubscriberPayNonCov,DIABETES_TIMELINE!BenefitCategory,$B15)+SUMIFS(DIABETES_TIMELINE!SubscriberPayExclusion,DIABETES_TIMELINE!BenefitCategory,$B15)</f>
        <v>0</v>
      </c>
      <c r="J15" s="66"/>
    </row>
    <row r="16" spans="1:10" x14ac:dyDescent="0.25">
      <c r="A16" s="66"/>
      <c r="B16" s="296" t="str">
        <f>BENEFIT_DESIGN!B20</f>
        <v>Professional Services: Physical Therapy</v>
      </c>
      <c r="C16" s="60">
        <f>SUMIFS(DIABETES_TIMELINE!AllowedAmt,DIABETES_TIMELINE!BenefitCategory,$B16)</f>
        <v>0</v>
      </c>
      <c r="D16" s="61">
        <f>SUMIFS(DIABETES_TIMELINE!PlanPaymentAmt,DIABETES_TIMELINE!BenefitCategory,$B16)</f>
        <v>0</v>
      </c>
      <c r="E16" s="61">
        <f t="shared" si="1"/>
        <v>0</v>
      </c>
      <c r="F16" s="62">
        <f>SUMIFS(DIABETES_TIMELINE!SubscriberPayDeduc,DIABETES_TIMELINE!BenefitCategory,$B16)</f>
        <v>0</v>
      </c>
      <c r="G16" s="63">
        <f>SUMIFS(DIABETES_TIMELINE!SubscriberPayCopay,DIABETES_TIMELINE!BenefitCategory,$B16)</f>
        <v>0</v>
      </c>
      <c r="H16" s="63">
        <f>SUMIFS(DIABETES_TIMELINE!SubscriberPayCoins,DIABETES_TIMELINE!BenefitCategory,$B16)</f>
        <v>0</v>
      </c>
      <c r="I16" s="64">
        <f>SUMIFS(DIABETES_TIMELINE!SubscriberPayNonCov,DIABETES_TIMELINE!BenefitCategory,$B16)+SUMIFS(DIABETES_TIMELINE!SubscriberPayExclusion,DIABETES_TIMELINE!BenefitCategory,$B16)</f>
        <v>0</v>
      </c>
      <c r="J16" s="66"/>
    </row>
    <row r="17" spans="1:10" x14ac:dyDescent="0.25">
      <c r="A17" s="66"/>
      <c r="B17" s="296" t="str">
        <f>BENEFIT_DESIGN!B21</f>
        <v>Diagnostic Services: Radiology</v>
      </c>
      <c r="C17" s="60">
        <f>SUMIFS(DIABETES_TIMELINE!AllowedAmt,DIABETES_TIMELINE!BenefitCategory,$B17)</f>
        <v>0</v>
      </c>
      <c r="D17" s="61">
        <f>SUMIFS(DIABETES_TIMELINE!PlanPaymentAmt,DIABETES_TIMELINE!BenefitCategory,$B17)</f>
        <v>0</v>
      </c>
      <c r="E17" s="61">
        <f t="shared" si="1"/>
        <v>0</v>
      </c>
      <c r="F17" s="62">
        <f>SUMIFS(DIABETES_TIMELINE!SubscriberPayDeduc,DIABETES_TIMELINE!BenefitCategory,$B17)</f>
        <v>0</v>
      </c>
      <c r="G17" s="63">
        <f>SUMIFS(DIABETES_TIMELINE!SubscriberPayCopay,DIABETES_TIMELINE!BenefitCategory,$B17)</f>
        <v>0</v>
      </c>
      <c r="H17" s="63">
        <f>SUMIFS(DIABETES_TIMELINE!SubscriberPayCoins,DIABETES_TIMELINE!BenefitCategory,$B17)</f>
        <v>0</v>
      </c>
      <c r="I17" s="64">
        <f>SUMIFS(DIABETES_TIMELINE!SubscriberPayNonCov,DIABETES_TIMELINE!BenefitCategory,$B17)+SUMIFS(DIABETES_TIMELINE!SubscriberPayExclusion,DIABETES_TIMELINE!BenefitCategory,$B17)</f>
        <v>0</v>
      </c>
      <c r="J17" s="66"/>
    </row>
    <row r="18" spans="1:10" x14ac:dyDescent="0.25">
      <c r="A18" s="66"/>
      <c r="B18" s="296" t="str">
        <f>BENEFIT_DESIGN!B22</f>
        <v>Diagnostic Services: Laboratory</v>
      </c>
      <c r="C18" s="60">
        <f>SUMIFS(DIABETES_TIMELINE!AllowedAmt,DIABETES_TIMELINE!BenefitCategory,$B18)</f>
        <v>122.47999999999999</v>
      </c>
      <c r="D18" s="61">
        <f>SUMIFS(DIABETES_TIMELINE!PlanPaymentAmt,DIABETES_TIMELINE!BenefitCategory,$B18)</f>
        <v>0</v>
      </c>
      <c r="E18" s="61">
        <f t="shared" si="1"/>
        <v>122.47999999999999</v>
      </c>
      <c r="F18" s="62">
        <f>SUMIFS(DIABETES_TIMELINE!SubscriberPayDeduc,DIABETES_TIMELINE!BenefitCategory,$B18)</f>
        <v>0</v>
      </c>
      <c r="G18" s="63">
        <f>SUMIFS(DIABETES_TIMELINE!SubscriberPayCopay,DIABETES_TIMELINE!BenefitCategory,$B18)</f>
        <v>0</v>
      </c>
      <c r="H18" s="63">
        <f>SUMIFS(DIABETES_TIMELINE!SubscriberPayCoins,DIABETES_TIMELINE!BenefitCategory,$B18)</f>
        <v>0</v>
      </c>
      <c r="I18" s="64">
        <f>SUMIFS(DIABETES_TIMELINE!SubscriberPayNonCov,DIABETES_TIMELINE!BenefitCategory,$B18)+SUMIFS(DIABETES_TIMELINE!SubscriberPayExclusion,DIABETES_TIMELINE!BenefitCategory,$B18)</f>
        <v>122.47999999999999</v>
      </c>
      <c r="J18" s="66"/>
    </row>
    <row r="19" spans="1:10" x14ac:dyDescent="0.25">
      <c r="A19" s="66"/>
      <c r="B19" s="296" t="str">
        <f>BENEFIT_DESIGN!B23</f>
        <v>Prescription Drugs: Generic</v>
      </c>
      <c r="C19" s="60">
        <f>SUMIFS(DIABETES_TIMELINE!AllowedAmt,DIABETES_TIMELINE!BenefitCategory,$B19)</f>
        <v>365.35999999999979</v>
      </c>
      <c r="D19" s="61">
        <f>SUMIFS(DIABETES_TIMELINE!PlanPaymentAmt,DIABETES_TIMELINE!BenefitCategory,$B19)</f>
        <v>0</v>
      </c>
      <c r="E19" s="61">
        <f t="shared" si="1"/>
        <v>365.35999999999979</v>
      </c>
      <c r="F19" s="62">
        <f>SUMIFS(DIABETES_TIMELINE!SubscriberPayDeduc,DIABETES_TIMELINE!BenefitCategory,$B19)</f>
        <v>0</v>
      </c>
      <c r="G19" s="63">
        <f>SUMIFS(DIABETES_TIMELINE!SubscriberPayCopay,DIABETES_TIMELINE!BenefitCategory,$B19)</f>
        <v>0</v>
      </c>
      <c r="H19" s="63">
        <f>SUMIFS(DIABETES_TIMELINE!SubscriberPayCoins,DIABETES_TIMELINE!BenefitCategory,$B19)</f>
        <v>0</v>
      </c>
      <c r="I19" s="64">
        <f>SUMIFS(DIABETES_TIMELINE!SubscriberPayNonCov,DIABETES_TIMELINE!BenefitCategory,$B19)+SUMIFS(DIABETES_TIMELINE!SubscriberPayExclusion,DIABETES_TIMELINE!BenefitCategory,$B19)</f>
        <v>365.35999999999979</v>
      </c>
      <c r="J19" s="66"/>
    </row>
    <row r="20" spans="1:10" x14ac:dyDescent="0.25">
      <c r="A20" s="66"/>
      <c r="B20" s="296" t="str">
        <f>BENEFIT_DESIGN!B24</f>
        <v>Prescription Drugs: Branded</v>
      </c>
      <c r="C20" s="60">
        <f>SUMIFS(DIABETES_TIMELINE!AllowedAmt,DIABETES_TIMELINE!BenefitCategory,$B20)</f>
        <v>0</v>
      </c>
      <c r="D20" s="61">
        <f>SUMIFS(DIABETES_TIMELINE!PlanPaymentAmt,DIABETES_TIMELINE!BenefitCategory,$B20)</f>
        <v>0</v>
      </c>
      <c r="E20" s="61">
        <f t="shared" si="1"/>
        <v>0</v>
      </c>
      <c r="F20" s="62">
        <f>SUMIFS(DIABETES_TIMELINE!SubscriberPayDeduc,DIABETES_TIMELINE!BenefitCategory,$B20)</f>
        <v>0</v>
      </c>
      <c r="G20" s="63">
        <f>SUMIFS(DIABETES_TIMELINE!SubscriberPayCopay,DIABETES_TIMELINE!BenefitCategory,$B20)</f>
        <v>0</v>
      </c>
      <c r="H20" s="63">
        <f>SUMIFS(DIABETES_TIMELINE!SubscriberPayCoins,DIABETES_TIMELINE!BenefitCategory,$B20)</f>
        <v>0</v>
      </c>
      <c r="I20" s="64">
        <f>SUMIFS(DIABETES_TIMELINE!SubscriberPayNonCov,DIABETES_TIMELINE!BenefitCategory,$B20)+SUMIFS(DIABETES_TIMELINE!SubscriberPayExclusion,DIABETES_TIMELINE!BenefitCategory,$B20)</f>
        <v>0</v>
      </c>
      <c r="J20" s="66"/>
    </row>
    <row r="21" spans="1:10" x14ac:dyDescent="0.25">
      <c r="A21" s="66"/>
      <c r="B21" s="296" t="str">
        <f>BENEFIT_DESIGN!B25</f>
        <v>Prescription Drugs: Insulin</v>
      </c>
      <c r="C21" s="60">
        <f>SUMIFS(DIABETES_TIMELINE!AllowedAmt,DIABETES_TIMELINE!BenefitCategory,$B21)</f>
        <v>3124.809999999999</v>
      </c>
      <c r="D21" s="61">
        <f>SUMIFS(DIABETES_TIMELINE!PlanPaymentAmt,DIABETES_TIMELINE!BenefitCategory,$B21)</f>
        <v>0</v>
      </c>
      <c r="E21" s="61">
        <f t="shared" ref="E21:E27" si="3">SUM(F21:I21)</f>
        <v>3124.809999999999</v>
      </c>
      <c r="F21" s="62">
        <f>SUMIFS(DIABETES_TIMELINE!SubscriberPayDeduc,DIABETES_TIMELINE!BenefitCategory,$B21)</f>
        <v>0</v>
      </c>
      <c r="G21" s="63">
        <f>SUMIFS(DIABETES_TIMELINE!SubscriberPayCopay,DIABETES_TIMELINE!BenefitCategory,$B21)</f>
        <v>0</v>
      </c>
      <c r="H21" s="63">
        <f>SUMIFS(DIABETES_TIMELINE!SubscriberPayCoins,DIABETES_TIMELINE!BenefitCategory,$B21)</f>
        <v>0</v>
      </c>
      <c r="I21" s="64">
        <f>SUMIFS(DIABETES_TIMELINE!SubscriberPayNonCov,DIABETES_TIMELINE!BenefitCategory,$B21)+SUMIFS(DIABETES_TIMELINE!SubscriberPayExclusion,DIABETES_TIMELINE!BenefitCategory,$B21)</f>
        <v>3124.809999999999</v>
      </c>
      <c r="J21" s="66"/>
    </row>
    <row r="22" spans="1:10" x14ac:dyDescent="0.25">
      <c r="A22" s="66"/>
      <c r="B22" s="296" t="str">
        <f>BENEFIT_DESIGN!B26</f>
        <v>Over-the-counter Drugs</v>
      </c>
      <c r="C22" s="60">
        <f>SUMIFS(DIABETES_TIMELINE!AllowedAmt,DIABETES_TIMELINE!BenefitCategory,$B22)</f>
        <v>22.349999999999998</v>
      </c>
      <c r="D22" s="61">
        <f>SUMIFS(DIABETES_TIMELINE!PlanPaymentAmt,DIABETES_TIMELINE!BenefitCategory,$B22)</f>
        <v>0</v>
      </c>
      <c r="E22" s="61">
        <f t="shared" si="3"/>
        <v>22.349999999999998</v>
      </c>
      <c r="F22" s="62">
        <f>SUMIFS(DIABETES_TIMELINE!SubscriberPayDeduc,DIABETES_TIMELINE!BenefitCategory,$B22)</f>
        <v>0</v>
      </c>
      <c r="G22" s="63">
        <f>SUMIFS(DIABETES_TIMELINE!SubscriberPayCopay,DIABETES_TIMELINE!BenefitCategory,$B22)</f>
        <v>0</v>
      </c>
      <c r="H22" s="63">
        <f>SUMIFS(DIABETES_TIMELINE!SubscriberPayCoins,DIABETES_TIMELINE!BenefitCategory,$B22)</f>
        <v>0</v>
      </c>
      <c r="I22" s="64">
        <f>SUMIFS(DIABETES_TIMELINE!SubscriberPayNonCov,DIABETES_TIMELINE!BenefitCategory,$B22)+SUMIFS(DIABETES_TIMELINE!SubscriberPayExclusion,DIABETES_TIMELINE!BenefitCategory,$B22)</f>
        <v>22.349999999999998</v>
      </c>
      <c r="J22" s="66"/>
    </row>
    <row r="23" spans="1:10" x14ac:dyDescent="0.25">
      <c r="A23" s="66"/>
      <c r="B23" s="296" t="str">
        <f>BENEFIT_DESIGN!B27</f>
        <v>Preventive Services &amp; Vaccines</v>
      </c>
      <c r="C23" s="60">
        <f>SUMIFS(DIABETES_TIMELINE!AllowedAmt,DIABETES_TIMELINE!BenefitCategory,$B23)</f>
        <v>158.95000000000002</v>
      </c>
      <c r="D23" s="61">
        <f>SUMIFS(DIABETES_TIMELINE!PlanPaymentAmt,DIABETES_TIMELINE!BenefitCategory,$B23)</f>
        <v>0</v>
      </c>
      <c r="E23" s="61">
        <f t="shared" si="3"/>
        <v>158.95000000000002</v>
      </c>
      <c r="F23" s="62">
        <f>SUMIFS(DIABETES_TIMELINE!SubscriberPayDeduc,DIABETES_TIMELINE!BenefitCategory,$B23)</f>
        <v>0</v>
      </c>
      <c r="G23" s="63">
        <f>SUMIFS(DIABETES_TIMELINE!SubscriberPayCopay,DIABETES_TIMELINE!BenefitCategory,$B23)</f>
        <v>0</v>
      </c>
      <c r="H23" s="63">
        <f>SUMIFS(DIABETES_TIMELINE!SubscriberPayCoins,DIABETES_TIMELINE!BenefitCategory,$B23)</f>
        <v>0</v>
      </c>
      <c r="I23" s="64">
        <f>SUMIFS(DIABETES_TIMELINE!SubscriberPayNonCov,DIABETES_TIMELINE!BenefitCategory,$B23)+SUMIFS(DIABETES_TIMELINE!SubscriberPayExclusion,DIABETES_TIMELINE!BenefitCategory,$B23)</f>
        <v>158.95000000000002</v>
      </c>
      <c r="J23" s="66"/>
    </row>
    <row r="24" spans="1:10" x14ac:dyDescent="0.25">
      <c r="A24" s="66"/>
      <c r="B24" s="296" t="str">
        <f>BENEFIT_DESIGN!B28</f>
        <v>Durable Medical Equipment</v>
      </c>
      <c r="C24" s="60">
        <f>SUMIFS(DIABETES_TIMELINE!AllowedAmt,DIABETES_TIMELINE!BenefitCategory,$B24)</f>
        <v>0</v>
      </c>
      <c r="D24" s="61">
        <f>SUMIFS(DIABETES_TIMELINE!PlanPaymentAmt,DIABETES_TIMELINE!BenefitCategory,$B24)</f>
        <v>0</v>
      </c>
      <c r="E24" s="61">
        <f t="shared" si="3"/>
        <v>0</v>
      </c>
      <c r="F24" s="62">
        <f>SUMIFS(DIABETES_TIMELINE!SubscriberPayDeduc,DIABETES_TIMELINE!BenefitCategory,$B24)</f>
        <v>0</v>
      </c>
      <c r="G24" s="63">
        <f>SUMIFS(DIABETES_TIMELINE!SubscriberPayCopay,DIABETES_TIMELINE!BenefitCategory,$B24)</f>
        <v>0</v>
      </c>
      <c r="H24" s="63">
        <f>SUMIFS(DIABETES_TIMELINE!SubscriberPayCoins,DIABETES_TIMELINE!BenefitCategory,$B24)</f>
        <v>0</v>
      </c>
      <c r="I24" s="64">
        <f>SUMIFS(DIABETES_TIMELINE!SubscriberPayNonCov,DIABETES_TIMELINE!BenefitCategory,$B24)+SUMIFS(DIABETES_TIMELINE!SubscriberPayExclusion,DIABETES_TIMELINE!BenefitCategory,$B24)</f>
        <v>0</v>
      </c>
      <c r="J24" s="66"/>
    </row>
    <row r="25" spans="1:10" x14ac:dyDescent="0.25">
      <c r="A25" s="66"/>
      <c r="B25" s="296" t="str">
        <f>BENEFIT_DESIGN!B29</f>
        <v>Medical Supplies</v>
      </c>
      <c r="C25" s="60">
        <f>SUMIFS(DIABETES_TIMELINE!AllowedAmt,DIABETES_TIMELINE!BenefitCategory,$B25)</f>
        <v>790.34</v>
      </c>
      <c r="D25" s="61">
        <f>SUMIFS(DIABETES_TIMELINE!PlanPaymentAmt,DIABETES_TIMELINE!BenefitCategory,$B25)</f>
        <v>0</v>
      </c>
      <c r="E25" s="61">
        <f t="shared" si="3"/>
        <v>790.34</v>
      </c>
      <c r="F25" s="62">
        <f>SUMIFS(DIABETES_TIMELINE!SubscriberPayDeduc,DIABETES_TIMELINE!BenefitCategory,$B25)</f>
        <v>0</v>
      </c>
      <c r="G25" s="63">
        <f>SUMIFS(DIABETES_TIMELINE!SubscriberPayCopay,DIABETES_TIMELINE!BenefitCategory,$B25)</f>
        <v>0</v>
      </c>
      <c r="H25" s="63">
        <f>SUMIFS(DIABETES_TIMELINE!SubscriberPayCoins,DIABETES_TIMELINE!BenefitCategory,$B25)</f>
        <v>0</v>
      </c>
      <c r="I25" s="64">
        <f>SUMIFS(DIABETES_TIMELINE!SubscriberPayNonCov,DIABETES_TIMELINE!BenefitCategory,$B25)+SUMIFS(DIABETES_TIMELINE!SubscriberPayExclusion,DIABETES_TIMELINE!BenefitCategory,$B25)</f>
        <v>790.34</v>
      </c>
      <c r="J25" s="66"/>
    </row>
    <row r="26" spans="1:10" x14ac:dyDescent="0.25">
      <c r="A26" s="66"/>
      <c r="B26" s="296" t="str">
        <f>BENEFIT_DESIGN!B30</f>
        <v>Over-the-counter Medical Supplies</v>
      </c>
      <c r="C26" s="60">
        <f>SUMIFS(DIABETES_TIMELINE!AllowedAmt,DIABETES_TIMELINE!BenefitCategory,$B26)</f>
        <v>0</v>
      </c>
      <c r="D26" s="61">
        <f>SUMIFS(DIABETES_TIMELINE!PlanPaymentAmt,DIABETES_TIMELINE!BenefitCategory,$B26)</f>
        <v>0</v>
      </c>
      <c r="E26" s="61">
        <f t="shared" si="3"/>
        <v>0</v>
      </c>
      <c r="F26" s="62">
        <f>SUMIFS(DIABETES_TIMELINE!SubscriberPayDeduc,DIABETES_TIMELINE!BenefitCategory,$B26)</f>
        <v>0</v>
      </c>
      <c r="G26" s="63">
        <f>SUMIFS(DIABETES_TIMELINE!SubscriberPayCopay,DIABETES_TIMELINE!BenefitCategory,$B26)</f>
        <v>0</v>
      </c>
      <c r="H26" s="63">
        <f>SUMIFS(DIABETES_TIMELINE!SubscriberPayCoins,DIABETES_TIMELINE!BenefitCategory,$B26)</f>
        <v>0</v>
      </c>
      <c r="I26" s="64">
        <f>SUMIFS(DIABETES_TIMELINE!SubscriberPayNonCov,DIABETES_TIMELINE!BenefitCategory,$B26)+SUMIFS(DIABETES_TIMELINE!SubscriberPayExclusion,DIABETES_TIMELINE!BenefitCategory,$B26)</f>
        <v>0</v>
      </c>
      <c r="J26" s="66"/>
    </row>
    <row r="27" spans="1:10" x14ac:dyDescent="0.25">
      <c r="A27" s="66"/>
      <c r="B27" s="296" t="str">
        <f>BENEFIT_DESIGN!B31</f>
        <v>Other Items &amp; Services</v>
      </c>
      <c r="C27" s="60">
        <f>SUMIFS(DIABETES_TIMELINE!AllowedAmt,DIABETES_TIMELINE!BenefitCategory,$B27)</f>
        <v>0</v>
      </c>
      <c r="D27" s="61">
        <f>SUMIFS(DIABETES_TIMELINE!PlanPaymentAmt,DIABETES_TIMELINE!BenefitCategory,$B27)</f>
        <v>0</v>
      </c>
      <c r="E27" s="61">
        <f t="shared" si="3"/>
        <v>0</v>
      </c>
      <c r="F27" s="62">
        <f>SUMIFS(DIABETES_TIMELINE!SubscriberPayDeduc,DIABETES_TIMELINE!BenefitCategory,$B27)</f>
        <v>0</v>
      </c>
      <c r="G27" s="63">
        <f>SUMIFS(DIABETES_TIMELINE!SubscriberPayCopay,DIABETES_TIMELINE!BenefitCategory,$B27)</f>
        <v>0</v>
      </c>
      <c r="H27" s="63">
        <f>SUMIFS(DIABETES_TIMELINE!SubscriberPayCoins,DIABETES_TIMELINE!BenefitCategory,$B27)</f>
        <v>0</v>
      </c>
      <c r="I27" s="64">
        <f>SUMIFS(DIABETES_TIMELINE!SubscriberPayNonCov,DIABETES_TIMELINE!BenefitCategory,$B27)+SUMIFS(DIABETES_TIMELINE!SubscriberPayExclusion,DIABETES_TIMELINE!BenefitCategory,$B27)</f>
        <v>0</v>
      </c>
      <c r="J27" s="66"/>
    </row>
    <row r="28" spans="1:10" x14ac:dyDescent="0.25">
      <c r="A28" s="66"/>
      <c r="B28" s="305" t="s">
        <v>76</v>
      </c>
      <c r="C28" s="306">
        <f>SUM(C6:C27)</f>
        <v>5601.1299999999992</v>
      </c>
      <c r="D28" s="307">
        <f>IFERROR(IF(BENEFIT_DESIGN_ERRORS!$C$39,"ERROR",SUM(D6:D27)),"ERROR")</f>
        <v>0</v>
      </c>
      <c r="E28" s="307">
        <f>IFERROR(IF(BENEFIT_DESIGN_ERRORS!$C$39,"ERROR",SUM(E6:E27)),"ERROR")</f>
        <v>5601.1299999999992</v>
      </c>
      <c r="F28" s="308">
        <f>IFERROR(IF(BENEFIT_DESIGN_ERRORS!$C$39,"ERROR",SUM(F6:F27)),"ERROR")</f>
        <v>0</v>
      </c>
      <c r="G28" s="309">
        <f>IFERROR(IF(BENEFIT_DESIGN_ERRORS!$C$39,"ERROR",SUM(G6:G27)),"ERROR")</f>
        <v>0</v>
      </c>
      <c r="H28" s="309">
        <f>IFERROR(IF(BENEFIT_DESIGN_ERRORS!$C$39,"ERROR",SUM(H6:H27)),"ERROR")</f>
        <v>0</v>
      </c>
      <c r="I28" s="310">
        <f>IFERROR(IF(BENEFIT_DESIGN_ERRORS!$C$39,"ERROR",SUM(I6:I27)),"ERROR")</f>
        <v>5601.1299999999992</v>
      </c>
      <c r="J28" s="66"/>
    </row>
    <row r="29" spans="1:10" x14ac:dyDescent="0.25">
      <c r="A29" s="66"/>
      <c r="B29" s="311" t="s">
        <v>142</v>
      </c>
      <c r="C29" s="312">
        <f t="shared" ref="C29" si="4">MROUND(C28,IF(C28&gt;=100,100,10))</f>
        <v>5600</v>
      </c>
      <c r="D29" s="312">
        <f>IFERROR(C29-E29,"ERROR")</f>
        <v>0</v>
      </c>
      <c r="E29" s="312">
        <f>IFERROR(IF(BENEFIT_DESIGN_ERRORS!$C$39,"ERROR",MIN(SUM(F29:H29),BENEFIT_DESIGN!C36)+I29),"ERROR")</f>
        <v>5600</v>
      </c>
      <c r="F29" s="313">
        <f>IFERROR(
IF(BENEFIT_DESIGN_ERRORS!$C$39,"ERROR",
MIN(
MROUND(F28,IF(F28&gt;=100,100,10)),
BENEFIT_PARAMETERS!$O$80)
),"ERROR")</f>
        <v>0</v>
      </c>
      <c r="G29" s="314">
        <f>IFERROR(IF(BENEFIT_DESIGN_ERRORS!$C$39,"ERROR",MROUND(G28,IF(G28&gt;=100,100,10))),"ERROR")</f>
        <v>0</v>
      </c>
      <c r="H29" s="314">
        <f>IFERROR(IF(BENEFIT_DESIGN_ERRORS!$C$39,"ERROR",MROUND(H28,IF(H28&gt;=100,100,10))),"ERROR")</f>
        <v>0</v>
      </c>
      <c r="I29" s="315">
        <f>IFERROR(IF(BENEFIT_DESIGN_ERRORS!$C$39,"ERROR",MROUND(I28,IF(I28&gt;=100,100,10))),"ERROR")</f>
        <v>5600</v>
      </c>
      <c r="J29" s="66"/>
    </row>
    <row r="30" spans="1:10" x14ac:dyDescent="0.25">
      <c r="A30" s="66"/>
      <c r="B30" s="66"/>
      <c r="C30" s="66"/>
      <c r="D30" s="66"/>
      <c r="E30" s="66"/>
      <c r="F30" s="66"/>
      <c r="G30" s="66"/>
      <c r="H30" s="66"/>
      <c r="I30" s="66"/>
      <c r="J30" s="66"/>
    </row>
  </sheetData>
  <mergeCells count="2">
    <mergeCell ref="D4:D5"/>
    <mergeCell ref="C4:C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imeline_Maternity"/>
  <dimension ref="A1:CC78"/>
  <sheetViews>
    <sheetView zoomScale="85" zoomScaleNormal="85" workbookViewId="0">
      <pane xSplit="7" ySplit="3" topLeftCell="H4" activePane="bottomRight" state="frozen"/>
      <selection activeCell="R4" sqref="R4"/>
      <selection pane="topRight" activeCell="R4" sqref="R4"/>
      <selection pane="bottomLeft" activeCell="R4" sqref="R4"/>
      <selection pane="bottomRight" activeCell="H4" sqref="H4"/>
    </sheetView>
  </sheetViews>
  <sheetFormatPr defaultRowHeight="15" x14ac:dyDescent="0.25"/>
  <cols>
    <col min="1" max="1" width="8.7109375" style="179" customWidth="1"/>
    <col min="2" max="2" width="12.7109375" style="180" customWidth="1"/>
    <col min="3" max="3" width="9.7109375" style="180" customWidth="1"/>
    <col min="4" max="4" width="12.7109375" style="181" customWidth="1"/>
    <col min="5" max="5" width="37" style="182" customWidth="1"/>
    <col min="6" max="6" width="45.28515625" style="183" bestFit="1" customWidth="1"/>
    <col min="7" max="7" width="25.7109375" style="183" customWidth="1"/>
    <col min="8" max="9" width="12.7109375" style="184" customWidth="1"/>
    <col min="10" max="10" width="17.85546875" style="184" customWidth="1"/>
    <col min="11" max="11" width="12.7109375" style="184" customWidth="1"/>
    <col min="12" max="12" width="12.7109375" style="187" customWidth="1"/>
    <col min="13" max="13" width="12.7109375" style="188" customWidth="1"/>
    <col min="14" max="14" width="16.5703125" style="188" customWidth="1"/>
    <col min="15" max="17" width="17.85546875" style="184" customWidth="1"/>
    <col min="18" max="19" width="16.42578125" style="184" customWidth="1"/>
    <col min="20" max="20" width="12.7109375" style="184" customWidth="1"/>
    <col min="21" max="21" width="17.85546875" style="184" customWidth="1"/>
    <col min="22" max="22" width="20.85546875" style="184" customWidth="1"/>
    <col min="23" max="23" width="17.85546875" style="184" customWidth="1"/>
    <col min="24" max="28" width="16.42578125" style="184" customWidth="1"/>
    <col min="29" max="29" width="15.7109375" style="184" customWidth="1"/>
    <col min="30" max="30" width="12.7109375" style="184" customWidth="1"/>
    <col min="31" max="31" width="12.7109375" style="185" customWidth="1"/>
    <col min="32" max="32" width="12.7109375" style="186" customWidth="1"/>
    <col min="33" max="34" width="12.7109375" style="184" customWidth="1"/>
    <col min="35" max="35" width="12.7109375" style="185" customWidth="1"/>
    <col min="36" max="36" width="12.7109375" style="186" customWidth="1"/>
    <col min="37" max="39" width="12.7109375" style="184" customWidth="1"/>
    <col min="40" max="41" width="12.7109375" style="185" customWidth="1"/>
    <col min="42" max="42" width="15.42578125" style="184" customWidth="1"/>
    <col min="43" max="43" width="19.7109375" style="184" customWidth="1"/>
    <col min="44" max="45" width="12.7109375" style="185" customWidth="1"/>
    <col min="46" max="46" width="18.42578125" style="184" customWidth="1"/>
    <col min="47" max="47" width="12.7109375" style="184" customWidth="1"/>
    <col min="48" max="49" width="12.7109375" style="185" customWidth="1"/>
    <col min="50" max="50" width="17.85546875" style="184" customWidth="1"/>
    <col min="51" max="51" width="12.7109375" style="184" customWidth="1"/>
    <col min="52" max="53" width="12.7109375" style="185" customWidth="1"/>
    <col min="54" max="55" width="12.7109375" style="184" customWidth="1"/>
    <col min="56" max="57" width="12.7109375" style="185" customWidth="1"/>
    <col min="58" max="58" width="17.28515625" style="184" customWidth="1"/>
    <col min="59" max="59" width="12.7109375" style="184" customWidth="1"/>
    <col min="60" max="60" width="12.7109375" style="189" customWidth="1"/>
    <col min="61" max="61" width="15" style="189" customWidth="1"/>
    <col min="62" max="62" width="12.7109375" style="189" customWidth="1"/>
    <col min="63" max="67" width="12.7109375" style="184" customWidth="1"/>
    <col min="68" max="68" width="12.7109375" style="240" customWidth="1"/>
    <col min="69" max="73" width="12.7109375" style="184" customWidth="1"/>
    <col min="74" max="74" width="12.7109375" style="190" customWidth="1"/>
    <col min="75" max="79" width="12.7109375" style="191" customWidth="1"/>
    <col min="80" max="80" width="12.7109375" style="183" customWidth="1"/>
    <col min="81" max="16384" width="9.140625" style="183"/>
  </cols>
  <sheetData>
    <row r="1" spans="1:80" ht="15.75" thickBot="1" x14ac:dyDescent="0.3">
      <c r="I1" s="239"/>
      <c r="J1" s="239"/>
      <c r="O1" s="239"/>
      <c r="P1" s="239"/>
      <c r="Q1" s="239"/>
      <c r="R1" s="239"/>
      <c r="S1" s="239"/>
      <c r="T1" s="239"/>
      <c r="U1" s="239"/>
      <c r="V1" s="239"/>
      <c r="W1" s="239"/>
      <c r="X1" s="239"/>
      <c r="Y1" s="239"/>
      <c r="Z1" s="239"/>
      <c r="AA1" s="239"/>
      <c r="AB1" s="239"/>
      <c r="AC1" s="239"/>
      <c r="CB1" s="183" t="b">
        <f>COUNTIF(CB4:CB53,FALSE)=0</f>
        <v>1</v>
      </c>
    </row>
    <row r="2" spans="1:80" ht="15.75" thickBot="1" x14ac:dyDescent="0.3">
      <c r="H2" s="164" t="s">
        <v>363</v>
      </c>
      <c r="I2" s="165"/>
      <c r="J2" s="164"/>
      <c r="K2" s="170" t="s">
        <v>364</v>
      </c>
      <c r="L2" s="167"/>
      <c r="M2" s="169"/>
      <c r="N2" s="165"/>
      <c r="O2" s="172" t="s">
        <v>365</v>
      </c>
      <c r="P2" s="172"/>
      <c r="Q2" s="172"/>
      <c r="R2" s="169"/>
      <c r="S2" s="169"/>
      <c r="T2" s="165"/>
      <c r="U2" s="164" t="s">
        <v>366</v>
      </c>
      <c r="V2" s="172"/>
      <c r="W2" s="172"/>
      <c r="X2" s="169"/>
      <c r="Y2" s="169"/>
      <c r="Z2" s="169"/>
      <c r="AA2" s="169"/>
      <c r="AB2" s="169"/>
      <c r="AC2" s="165"/>
      <c r="AD2" s="166" t="s">
        <v>367</v>
      </c>
      <c r="AE2" s="167"/>
      <c r="AF2" s="168"/>
      <c r="AG2" s="169"/>
      <c r="AH2" s="169"/>
      <c r="AI2" s="167"/>
      <c r="AJ2" s="168"/>
      <c r="AK2" s="169"/>
      <c r="AL2" s="169"/>
      <c r="AM2" s="165"/>
      <c r="AN2" s="170" t="s">
        <v>368</v>
      </c>
      <c r="AO2" s="171"/>
      <c r="AP2" s="169"/>
      <c r="AQ2" s="165"/>
      <c r="AR2" s="170" t="s">
        <v>369</v>
      </c>
      <c r="AS2" s="171"/>
      <c r="AT2" s="172"/>
      <c r="AU2" s="173"/>
      <c r="AV2" s="170" t="s">
        <v>370</v>
      </c>
      <c r="AW2" s="171"/>
      <c r="AX2" s="169"/>
      <c r="AY2" s="165"/>
      <c r="AZ2" s="170" t="s">
        <v>371</v>
      </c>
      <c r="BA2" s="171"/>
      <c r="BB2" s="169"/>
      <c r="BC2" s="165"/>
      <c r="BD2" s="170" t="s">
        <v>372</v>
      </c>
      <c r="BE2" s="167"/>
      <c r="BF2" s="169"/>
      <c r="BG2" s="165"/>
      <c r="BH2" s="174" t="s">
        <v>373</v>
      </c>
      <c r="BI2" s="175"/>
      <c r="BJ2" s="164" t="s">
        <v>374</v>
      </c>
      <c r="BK2" s="172"/>
      <c r="BL2" s="172"/>
      <c r="BM2" s="172"/>
      <c r="BN2" s="172"/>
      <c r="BO2" s="172"/>
      <c r="BP2" s="241"/>
      <c r="BQ2" s="172"/>
      <c r="BR2" s="173"/>
      <c r="BS2" s="164" t="s">
        <v>375</v>
      </c>
      <c r="BT2" s="172"/>
      <c r="BU2" s="173"/>
      <c r="BV2" s="176" t="s">
        <v>376</v>
      </c>
      <c r="BW2" s="177"/>
      <c r="BX2" s="177"/>
      <c r="BY2" s="177"/>
      <c r="BZ2" s="177"/>
      <c r="CA2" s="177"/>
      <c r="CB2" s="178"/>
    </row>
    <row r="3" spans="1:80" ht="90.75" thickBot="1" x14ac:dyDescent="0.3">
      <c r="A3" s="149" t="s">
        <v>9</v>
      </c>
      <c r="B3" s="150" t="s">
        <v>7</v>
      </c>
      <c r="C3" s="150" t="s">
        <v>20</v>
      </c>
      <c r="D3" s="151" t="s">
        <v>18</v>
      </c>
      <c r="E3" s="151" t="s">
        <v>136</v>
      </c>
      <c r="F3" s="152" t="s">
        <v>6</v>
      </c>
      <c r="G3" s="153" t="s">
        <v>15</v>
      </c>
      <c r="H3" s="154" t="s">
        <v>5</v>
      </c>
      <c r="I3" s="157" t="s">
        <v>265</v>
      </c>
      <c r="J3" s="249" t="s">
        <v>304</v>
      </c>
      <c r="K3" s="154" t="s">
        <v>290</v>
      </c>
      <c r="L3" s="151" t="s">
        <v>217</v>
      </c>
      <c r="M3" s="157" t="s">
        <v>261</v>
      </c>
      <c r="N3" s="155" t="s">
        <v>269</v>
      </c>
      <c r="O3" s="249" t="s">
        <v>306</v>
      </c>
      <c r="P3" s="249" t="s">
        <v>259</v>
      </c>
      <c r="Q3" s="249" t="s">
        <v>308</v>
      </c>
      <c r="R3" s="157" t="s">
        <v>303</v>
      </c>
      <c r="S3" s="157" t="s">
        <v>305</v>
      </c>
      <c r="T3" s="155" t="s">
        <v>304</v>
      </c>
      <c r="U3" s="154" t="s">
        <v>306</v>
      </c>
      <c r="V3" s="249" t="s">
        <v>310</v>
      </c>
      <c r="W3" s="249" t="s">
        <v>308</v>
      </c>
      <c r="X3" s="157" t="s">
        <v>313</v>
      </c>
      <c r="Y3" s="157" t="s">
        <v>299</v>
      </c>
      <c r="Z3" s="291" t="s">
        <v>380</v>
      </c>
      <c r="AA3" s="291" t="s">
        <v>314</v>
      </c>
      <c r="AB3" s="291" t="s">
        <v>262</v>
      </c>
      <c r="AC3" s="155" t="s">
        <v>304</v>
      </c>
      <c r="AD3" s="154" t="s">
        <v>287</v>
      </c>
      <c r="AE3" s="151" t="s">
        <v>22</v>
      </c>
      <c r="AF3" s="156" t="s">
        <v>21</v>
      </c>
      <c r="AG3" s="157" t="s">
        <v>289</v>
      </c>
      <c r="AH3" s="157" t="s">
        <v>288</v>
      </c>
      <c r="AI3" s="151" t="s">
        <v>23</v>
      </c>
      <c r="AJ3" s="156" t="s">
        <v>19</v>
      </c>
      <c r="AK3" s="157" t="s">
        <v>266</v>
      </c>
      <c r="AL3" s="157" t="s">
        <v>312</v>
      </c>
      <c r="AM3" s="155" t="s">
        <v>12</v>
      </c>
      <c r="AN3" s="158" t="s">
        <v>291</v>
      </c>
      <c r="AO3" s="159" t="s">
        <v>40</v>
      </c>
      <c r="AP3" s="157" t="s">
        <v>271</v>
      </c>
      <c r="AQ3" s="155" t="s">
        <v>200</v>
      </c>
      <c r="AR3" s="158" t="s">
        <v>292</v>
      </c>
      <c r="AS3" s="159" t="s">
        <v>144</v>
      </c>
      <c r="AT3" s="157" t="s">
        <v>270</v>
      </c>
      <c r="AU3" s="155" t="s">
        <v>201</v>
      </c>
      <c r="AV3" s="158" t="s">
        <v>293</v>
      </c>
      <c r="AW3" s="151" t="s">
        <v>205</v>
      </c>
      <c r="AX3" s="157" t="s">
        <v>272</v>
      </c>
      <c r="AY3" s="155" t="s">
        <v>214</v>
      </c>
      <c r="AZ3" s="158" t="s">
        <v>294</v>
      </c>
      <c r="BA3" s="151" t="s">
        <v>204</v>
      </c>
      <c r="BB3" s="157" t="s">
        <v>274</v>
      </c>
      <c r="BC3" s="155" t="s">
        <v>215</v>
      </c>
      <c r="BD3" s="158" t="s">
        <v>295</v>
      </c>
      <c r="BE3" s="151" t="s">
        <v>3</v>
      </c>
      <c r="BF3" s="157" t="s">
        <v>275</v>
      </c>
      <c r="BG3" s="155" t="s">
        <v>202</v>
      </c>
      <c r="BH3" s="160" t="s">
        <v>216</v>
      </c>
      <c r="BI3" s="161" t="s">
        <v>263</v>
      </c>
      <c r="BJ3" s="160" t="s">
        <v>262</v>
      </c>
      <c r="BK3" s="157" t="s">
        <v>137</v>
      </c>
      <c r="BL3" s="157" t="s">
        <v>297</v>
      </c>
      <c r="BM3" s="157" t="s">
        <v>299</v>
      </c>
      <c r="BN3" s="157" t="s">
        <v>296</v>
      </c>
      <c r="BO3" s="157" t="s">
        <v>298</v>
      </c>
      <c r="BP3" s="242" t="s">
        <v>300</v>
      </c>
      <c r="BQ3" s="157" t="s">
        <v>302</v>
      </c>
      <c r="BR3" s="161" t="s">
        <v>264</v>
      </c>
      <c r="BS3" s="160" t="s">
        <v>262</v>
      </c>
      <c r="BT3" s="157" t="s">
        <v>260</v>
      </c>
      <c r="BU3" s="155" t="s">
        <v>301</v>
      </c>
      <c r="BV3" s="162" t="s">
        <v>227</v>
      </c>
      <c r="BW3" s="163" t="s">
        <v>265</v>
      </c>
      <c r="BX3" s="163" t="s">
        <v>218</v>
      </c>
      <c r="BY3" s="163" t="s">
        <v>25</v>
      </c>
      <c r="BZ3" s="163" t="s">
        <v>26</v>
      </c>
      <c r="CA3" s="163" t="s">
        <v>27</v>
      </c>
      <c r="CB3" s="153" t="s">
        <v>219</v>
      </c>
    </row>
    <row r="4" spans="1:80" x14ac:dyDescent="0.25">
      <c r="A4" s="193">
        <v>1</v>
      </c>
      <c r="B4" s="194">
        <v>42376</v>
      </c>
      <c r="C4" s="195">
        <v>1</v>
      </c>
      <c r="D4" s="196">
        <v>8</v>
      </c>
      <c r="E4" s="197" t="str">
        <f t="shared" ref="E4:E32" si="0">VLOOKUP(ServiceCode,MaternityFeeSchedule,6,FALSE)</f>
        <v>Prenatal Vitamins (OTC - Bottle of 100) [1 pill daily; 30 pills/month]</v>
      </c>
      <c r="F4" s="198" t="str">
        <f t="shared" ref="F4:F32" si="1">VLOOKUP(ServiceCode,MaternityFeeSchedule,5,FALSE)</f>
        <v>Over-the-counter Drugs</v>
      </c>
      <c r="G4" s="199" t="str">
        <f t="shared" ref="G4:G32" si="2">VLOOKUP(BenefitCategory,BenefitDesignTable,COLUMN(BenefitCostSharing),FALSE)</f>
        <v>Not Covered</v>
      </c>
      <c r="H4" s="200">
        <f t="shared" ref="H4:H32" si="3">VLOOKUP(D4,MaternityFeeSchedule,7,FALSE)</f>
        <v>11.48</v>
      </c>
      <c r="I4" s="203">
        <f t="shared" ref="I4:I32" si="4">IF(G4="Not Covered",H4,0)</f>
        <v>11.48</v>
      </c>
      <c r="J4" s="295">
        <f t="shared" ref="J4:J32" si="5">H4-I4</f>
        <v>0</v>
      </c>
      <c r="K4" s="200" t="b">
        <f t="shared" ref="K4:K32" si="6">VLOOKUP(F4,nrCoverageTable,COLUMN(nrOOPLimitValid),FALSE)</f>
        <v>0</v>
      </c>
      <c r="L4" s="204" t="str">
        <f t="shared" ref="L4:L32" si="7">IF(K4,VLOOKUP(F4,BenefitDesignTable,COLUMN(BenefitOOPLimitApplies),FALSE),"No")</f>
        <v>No</v>
      </c>
      <c r="M4" s="203" t="str">
        <f t="shared" ref="M4:M32" si="8">VLOOKUP(F4,BenefitDesignTable,COLUMN(OPLimit),FALSE)</f>
        <v>.</v>
      </c>
      <c r="N4" s="201" t="str">
        <f>IFERROR(IF(AND(L4="Yes",ISNUMBER(M4)),MAX(0,M4-SUMIFS(BU$3:BU3,L$3:L3,"Yes")),IF(OR(L4="No",M4="None"),"N/A","ERR")),"ERR")</f>
        <v>N/A</v>
      </c>
      <c r="O4" s="250" t="b">
        <f>IF(F4="Professional Services: Primary Care",TRUE, FALSE)</f>
        <v>0</v>
      </c>
      <c r="P4" s="250" t="str">
        <f>IF(O4,BENEFIT_PARAMETERS!$C$76,"N/A")</f>
        <v>N/A</v>
      </c>
      <c r="Q4" s="287" t="str">
        <f>IF(P4="Yes", BENEFIT_PARAMETERS!$D$76,"N/A")</f>
        <v>N/A</v>
      </c>
      <c r="R4" s="253" t="str">
        <f t="shared" ref="R4:R35" si="9">IF(O4,COUNTIFS(BenefitCategory,"Professional Services: Primary Care",ClaimNumber,"&lt;"&amp;A4),"N/A")</f>
        <v>N/A</v>
      </c>
      <c r="S4" s="203">
        <f>IF(P4="Yes",IF(R4&lt;Q4,MIN(J4,N4),0),0)</f>
        <v>0</v>
      </c>
      <c r="T4" s="290">
        <f t="shared" ref="T4:T32" si="10">J4-S4</f>
        <v>0</v>
      </c>
      <c r="U4" s="200" t="b">
        <f>IF(F4="Professional Services: Primary Care",TRUE, FALSE)</f>
        <v>0</v>
      </c>
      <c r="V4" s="250" t="str">
        <f>IF(O4,BENEFIT_PARAMETERS!$C$77,"N/A")</f>
        <v>N/A</v>
      </c>
      <c r="W4" s="287" t="str">
        <f>IF(V4="Yes", BENEFIT_PARAMETERS!$D$77,"N/A")</f>
        <v>N/A</v>
      </c>
      <c r="X4" s="253" t="str">
        <f>IF(O4,COUNTIF(Z$3:Z3,"&gt;0"),"N/A")</f>
        <v>N/A</v>
      </c>
      <c r="Y4" s="203" t="str">
        <f t="shared" ref="Y4:Y32" si="11">IF(V4="Yes",VLOOKUP("Professional Services: Primary Care",BenefitDesignTable,COLUMN(BenefitCopay),FALSE),"N/A")</f>
        <v>N/A</v>
      </c>
      <c r="Z4" s="292" t="str">
        <f>IF(AND(V4="Yes",U4=TRUE,X4&lt;W4), MIN(Y4,T4,N4),"N/A")</f>
        <v>N/A</v>
      </c>
      <c r="AA4" s="292">
        <f>IF(Z4="N/A",0,T4-Z4)</f>
        <v>0</v>
      </c>
      <c r="AB4" s="293" t="str">
        <f t="shared" ref="AB4:AB32" si="12">IF(L4="Yes",IF(Z4="N/A",N4,N4-Z4),"N/A")</f>
        <v>N/A</v>
      </c>
      <c r="AC4" s="290">
        <f>IF(Z4="N/A",T4,0)</f>
        <v>0</v>
      </c>
      <c r="AD4" s="200" t="b">
        <f t="shared" ref="AD4:AD32" si="13">VLOOKUP(F4,nrCoverageTable,COLUMN(nrMonthlyLimitValid),FALSE)</f>
        <v>0</v>
      </c>
      <c r="AE4" s="195" t="str">
        <f t="shared" ref="AE4:AE32" si="14">IF(AD4,VLOOKUP(F4,BenefitDesignTable,COLUMN(BenefitLimithMonth),FALSE),".")</f>
        <v>.</v>
      </c>
      <c r="AF4" s="202">
        <f t="shared" ref="AF4:AF32" si="15">COUNTIFS(ServiceCode,D4,ClaimMonth,C4,ClaimNumber,"&lt;"&amp;A4)</f>
        <v>0</v>
      </c>
      <c r="AG4" s="203" t="str">
        <f t="shared" ref="AG4:AG32" si="16">IF(AD4,IF(OR(AE4="None",ISNUMBER(AE4)),IF(AF4&gt;=AE4,H4,0),"ERR"),"N/A")</f>
        <v>N/A</v>
      </c>
      <c r="AH4" s="203" t="b">
        <f t="shared" ref="AH4:AH32" si="17">VLOOKUP(F4,nrCoverageTable,COLUMN(nrAnnualLimitValid),FALSE)</f>
        <v>0</v>
      </c>
      <c r="AI4" s="195" t="str">
        <f t="shared" ref="AI4:AI32" si="18">IF(AH4,VLOOKUP(F4,BenefitDesignTable,COLUMN(BenefitLimitAnnual),FALSE),".")</f>
        <v>.</v>
      </c>
      <c r="AJ4" s="202">
        <f t="shared" ref="AJ4:AJ32" si="19">COUNTIFS(ServiceCode,D4,ClaimNumber,"&lt;"&amp;A4)</f>
        <v>0</v>
      </c>
      <c r="AK4" s="203" t="str">
        <f t="shared" ref="AK4:AK32" si="20">IF(AH4,IF(OR(AI4="None",ISNUMBER(AI4)),IF(AJ4&gt;=AI4,H4,0),"ERR"),"N/A")</f>
        <v>N/A</v>
      </c>
      <c r="AL4" s="203">
        <f>IF(OR(AG4="ERR",AK4="ERR"),"ERR",MAX(AG4,AK4))</f>
        <v>0</v>
      </c>
      <c r="AM4" s="201">
        <f>IFERROR(AC4-AL4,"ERR")</f>
        <v>0</v>
      </c>
      <c r="AN4" s="205" t="b">
        <f t="shared" ref="AN4:AN32" si="21">VLOOKUP(F4,nrCoverageTable,COLUMN(nrUsesPlanDeduct),FALSE)</f>
        <v>0</v>
      </c>
      <c r="AO4" s="203" t="str">
        <f t="shared" ref="AO4:AO32" si="22">IF(AN4,VLOOKUP(F4,BenefitDesignTable,COLUMN(PlanDeductible),FALSE),"N/A")</f>
        <v>N/A</v>
      </c>
      <c r="AP4" s="203" t="str">
        <f>IF(AND(ISNUMBER(AO4),AN4=TRUE),MAX(0,AO4-SUMIFS($AM$3:$AM3,AN$3:AN3,TRUE)),IF(AND(AN4=TRUE,ISNUMBER(AO4)=FALSE),"ERR","N/A"))</f>
        <v>N/A</v>
      </c>
      <c r="AQ4" s="201" t="str">
        <f t="shared" ref="AQ4:AQ32" si="23">IF(ISNUMBER(AP4),MIN($AM4,AP4),"N/A")</f>
        <v>N/A</v>
      </c>
      <c r="AR4" s="205" t="b">
        <f t="shared" ref="AR4:AR32" si="24">VLOOKUP(F4,nrCoverageTable,COLUMN(nrUsesRxDeduct),FALSE)</f>
        <v>0</v>
      </c>
      <c r="AS4" s="203" t="str">
        <f t="shared" ref="AS4:AS32" si="25">IF(AR4,VLOOKUP(F4,BenefitDesignTable,COLUMN(RxDeductible),FALSE),"N/A")</f>
        <v>N/A</v>
      </c>
      <c r="AT4" s="203" t="str">
        <f>IF(AND(AR4=TRUE,ISNUMBER(AS4)),MAX(0,AS4-SUMIFS($AM$3:$AM3,AR$3:AR3,TRUE)),IF(AND(AR4=TRUE,ISNUMBER(AS4)=FALSE),"ERR","N/A"))</f>
        <v>N/A</v>
      </c>
      <c r="AU4" s="201" t="str">
        <f t="shared" ref="AU4:AU32" si="26">IF(ISNUMBER(AT4),MIN($AM4,AT4),"N/A")</f>
        <v>N/A</v>
      </c>
      <c r="AV4" s="205" t="b">
        <f t="shared" ref="AV4:AV32" si="27">VLOOKUP(F4,nrCoverageTable,COLUMN(nrUsesDeductC),FALSE)</f>
        <v>0</v>
      </c>
      <c r="AW4" s="203" t="str">
        <f t="shared" ref="AW4:AW32" si="28">IF(AV4,VLOOKUP(F4,BenefitDesignTable,COLUMN(OptDeductibleC),FALSE),"N/A")</f>
        <v>N/A</v>
      </c>
      <c r="AX4" s="203" t="str">
        <f>IF(AND(AV4=TRUE,ISNUMBER(AW4)),MAX(0,AW4-SUMIFS($AM$3:$AM3,AV$3:AV3,TRUE)),IF(AND(AV4=TRUE,ISNUMBER(AW4)=FALSE),"ERR","N/A"))</f>
        <v>N/A</v>
      </c>
      <c r="AY4" s="201" t="str">
        <f t="shared" ref="AY4:AY32" si="29">IF(ISNUMBER(AX4),MIN($AM4,AX4),"N/A")</f>
        <v>N/A</v>
      </c>
      <c r="AZ4" s="205" t="b">
        <f t="shared" ref="AZ4:AZ32" si="30">VLOOKUP(F4,nrCoverageTable,COLUMN(nrUsesDeductD),FALSE)</f>
        <v>0</v>
      </c>
      <c r="BA4" s="203" t="str">
        <f t="shared" ref="BA4:BA32" si="31">IF(AZ4,VLOOKUP(F4,BenefitDesignTable,COLUMN(OptDeductibleD),FALSE),"N/A")</f>
        <v>N/A</v>
      </c>
      <c r="BB4" s="203" t="str">
        <f>IF(AND(AZ4=TRUE,ISNUMBER(BA4)),MAX(0,BA4-SUMIFS($AM$3:$AM3,AZ$3:AZ3,TRUE)),IF(AND(AZ4=TRUE,ISNUMBER(BA4)=FALSE),"ERR","N/A"))</f>
        <v>N/A</v>
      </c>
      <c r="BC4" s="201" t="str">
        <f t="shared" ref="BC4:BC32" si="32">IF(ISNUMBER(BB4),MIN($AM4,BB4),"N/A")</f>
        <v>N/A</v>
      </c>
      <c r="BD4" s="205" t="b">
        <f t="shared" ref="BD4:BD32" si="33">VLOOKUP(F4,nrCoverageTable,COLUMN(nrUsesBenDeduct),FALSE)</f>
        <v>0</v>
      </c>
      <c r="BE4" s="203" t="str">
        <f t="shared" ref="BE4:BE32" si="34">IF(BD4,VLOOKUP(F4,BenefitDesignTable,COLUMN(BenefitDeductible),FALSE),"N/A")</f>
        <v>N/A</v>
      </c>
      <c r="BF4" s="203" t="str">
        <f>IF(AND(BD4=TRUE,ISNUMBER(BE4)=TRUE),MAX(0,BE4-SUMIFS(AM$3:AM3,BD$3:BD3,TRUE,F$3:F3,F4)),IF(AND(BD4=TRUE,ISNUMBER(BE4)=FALSE),"ERR","N/A"))</f>
        <v>N/A</v>
      </c>
      <c r="BG4" s="201" t="str">
        <f t="shared" ref="BG4:BG32" si="35">IF(ISNUMBER(BF4),MIN($AM4,BF4),"N/A")</f>
        <v>N/A</v>
      </c>
      <c r="BH4" s="200">
        <f t="shared" ref="BH4:BH36" si="36">SUM(AQ4,AU4,AY4,BC4,BG4)</f>
        <v>0</v>
      </c>
      <c r="BI4" s="201">
        <f>IF(OR(AB4="ERR",BH4="ERR"),"ERR",MIN(BH4,AB4))</f>
        <v>0</v>
      </c>
      <c r="BJ4" s="200" t="str">
        <f>IF(AND(L4="Yes",ISNUMBER(M4)),IF(OR(BI4="ERR",AB4="ERR"),"ERR",MAX($AB4-BI4,0)),"N/A")</f>
        <v>N/A</v>
      </c>
      <c r="BK4" s="203">
        <f t="shared" ref="BK4:BK32" si="37">IF(OR(BI4="ERR",AM4="ERR"),"ERR",MAX(0,AM4-BI4))</f>
        <v>0</v>
      </c>
      <c r="BL4" s="206" t="b">
        <f t="shared" ref="BL4:BL32" si="38">VLOOKUP(F4,nrCoverageTable,COLUMN(nrUsesCopay),FALSE)</f>
        <v>0</v>
      </c>
      <c r="BM4" s="203" t="str">
        <f t="shared" ref="BM4:BM32" si="39">IF(BL4,VLOOKUP(F4,BenefitDesignTable,COLUMN(BenefitCopay),FALSE),"N/A")</f>
        <v>N/A</v>
      </c>
      <c r="BN4" s="203" t="str">
        <f>IF(BK4="ERR","ERR",IF(AND(BL4=TRUE,ISNUMBER(BM4)),MIN(BK4,BM4,BJ4),IF(AND(BL4=TRUE,ISNUMBER(BM4)=FALSE),"ERR","N/A")))</f>
        <v>N/A</v>
      </c>
      <c r="BO4" s="206" t="b">
        <f t="shared" ref="BO4:BO32" si="40">VLOOKUP(F4,nrCoverageTable,COLUMN(nrUsesCoins),FALSE)</f>
        <v>0</v>
      </c>
      <c r="BP4" s="243" t="str">
        <f t="shared" ref="BP4:BP32" si="41">IF(BO4,VLOOKUP(F4,BenefitDesignTable,COLUMN(BenefitCoins),FALSE),"N/A")</f>
        <v>N/A</v>
      </c>
      <c r="BQ4" s="203" t="str">
        <f>IF(BK4="ERR","ERR",IF(AND(BO4=TRUE,ISNUMBER(BP4)=TRUE),MIN(BJ4,BK4*BP4),IF(AND(BO4=TRUE,ISNUMBER(BP4)=FALSE),"ERR","N/A")))</f>
        <v>N/A</v>
      </c>
      <c r="BR4" s="201">
        <f>IF(OR(BJ4="ERR",BN4="ERR",BQ4="ERR"),"ERR",MIN(BJ4,SUM(BN4,BQ4)))</f>
        <v>0</v>
      </c>
      <c r="BS4" s="200" t="str">
        <f>IF(AND(L4="Yes",ISNUMBER(M4)),IF(OR(BJ4="ERR",BR4="ERR"),"ERR",MAX(BJ4-BR4,0)),"N/A")</f>
        <v>N/A</v>
      </c>
      <c r="BT4" s="203">
        <f>IF(OR(BK4="ERR",BR4="ERR"),"ERR",MAX(BK4-BR4,0))</f>
        <v>0</v>
      </c>
      <c r="BU4" s="201">
        <f>IF(OR(BI4="ERR",BR4="ERR"),"ERR",SUM(BI4,BR4,Z4))</f>
        <v>0</v>
      </c>
      <c r="BV4" s="200">
        <f>IF(OR(AM4="ERR",BU4="ERR"),"ERR",MAX(S4+AA4+AM4-BI4-BR4,0))</f>
        <v>0</v>
      </c>
      <c r="BW4" s="203">
        <f t="shared" ref="BW4:BW32" si="42">I4</f>
        <v>11.48</v>
      </c>
      <c r="BX4" s="203">
        <f t="shared" ref="BX4:BX32" si="43">IF(OR(AG4="ERR",AK4="ERR"),"ERR",SUM(AG4,AK4))</f>
        <v>0</v>
      </c>
      <c r="BY4" s="203">
        <f>BI4</f>
        <v>0</v>
      </c>
      <c r="BZ4" s="203">
        <f t="shared" ref="BZ4:BZ36" si="44">IF(V4="Yes",IF(Z4="N/A",0,Z4),0)+IF(BL4,BN4,0)</f>
        <v>0</v>
      </c>
      <c r="CA4" s="203">
        <f>IF(BO4,BQ4,0)</f>
        <v>0</v>
      </c>
      <c r="CB4" s="199" t="b">
        <f t="shared" ref="CB4:CB32" si="45">SUM(BV4:CA4)=H4</f>
        <v>1</v>
      </c>
    </row>
    <row r="5" spans="1:80" x14ac:dyDescent="0.25">
      <c r="A5" s="207">
        <v>2</v>
      </c>
      <c r="B5" s="208">
        <v>42461</v>
      </c>
      <c r="C5" s="209">
        <v>4</v>
      </c>
      <c r="D5" s="210">
        <v>14</v>
      </c>
      <c r="E5" s="211" t="str">
        <f t="shared" si="0"/>
        <v>Obstetric Panel</v>
      </c>
      <c r="F5" s="212" t="str">
        <f t="shared" si="1"/>
        <v>Diagnostic Services: Laboratory</v>
      </c>
      <c r="G5" s="213" t="str">
        <f t="shared" si="2"/>
        <v>Not Covered</v>
      </c>
      <c r="H5" s="214">
        <f t="shared" si="3"/>
        <v>56.04</v>
      </c>
      <c r="I5" s="217">
        <f t="shared" si="4"/>
        <v>56.04</v>
      </c>
      <c r="J5" s="251">
        <f t="shared" si="5"/>
        <v>0</v>
      </c>
      <c r="K5" s="214" t="b">
        <f t="shared" si="6"/>
        <v>0</v>
      </c>
      <c r="L5" s="218" t="str">
        <f t="shared" si="7"/>
        <v>No</v>
      </c>
      <c r="M5" s="217" t="str">
        <f t="shared" si="8"/>
        <v>.</v>
      </c>
      <c r="N5" s="215" t="str">
        <f>IFERROR(IF(AND(L5="Yes",ISNUMBER(M5)),MAX(0,M5-SUMIFS(BU$3:BU4,L$3:L4,"Yes")),IF(OR(L5="No",M5="None"),"N/A","ERR")),"ERR")</f>
        <v>N/A</v>
      </c>
      <c r="O5" s="251" t="b">
        <f t="shared" ref="O5:O50" si="46">IF(F5="Professional Services: Primary Care",TRUE, FALSE)</f>
        <v>0</v>
      </c>
      <c r="P5" s="251" t="str">
        <f>IF(O5,BENEFIT_PARAMETERS!$C$76,"N/A")</f>
        <v>N/A</v>
      </c>
      <c r="Q5" s="288" t="str">
        <f>IF(P5="Yes", BENEFIT_PARAMETERS!$D$76,"N/A")</f>
        <v>N/A</v>
      </c>
      <c r="R5" s="253" t="str">
        <f t="shared" si="9"/>
        <v>N/A</v>
      </c>
      <c r="S5" s="217">
        <f t="shared" ref="S5:S36" si="47">IF(P5="Yes",IF(R5&lt;Q5,MIN(J5,N5),0),0)</f>
        <v>0</v>
      </c>
      <c r="T5" s="215">
        <f t="shared" si="10"/>
        <v>0</v>
      </c>
      <c r="U5" s="214" t="b">
        <f t="shared" ref="U5:U50" si="48">IF(F5="Professional Services: Primary Care",TRUE, FALSE)</f>
        <v>0</v>
      </c>
      <c r="V5" s="251" t="str">
        <f>IF(O5,BENEFIT_PARAMETERS!$C$77,"N/A")</f>
        <v>N/A</v>
      </c>
      <c r="W5" s="288" t="str">
        <f>IF(V5="Yes", BENEFIT_PARAMETERS!$D$77,"N/A")</f>
        <v>N/A</v>
      </c>
      <c r="X5" s="253" t="str">
        <f>IF(O5,COUNTIF(Z$3:Z4,"&gt;0"),"N/A")</f>
        <v>N/A</v>
      </c>
      <c r="Y5" s="217" t="str">
        <f t="shared" si="11"/>
        <v>N/A</v>
      </c>
      <c r="Z5" s="293" t="str">
        <f t="shared" ref="Z5:Z36" si="49">IF(AND(V5="Yes",U5=TRUE,X5&lt;W5), MIN(Y5,T5,N5),"N/A")</f>
        <v>N/A</v>
      </c>
      <c r="AA5" s="293">
        <f t="shared" ref="AA5:AA36" si="50">IF(Z5="N/A",0,T5-Z5)</f>
        <v>0</v>
      </c>
      <c r="AB5" s="293" t="str">
        <f t="shared" si="12"/>
        <v>N/A</v>
      </c>
      <c r="AC5" s="215">
        <f t="shared" ref="AC5:AC36" si="51">IF(Z5="N/A",T5,0)</f>
        <v>0</v>
      </c>
      <c r="AD5" s="214" t="b">
        <f t="shared" si="13"/>
        <v>0</v>
      </c>
      <c r="AE5" s="209" t="str">
        <f t="shared" si="14"/>
        <v>.</v>
      </c>
      <c r="AF5" s="216">
        <f t="shared" si="15"/>
        <v>0</v>
      </c>
      <c r="AG5" s="217" t="str">
        <f t="shared" si="16"/>
        <v>N/A</v>
      </c>
      <c r="AH5" s="217" t="b">
        <f t="shared" si="17"/>
        <v>0</v>
      </c>
      <c r="AI5" s="209" t="str">
        <f t="shared" si="18"/>
        <v>.</v>
      </c>
      <c r="AJ5" s="216">
        <f t="shared" si="19"/>
        <v>0</v>
      </c>
      <c r="AK5" s="217" t="str">
        <f t="shared" si="20"/>
        <v>N/A</v>
      </c>
      <c r="AL5" s="217">
        <f t="shared" ref="AL5:AL36" si="52">IF(OR(AG5="ERR",AK5="ERR"),"ERR",MAX(AG5,AK5))</f>
        <v>0</v>
      </c>
      <c r="AM5" s="215">
        <f t="shared" ref="AM5:AM36" si="53">IFERROR(AC5-AL5,"ERR")</f>
        <v>0</v>
      </c>
      <c r="AN5" s="219" t="b">
        <f t="shared" si="21"/>
        <v>0</v>
      </c>
      <c r="AO5" s="217" t="str">
        <f t="shared" si="22"/>
        <v>N/A</v>
      </c>
      <c r="AP5" s="217" t="str">
        <f>IF(AND(ISNUMBER(AO5),AN5=TRUE),MAX(0,AO5-SUMIFS($AM$3:$AM4,AN$3:AN4,TRUE)),IF(AND(AN5=TRUE,ISNUMBER(AO5)=FALSE),"ERR","N/A"))</f>
        <v>N/A</v>
      </c>
      <c r="AQ5" s="215" t="str">
        <f t="shared" si="23"/>
        <v>N/A</v>
      </c>
      <c r="AR5" s="219" t="b">
        <f t="shared" si="24"/>
        <v>0</v>
      </c>
      <c r="AS5" s="217" t="str">
        <f t="shared" si="25"/>
        <v>N/A</v>
      </c>
      <c r="AT5" s="217" t="str">
        <f>IF(AND(AR5=TRUE,ISNUMBER(AS5)),MAX(0,AS5-SUMIFS($AM$3:$AM4,AR$3:AR4,TRUE)),IF(AND(AR5=TRUE,ISNUMBER(AS5)=FALSE),"ERR","N/A"))</f>
        <v>N/A</v>
      </c>
      <c r="AU5" s="215" t="str">
        <f t="shared" si="26"/>
        <v>N/A</v>
      </c>
      <c r="AV5" s="219" t="b">
        <f t="shared" si="27"/>
        <v>0</v>
      </c>
      <c r="AW5" s="217" t="str">
        <f t="shared" si="28"/>
        <v>N/A</v>
      </c>
      <c r="AX5" s="217" t="str">
        <f>IF(AND(AV5=TRUE,ISNUMBER(AW5)),MAX(0,AW5-SUMIFS($AM$3:$AM4,AV$3:AV4,TRUE)),IF(AND(AV5=TRUE,ISNUMBER(AW5)=FALSE),"ERR","N/A"))</f>
        <v>N/A</v>
      </c>
      <c r="AY5" s="215" t="str">
        <f t="shared" si="29"/>
        <v>N/A</v>
      </c>
      <c r="AZ5" s="219" t="b">
        <f t="shared" si="30"/>
        <v>0</v>
      </c>
      <c r="BA5" s="217" t="str">
        <f t="shared" si="31"/>
        <v>N/A</v>
      </c>
      <c r="BB5" s="217" t="str">
        <f>IF(AND(AZ5=TRUE,ISNUMBER(BA5)),MAX(0,BA5-SUMIFS($AM$3:$AM4,AZ$3:AZ4,TRUE)),IF(AND(AZ5=TRUE,ISNUMBER(BA5)=FALSE),"ERR","N/A"))</f>
        <v>N/A</v>
      </c>
      <c r="BC5" s="215" t="str">
        <f t="shared" si="32"/>
        <v>N/A</v>
      </c>
      <c r="BD5" s="219" t="b">
        <f t="shared" si="33"/>
        <v>0</v>
      </c>
      <c r="BE5" s="217" t="str">
        <f t="shared" si="34"/>
        <v>N/A</v>
      </c>
      <c r="BF5" s="217" t="str">
        <f>IF(AND(BD5=TRUE,ISNUMBER(BE5)=TRUE),MAX(0,BE5-SUMIFS(AM$3:AM4,BD$3:BD4,TRUE,F$3:F4,F5)),IF(AND(BD5=TRUE,ISNUMBER(BE5)=FALSE),"ERR","N/A"))</f>
        <v>N/A</v>
      </c>
      <c r="BG5" s="215" t="str">
        <f t="shared" si="35"/>
        <v>N/A</v>
      </c>
      <c r="BH5" s="214">
        <f t="shared" si="36"/>
        <v>0</v>
      </c>
      <c r="BI5" s="215">
        <f t="shared" ref="BI5:BI36" si="54">IF(OR(AB5="ERR",BH5="ERR"),"ERR",MIN(BH5,AB5))</f>
        <v>0</v>
      </c>
      <c r="BJ5" s="214" t="str">
        <f t="shared" ref="BJ5:BJ46" si="55">IF(AND(L5="Yes",ISNUMBER(M5)),IF(OR(BI5="ERR",AB5="ERR"),"ERR",MAX($AB5-BI5,0)),"N/A")</f>
        <v>N/A</v>
      </c>
      <c r="BK5" s="217">
        <f t="shared" si="37"/>
        <v>0</v>
      </c>
      <c r="BL5" s="220" t="b">
        <f t="shared" si="38"/>
        <v>0</v>
      </c>
      <c r="BM5" s="217" t="str">
        <f t="shared" si="39"/>
        <v>N/A</v>
      </c>
      <c r="BN5" s="217" t="str">
        <f t="shared" ref="BN5:BN36" si="56">IF(BK5="ERR","ERR",IF(AND(BL5=TRUE,ISNUMBER(BM5)),MIN(BK5,BM5,BJ5),IF(AND(BL5=TRUE,ISNUMBER(BM5)=FALSE),"ERR","N/A")))</f>
        <v>N/A</v>
      </c>
      <c r="BO5" s="220" t="b">
        <f t="shared" si="40"/>
        <v>0</v>
      </c>
      <c r="BP5" s="244" t="str">
        <f t="shared" si="41"/>
        <v>N/A</v>
      </c>
      <c r="BQ5" s="217" t="str">
        <f t="shared" ref="BQ5:BQ36" si="57">IF(BK5="ERR","ERR",IF(AND(BO5=TRUE,ISNUMBER(BP5)=TRUE),MIN(BJ5,BK5*BP5),IF(AND(BO5=TRUE,ISNUMBER(BP5)=FALSE),"ERR","N/A")))</f>
        <v>N/A</v>
      </c>
      <c r="BR5" s="215">
        <f t="shared" ref="BR5:BR36" si="58">IF(OR(BJ5="ERR",BN5="ERR",BQ5="ERR"),"ERR",MIN(BJ5,SUM(BN5,BQ5)))</f>
        <v>0</v>
      </c>
      <c r="BS5" s="214" t="str">
        <f t="shared" ref="BS5:BS46" si="59">IF(AND(L5="Yes",ISNUMBER(M5)),IF(OR(BJ5="ERR",BR5="ERR"),"ERR",MAX(BJ5-BR5,0)),"N/A")</f>
        <v>N/A</v>
      </c>
      <c r="BT5" s="217">
        <f t="shared" ref="BT5:BT36" si="60">IF(OR(BK5="ERR",BR5="ERR"),"ERR",MAX(BK5-BR5,0))</f>
        <v>0</v>
      </c>
      <c r="BU5" s="215">
        <f t="shared" ref="BU5:BU53" si="61">IF(OR(BI5="ERR",BR5="ERR"),"ERR",SUM(BI5,BR5,Z5))</f>
        <v>0</v>
      </c>
      <c r="BV5" s="214">
        <f t="shared" ref="BV5:BV53" si="62">IF(OR(AM5="ERR",BU5="ERR"),"ERR",MAX(S5+AA5+AM5-BI5-BR5,0))</f>
        <v>0</v>
      </c>
      <c r="BW5" s="217">
        <f t="shared" si="42"/>
        <v>56.04</v>
      </c>
      <c r="BX5" s="217">
        <f t="shared" si="43"/>
        <v>0</v>
      </c>
      <c r="BY5" s="217">
        <f t="shared" ref="BY5:BY36" si="63">BI5</f>
        <v>0</v>
      </c>
      <c r="BZ5" s="217">
        <f t="shared" si="44"/>
        <v>0</v>
      </c>
      <c r="CA5" s="217">
        <f t="shared" ref="CA5:CA36" si="64">IF(BO5,BQ5,0)</f>
        <v>0</v>
      </c>
      <c r="CB5" s="213" t="b">
        <f t="shared" si="45"/>
        <v>1</v>
      </c>
    </row>
    <row r="6" spans="1:80" x14ac:dyDescent="0.25">
      <c r="A6" s="207">
        <v>3</v>
      </c>
      <c r="B6" s="208">
        <v>42461</v>
      </c>
      <c r="C6" s="209">
        <v>4</v>
      </c>
      <c r="D6" s="210">
        <v>30</v>
      </c>
      <c r="E6" s="211" t="str">
        <f t="shared" si="0"/>
        <v xml:space="preserve">Detect agnt mult dna ampli </v>
      </c>
      <c r="F6" s="212" t="str">
        <f t="shared" si="1"/>
        <v>Diagnostic Services: Laboratory</v>
      </c>
      <c r="G6" s="213" t="str">
        <f t="shared" si="2"/>
        <v>Not Covered</v>
      </c>
      <c r="H6" s="214">
        <f t="shared" si="3"/>
        <v>119.67</v>
      </c>
      <c r="I6" s="217">
        <f t="shared" si="4"/>
        <v>119.67</v>
      </c>
      <c r="J6" s="251">
        <f t="shared" si="5"/>
        <v>0</v>
      </c>
      <c r="K6" s="214" t="b">
        <f t="shared" si="6"/>
        <v>0</v>
      </c>
      <c r="L6" s="218" t="str">
        <f t="shared" si="7"/>
        <v>No</v>
      </c>
      <c r="M6" s="217" t="str">
        <f t="shared" si="8"/>
        <v>.</v>
      </c>
      <c r="N6" s="215" t="str">
        <f>IFERROR(IF(AND(L6="Yes",ISNUMBER(M6)),MAX(0,M6-SUMIFS(BU$3:BU5,L$3:L5,"Yes")),IF(OR(L6="No",M6="None"),"N/A","ERR")),"ERR")</f>
        <v>N/A</v>
      </c>
      <c r="O6" s="251" t="b">
        <f t="shared" si="46"/>
        <v>0</v>
      </c>
      <c r="P6" s="251" t="str">
        <f>IF(O6,BENEFIT_PARAMETERS!$C$76,"N/A")</f>
        <v>N/A</v>
      </c>
      <c r="Q6" s="288" t="str">
        <f>IF(P6="Yes", BENEFIT_PARAMETERS!$D$76,"N/A")</f>
        <v>N/A</v>
      </c>
      <c r="R6" s="253" t="str">
        <f t="shared" si="9"/>
        <v>N/A</v>
      </c>
      <c r="S6" s="217">
        <f t="shared" si="47"/>
        <v>0</v>
      </c>
      <c r="T6" s="215">
        <f t="shared" si="10"/>
        <v>0</v>
      </c>
      <c r="U6" s="214" t="b">
        <f t="shared" si="48"/>
        <v>0</v>
      </c>
      <c r="V6" s="251" t="str">
        <f>IF(O6,BENEFIT_PARAMETERS!$C$77,"N/A")</f>
        <v>N/A</v>
      </c>
      <c r="W6" s="288" t="str">
        <f>IF(V6="Yes", BENEFIT_PARAMETERS!$D$77,"N/A")</f>
        <v>N/A</v>
      </c>
      <c r="X6" s="253" t="str">
        <f>IF(O6,COUNTIF(Z$3:Z5,"&gt;0"),"N/A")</f>
        <v>N/A</v>
      </c>
      <c r="Y6" s="217" t="str">
        <f t="shared" si="11"/>
        <v>N/A</v>
      </c>
      <c r="Z6" s="293" t="str">
        <f t="shared" si="49"/>
        <v>N/A</v>
      </c>
      <c r="AA6" s="293">
        <f t="shared" si="50"/>
        <v>0</v>
      </c>
      <c r="AB6" s="293" t="str">
        <f t="shared" si="12"/>
        <v>N/A</v>
      </c>
      <c r="AC6" s="215">
        <f t="shared" si="51"/>
        <v>0</v>
      </c>
      <c r="AD6" s="214" t="b">
        <f t="shared" si="13"/>
        <v>0</v>
      </c>
      <c r="AE6" s="209" t="str">
        <f t="shared" si="14"/>
        <v>.</v>
      </c>
      <c r="AF6" s="216">
        <f t="shared" si="15"/>
        <v>0</v>
      </c>
      <c r="AG6" s="217" t="str">
        <f t="shared" si="16"/>
        <v>N/A</v>
      </c>
      <c r="AH6" s="217" t="b">
        <f t="shared" si="17"/>
        <v>0</v>
      </c>
      <c r="AI6" s="209" t="str">
        <f t="shared" si="18"/>
        <v>.</v>
      </c>
      <c r="AJ6" s="216">
        <f t="shared" si="19"/>
        <v>0</v>
      </c>
      <c r="AK6" s="217" t="str">
        <f t="shared" si="20"/>
        <v>N/A</v>
      </c>
      <c r="AL6" s="217">
        <f t="shared" si="52"/>
        <v>0</v>
      </c>
      <c r="AM6" s="215">
        <f t="shared" si="53"/>
        <v>0</v>
      </c>
      <c r="AN6" s="219" t="b">
        <f t="shared" si="21"/>
        <v>0</v>
      </c>
      <c r="AO6" s="217" t="str">
        <f t="shared" si="22"/>
        <v>N/A</v>
      </c>
      <c r="AP6" s="217" t="str">
        <f>IF(AND(ISNUMBER(AO6),AN6=TRUE),MAX(0,AO6-SUMIFS($AM$3:$AM5,AN$3:AN5,TRUE)),IF(AND(AN6=TRUE,ISNUMBER(AO6)=FALSE),"ERR","N/A"))</f>
        <v>N/A</v>
      </c>
      <c r="AQ6" s="215" t="str">
        <f t="shared" si="23"/>
        <v>N/A</v>
      </c>
      <c r="AR6" s="219" t="b">
        <f t="shared" si="24"/>
        <v>0</v>
      </c>
      <c r="AS6" s="217" t="str">
        <f t="shared" si="25"/>
        <v>N/A</v>
      </c>
      <c r="AT6" s="217" t="str">
        <f>IF(AND(AR6=TRUE,ISNUMBER(AS6)),MAX(0,AS6-SUMIFS($AM$3:$AM5,AR$3:AR5,TRUE)),IF(AND(AR6=TRUE,ISNUMBER(AS6)=FALSE),"ERR","N/A"))</f>
        <v>N/A</v>
      </c>
      <c r="AU6" s="215" t="str">
        <f t="shared" si="26"/>
        <v>N/A</v>
      </c>
      <c r="AV6" s="219" t="b">
        <f t="shared" si="27"/>
        <v>0</v>
      </c>
      <c r="AW6" s="217" t="str">
        <f t="shared" si="28"/>
        <v>N/A</v>
      </c>
      <c r="AX6" s="217" t="str">
        <f>IF(AND(AV6=TRUE,ISNUMBER(AW6)),MAX(0,AW6-SUMIFS($AM$3:$AM5,AV$3:AV5,TRUE)),IF(AND(AV6=TRUE,ISNUMBER(AW6)=FALSE),"ERR","N/A"))</f>
        <v>N/A</v>
      </c>
      <c r="AY6" s="215" t="str">
        <f t="shared" si="29"/>
        <v>N/A</v>
      </c>
      <c r="AZ6" s="219" t="b">
        <f t="shared" si="30"/>
        <v>0</v>
      </c>
      <c r="BA6" s="217" t="str">
        <f t="shared" si="31"/>
        <v>N/A</v>
      </c>
      <c r="BB6" s="217" t="str">
        <f>IF(AND(AZ6=TRUE,ISNUMBER(BA6)),MAX(0,BA6-SUMIFS($AM$3:$AM5,AZ$3:AZ5,TRUE)),IF(AND(AZ6=TRUE,ISNUMBER(BA6)=FALSE),"ERR","N/A"))</f>
        <v>N/A</v>
      </c>
      <c r="BC6" s="215" t="str">
        <f t="shared" si="32"/>
        <v>N/A</v>
      </c>
      <c r="BD6" s="219" t="b">
        <f t="shared" si="33"/>
        <v>0</v>
      </c>
      <c r="BE6" s="217" t="str">
        <f t="shared" si="34"/>
        <v>N/A</v>
      </c>
      <c r="BF6" s="217" t="str">
        <f>IF(AND(BD6=TRUE,ISNUMBER(BE6)=TRUE),MAX(0,BE6-SUMIFS(AM$3:AM5,BD$3:BD5,TRUE,F$3:F5,F6)),IF(AND(BD6=TRUE,ISNUMBER(BE6)=FALSE),"ERR","N/A"))</f>
        <v>N/A</v>
      </c>
      <c r="BG6" s="215" t="str">
        <f t="shared" si="35"/>
        <v>N/A</v>
      </c>
      <c r="BH6" s="214">
        <f t="shared" si="36"/>
        <v>0</v>
      </c>
      <c r="BI6" s="215">
        <f t="shared" si="54"/>
        <v>0</v>
      </c>
      <c r="BJ6" s="214" t="str">
        <f t="shared" si="55"/>
        <v>N/A</v>
      </c>
      <c r="BK6" s="217">
        <f t="shared" si="37"/>
        <v>0</v>
      </c>
      <c r="BL6" s="220" t="b">
        <f t="shared" si="38"/>
        <v>0</v>
      </c>
      <c r="BM6" s="217" t="str">
        <f t="shared" si="39"/>
        <v>N/A</v>
      </c>
      <c r="BN6" s="217" t="str">
        <f t="shared" si="56"/>
        <v>N/A</v>
      </c>
      <c r="BO6" s="220" t="b">
        <f t="shared" si="40"/>
        <v>0</v>
      </c>
      <c r="BP6" s="244" t="str">
        <f t="shared" si="41"/>
        <v>N/A</v>
      </c>
      <c r="BQ6" s="217" t="str">
        <f t="shared" si="57"/>
        <v>N/A</v>
      </c>
      <c r="BR6" s="215">
        <f t="shared" si="58"/>
        <v>0</v>
      </c>
      <c r="BS6" s="214" t="str">
        <f t="shared" si="59"/>
        <v>N/A</v>
      </c>
      <c r="BT6" s="217">
        <f t="shared" si="60"/>
        <v>0</v>
      </c>
      <c r="BU6" s="215">
        <f t="shared" si="61"/>
        <v>0</v>
      </c>
      <c r="BV6" s="214">
        <f t="shared" si="62"/>
        <v>0</v>
      </c>
      <c r="BW6" s="217">
        <f t="shared" si="42"/>
        <v>119.67</v>
      </c>
      <c r="BX6" s="217">
        <f t="shared" si="43"/>
        <v>0</v>
      </c>
      <c r="BY6" s="217">
        <f t="shared" si="63"/>
        <v>0</v>
      </c>
      <c r="BZ6" s="217">
        <f t="shared" si="44"/>
        <v>0</v>
      </c>
      <c r="CA6" s="217">
        <f t="shared" si="64"/>
        <v>0</v>
      </c>
      <c r="CB6" s="213" t="b">
        <f t="shared" si="45"/>
        <v>1</v>
      </c>
    </row>
    <row r="7" spans="1:80" x14ac:dyDescent="0.25">
      <c r="A7" s="207">
        <v>4</v>
      </c>
      <c r="B7" s="208">
        <v>42461</v>
      </c>
      <c r="C7" s="209">
        <v>4</v>
      </c>
      <c r="D7" s="210">
        <v>31</v>
      </c>
      <c r="E7" s="211" t="str">
        <f t="shared" si="0"/>
        <v>Cytopath c/v auto fluid redo</v>
      </c>
      <c r="F7" s="212" t="str">
        <f t="shared" si="1"/>
        <v>Diagnostic Services: Laboratory</v>
      </c>
      <c r="G7" s="213" t="str">
        <f t="shared" si="2"/>
        <v>Not Covered</v>
      </c>
      <c r="H7" s="214">
        <f t="shared" si="3"/>
        <v>36.94</v>
      </c>
      <c r="I7" s="217">
        <f t="shared" si="4"/>
        <v>36.94</v>
      </c>
      <c r="J7" s="251">
        <f t="shared" si="5"/>
        <v>0</v>
      </c>
      <c r="K7" s="214" t="b">
        <f t="shared" si="6"/>
        <v>0</v>
      </c>
      <c r="L7" s="218" t="str">
        <f t="shared" si="7"/>
        <v>No</v>
      </c>
      <c r="M7" s="217" t="str">
        <f t="shared" si="8"/>
        <v>.</v>
      </c>
      <c r="N7" s="215" t="str">
        <f>IFERROR(IF(AND(L7="Yes",ISNUMBER(M7)),MAX(0,M7-SUMIFS(BU$3:BU6,L$3:L6,"Yes")),IF(OR(L7="No",M7="None"),"N/A","ERR")),"ERR")</f>
        <v>N/A</v>
      </c>
      <c r="O7" s="251" t="b">
        <f t="shared" si="46"/>
        <v>0</v>
      </c>
      <c r="P7" s="251" t="str">
        <f>IF(O7,BENEFIT_PARAMETERS!$C$76,"N/A")</f>
        <v>N/A</v>
      </c>
      <c r="Q7" s="288" t="str">
        <f>IF(P7="Yes", BENEFIT_PARAMETERS!$D$76,"N/A")</f>
        <v>N/A</v>
      </c>
      <c r="R7" s="253" t="str">
        <f t="shared" si="9"/>
        <v>N/A</v>
      </c>
      <c r="S7" s="217">
        <f t="shared" si="47"/>
        <v>0</v>
      </c>
      <c r="T7" s="215">
        <f t="shared" si="10"/>
        <v>0</v>
      </c>
      <c r="U7" s="214" t="b">
        <f t="shared" si="48"/>
        <v>0</v>
      </c>
      <c r="V7" s="251" t="str">
        <f>IF(O7,BENEFIT_PARAMETERS!$C$77,"N/A")</f>
        <v>N/A</v>
      </c>
      <c r="W7" s="288" t="str">
        <f>IF(V7="Yes", BENEFIT_PARAMETERS!$D$77,"N/A")</f>
        <v>N/A</v>
      </c>
      <c r="X7" s="253" t="str">
        <f>IF(O7,COUNTIF(Z$3:Z6,"&gt;0"),"N/A")</f>
        <v>N/A</v>
      </c>
      <c r="Y7" s="217" t="str">
        <f t="shared" si="11"/>
        <v>N/A</v>
      </c>
      <c r="Z7" s="293" t="str">
        <f t="shared" si="49"/>
        <v>N/A</v>
      </c>
      <c r="AA7" s="293">
        <f t="shared" si="50"/>
        <v>0</v>
      </c>
      <c r="AB7" s="293" t="str">
        <f t="shared" si="12"/>
        <v>N/A</v>
      </c>
      <c r="AC7" s="215">
        <f t="shared" si="51"/>
        <v>0</v>
      </c>
      <c r="AD7" s="214" t="b">
        <f t="shared" si="13"/>
        <v>0</v>
      </c>
      <c r="AE7" s="209" t="str">
        <f t="shared" si="14"/>
        <v>.</v>
      </c>
      <c r="AF7" s="216">
        <f t="shared" si="15"/>
        <v>0</v>
      </c>
      <c r="AG7" s="217" t="str">
        <f t="shared" si="16"/>
        <v>N/A</v>
      </c>
      <c r="AH7" s="217" t="b">
        <f t="shared" si="17"/>
        <v>0</v>
      </c>
      <c r="AI7" s="209" t="str">
        <f t="shared" si="18"/>
        <v>.</v>
      </c>
      <c r="AJ7" s="216">
        <f t="shared" si="19"/>
        <v>0</v>
      </c>
      <c r="AK7" s="217" t="str">
        <f t="shared" si="20"/>
        <v>N/A</v>
      </c>
      <c r="AL7" s="217">
        <f t="shared" si="52"/>
        <v>0</v>
      </c>
      <c r="AM7" s="215">
        <f t="shared" si="53"/>
        <v>0</v>
      </c>
      <c r="AN7" s="219" t="b">
        <f t="shared" si="21"/>
        <v>0</v>
      </c>
      <c r="AO7" s="217" t="str">
        <f t="shared" si="22"/>
        <v>N/A</v>
      </c>
      <c r="AP7" s="217" t="str">
        <f>IF(AND(ISNUMBER(AO7),AN7=TRUE),MAX(0,AO7-SUMIFS($AM$3:$AM6,AN$3:AN6,TRUE)),IF(AND(AN7=TRUE,ISNUMBER(AO7)=FALSE),"ERR","N/A"))</f>
        <v>N/A</v>
      </c>
      <c r="AQ7" s="215" t="str">
        <f t="shared" si="23"/>
        <v>N/A</v>
      </c>
      <c r="AR7" s="219" t="b">
        <f t="shared" si="24"/>
        <v>0</v>
      </c>
      <c r="AS7" s="217" t="str">
        <f t="shared" si="25"/>
        <v>N/A</v>
      </c>
      <c r="AT7" s="217" t="str">
        <f>IF(AND(AR7=TRUE,ISNUMBER(AS7)),MAX(0,AS7-SUMIFS($AM$3:$AM6,AR$3:AR6,TRUE)),IF(AND(AR7=TRUE,ISNUMBER(AS7)=FALSE),"ERR","N/A"))</f>
        <v>N/A</v>
      </c>
      <c r="AU7" s="215" t="str">
        <f t="shared" si="26"/>
        <v>N/A</v>
      </c>
      <c r="AV7" s="219" t="b">
        <f t="shared" si="27"/>
        <v>0</v>
      </c>
      <c r="AW7" s="217" t="str">
        <f t="shared" si="28"/>
        <v>N/A</v>
      </c>
      <c r="AX7" s="217" t="str">
        <f>IF(AND(AV7=TRUE,ISNUMBER(AW7)),MAX(0,AW7-SUMIFS($AM$3:$AM6,AV$3:AV6,TRUE)),IF(AND(AV7=TRUE,ISNUMBER(AW7)=FALSE),"ERR","N/A"))</f>
        <v>N/A</v>
      </c>
      <c r="AY7" s="215" t="str">
        <f t="shared" si="29"/>
        <v>N/A</v>
      </c>
      <c r="AZ7" s="219" t="b">
        <f t="shared" si="30"/>
        <v>0</v>
      </c>
      <c r="BA7" s="217" t="str">
        <f t="shared" si="31"/>
        <v>N/A</v>
      </c>
      <c r="BB7" s="217" t="str">
        <f>IF(AND(AZ7=TRUE,ISNUMBER(BA7)),MAX(0,BA7-SUMIFS($AM$3:$AM6,AZ$3:AZ6,TRUE)),IF(AND(AZ7=TRUE,ISNUMBER(BA7)=FALSE),"ERR","N/A"))</f>
        <v>N/A</v>
      </c>
      <c r="BC7" s="215" t="str">
        <f t="shared" si="32"/>
        <v>N/A</v>
      </c>
      <c r="BD7" s="219" t="b">
        <f t="shared" si="33"/>
        <v>0</v>
      </c>
      <c r="BE7" s="217" t="str">
        <f t="shared" si="34"/>
        <v>N/A</v>
      </c>
      <c r="BF7" s="217" t="str">
        <f>IF(AND(BD7=TRUE,ISNUMBER(BE7)=TRUE),MAX(0,BE7-SUMIFS(AM$3:AM6,BD$3:BD6,TRUE,F$3:F6,F7)),IF(AND(BD7=TRUE,ISNUMBER(BE7)=FALSE),"ERR","N/A"))</f>
        <v>N/A</v>
      </c>
      <c r="BG7" s="215" t="str">
        <f t="shared" si="35"/>
        <v>N/A</v>
      </c>
      <c r="BH7" s="214">
        <f t="shared" si="36"/>
        <v>0</v>
      </c>
      <c r="BI7" s="215">
        <f t="shared" si="54"/>
        <v>0</v>
      </c>
      <c r="BJ7" s="214" t="str">
        <f t="shared" si="55"/>
        <v>N/A</v>
      </c>
      <c r="BK7" s="217">
        <f t="shared" si="37"/>
        <v>0</v>
      </c>
      <c r="BL7" s="220" t="b">
        <f t="shared" si="38"/>
        <v>0</v>
      </c>
      <c r="BM7" s="217" t="str">
        <f t="shared" si="39"/>
        <v>N/A</v>
      </c>
      <c r="BN7" s="217" t="str">
        <f t="shared" si="56"/>
        <v>N/A</v>
      </c>
      <c r="BO7" s="220" t="b">
        <f t="shared" si="40"/>
        <v>0</v>
      </c>
      <c r="BP7" s="244" t="str">
        <f t="shared" si="41"/>
        <v>N/A</v>
      </c>
      <c r="BQ7" s="217" t="str">
        <f t="shared" si="57"/>
        <v>N/A</v>
      </c>
      <c r="BR7" s="215">
        <f t="shared" si="58"/>
        <v>0</v>
      </c>
      <c r="BS7" s="214" t="str">
        <f t="shared" si="59"/>
        <v>N/A</v>
      </c>
      <c r="BT7" s="217">
        <f t="shared" si="60"/>
        <v>0</v>
      </c>
      <c r="BU7" s="215">
        <f t="shared" si="61"/>
        <v>0</v>
      </c>
      <c r="BV7" s="214">
        <f t="shared" si="62"/>
        <v>0</v>
      </c>
      <c r="BW7" s="217">
        <f t="shared" si="42"/>
        <v>36.94</v>
      </c>
      <c r="BX7" s="217">
        <f t="shared" si="43"/>
        <v>0</v>
      </c>
      <c r="BY7" s="217">
        <f t="shared" si="63"/>
        <v>0</v>
      </c>
      <c r="BZ7" s="217">
        <f t="shared" si="44"/>
        <v>0</v>
      </c>
      <c r="CA7" s="217">
        <f t="shared" si="64"/>
        <v>0</v>
      </c>
      <c r="CB7" s="213" t="b">
        <f t="shared" si="45"/>
        <v>1</v>
      </c>
    </row>
    <row r="8" spans="1:80" x14ac:dyDescent="0.25">
      <c r="A8" s="207">
        <v>5</v>
      </c>
      <c r="B8" s="208">
        <v>42461</v>
      </c>
      <c r="C8" s="209">
        <v>4</v>
      </c>
      <c r="D8" s="210">
        <v>28</v>
      </c>
      <c r="E8" s="211" t="str">
        <f t="shared" si="0"/>
        <v>HIV-1</v>
      </c>
      <c r="F8" s="212" t="str">
        <f t="shared" si="1"/>
        <v>Diagnostic Services: Laboratory</v>
      </c>
      <c r="G8" s="213" t="str">
        <f t="shared" si="2"/>
        <v>Not Covered</v>
      </c>
      <c r="H8" s="214">
        <f t="shared" si="3"/>
        <v>17.37</v>
      </c>
      <c r="I8" s="217">
        <f t="shared" si="4"/>
        <v>17.37</v>
      </c>
      <c r="J8" s="251">
        <f t="shared" si="5"/>
        <v>0</v>
      </c>
      <c r="K8" s="214" t="b">
        <f t="shared" si="6"/>
        <v>0</v>
      </c>
      <c r="L8" s="218" t="str">
        <f t="shared" si="7"/>
        <v>No</v>
      </c>
      <c r="M8" s="217" t="str">
        <f t="shared" si="8"/>
        <v>.</v>
      </c>
      <c r="N8" s="215" t="str">
        <f>IFERROR(IF(AND(L8="Yes",ISNUMBER(M8)),MAX(0,M8-SUMIFS(BU$3:BU7,L$3:L7,"Yes")),IF(OR(L8="No",M8="None"),"N/A","ERR")),"ERR")</f>
        <v>N/A</v>
      </c>
      <c r="O8" s="251" t="b">
        <f t="shared" si="46"/>
        <v>0</v>
      </c>
      <c r="P8" s="251" t="str">
        <f>IF(O8,BENEFIT_PARAMETERS!$C$76,"N/A")</f>
        <v>N/A</v>
      </c>
      <c r="Q8" s="288" t="str">
        <f>IF(P8="Yes", BENEFIT_PARAMETERS!$D$76,"N/A")</f>
        <v>N/A</v>
      </c>
      <c r="R8" s="253" t="str">
        <f t="shared" si="9"/>
        <v>N/A</v>
      </c>
      <c r="S8" s="217">
        <f t="shared" si="47"/>
        <v>0</v>
      </c>
      <c r="T8" s="215">
        <f t="shared" si="10"/>
        <v>0</v>
      </c>
      <c r="U8" s="214" t="b">
        <f t="shared" si="48"/>
        <v>0</v>
      </c>
      <c r="V8" s="251" t="str">
        <f>IF(O8,BENEFIT_PARAMETERS!$C$77,"N/A")</f>
        <v>N/A</v>
      </c>
      <c r="W8" s="288" t="str">
        <f>IF(V8="Yes", BENEFIT_PARAMETERS!$D$77,"N/A")</f>
        <v>N/A</v>
      </c>
      <c r="X8" s="253" t="str">
        <f>IF(O8,COUNTIF(Z$3:Z7,"&gt;0"),"N/A")</f>
        <v>N/A</v>
      </c>
      <c r="Y8" s="217" t="str">
        <f t="shared" si="11"/>
        <v>N/A</v>
      </c>
      <c r="Z8" s="293" t="str">
        <f t="shared" si="49"/>
        <v>N/A</v>
      </c>
      <c r="AA8" s="293">
        <f t="shared" si="50"/>
        <v>0</v>
      </c>
      <c r="AB8" s="293" t="str">
        <f t="shared" si="12"/>
        <v>N/A</v>
      </c>
      <c r="AC8" s="215">
        <f t="shared" si="51"/>
        <v>0</v>
      </c>
      <c r="AD8" s="214" t="b">
        <f t="shared" si="13"/>
        <v>0</v>
      </c>
      <c r="AE8" s="209" t="str">
        <f t="shared" si="14"/>
        <v>.</v>
      </c>
      <c r="AF8" s="216">
        <f t="shared" si="15"/>
        <v>0</v>
      </c>
      <c r="AG8" s="217" t="str">
        <f t="shared" si="16"/>
        <v>N/A</v>
      </c>
      <c r="AH8" s="217" t="b">
        <f t="shared" si="17"/>
        <v>0</v>
      </c>
      <c r="AI8" s="209" t="str">
        <f t="shared" si="18"/>
        <v>.</v>
      </c>
      <c r="AJ8" s="216">
        <f t="shared" si="19"/>
        <v>0</v>
      </c>
      <c r="AK8" s="217" t="str">
        <f t="shared" si="20"/>
        <v>N/A</v>
      </c>
      <c r="AL8" s="217">
        <f t="shared" si="52"/>
        <v>0</v>
      </c>
      <c r="AM8" s="215">
        <f t="shared" si="53"/>
        <v>0</v>
      </c>
      <c r="AN8" s="219" t="b">
        <f t="shared" si="21"/>
        <v>0</v>
      </c>
      <c r="AO8" s="217" t="str">
        <f t="shared" si="22"/>
        <v>N/A</v>
      </c>
      <c r="AP8" s="217" t="str">
        <f>IF(AND(ISNUMBER(AO8),AN8=TRUE),MAX(0,AO8-SUMIFS($AM$3:$AM7,AN$3:AN7,TRUE)),IF(AND(AN8=TRUE,ISNUMBER(AO8)=FALSE),"ERR","N/A"))</f>
        <v>N/A</v>
      </c>
      <c r="AQ8" s="215" t="str">
        <f t="shared" si="23"/>
        <v>N/A</v>
      </c>
      <c r="AR8" s="219" t="b">
        <f t="shared" si="24"/>
        <v>0</v>
      </c>
      <c r="AS8" s="217" t="str">
        <f t="shared" si="25"/>
        <v>N/A</v>
      </c>
      <c r="AT8" s="217" t="str">
        <f>IF(AND(AR8=TRUE,ISNUMBER(AS8)),MAX(0,AS8-SUMIFS($AM$3:$AM7,AR$3:AR7,TRUE)),IF(AND(AR8=TRUE,ISNUMBER(AS8)=FALSE),"ERR","N/A"))</f>
        <v>N/A</v>
      </c>
      <c r="AU8" s="215" t="str">
        <f t="shared" si="26"/>
        <v>N/A</v>
      </c>
      <c r="AV8" s="219" t="b">
        <f t="shared" si="27"/>
        <v>0</v>
      </c>
      <c r="AW8" s="217" t="str">
        <f t="shared" si="28"/>
        <v>N/A</v>
      </c>
      <c r="AX8" s="217" t="str">
        <f>IF(AND(AV8=TRUE,ISNUMBER(AW8)),MAX(0,AW8-SUMIFS($AM$3:$AM7,AV$3:AV7,TRUE)),IF(AND(AV8=TRUE,ISNUMBER(AW8)=FALSE),"ERR","N/A"))</f>
        <v>N/A</v>
      </c>
      <c r="AY8" s="215" t="str">
        <f t="shared" si="29"/>
        <v>N/A</v>
      </c>
      <c r="AZ8" s="219" t="b">
        <f t="shared" si="30"/>
        <v>0</v>
      </c>
      <c r="BA8" s="217" t="str">
        <f t="shared" si="31"/>
        <v>N/A</v>
      </c>
      <c r="BB8" s="217" t="str">
        <f>IF(AND(AZ8=TRUE,ISNUMBER(BA8)),MAX(0,BA8-SUMIFS($AM$3:$AM7,AZ$3:AZ7,TRUE)),IF(AND(AZ8=TRUE,ISNUMBER(BA8)=FALSE),"ERR","N/A"))</f>
        <v>N/A</v>
      </c>
      <c r="BC8" s="215" t="str">
        <f t="shared" si="32"/>
        <v>N/A</v>
      </c>
      <c r="BD8" s="219" t="b">
        <f t="shared" si="33"/>
        <v>0</v>
      </c>
      <c r="BE8" s="217" t="str">
        <f t="shared" si="34"/>
        <v>N/A</v>
      </c>
      <c r="BF8" s="217" t="str">
        <f>IF(AND(BD8=TRUE,ISNUMBER(BE8)=TRUE),MAX(0,BE8-SUMIFS(AM$3:AM7,BD$3:BD7,TRUE,F$3:F7,F8)),IF(AND(BD8=TRUE,ISNUMBER(BE8)=FALSE),"ERR","N/A"))</f>
        <v>N/A</v>
      </c>
      <c r="BG8" s="215" t="str">
        <f t="shared" si="35"/>
        <v>N/A</v>
      </c>
      <c r="BH8" s="214">
        <f t="shared" si="36"/>
        <v>0</v>
      </c>
      <c r="BI8" s="215">
        <f t="shared" si="54"/>
        <v>0</v>
      </c>
      <c r="BJ8" s="214" t="str">
        <f t="shared" si="55"/>
        <v>N/A</v>
      </c>
      <c r="BK8" s="217">
        <f t="shared" si="37"/>
        <v>0</v>
      </c>
      <c r="BL8" s="220" t="b">
        <f t="shared" si="38"/>
        <v>0</v>
      </c>
      <c r="BM8" s="217" t="str">
        <f t="shared" si="39"/>
        <v>N/A</v>
      </c>
      <c r="BN8" s="217" t="str">
        <f t="shared" si="56"/>
        <v>N/A</v>
      </c>
      <c r="BO8" s="220" t="b">
        <f t="shared" si="40"/>
        <v>0</v>
      </c>
      <c r="BP8" s="244" t="str">
        <f t="shared" si="41"/>
        <v>N/A</v>
      </c>
      <c r="BQ8" s="217" t="str">
        <f t="shared" si="57"/>
        <v>N/A</v>
      </c>
      <c r="BR8" s="215">
        <f t="shared" si="58"/>
        <v>0</v>
      </c>
      <c r="BS8" s="214" t="str">
        <f t="shared" si="59"/>
        <v>N/A</v>
      </c>
      <c r="BT8" s="217">
        <f t="shared" si="60"/>
        <v>0</v>
      </c>
      <c r="BU8" s="215">
        <f t="shared" si="61"/>
        <v>0</v>
      </c>
      <c r="BV8" s="214">
        <f t="shared" si="62"/>
        <v>0</v>
      </c>
      <c r="BW8" s="217">
        <f t="shared" si="42"/>
        <v>17.37</v>
      </c>
      <c r="BX8" s="217">
        <f t="shared" si="43"/>
        <v>0</v>
      </c>
      <c r="BY8" s="217">
        <f t="shared" si="63"/>
        <v>0</v>
      </c>
      <c r="BZ8" s="217">
        <f t="shared" si="44"/>
        <v>0</v>
      </c>
      <c r="CA8" s="217">
        <f t="shared" si="64"/>
        <v>0</v>
      </c>
      <c r="CB8" s="213" t="b">
        <f t="shared" si="45"/>
        <v>1</v>
      </c>
    </row>
    <row r="9" spans="1:80" x14ac:dyDescent="0.25">
      <c r="A9" s="207">
        <v>6</v>
      </c>
      <c r="B9" s="208">
        <v>42461</v>
      </c>
      <c r="C9" s="209">
        <v>4</v>
      </c>
      <c r="D9" s="210">
        <v>12</v>
      </c>
      <c r="E9" s="211" t="str">
        <f t="shared" si="0"/>
        <v>Routine Venipuncture</v>
      </c>
      <c r="F9" s="212" t="str">
        <f t="shared" si="1"/>
        <v>Diagnostic Services: Laboratory</v>
      </c>
      <c r="G9" s="213" t="str">
        <f t="shared" si="2"/>
        <v>Not Covered</v>
      </c>
      <c r="H9" s="214">
        <f t="shared" si="3"/>
        <v>5.3</v>
      </c>
      <c r="I9" s="217">
        <f t="shared" si="4"/>
        <v>5.3</v>
      </c>
      <c r="J9" s="251">
        <f t="shared" si="5"/>
        <v>0</v>
      </c>
      <c r="K9" s="214" t="b">
        <f t="shared" si="6"/>
        <v>0</v>
      </c>
      <c r="L9" s="218" t="str">
        <f t="shared" si="7"/>
        <v>No</v>
      </c>
      <c r="M9" s="217" t="str">
        <f t="shared" si="8"/>
        <v>.</v>
      </c>
      <c r="N9" s="215" t="str">
        <f>IFERROR(IF(AND(L9="Yes",ISNUMBER(M9)),MAX(0,M9-SUMIFS(BU$3:BU8,L$3:L8,"Yes")),IF(OR(L9="No",M9="None"),"N/A","ERR")),"ERR")</f>
        <v>N/A</v>
      </c>
      <c r="O9" s="251" t="b">
        <f t="shared" si="46"/>
        <v>0</v>
      </c>
      <c r="P9" s="251" t="str">
        <f>IF(O9,BENEFIT_PARAMETERS!$C$76,"N/A")</f>
        <v>N/A</v>
      </c>
      <c r="Q9" s="288" t="str">
        <f>IF(P9="Yes", BENEFIT_PARAMETERS!$D$76,"N/A")</f>
        <v>N/A</v>
      </c>
      <c r="R9" s="253" t="str">
        <f t="shared" si="9"/>
        <v>N/A</v>
      </c>
      <c r="S9" s="217">
        <f t="shared" si="47"/>
        <v>0</v>
      </c>
      <c r="T9" s="215">
        <f t="shared" si="10"/>
        <v>0</v>
      </c>
      <c r="U9" s="214" t="b">
        <f t="shared" si="48"/>
        <v>0</v>
      </c>
      <c r="V9" s="251" t="str">
        <f>IF(O9,BENEFIT_PARAMETERS!$C$77,"N/A")</f>
        <v>N/A</v>
      </c>
      <c r="W9" s="288" t="str">
        <f>IF(V9="Yes", BENEFIT_PARAMETERS!$D$77,"N/A")</f>
        <v>N/A</v>
      </c>
      <c r="X9" s="253" t="str">
        <f>IF(O9,COUNTIF(Z$3:Z8,"&gt;0"),"N/A")</f>
        <v>N/A</v>
      </c>
      <c r="Y9" s="217" t="str">
        <f t="shared" si="11"/>
        <v>N/A</v>
      </c>
      <c r="Z9" s="293" t="str">
        <f t="shared" si="49"/>
        <v>N/A</v>
      </c>
      <c r="AA9" s="293">
        <f t="shared" si="50"/>
        <v>0</v>
      </c>
      <c r="AB9" s="293" t="str">
        <f t="shared" si="12"/>
        <v>N/A</v>
      </c>
      <c r="AC9" s="215">
        <f t="shared" si="51"/>
        <v>0</v>
      </c>
      <c r="AD9" s="214" t="b">
        <f t="shared" si="13"/>
        <v>0</v>
      </c>
      <c r="AE9" s="209" t="str">
        <f t="shared" si="14"/>
        <v>.</v>
      </c>
      <c r="AF9" s="216">
        <f t="shared" si="15"/>
        <v>0</v>
      </c>
      <c r="AG9" s="217" t="str">
        <f t="shared" si="16"/>
        <v>N/A</v>
      </c>
      <c r="AH9" s="217" t="b">
        <f t="shared" si="17"/>
        <v>0</v>
      </c>
      <c r="AI9" s="209" t="str">
        <f t="shared" si="18"/>
        <v>.</v>
      </c>
      <c r="AJ9" s="216">
        <f t="shared" si="19"/>
        <v>0</v>
      </c>
      <c r="AK9" s="217" t="str">
        <f t="shared" si="20"/>
        <v>N/A</v>
      </c>
      <c r="AL9" s="217">
        <f t="shared" si="52"/>
        <v>0</v>
      </c>
      <c r="AM9" s="215">
        <f t="shared" si="53"/>
        <v>0</v>
      </c>
      <c r="AN9" s="219" t="b">
        <f t="shared" si="21"/>
        <v>0</v>
      </c>
      <c r="AO9" s="217" t="str">
        <f t="shared" si="22"/>
        <v>N/A</v>
      </c>
      <c r="AP9" s="217" t="str">
        <f>IF(AND(ISNUMBER(AO9),AN9=TRUE),MAX(0,AO9-SUMIFS($AM$3:$AM8,AN$3:AN8,TRUE)),IF(AND(AN9=TRUE,ISNUMBER(AO9)=FALSE),"ERR","N/A"))</f>
        <v>N/A</v>
      </c>
      <c r="AQ9" s="215" t="str">
        <f t="shared" si="23"/>
        <v>N/A</v>
      </c>
      <c r="AR9" s="219" t="b">
        <f t="shared" si="24"/>
        <v>0</v>
      </c>
      <c r="AS9" s="217" t="str">
        <f t="shared" si="25"/>
        <v>N/A</v>
      </c>
      <c r="AT9" s="217" t="str">
        <f>IF(AND(AR9=TRUE,ISNUMBER(AS9)),MAX(0,AS9-SUMIFS($AM$3:$AM8,AR$3:AR8,TRUE)),IF(AND(AR9=TRUE,ISNUMBER(AS9)=FALSE),"ERR","N/A"))</f>
        <v>N/A</v>
      </c>
      <c r="AU9" s="215" t="str">
        <f t="shared" si="26"/>
        <v>N/A</v>
      </c>
      <c r="AV9" s="219" t="b">
        <f t="shared" si="27"/>
        <v>0</v>
      </c>
      <c r="AW9" s="217" t="str">
        <f t="shared" si="28"/>
        <v>N/A</v>
      </c>
      <c r="AX9" s="217" t="str">
        <f>IF(AND(AV9=TRUE,ISNUMBER(AW9)),MAX(0,AW9-SUMIFS($AM$3:$AM8,AV$3:AV8,TRUE)),IF(AND(AV9=TRUE,ISNUMBER(AW9)=FALSE),"ERR","N/A"))</f>
        <v>N/A</v>
      </c>
      <c r="AY9" s="215" t="str">
        <f t="shared" si="29"/>
        <v>N/A</v>
      </c>
      <c r="AZ9" s="219" t="b">
        <f t="shared" si="30"/>
        <v>0</v>
      </c>
      <c r="BA9" s="217" t="str">
        <f t="shared" si="31"/>
        <v>N/A</v>
      </c>
      <c r="BB9" s="217" t="str">
        <f>IF(AND(AZ9=TRUE,ISNUMBER(BA9)),MAX(0,BA9-SUMIFS($AM$3:$AM8,AZ$3:AZ8,TRUE)),IF(AND(AZ9=TRUE,ISNUMBER(BA9)=FALSE),"ERR","N/A"))</f>
        <v>N/A</v>
      </c>
      <c r="BC9" s="215" t="str">
        <f t="shared" si="32"/>
        <v>N/A</v>
      </c>
      <c r="BD9" s="219" t="b">
        <f t="shared" si="33"/>
        <v>0</v>
      </c>
      <c r="BE9" s="217" t="str">
        <f t="shared" si="34"/>
        <v>N/A</v>
      </c>
      <c r="BF9" s="217" t="str">
        <f>IF(AND(BD9=TRUE,ISNUMBER(BE9)=TRUE),MAX(0,BE9-SUMIFS(AM$3:AM8,BD$3:BD8,TRUE,F$3:F8,F9)),IF(AND(BD9=TRUE,ISNUMBER(BE9)=FALSE),"ERR","N/A"))</f>
        <v>N/A</v>
      </c>
      <c r="BG9" s="215" t="str">
        <f t="shared" si="35"/>
        <v>N/A</v>
      </c>
      <c r="BH9" s="214">
        <f t="shared" si="36"/>
        <v>0</v>
      </c>
      <c r="BI9" s="215">
        <f t="shared" si="54"/>
        <v>0</v>
      </c>
      <c r="BJ9" s="214" t="str">
        <f t="shared" si="55"/>
        <v>N/A</v>
      </c>
      <c r="BK9" s="217">
        <f t="shared" si="37"/>
        <v>0</v>
      </c>
      <c r="BL9" s="220" t="b">
        <f t="shared" si="38"/>
        <v>0</v>
      </c>
      <c r="BM9" s="217" t="str">
        <f t="shared" si="39"/>
        <v>N/A</v>
      </c>
      <c r="BN9" s="217" t="str">
        <f t="shared" si="56"/>
        <v>N/A</v>
      </c>
      <c r="BO9" s="220" t="b">
        <f t="shared" si="40"/>
        <v>0</v>
      </c>
      <c r="BP9" s="244" t="str">
        <f t="shared" si="41"/>
        <v>N/A</v>
      </c>
      <c r="BQ9" s="217" t="str">
        <f t="shared" si="57"/>
        <v>N/A</v>
      </c>
      <c r="BR9" s="215">
        <f t="shared" si="58"/>
        <v>0</v>
      </c>
      <c r="BS9" s="214" t="str">
        <f t="shared" si="59"/>
        <v>N/A</v>
      </c>
      <c r="BT9" s="217">
        <f t="shared" si="60"/>
        <v>0</v>
      </c>
      <c r="BU9" s="215">
        <f t="shared" si="61"/>
        <v>0</v>
      </c>
      <c r="BV9" s="214">
        <f t="shared" si="62"/>
        <v>0</v>
      </c>
      <c r="BW9" s="217">
        <f t="shared" si="42"/>
        <v>5.3</v>
      </c>
      <c r="BX9" s="217">
        <f t="shared" si="43"/>
        <v>0</v>
      </c>
      <c r="BY9" s="217">
        <f t="shared" si="63"/>
        <v>0</v>
      </c>
      <c r="BZ9" s="217">
        <f t="shared" si="44"/>
        <v>0</v>
      </c>
      <c r="CA9" s="217">
        <f t="shared" si="64"/>
        <v>0</v>
      </c>
      <c r="CB9" s="213" t="b">
        <f t="shared" si="45"/>
        <v>1</v>
      </c>
    </row>
    <row r="10" spans="1:80" x14ac:dyDescent="0.25">
      <c r="A10" s="207">
        <v>7</v>
      </c>
      <c r="B10" s="208">
        <v>42461</v>
      </c>
      <c r="C10" s="209">
        <v>4</v>
      </c>
      <c r="D10" s="210">
        <v>35</v>
      </c>
      <c r="E10" s="211" t="str">
        <f t="shared" si="0"/>
        <v>Urine Pregnancy Test</v>
      </c>
      <c r="F10" s="212" t="str">
        <f t="shared" si="1"/>
        <v>Diagnostic Services: Laboratory</v>
      </c>
      <c r="G10" s="213" t="str">
        <f t="shared" si="2"/>
        <v>Not Covered</v>
      </c>
      <c r="H10" s="214">
        <f t="shared" si="3"/>
        <v>9.86</v>
      </c>
      <c r="I10" s="217">
        <f t="shared" si="4"/>
        <v>9.86</v>
      </c>
      <c r="J10" s="251">
        <f t="shared" si="5"/>
        <v>0</v>
      </c>
      <c r="K10" s="214" t="b">
        <f t="shared" si="6"/>
        <v>0</v>
      </c>
      <c r="L10" s="218" t="str">
        <f t="shared" si="7"/>
        <v>No</v>
      </c>
      <c r="M10" s="217" t="str">
        <f t="shared" si="8"/>
        <v>.</v>
      </c>
      <c r="N10" s="215" t="str">
        <f>IFERROR(IF(AND(L10="Yes",ISNUMBER(M10)),MAX(0,M10-SUMIFS(BU$3:BU9,L$3:L9,"Yes")),IF(OR(L10="No",M10="None"),"N/A","ERR")),"ERR")</f>
        <v>N/A</v>
      </c>
      <c r="O10" s="251" t="b">
        <f t="shared" si="46"/>
        <v>0</v>
      </c>
      <c r="P10" s="251" t="str">
        <f>IF(O10,BENEFIT_PARAMETERS!$C$76,"N/A")</f>
        <v>N/A</v>
      </c>
      <c r="Q10" s="288" t="str">
        <f>IF(P10="Yes", BENEFIT_PARAMETERS!$D$76,"N/A")</f>
        <v>N/A</v>
      </c>
      <c r="R10" s="253" t="str">
        <f t="shared" si="9"/>
        <v>N/A</v>
      </c>
      <c r="S10" s="217">
        <f t="shared" si="47"/>
        <v>0</v>
      </c>
      <c r="T10" s="215">
        <f t="shared" si="10"/>
        <v>0</v>
      </c>
      <c r="U10" s="214" t="b">
        <f t="shared" si="48"/>
        <v>0</v>
      </c>
      <c r="V10" s="251" t="str">
        <f>IF(O10,BENEFIT_PARAMETERS!$C$77,"N/A")</f>
        <v>N/A</v>
      </c>
      <c r="W10" s="288" t="str">
        <f>IF(V10="Yes", BENEFIT_PARAMETERS!$D$77,"N/A")</f>
        <v>N/A</v>
      </c>
      <c r="X10" s="253" t="str">
        <f>IF(O10,COUNTIF(Z$3:Z9,"&gt;0"),"N/A")</f>
        <v>N/A</v>
      </c>
      <c r="Y10" s="217" t="str">
        <f t="shared" si="11"/>
        <v>N/A</v>
      </c>
      <c r="Z10" s="293" t="str">
        <f t="shared" si="49"/>
        <v>N/A</v>
      </c>
      <c r="AA10" s="293">
        <f t="shared" si="50"/>
        <v>0</v>
      </c>
      <c r="AB10" s="293" t="str">
        <f t="shared" si="12"/>
        <v>N/A</v>
      </c>
      <c r="AC10" s="215">
        <f t="shared" si="51"/>
        <v>0</v>
      </c>
      <c r="AD10" s="214" t="b">
        <f t="shared" si="13"/>
        <v>0</v>
      </c>
      <c r="AE10" s="209" t="str">
        <f t="shared" si="14"/>
        <v>.</v>
      </c>
      <c r="AF10" s="216">
        <f t="shared" si="15"/>
        <v>0</v>
      </c>
      <c r="AG10" s="217" t="str">
        <f t="shared" si="16"/>
        <v>N/A</v>
      </c>
      <c r="AH10" s="217" t="b">
        <f t="shared" si="17"/>
        <v>0</v>
      </c>
      <c r="AI10" s="209" t="str">
        <f t="shared" si="18"/>
        <v>.</v>
      </c>
      <c r="AJ10" s="216">
        <f t="shared" si="19"/>
        <v>0</v>
      </c>
      <c r="AK10" s="217" t="str">
        <f t="shared" si="20"/>
        <v>N/A</v>
      </c>
      <c r="AL10" s="217">
        <f t="shared" si="52"/>
        <v>0</v>
      </c>
      <c r="AM10" s="215">
        <f t="shared" si="53"/>
        <v>0</v>
      </c>
      <c r="AN10" s="219" t="b">
        <f t="shared" si="21"/>
        <v>0</v>
      </c>
      <c r="AO10" s="217" t="str">
        <f t="shared" si="22"/>
        <v>N/A</v>
      </c>
      <c r="AP10" s="217" t="str">
        <f>IF(AND(ISNUMBER(AO10),AN10=TRUE),MAX(0,AO10-SUMIFS($AM$3:$AM9,AN$3:AN9,TRUE)),IF(AND(AN10=TRUE,ISNUMBER(AO10)=FALSE),"ERR","N/A"))</f>
        <v>N/A</v>
      </c>
      <c r="AQ10" s="215" t="str">
        <f t="shared" si="23"/>
        <v>N/A</v>
      </c>
      <c r="AR10" s="219" t="b">
        <f t="shared" si="24"/>
        <v>0</v>
      </c>
      <c r="AS10" s="217" t="str">
        <f t="shared" si="25"/>
        <v>N/A</v>
      </c>
      <c r="AT10" s="217" t="str">
        <f>IF(AND(AR10=TRUE,ISNUMBER(AS10)),MAX(0,AS10-SUMIFS($AM$3:$AM9,AR$3:AR9,TRUE)),IF(AND(AR10=TRUE,ISNUMBER(AS10)=FALSE),"ERR","N/A"))</f>
        <v>N/A</v>
      </c>
      <c r="AU10" s="215" t="str">
        <f t="shared" si="26"/>
        <v>N/A</v>
      </c>
      <c r="AV10" s="219" t="b">
        <f t="shared" si="27"/>
        <v>0</v>
      </c>
      <c r="AW10" s="217" t="str">
        <f t="shared" si="28"/>
        <v>N/A</v>
      </c>
      <c r="AX10" s="217" t="str">
        <f>IF(AND(AV10=TRUE,ISNUMBER(AW10)),MAX(0,AW10-SUMIFS($AM$3:$AM9,AV$3:AV9,TRUE)),IF(AND(AV10=TRUE,ISNUMBER(AW10)=FALSE),"ERR","N/A"))</f>
        <v>N/A</v>
      </c>
      <c r="AY10" s="215" t="str">
        <f t="shared" si="29"/>
        <v>N/A</v>
      </c>
      <c r="AZ10" s="219" t="b">
        <f t="shared" si="30"/>
        <v>0</v>
      </c>
      <c r="BA10" s="217" t="str">
        <f t="shared" si="31"/>
        <v>N/A</v>
      </c>
      <c r="BB10" s="217" t="str">
        <f>IF(AND(AZ10=TRUE,ISNUMBER(BA10)),MAX(0,BA10-SUMIFS($AM$3:$AM9,AZ$3:AZ9,TRUE)),IF(AND(AZ10=TRUE,ISNUMBER(BA10)=FALSE),"ERR","N/A"))</f>
        <v>N/A</v>
      </c>
      <c r="BC10" s="215" t="str">
        <f t="shared" si="32"/>
        <v>N/A</v>
      </c>
      <c r="BD10" s="219" t="b">
        <f t="shared" si="33"/>
        <v>0</v>
      </c>
      <c r="BE10" s="217" t="str">
        <f t="shared" si="34"/>
        <v>N/A</v>
      </c>
      <c r="BF10" s="217" t="str">
        <f>IF(AND(BD10=TRUE,ISNUMBER(BE10)=TRUE),MAX(0,BE10-SUMIFS(AM$3:AM9,BD$3:BD9,TRUE,F$3:F9,F10)),IF(AND(BD10=TRUE,ISNUMBER(BE10)=FALSE),"ERR","N/A"))</f>
        <v>N/A</v>
      </c>
      <c r="BG10" s="215" t="str">
        <f t="shared" si="35"/>
        <v>N/A</v>
      </c>
      <c r="BH10" s="214">
        <f t="shared" si="36"/>
        <v>0</v>
      </c>
      <c r="BI10" s="215">
        <f t="shared" si="54"/>
        <v>0</v>
      </c>
      <c r="BJ10" s="214" t="str">
        <f t="shared" si="55"/>
        <v>N/A</v>
      </c>
      <c r="BK10" s="217">
        <f t="shared" si="37"/>
        <v>0</v>
      </c>
      <c r="BL10" s="220" t="b">
        <f t="shared" si="38"/>
        <v>0</v>
      </c>
      <c r="BM10" s="217" t="str">
        <f t="shared" si="39"/>
        <v>N/A</v>
      </c>
      <c r="BN10" s="217" t="str">
        <f t="shared" si="56"/>
        <v>N/A</v>
      </c>
      <c r="BO10" s="220" t="b">
        <f t="shared" si="40"/>
        <v>0</v>
      </c>
      <c r="BP10" s="244" t="str">
        <f t="shared" si="41"/>
        <v>N/A</v>
      </c>
      <c r="BQ10" s="217" t="str">
        <f t="shared" si="57"/>
        <v>N/A</v>
      </c>
      <c r="BR10" s="215">
        <f t="shared" si="58"/>
        <v>0</v>
      </c>
      <c r="BS10" s="214" t="str">
        <f t="shared" si="59"/>
        <v>N/A</v>
      </c>
      <c r="BT10" s="217">
        <f t="shared" si="60"/>
        <v>0</v>
      </c>
      <c r="BU10" s="215">
        <f t="shared" si="61"/>
        <v>0</v>
      </c>
      <c r="BV10" s="214">
        <f t="shared" si="62"/>
        <v>0</v>
      </c>
      <c r="BW10" s="217">
        <f t="shared" si="42"/>
        <v>9.86</v>
      </c>
      <c r="BX10" s="217">
        <f t="shared" si="43"/>
        <v>0</v>
      </c>
      <c r="BY10" s="217">
        <f t="shared" si="63"/>
        <v>0</v>
      </c>
      <c r="BZ10" s="217">
        <f t="shared" si="44"/>
        <v>0</v>
      </c>
      <c r="CA10" s="217">
        <f t="shared" si="64"/>
        <v>0</v>
      </c>
      <c r="CB10" s="213" t="b">
        <f t="shared" si="45"/>
        <v>1</v>
      </c>
    </row>
    <row r="11" spans="1:80" x14ac:dyDescent="0.25">
      <c r="A11" s="207">
        <v>8</v>
      </c>
      <c r="B11" s="208">
        <v>42461</v>
      </c>
      <c r="C11" s="209">
        <v>4</v>
      </c>
      <c r="D11" s="210">
        <v>6</v>
      </c>
      <c r="E11" s="211" t="str">
        <f t="shared" si="0"/>
        <v>Obstetrical Care</v>
      </c>
      <c r="F11" s="212" t="str">
        <f t="shared" si="1"/>
        <v>Professional Services: Obstetric Care (Bundled)</v>
      </c>
      <c r="G11" s="213" t="str">
        <f t="shared" si="2"/>
        <v>Not Covered</v>
      </c>
      <c r="H11" s="214">
        <f t="shared" si="3"/>
        <v>2609.9299999999998</v>
      </c>
      <c r="I11" s="217">
        <f t="shared" si="4"/>
        <v>2609.9299999999998</v>
      </c>
      <c r="J11" s="251">
        <f t="shared" si="5"/>
        <v>0</v>
      </c>
      <c r="K11" s="214" t="b">
        <f t="shared" si="6"/>
        <v>0</v>
      </c>
      <c r="L11" s="218" t="str">
        <f t="shared" si="7"/>
        <v>No</v>
      </c>
      <c r="M11" s="217" t="str">
        <f t="shared" si="8"/>
        <v>.</v>
      </c>
      <c r="N11" s="215" t="str">
        <f>IFERROR(IF(AND(L11="Yes",ISNUMBER(M11)),MAX(0,M11-SUMIFS(BU$3:BU10,L$3:L10,"Yes")),IF(OR(L11="No",M11="None"),"N/A","ERR")),"ERR")</f>
        <v>N/A</v>
      </c>
      <c r="O11" s="251" t="b">
        <f t="shared" si="46"/>
        <v>0</v>
      </c>
      <c r="P11" s="251" t="str">
        <f>IF(O11,BENEFIT_PARAMETERS!$C$76,"N/A")</f>
        <v>N/A</v>
      </c>
      <c r="Q11" s="288" t="str">
        <f>IF(P11="Yes", BENEFIT_PARAMETERS!$D$76,"N/A")</f>
        <v>N/A</v>
      </c>
      <c r="R11" s="253" t="str">
        <f t="shared" si="9"/>
        <v>N/A</v>
      </c>
      <c r="S11" s="217">
        <f t="shared" si="47"/>
        <v>0</v>
      </c>
      <c r="T11" s="215">
        <f t="shared" si="10"/>
        <v>0</v>
      </c>
      <c r="U11" s="214" t="b">
        <f t="shared" si="48"/>
        <v>0</v>
      </c>
      <c r="V11" s="251" t="str">
        <f>IF(O11,BENEFIT_PARAMETERS!$C$77,"N/A")</f>
        <v>N/A</v>
      </c>
      <c r="W11" s="288" t="str">
        <f>IF(V11="Yes", BENEFIT_PARAMETERS!$D$77,"N/A")</f>
        <v>N/A</v>
      </c>
      <c r="X11" s="253" t="str">
        <f>IF(O11,COUNTIF(Z$3:Z10,"&gt;0"),"N/A")</f>
        <v>N/A</v>
      </c>
      <c r="Y11" s="217" t="str">
        <f t="shared" si="11"/>
        <v>N/A</v>
      </c>
      <c r="Z11" s="293" t="str">
        <f t="shared" si="49"/>
        <v>N/A</v>
      </c>
      <c r="AA11" s="293">
        <f t="shared" si="50"/>
        <v>0</v>
      </c>
      <c r="AB11" s="293" t="str">
        <f t="shared" si="12"/>
        <v>N/A</v>
      </c>
      <c r="AC11" s="215">
        <f t="shared" si="51"/>
        <v>0</v>
      </c>
      <c r="AD11" s="214" t="b">
        <f t="shared" si="13"/>
        <v>0</v>
      </c>
      <c r="AE11" s="209" t="str">
        <f t="shared" si="14"/>
        <v>.</v>
      </c>
      <c r="AF11" s="216">
        <f t="shared" si="15"/>
        <v>0</v>
      </c>
      <c r="AG11" s="217" t="str">
        <f t="shared" si="16"/>
        <v>N/A</v>
      </c>
      <c r="AH11" s="217" t="b">
        <f t="shared" si="17"/>
        <v>0</v>
      </c>
      <c r="AI11" s="209" t="str">
        <f t="shared" si="18"/>
        <v>.</v>
      </c>
      <c r="AJ11" s="216">
        <f t="shared" si="19"/>
        <v>0</v>
      </c>
      <c r="AK11" s="217" t="str">
        <f t="shared" si="20"/>
        <v>N/A</v>
      </c>
      <c r="AL11" s="217">
        <f t="shared" si="52"/>
        <v>0</v>
      </c>
      <c r="AM11" s="215">
        <f t="shared" si="53"/>
        <v>0</v>
      </c>
      <c r="AN11" s="219" t="b">
        <f t="shared" si="21"/>
        <v>0</v>
      </c>
      <c r="AO11" s="217" t="str">
        <f t="shared" si="22"/>
        <v>N/A</v>
      </c>
      <c r="AP11" s="217" t="str">
        <f>IF(AND(ISNUMBER(AO11),AN11=TRUE),MAX(0,AO11-SUMIFS($AM$3:$AM10,AN$3:AN10,TRUE)),IF(AND(AN11=TRUE,ISNUMBER(AO11)=FALSE),"ERR","N/A"))</f>
        <v>N/A</v>
      </c>
      <c r="AQ11" s="215" t="str">
        <f t="shared" si="23"/>
        <v>N/A</v>
      </c>
      <c r="AR11" s="219" t="b">
        <f t="shared" si="24"/>
        <v>0</v>
      </c>
      <c r="AS11" s="217" t="str">
        <f t="shared" si="25"/>
        <v>N/A</v>
      </c>
      <c r="AT11" s="217" t="str">
        <f>IF(AND(AR11=TRUE,ISNUMBER(AS11)),MAX(0,AS11-SUMIFS($AM$3:$AM10,AR$3:AR10,TRUE)),IF(AND(AR11=TRUE,ISNUMBER(AS11)=FALSE),"ERR","N/A"))</f>
        <v>N/A</v>
      </c>
      <c r="AU11" s="215" t="str">
        <f t="shared" si="26"/>
        <v>N/A</v>
      </c>
      <c r="AV11" s="219" t="b">
        <f t="shared" si="27"/>
        <v>0</v>
      </c>
      <c r="AW11" s="217" t="str">
        <f t="shared" si="28"/>
        <v>N/A</v>
      </c>
      <c r="AX11" s="217" t="str">
        <f>IF(AND(AV11=TRUE,ISNUMBER(AW11)),MAX(0,AW11-SUMIFS($AM$3:$AM10,AV$3:AV10,TRUE)),IF(AND(AV11=TRUE,ISNUMBER(AW11)=FALSE),"ERR","N/A"))</f>
        <v>N/A</v>
      </c>
      <c r="AY11" s="215" t="str">
        <f t="shared" si="29"/>
        <v>N/A</v>
      </c>
      <c r="AZ11" s="219" t="b">
        <f t="shared" si="30"/>
        <v>0</v>
      </c>
      <c r="BA11" s="217" t="str">
        <f t="shared" si="31"/>
        <v>N/A</v>
      </c>
      <c r="BB11" s="217" t="str">
        <f>IF(AND(AZ11=TRUE,ISNUMBER(BA11)),MAX(0,BA11-SUMIFS($AM$3:$AM10,AZ$3:AZ10,TRUE)),IF(AND(AZ11=TRUE,ISNUMBER(BA11)=FALSE),"ERR","N/A"))</f>
        <v>N/A</v>
      </c>
      <c r="BC11" s="215" t="str">
        <f t="shared" si="32"/>
        <v>N/A</v>
      </c>
      <c r="BD11" s="219" t="b">
        <f t="shared" si="33"/>
        <v>0</v>
      </c>
      <c r="BE11" s="217" t="str">
        <f t="shared" si="34"/>
        <v>N/A</v>
      </c>
      <c r="BF11" s="217" t="str">
        <f>IF(AND(BD11=TRUE,ISNUMBER(BE11)=TRUE),MAX(0,BE11-SUMIFS(AM$3:AM10,BD$3:BD10,TRUE,F$3:F10,F11)),IF(AND(BD11=TRUE,ISNUMBER(BE11)=FALSE),"ERR","N/A"))</f>
        <v>N/A</v>
      </c>
      <c r="BG11" s="215" t="str">
        <f t="shared" si="35"/>
        <v>N/A</v>
      </c>
      <c r="BH11" s="214">
        <f t="shared" si="36"/>
        <v>0</v>
      </c>
      <c r="BI11" s="215">
        <f t="shared" si="54"/>
        <v>0</v>
      </c>
      <c r="BJ11" s="214" t="str">
        <f t="shared" si="55"/>
        <v>N/A</v>
      </c>
      <c r="BK11" s="217">
        <f t="shared" si="37"/>
        <v>0</v>
      </c>
      <c r="BL11" s="220" t="b">
        <f t="shared" si="38"/>
        <v>0</v>
      </c>
      <c r="BM11" s="217" t="str">
        <f t="shared" si="39"/>
        <v>N/A</v>
      </c>
      <c r="BN11" s="217" t="str">
        <f t="shared" si="56"/>
        <v>N/A</v>
      </c>
      <c r="BO11" s="220" t="b">
        <f t="shared" si="40"/>
        <v>0</v>
      </c>
      <c r="BP11" s="244" t="str">
        <f t="shared" si="41"/>
        <v>N/A</v>
      </c>
      <c r="BQ11" s="217" t="str">
        <f t="shared" si="57"/>
        <v>N/A</v>
      </c>
      <c r="BR11" s="215">
        <f t="shared" si="58"/>
        <v>0</v>
      </c>
      <c r="BS11" s="214" t="str">
        <f t="shared" si="59"/>
        <v>N/A</v>
      </c>
      <c r="BT11" s="217">
        <f t="shared" si="60"/>
        <v>0</v>
      </c>
      <c r="BU11" s="215">
        <f t="shared" si="61"/>
        <v>0</v>
      </c>
      <c r="BV11" s="214">
        <f t="shared" si="62"/>
        <v>0</v>
      </c>
      <c r="BW11" s="217">
        <f t="shared" si="42"/>
        <v>2609.9299999999998</v>
      </c>
      <c r="BX11" s="217">
        <f t="shared" si="43"/>
        <v>0</v>
      </c>
      <c r="BY11" s="217">
        <f t="shared" si="63"/>
        <v>0</v>
      </c>
      <c r="BZ11" s="217">
        <f t="shared" si="44"/>
        <v>0</v>
      </c>
      <c r="CA11" s="217">
        <f t="shared" si="64"/>
        <v>0</v>
      </c>
      <c r="CB11" s="213" t="b">
        <f t="shared" si="45"/>
        <v>1</v>
      </c>
    </row>
    <row r="12" spans="1:80" x14ac:dyDescent="0.25">
      <c r="A12" s="207">
        <v>9</v>
      </c>
      <c r="B12" s="208">
        <v>42461</v>
      </c>
      <c r="C12" s="209">
        <v>4</v>
      </c>
      <c r="D12" s="210">
        <v>42</v>
      </c>
      <c r="E12" s="211" t="str">
        <f t="shared" si="0"/>
        <v>Urine culture/colony count</v>
      </c>
      <c r="F12" s="212" t="str">
        <f t="shared" si="1"/>
        <v>Diagnostic Services: Laboratory</v>
      </c>
      <c r="G12" s="213" t="str">
        <f t="shared" si="2"/>
        <v>Not Covered</v>
      </c>
      <c r="H12" s="214">
        <f t="shared" si="3"/>
        <v>13.12</v>
      </c>
      <c r="I12" s="217">
        <f t="shared" si="4"/>
        <v>13.12</v>
      </c>
      <c r="J12" s="251">
        <f t="shared" si="5"/>
        <v>0</v>
      </c>
      <c r="K12" s="214" t="b">
        <f t="shared" si="6"/>
        <v>0</v>
      </c>
      <c r="L12" s="218" t="str">
        <f t="shared" si="7"/>
        <v>No</v>
      </c>
      <c r="M12" s="217" t="str">
        <f t="shared" si="8"/>
        <v>.</v>
      </c>
      <c r="N12" s="215" t="str">
        <f>IFERROR(IF(AND(L12="Yes",ISNUMBER(M12)),MAX(0,M12-SUMIFS(BU$3:BU11,L$3:L11,"Yes")),IF(OR(L12="No",M12="None"),"N/A","ERR")),"ERR")</f>
        <v>N/A</v>
      </c>
      <c r="O12" s="251" t="b">
        <f t="shared" si="46"/>
        <v>0</v>
      </c>
      <c r="P12" s="251" t="str">
        <f>IF(O12,BENEFIT_PARAMETERS!$C$76,"N/A")</f>
        <v>N/A</v>
      </c>
      <c r="Q12" s="288" t="str">
        <f>IF(P12="Yes", BENEFIT_PARAMETERS!$D$76,"N/A")</f>
        <v>N/A</v>
      </c>
      <c r="R12" s="253" t="str">
        <f t="shared" si="9"/>
        <v>N/A</v>
      </c>
      <c r="S12" s="217">
        <f t="shared" si="47"/>
        <v>0</v>
      </c>
      <c r="T12" s="215">
        <f t="shared" si="10"/>
        <v>0</v>
      </c>
      <c r="U12" s="214" t="b">
        <f t="shared" si="48"/>
        <v>0</v>
      </c>
      <c r="V12" s="251" t="str">
        <f>IF(O12,BENEFIT_PARAMETERS!$C$77,"N/A")</f>
        <v>N/A</v>
      </c>
      <c r="W12" s="288" t="str">
        <f>IF(V12="Yes", BENEFIT_PARAMETERS!$D$77,"N/A")</f>
        <v>N/A</v>
      </c>
      <c r="X12" s="253" t="str">
        <f>IF(O12,COUNTIF(Z$3:Z11,"&gt;0"),"N/A")</f>
        <v>N/A</v>
      </c>
      <c r="Y12" s="217" t="str">
        <f t="shared" si="11"/>
        <v>N/A</v>
      </c>
      <c r="Z12" s="293" t="str">
        <f t="shared" si="49"/>
        <v>N/A</v>
      </c>
      <c r="AA12" s="293">
        <f t="shared" si="50"/>
        <v>0</v>
      </c>
      <c r="AB12" s="293" t="str">
        <f t="shared" si="12"/>
        <v>N/A</v>
      </c>
      <c r="AC12" s="215">
        <f t="shared" si="51"/>
        <v>0</v>
      </c>
      <c r="AD12" s="214" t="b">
        <f t="shared" si="13"/>
        <v>0</v>
      </c>
      <c r="AE12" s="209" t="str">
        <f t="shared" si="14"/>
        <v>.</v>
      </c>
      <c r="AF12" s="216">
        <f t="shared" si="15"/>
        <v>0</v>
      </c>
      <c r="AG12" s="217" t="str">
        <f t="shared" si="16"/>
        <v>N/A</v>
      </c>
      <c r="AH12" s="217" t="b">
        <f t="shared" si="17"/>
        <v>0</v>
      </c>
      <c r="AI12" s="209" t="str">
        <f t="shared" si="18"/>
        <v>.</v>
      </c>
      <c r="AJ12" s="216">
        <f t="shared" si="19"/>
        <v>0</v>
      </c>
      <c r="AK12" s="217" t="str">
        <f t="shared" si="20"/>
        <v>N/A</v>
      </c>
      <c r="AL12" s="217">
        <f t="shared" si="52"/>
        <v>0</v>
      </c>
      <c r="AM12" s="215">
        <f t="shared" si="53"/>
        <v>0</v>
      </c>
      <c r="AN12" s="219" t="b">
        <f t="shared" si="21"/>
        <v>0</v>
      </c>
      <c r="AO12" s="217" t="str">
        <f t="shared" si="22"/>
        <v>N/A</v>
      </c>
      <c r="AP12" s="217" t="str">
        <f>IF(AND(ISNUMBER(AO12),AN12=TRUE),MAX(0,AO12-SUMIFS($AM$3:$AM11,AN$3:AN11,TRUE)),IF(AND(AN12=TRUE,ISNUMBER(AO12)=FALSE),"ERR","N/A"))</f>
        <v>N/A</v>
      </c>
      <c r="AQ12" s="215" t="str">
        <f t="shared" si="23"/>
        <v>N/A</v>
      </c>
      <c r="AR12" s="219" t="b">
        <f t="shared" si="24"/>
        <v>0</v>
      </c>
      <c r="AS12" s="217" t="str">
        <f t="shared" si="25"/>
        <v>N/A</v>
      </c>
      <c r="AT12" s="217" t="str">
        <f>IF(AND(AR12=TRUE,ISNUMBER(AS12)),MAX(0,AS12-SUMIFS($AM$3:$AM11,AR$3:AR11,TRUE)),IF(AND(AR12=TRUE,ISNUMBER(AS12)=FALSE),"ERR","N/A"))</f>
        <v>N/A</v>
      </c>
      <c r="AU12" s="215" t="str">
        <f t="shared" si="26"/>
        <v>N/A</v>
      </c>
      <c r="AV12" s="219" t="b">
        <f t="shared" si="27"/>
        <v>0</v>
      </c>
      <c r="AW12" s="217" t="str">
        <f t="shared" si="28"/>
        <v>N/A</v>
      </c>
      <c r="AX12" s="217" t="str">
        <f>IF(AND(AV12=TRUE,ISNUMBER(AW12)),MAX(0,AW12-SUMIFS($AM$3:$AM11,AV$3:AV11,TRUE)),IF(AND(AV12=TRUE,ISNUMBER(AW12)=FALSE),"ERR","N/A"))</f>
        <v>N/A</v>
      </c>
      <c r="AY12" s="215" t="str">
        <f t="shared" si="29"/>
        <v>N/A</v>
      </c>
      <c r="AZ12" s="219" t="b">
        <f t="shared" si="30"/>
        <v>0</v>
      </c>
      <c r="BA12" s="217" t="str">
        <f t="shared" si="31"/>
        <v>N/A</v>
      </c>
      <c r="BB12" s="217" t="str">
        <f>IF(AND(AZ12=TRUE,ISNUMBER(BA12)),MAX(0,BA12-SUMIFS($AM$3:$AM11,AZ$3:AZ11,TRUE)),IF(AND(AZ12=TRUE,ISNUMBER(BA12)=FALSE),"ERR","N/A"))</f>
        <v>N/A</v>
      </c>
      <c r="BC12" s="215" t="str">
        <f t="shared" si="32"/>
        <v>N/A</v>
      </c>
      <c r="BD12" s="219" t="b">
        <f t="shared" si="33"/>
        <v>0</v>
      </c>
      <c r="BE12" s="217" t="str">
        <f t="shared" si="34"/>
        <v>N/A</v>
      </c>
      <c r="BF12" s="217" t="str">
        <f>IF(AND(BD12=TRUE,ISNUMBER(BE12)=TRUE),MAX(0,BE12-SUMIFS(AM$3:AM11,BD$3:BD11,TRUE,F$3:F11,F12)),IF(AND(BD12=TRUE,ISNUMBER(BE12)=FALSE),"ERR","N/A"))</f>
        <v>N/A</v>
      </c>
      <c r="BG12" s="215" t="str">
        <f t="shared" si="35"/>
        <v>N/A</v>
      </c>
      <c r="BH12" s="214">
        <f t="shared" si="36"/>
        <v>0</v>
      </c>
      <c r="BI12" s="215">
        <f t="shared" si="54"/>
        <v>0</v>
      </c>
      <c r="BJ12" s="214" t="str">
        <f t="shared" si="55"/>
        <v>N/A</v>
      </c>
      <c r="BK12" s="217">
        <f t="shared" si="37"/>
        <v>0</v>
      </c>
      <c r="BL12" s="220" t="b">
        <f t="shared" si="38"/>
        <v>0</v>
      </c>
      <c r="BM12" s="217" t="str">
        <f t="shared" si="39"/>
        <v>N/A</v>
      </c>
      <c r="BN12" s="217" t="str">
        <f t="shared" si="56"/>
        <v>N/A</v>
      </c>
      <c r="BO12" s="220" t="b">
        <f t="shared" si="40"/>
        <v>0</v>
      </c>
      <c r="BP12" s="244" t="str">
        <f t="shared" si="41"/>
        <v>N/A</v>
      </c>
      <c r="BQ12" s="217" t="str">
        <f t="shared" si="57"/>
        <v>N/A</v>
      </c>
      <c r="BR12" s="215">
        <f t="shared" si="58"/>
        <v>0</v>
      </c>
      <c r="BS12" s="214" t="str">
        <f t="shared" si="59"/>
        <v>N/A</v>
      </c>
      <c r="BT12" s="217">
        <f t="shared" si="60"/>
        <v>0</v>
      </c>
      <c r="BU12" s="215">
        <f t="shared" si="61"/>
        <v>0</v>
      </c>
      <c r="BV12" s="214">
        <f t="shared" si="62"/>
        <v>0</v>
      </c>
      <c r="BW12" s="217">
        <f t="shared" si="42"/>
        <v>13.12</v>
      </c>
      <c r="BX12" s="217">
        <f t="shared" si="43"/>
        <v>0</v>
      </c>
      <c r="BY12" s="217">
        <f t="shared" si="63"/>
        <v>0</v>
      </c>
      <c r="BZ12" s="217">
        <f t="shared" si="44"/>
        <v>0</v>
      </c>
      <c r="CA12" s="217">
        <f t="shared" si="64"/>
        <v>0</v>
      </c>
      <c r="CB12" s="213" t="b">
        <f t="shared" si="45"/>
        <v>1</v>
      </c>
    </row>
    <row r="13" spans="1:80" x14ac:dyDescent="0.25">
      <c r="A13" s="207">
        <v>10</v>
      </c>
      <c r="B13" s="208">
        <v>42461</v>
      </c>
      <c r="C13" s="209">
        <v>4</v>
      </c>
      <c r="D13" s="210">
        <v>43</v>
      </c>
      <c r="E13" s="211" t="str">
        <f t="shared" si="0"/>
        <v>Urinalysis auto w/scope</v>
      </c>
      <c r="F13" s="212" t="str">
        <f t="shared" si="1"/>
        <v>Diagnostic Services: Laboratory</v>
      </c>
      <c r="G13" s="213" t="str">
        <f t="shared" si="2"/>
        <v>Not Covered</v>
      </c>
      <c r="H13" s="214">
        <f t="shared" si="3"/>
        <v>8.67</v>
      </c>
      <c r="I13" s="217">
        <f t="shared" si="4"/>
        <v>8.67</v>
      </c>
      <c r="J13" s="251">
        <f t="shared" si="5"/>
        <v>0</v>
      </c>
      <c r="K13" s="214" t="b">
        <f t="shared" si="6"/>
        <v>0</v>
      </c>
      <c r="L13" s="218" t="str">
        <f t="shared" si="7"/>
        <v>No</v>
      </c>
      <c r="M13" s="217" t="str">
        <f t="shared" si="8"/>
        <v>.</v>
      </c>
      <c r="N13" s="215" t="str">
        <f>IFERROR(IF(AND(L13="Yes",ISNUMBER(M13)),MAX(0,M13-SUMIFS(BU$3:BU12,L$3:L12,"Yes")),IF(OR(L13="No",M13="None"),"N/A","ERR")),"ERR")</f>
        <v>N/A</v>
      </c>
      <c r="O13" s="251" t="b">
        <f t="shared" si="46"/>
        <v>0</v>
      </c>
      <c r="P13" s="251" t="str">
        <f>IF(O13,BENEFIT_PARAMETERS!$C$76,"N/A")</f>
        <v>N/A</v>
      </c>
      <c r="Q13" s="288" t="str">
        <f>IF(P13="Yes", BENEFIT_PARAMETERS!$D$76,"N/A")</f>
        <v>N/A</v>
      </c>
      <c r="R13" s="253" t="str">
        <f t="shared" si="9"/>
        <v>N/A</v>
      </c>
      <c r="S13" s="217">
        <f t="shared" si="47"/>
        <v>0</v>
      </c>
      <c r="T13" s="215">
        <f t="shared" si="10"/>
        <v>0</v>
      </c>
      <c r="U13" s="214" t="b">
        <f t="shared" si="48"/>
        <v>0</v>
      </c>
      <c r="V13" s="251" t="str">
        <f>IF(O13,BENEFIT_PARAMETERS!$C$77,"N/A")</f>
        <v>N/A</v>
      </c>
      <c r="W13" s="288" t="str">
        <f>IF(V13="Yes", BENEFIT_PARAMETERS!$D$77,"N/A")</f>
        <v>N/A</v>
      </c>
      <c r="X13" s="253" t="str">
        <f>IF(O13,COUNTIF(Z$3:Z12,"&gt;0"),"N/A")</f>
        <v>N/A</v>
      </c>
      <c r="Y13" s="217" t="str">
        <f t="shared" si="11"/>
        <v>N/A</v>
      </c>
      <c r="Z13" s="293" t="str">
        <f t="shared" si="49"/>
        <v>N/A</v>
      </c>
      <c r="AA13" s="293">
        <f t="shared" si="50"/>
        <v>0</v>
      </c>
      <c r="AB13" s="293" t="str">
        <f t="shared" si="12"/>
        <v>N/A</v>
      </c>
      <c r="AC13" s="215">
        <f t="shared" si="51"/>
        <v>0</v>
      </c>
      <c r="AD13" s="214" t="b">
        <f t="shared" si="13"/>
        <v>0</v>
      </c>
      <c r="AE13" s="209" t="str">
        <f t="shared" si="14"/>
        <v>.</v>
      </c>
      <c r="AF13" s="216">
        <f t="shared" si="15"/>
        <v>0</v>
      </c>
      <c r="AG13" s="217" t="str">
        <f t="shared" si="16"/>
        <v>N/A</v>
      </c>
      <c r="AH13" s="217" t="b">
        <f t="shared" si="17"/>
        <v>0</v>
      </c>
      <c r="AI13" s="209" t="str">
        <f t="shared" si="18"/>
        <v>.</v>
      </c>
      <c r="AJ13" s="216">
        <f t="shared" si="19"/>
        <v>0</v>
      </c>
      <c r="AK13" s="217" t="str">
        <f t="shared" si="20"/>
        <v>N/A</v>
      </c>
      <c r="AL13" s="217">
        <f t="shared" si="52"/>
        <v>0</v>
      </c>
      <c r="AM13" s="215">
        <f t="shared" si="53"/>
        <v>0</v>
      </c>
      <c r="AN13" s="219" t="b">
        <f t="shared" si="21"/>
        <v>0</v>
      </c>
      <c r="AO13" s="217" t="str">
        <f t="shared" si="22"/>
        <v>N/A</v>
      </c>
      <c r="AP13" s="217" t="str">
        <f>IF(AND(ISNUMBER(AO13),AN13=TRUE),MAX(0,AO13-SUMIFS($AM$3:$AM12,AN$3:AN12,TRUE)),IF(AND(AN13=TRUE,ISNUMBER(AO13)=FALSE),"ERR","N/A"))</f>
        <v>N/A</v>
      </c>
      <c r="AQ13" s="215" t="str">
        <f t="shared" si="23"/>
        <v>N/A</v>
      </c>
      <c r="AR13" s="219" t="b">
        <f t="shared" si="24"/>
        <v>0</v>
      </c>
      <c r="AS13" s="217" t="str">
        <f t="shared" si="25"/>
        <v>N/A</v>
      </c>
      <c r="AT13" s="217" t="str">
        <f>IF(AND(AR13=TRUE,ISNUMBER(AS13)),MAX(0,AS13-SUMIFS($AM$3:$AM12,AR$3:AR12,TRUE)),IF(AND(AR13=TRUE,ISNUMBER(AS13)=FALSE),"ERR","N/A"))</f>
        <v>N/A</v>
      </c>
      <c r="AU13" s="215" t="str">
        <f t="shared" si="26"/>
        <v>N/A</v>
      </c>
      <c r="AV13" s="219" t="b">
        <f t="shared" si="27"/>
        <v>0</v>
      </c>
      <c r="AW13" s="217" t="str">
        <f t="shared" si="28"/>
        <v>N/A</v>
      </c>
      <c r="AX13" s="217" t="str">
        <f>IF(AND(AV13=TRUE,ISNUMBER(AW13)),MAX(0,AW13-SUMIFS($AM$3:$AM12,AV$3:AV12,TRUE)),IF(AND(AV13=TRUE,ISNUMBER(AW13)=FALSE),"ERR","N/A"))</f>
        <v>N/A</v>
      </c>
      <c r="AY13" s="215" t="str">
        <f t="shared" si="29"/>
        <v>N/A</v>
      </c>
      <c r="AZ13" s="219" t="b">
        <f t="shared" si="30"/>
        <v>0</v>
      </c>
      <c r="BA13" s="217" t="str">
        <f t="shared" si="31"/>
        <v>N/A</v>
      </c>
      <c r="BB13" s="217" t="str">
        <f>IF(AND(AZ13=TRUE,ISNUMBER(BA13)),MAX(0,BA13-SUMIFS($AM$3:$AM12,AZ$3:AZ12,TRUE)),IF(AND(AZ13=TRUE,ISNUMBER(BA13)=FALSE),"ERR","N/A"))</f>
        <v>N/A</v>
      </c>
      <c r="BC13" s="215" t="str">
        <f t="shared" si="32"/>
        <v>N/A</v>
      </c>
      <c r="BD13" s="219" t="b">
        <f t="shared" si="33"/>
        <v>0</v>
      </c>
      <c r="BE13" s="217" t="str">
        <f t="shared" si="34"/>
        <v>N/A</v>
      </c>
      <c r="BF13" s="217" t="str">
        <f>IF(AND(BD13=TRUE,ISNUMBER(BE13)=TRUE),MAX(0,BE13-SUMIFS(AM$3:AM12,BD$3:BD12,TRUE,F$3:F12,F13)),IF(AND(BD13=TRUE,ISNUMBER(BE13)=FALSE),"ERR","N/A"))</f>
        <v>N/A</v>
      </c>
      <c r="BG13" s="215" t="str">
        <f t="shared" si="35"/>
        <v>N/A</v>
      </c>
      <c r="BH13" s="214">
        <f t="shared" si="36"/>
        <v>0</v>
      </c>
      <c r="BI13" s="215">
        <f t="shared" si="54"/>
        <v>0</v>
      </c>
      <c r="BJ13" s="214" t="str">
        <f t="shared" si="55"/>
        <v>N/A</v>
      </c>
      <c r="BK13" s="217">
        <f t="shared" si="37"/>
        <v>0</v>
      </c>
      <c r="BL13" s="220" t="b">
        <f t="shared" si="38"/>
        <v>0</v>
      </c>
      <c r="BM13" s="217" t="str">
        <f t="shared" si="39"/>
        <v>N/A</v>
      </c>
      <c r="BN13" s="217" t="str">
        <f t="shared" si="56"/>
        <v>N/A</v>
      </c>
      <c r="BO13" s="220" t="b">
        <f t="shared" si="40"/>
        <v>0</v>
      </c>
      <c r="BP13" s="244" t="str">
        <f t="shared" si="41"/>
        <v>N/A</v>
      </c>
      <c r="BQ13" s="217" t="str">
        <f t="shared" si="57"/>
        <v>N/A</v>
      </c>
      <c r="BR13" s="215">
        <f t="shared" si="58"/>
        <v>0</v>
      </c>
      <c r="BS13" s="214" t="str">
        <f t="shared" si="59"/>
        <v>N/A</v>
      </c>
      <c r="BT13" s="217">
        <f t="shared" si="60"/>
        <v>0</v>
      </c>
      <c r="BU13" s="215">
        <f t="shared" si="61"/>
        <v>0</v>
      </c>
      <c r="BV13" s="214">
        <f t="shared" si="62"/>
        <v>0</v>
      </c>
      <c r="BW13" s="217">
        <f t="shared" si="42"/>
        <v>8.67</v>
      </c>
      <c r="BX13" s="217">
        <f t="shared" si="43"/>
        <v>0</v>
      </c>
      <c r="BY13" s="217">
        <f t="shared" si="63"/>
        <v>0</v>
      </c>
      <c r="BZ13" s="217">
        <f t="shared" si="44"/>
        <v>0</v>
      </c>
      <c r="CA13" s="217">
        <f t="shared" si="64"/>
        <v>0</v>
      </c>
      <c r="CB13" s="213" t="b">
        <f t="shared" si="45"/>
        <v>1</v>
      </c>
    </row>
    <row r="14" spans="1:80" x14ac:dyDescent="0.25">
      <c r="A14" s="207">
        <v>11</v>
      </c>
      <c r="B14" s="208">
        <v>42461</v>
      </c>
      <c r="C14" s="209">
        <v>4</v>
      </c>
      <c r="D14" s="210">
        <v>44</v>
      </c>
      <c r="E14" s="211" t="str">
        <f t="shared" si="0"/>
        <v>Chylmd trach dna amp probe</v>
      </c>
      <c r="F14" s="212" t="str">
        <f t="shared" si="1"/>
        <v>Diagnostic Services: Laboratory</v>
      </c>
      <c r="G14" s="213" t="str">
        <f t="shared" si="2"/>
        <v>Not Covered</v>
      </c>
      <c r="H14" s="214">
        <f t="shared" si="3"/>
        <v>44.48</v>
      </c>
      <c r="I14" s="217">
        <f t="shared" si="4"/>
        <v>44.48</v>
      </c>
      <c r="J14" s="251">
        <f t="shared" si="5"/>
        <v>0</v>
      </c>
      <c r="K14" s="214" t="b">
        <f t="shared" si="6"/>
        <v>0</v>
      </c>
      <c r="L14" s="218" t="str">
        <f t="shared" si="7"/>
        <v>No</v>
      </c>
      <c r="M14" s="217" t="str">
        <f t="shared" si="8"/>
        <v>.</v>
      </c>
      <c r="N14" s="215" t="str">
        <f>IFERROR(IF(AND(L14="Yes",ISNUMBER(M14)),MAX(0,M14-SUMIFS(BU$3:BU13,L$3:L13,"Yes")),IF(OR(L14="No",M14="None"),"N/A","ERR")),"ERR")</f>
        <v>N/A</v>
      </c>
      <c r="O14" s="251" t="b">
        <f t="shared" si="46"/>
        <v>0</v>
      </c>
      <c r="P14" s="251" t="str">
        <f>IF(O14,BENEFIT_PARAMETERS!$C$76,"N/A")</f>
        <v>N/A</v>
      </c>
      <c r="Q14" s="288" t="str">
        <f>IF(P14="Yes", BENEFIT_PARAMETERS!$D$76,"N/A")</f>
        <v>N/A</v>
      </c>
      <c r="R14" s="253" t="str">
        <f t="shared" si="9"/>
        <v>N/A</v>
      </c>
      <c r="S14" s="217">
        <f t="shared" si="47"/>
        <v>0</v>
      </c>
      <c r="T14" s="215">
        <f t="shared" si="10"/>
        <v>0</v>
      </c>
      <c r="U14" s="214" t="b">
        <f t="shared" si="48"/>
        <v>0</v>
      </c>
      <c r="V14" s="251" t="str">
        <f>IF(O14,BENEFIT_PARAMETERS!$C$77,"N/A")</f>
        <v>N/A</v>
      </c>
      <c r="W14" s="288" t="str">
        <f>IF(V14="Yes", BENEFIT_PARAMETERS!$D$77,"N/A")</f>
        <v>N/A</v>
      </c>
      <c r="X14" s="253" t="str">
        <f>IF(O14,COUNTIF(Z$3:Z13,"&gt;0"),"N/A")</f>
        <v>N/A</v>
      </c>
      <c r="Y14" s="217" t="str">
        <f t="shared" si="11"/>
        <v>N/A</v>
      </c>
      <c r="Z14" s="293" t="str">
        <f t="shared" si="49"/>
        <v>N/A</v>
      </c>
      <c r="AA14" s="293">
        <f t="shared" si="50"/>
        <v>0</v>
      </c>
      <c r="AB14" s="293" t="str">
        <f t="shared" si="12"/>
        <v>N/A</v>
      </c>
      <c r="AC14" s="215">
        <f t="shared" si="51"/>
        <v>0</v>
      </c>
      <c r="AD14" s="214" t="b">
        <f t="shared" si="13"/>
        <v>0</v>
      </c>
      <c r="AE14" s="209" t="str">
        <f t="shared" si="14"/>
        <v>.</v>
      </c>
      <c r="AF14" s="216">
        <f t="shared" si="15"/>
        <v>0</v>
      </c>
      <c r="AG14" s="217" t="str">
        <f t="shared" si="16"/>
        <v>N/A</v>
      </c>
      <c r="AH14" s="217" t="b">
        <f t="shared" si="17"/>
        <v>0</v>
      </c>
      <c r="AI14" s="209" t="str">
        <f t="shared" si="18"/>
        <v>.</v>
      </c>
      <c r="AJ14" s="216">
        <f t="shared" si="19"/>
        <v>0</v>
      </c>
      <c r="AK14" s="217" t="str">
        <f t="shared" si="20"/>
        <v>N/A</v>
      </c>
      <c r="AL14" s="217">
        <f t="shared" si="52"/>
        <v>0</v>
      </c>
      <c r="AM14" s="215">
        <f t="shared" si="53"/>
        <v>0</v>
      </c>
      <c r="AN14" s="219" t="b">
        <f t="shared" si="21"/>
        <v>0</v>
      </c>
      <c r="AO14" s="217" t="str">
        <f t="shared" si="22"/>
        <v>N/A</v>
      </c>
      <c r="AP14" s="217" t="str">
        <f>IF(AND(ISNUMBER(AO14),AN14=TRUE),MAX(0,AO14-SUMIFS($AM$3:$AM13,AN$3:AN13,TRUE)),IF(AND(AN14=TRUE,ISNUMBER(AO14)=FALSE),"ERR","N/A"))</f>
        <v>N/A</v>
      </c>
      <c r="AQ14" s="215" t="str">
        <f t="shared" si="23"/>
        <v>N/A</v>
      </c>
      <c r="AR14" s="219" t="b">
        <f t="shared" si="24"/>
        <v>0</v>
      </c>
      <c r="AS14" s="217" t="str">
        <f t="shared" si="25"/>
        <v>N/A</v>
      </c>
      <c r="AT14" s="217" t="str">
        <f>IF(AND(AR14=TRUE,ISNUMBER(AS14)),MAX(0,AS14-SUMIFS($AM$3:$AM13,AR$3:AR13,TRUE)),IF(AND(AR14=TRUE,ISNUMBER(AS14)=FALSE),"ERR","N/A"))</f>
        <v>N/A</v>
      </c>
      <c r="AU14" s="215" t="str">
        <f t="shared" si="26"/>
        <v>N/A</v>
      </c>
      <c r="AV14" s="219" t="b">
        <f t="shared" si="27"/>
        <v>0</v>
      </c>
      <c r="AW14" s="217" t="str">
        <f t="shared" si="28"/>
        <v>N/A</v>
      </c>
      <c r="AX14" s="217" t="str">
        <f>IF(AND(AV14=TRUE,ISNUMBER(AW14)),MAX(0,AW14-SUMIFS($AM$3:$AM13,AV$3:AV13,TRUE)),IF(AND(AV14=TRUE,ISNUMBER(AW14)=FALSE),"ERR","N/A"))</f>
        <v>N/A</v>
      </c>
      <c r="AY14" s="215" t="str">
        <f t="shared" si="29"/>
        <v>N/A</v>
      </c>
      <c r="AZ14" s="219" t="b">
        <f t="shared" si="30"/>
        <v>0</v>
      </c>
      <c r="BA14" s="217" t="str">
        <f t="shared" si="31"/>
        <v>N/A</v>
      </c>
      <c r="BB14" s="217" t="str">
        <f>IF(AND(AZ14=TRUE,ISNUMBER(BA14)),MAX(0,BA14-SUMIFS($AM$3:$AM13,AZ$3:AZ13,TRUE)),IF(AND(AZ14=TRUE,ISNUMBER(BA14)=FALSE),"ERR","N/A"))</f>
        <v>N/A</v>
      </c>
      <c r="BC14" s="215" t="str">
        <f t="shared" si="32"/>
        <v>N/A</v>
      </c>
      <c r="BD14" s="219" t="b">
        <f t="shared" si="33"/>
        <v>0</v>
      </c>
      <c r="BE14" s="217" t="str">
        <f t="shared" si="34"/>
        <v>N/A</v>
      </c>
      <c r="BF14" s="217" t="str">
        <f>IF(AND(BD14=TRUE,ISNUMBER(BE14)=TRUE),MAX(0,BE14-SUMIFS(AM$3:AM13,BD$3:BD13,TRUE,F$3:F13,F14)),IF(AND(BD14=TRUE,ISNUMBER(BE14)=FALSE),"ERR","N/A"))</f>
        <v>N/A</v>
      </c>
      <c r="BG14" s="215" t="str">
        <f t="shared" si="35"/>
        <v>N/A</v>
      </c>
      <c r="BH14" s="214">
        <f t="shared" si="36"/>
        <v>0</v>
      </c>
      <c r="BI14" s="215">
        <f t="shared" si="54"/>
        <v>0</v>
      </c>
      <c r="BJ14" s="214" t="str">
        <f t="shared" si="55"/>
        <v>N/A</v>
      </c>
      <c r="BK14" s="217">
        <f t="shared" si="37"/>
        <v>0</v>
      </c>
      <c r="BL14" s="220" t="b">
        <f t="shared" si="38"/>
        <v>0</v>
      </c>
      <c r="BM14" s="217" t="str">
        <f t="shared" si="39"/>
        <v>N/A</v>
      </c>
      <c r="BN14" s="217" t="str">
        <f t="shared" si="56"/>
        <v>N/A</v>
      </c>
      <c r="BO14" s="220" t="b">
        <f t="shared" si="40"/>
        <v>0</v>
      </c>
      <c r="BP14" s="244" t="str">
        <f t="shared" si="41"/>
        <v>N/A</v>
      </c>
      <c r="BQ14" s="217" t="str">
        <f t="shared" si="57"/>
        <v>N/A</v>
      </c>
      <c r="BR14" s="215">
        <f t="shared" si="58"/>
        <v>0</v>
      </c>
      <c r="BS14" s="214" t="str">
        <f t="shared" si="59"/>
        <v>N/A</v>
      </c>
      <c r="BT14" s="217">
        <f t="shared" si="60"/>
        <v>0</v>
      </c>
      <c r="BU14" s="215">
        <f t="shared" si="61"/>
        <v>0</v>
      </c>
      <c r="BV14" s="214">
        <f t="shared" si="62"/>
        <v>0</v>
      </c>
      <c r="BW14" s="217">
        <f t="shared" si="42"/>
        <v>44.48</v>
      </c>
      <c r="BX14" s="217">
        <f t="shared" si="43"/>
        <v>0</v>
      </c>
      <c r="BY14" s="217">
        <f t="shared" si="63"/>
        <v>0</v>
      </c>
      <c r="BZ14" s="217">
        <f t="shared" si="44"/>
        <v>0</v>
      </c>
      <c r="CA14" s="217">
        <f t="shared" si="64"/>
        <v>0</v>
      </c>
      <c r="CB14" s="213" t="b">
        <f t="shared" si="45"/>
        <v>1</v>
      </c>
    </row>
    <row r="15" spans="1:80" x14ac:dyDescent="0.25">
      <c r="A15" s="207">
        <v>12</v>
      </c>
      <c r="B15" s="208">
        <v>42461</v>
      </c>
      <c r="C15" s="209">
        <v>4</v>
      </c>
      <c r="D15" s="210">
        <v>45</v>
      </c>
      <c r="E15" s="211" t="str">
        <f t="shared" si="0"/>
        <v>N.gonorrhoeae dna amp prob</v>
      </c>
      <c r="F15" s="212" t="str">
        <f t="shared" si="1"/>
        <v>Diagnostic Services: Laboratory</v>
      </c>
      <c r="G15" s="213" t="str">
        <f t="shared" si="2"/>
        <v>Not Covered</v>
      </c>
      <c r="H15" s="214">
        <f t="shared" si="3"/>
        <v>43.82</v>
      </c>
      <c r="I15" s="217">
        <f t="shared" si="4"/>
        <v>43.82</v>
      </c>
      <c r="J15" s="251">
        <f t="shared" si="5"/>
        <v>0</v>
      </c>
      <c r="K15" s="214" t="b">
        <f t="shared" si="6"/>
        <v>0</v>
      </c>
      <c r="L15" s="218" t="str">
        <f t="shared" si="7"/>
        <v>No</v>
      </c>
      <c r="M15" s="217" t="str">
        <f t="shared" si="8"/>
        <v>.</v>
      </c>
      <c r="N15" s="215" t="str">
        <f>IFERROR(IF(AND(L15="Yes",ISNUMBER(M15)),MAX(0,M15-SUMIFS(BU$3:BU14,L$3:L14,"Yes")),IF(OR(L15="No",M15="None"),"N/A","ERR")),"ERR")</f>
        <v>N/A</v>
      </c>
      <c r="O15" s="251" t="b">
        <f t="shared" si="46"/>
        <v>0</v>
      </c>
      <c r="P15" s="251" t="str">
        <f>IF(O15,BENEFIT_PARAMETERS!$C$76,"N/A")</f>
        <v>N/A</v>
      </c>
      <c r="Q15" s="288" t="str">
        <f>IF(P15="Yes", BENEFIT_PARAMETERS!$D$76,"N/A")</f>
        <v>N/A</v>
      </c>
      <c r="R15" s="253" t="str">
        <f t="shared" si="9"/>
        <v>N/A</v>
      </c>
      <c r="S15" s="217">
        <f t="shared" si="47"/>
        <v>0</v>
      </c>
      <c r="T15" s="215">
        <f t="shared" si="10"/>
        <v>0</v>
      </c>
      <c r="U15" s="214" t="b">
        <f t="shared" si="48"/>
        <v>0</v>
      </c>
      <c r="V15" s="251" t="str">
        <f>IF(O15,BENEFIT_PARAMETERS!$C$77,"N/A")</f>
        <v>N/A</v>
      </c>
      <c r="W15" s="288" t="str">
        <f>IF(V15="Yes", BENEFIT_PARAMETERS!$D$77,"N/A")</f>
        <v>N/A</v>
      </c>
      <c r="X15" s="253" t="str">
        <f>IF(O15,COUNTIF(Z$3:Z14,"&gt;0"),"N/A")</f>
        <v>N/A</v>
      </c>
      <c r="Y15" s="217" t="str">
        <f t="shared" si="11"/>
        <v>N/A</v>
      </c>
      <c r="Z15" s="293" t="str">
        <f t="shared" si="49"/>
        <v>N/A</v>
      </c>
      <c r="AA15" s="293">
        <f t="shared" si="50"/>
        <v>0</v>
      </c>
      <c r="AB15" s="293" t="str">
        <f t="shared" si="12"/>
        <v>N/A</v>
      </c>
      <c r="AC15" s="215">
        <f t="shared" si="51"/>
        <v>0</v>
      </c>
      <c r="AD15" s="214" t="b">
        <f t="shared" si="13"/>
        <v>0</v>
      </c>
      <c r="AE15" s="209" t="str">
        <f t="shared" si="14"/>
        <v>.</v>
      </c>
      <c r="AF15" s="216">
        <f t="shared" si="15"/>
        <v>0</v>
      </c>
      <c r="AG15" s="217" t="str">
        <f t="shared" si="16"/>
        <v>N/A</v>
      </c>
      <c r="AH15" s="217" t="b">
        <f t="shared" si="17"/>
        <v>0</v>
      </c>
      <c r="AI15" s="209" t="str">
        <f t="shared" si="18"/>
        <v>.</v>
      </c>
      <c r="AJ15" s="216">
        <f t="shared" si="19"/>
        <v>0</v>
      </c>
      <c r="AK15" s="217" t="str">
        <f t="shared" si="20"/>
        <v>N/A</v>
      </c>
      <c r="AL15" s="217">
        <f t="shared" si="52"/>
        <v>0</v>
      </c>
      <c r="AM15" s="215">
        <f t="shared" si="53"/>
        <v>0</v>
      </c>
      <c r="AN15" s="219" t="b">
        <f t="shared" si="21"/>
        <v>0</v>
      </c>
      <c r="AO15" s="217" t="str">
        <f t="shared" si="22"/>
        <v>N/A</v>
      </c>
      <c r="AP15" s="217" t="str">
        <f>IF(AND(ISNUMBER(AO15),AN15=TRUE),MAX(0,AO15-SUMIFS($AM$3:$AM14,AN$3:AN14,TRUE)),IF(AND(AN15=TRUE,ISNUMBER(AO15)=FALSE),"ERR","N/A"))</f>
        <v>N/A</v>
      </c>
      <c r="AQ15" s="215" t="str">
        <f t="shared" si="23"/>
        <v>N/A</v>
      </c>
      <c r="AR15" s="219" t="b">
        <f t="shared" si="24"/>
        <v>0</v>
      </c>
      <c r="AS15" s="217" t="str">
        <f t="shared" si="25"/>
        <v>N/A</v>
      </c>
      <c r="AT15" s="217" t="str">
        <f>IF(AND(AR15=TRUE,ISNUMBER(AS15)),MAX(0,AS15-SUMIFS($AM$3:$AM14,AR$3:AR14,TRUE)),IF(AND(AR15=TRUE,ISNUMBER(AS15)=FALSE),"ERR","N/A"))</f>
        <v>N/A</v>
      </c>
      <c r="AU15" s="215" t="str">
        <f t="shared" si="26"/>
        <v>N/A</v>
      </c>
      <c r="AV15" s="219" t="b">
        <f t="shared" si="27"/>
        <v>0</v>
      </c>
      <c r="AW15" s="217" t="str">
        <f t="shared" si="28"/>
        <v>N/A</v>
      </c>
      <c r="AX15" s="217" t="str">
        <f>IF(AND(AV15=TRUE,ISNUMBER(AW15)),MAX(0,AW15-SUMIFS($AM$3:$AM14,AV$3:AV14,TRUE)),IF(AND(AV15=TRUE,ISNUMBER(AW15)=FALSE),"ERR","N/A"))</f>
        <v>N/A</v>
      </c>
      <c r="AY15" s="215" t="str">
        <f t="shared" si="29"/>
        <v>N/A</v>
      </c>
      <c r="AZ15" s="219" t="b">
        <f t="shared" si="30"/>
        <v>0</v>
      </c>
      <c r="BA15" s="217" t="str">
        <f t="shared" si="31"/>
        <v>N/A</v>
      </c>
      <c r="BB15" s="217" t="str">
        <f>IF(AND(AZ15=TRUE,ISNUMBER(BA15)),MAX(0,BA15-SUMIFS($AM$3:$AM14,AZ$3:AZ14,TRUE)),IF(AND(AZ15=TRUE,ISNUMBER(BA15)=FALSE),"ERR","N/A"))</f>
        <v>N/A</v>
      </c>
      <c r="BC15" s="215" t="str">
        <f t="shared" si="32"/>
        <v>N/A</v>
      </c>
      <c r="BD15" s="219" t="b">
        <f t="shared" si="33"/>
        <v>0</v>
      </c>
      <c r="BE15" s="217" t="str">
        <f t="shared" si="34"/>
        <v>N/A</v>
      </c>
      <c r="BF15" s="217" t="str">
        <f>IF(AND(BD15=TRUE,ISNUMBER(BE15)=TRUE),MAX(0,BE15-SUMIFS(AM$3:AM14,BD$3:BD14,TRUE,F$3:F14,F15)),IF(AND(BD15=TRUE,ISNUMBER(BE15)=FALSE),"ERR","N/A"))</f>
        <v>N/A</v>
      </c>
      <c r="BG15" s="215" t="str">
        <f t="shared" si="35"/>
        <v>N/A</v>
      </c>
      <c r="BH15" s="214">
        <f t="shared" si="36"/>
        <v>0</v>
      </c>
      <c r="BI15" s="215">
        <f t="shared" si="54"/>
        <v>0</v>
      </c>
      <c r="BJ15" s="214" t="str">
        <f t="shared" si="55"/>
        <v>N/A</v>
      </c>
      <c r="BK15" s="217">
        <f t="shared" si="37"/>
        <v>0</v>
      </c>
      <c r="BL15" s="220" t="b">
        <f t="shared" si="38"/>
        <v>0</v>
      </c>
      <c r="BM15" s="217" t="str">
        <f t="shared" si="39"/>
        <v>N/A</v>
      </c>
      <c r="BN15" s="217" t="str">
        <f t="shared" si="56"/>
        <v>N/A</v>
      </c>
      <c r="BO15" s="220" t="b">
        <f t="shared" si="40"/>
        <v>0</v>
      </c>
      <c r="BP15" s="244" t="str">
        <f t="shared" si="41"/>
        <v>N/A</v>
      </c>
      <c r="BQ15" s="217" t="str">
        <f t="shared" si="57"/>
        <v>N/A</v>
      </c>
      <c r="BR15" s="215">
        <f t="shared" si="58"/>
        <v>0</v>
      </c>
      <c r="BS15" s="214" t="str">
        <f t="shared" si="59"/>
        <v>N/A</v>
      </c>
      <c r="BT15" s="217">
        <f t="shared" si="60"/>
        <v>0</v>
      </c>
      <c r="BU15" s="215">
        <f t="shared" si="61"/>
        <v>0</v>
      </c>
      <c r="BV15" s="214">
        <f t="shared" si="62"/>
        <v>0</v>
      </c>
      <c r="BW15" s="217">
        <f t="shared" si="42"/>
        <v>43.82</v>
      </c>
      <c r="BX15" s="217">
        <f t="shared" si="43"/>
        <v>0</v>
      </c>
      <c r="BY15" s="217">
        <f t="shared" si="63"/>
        <v>0</v>
      </c>
      <c r="BZ15" s="217">
        <f t="shared" si="44"/>
        <v>0</v>
      </c>
      <c r="CA15" s="217">
        <f t="shared" si="64"/>
        <v>0</v>
      </c>
      <c r="CB15" s="213" t="b">
        <f t="shared" si="45"/>
        <v>1</v>
      </c>
    </row>
    <row r="16" spans="1:80" x14ac:dyDescent="0.25">
      <c r="A16" s="207">
        <v>13</v>
      </c>
      <c r="B16" s="208">
        <v>42467</v>
      </c>
      <c r="C16" s="209">
        <v>4</v>
      </c>
      <c r="D16" s="210">
        <v>32</v>
      </c>
      <c r="E16" s="211" t="str">
        <f t="shared" si="0"/>
        <v>Office/Outpatient Visit Est</v>
      </c>
      <c r="F16" s="212" t="str">
        <f t="shared" si="1"/>
        <v>Professional Services: Obstetric Care (Bundled)</v>
      </c>
      <c r="G16" s="213" t="str">
        <f t="shared" si="2"/>
        <v>Not Covered</v>
      </c>
      <c r="H16" s="214">
        <f t="shared" si="3"/>
        <v>0</v>
      </c>
      <c r="I16" s="217">
        <f t="shared" si="4"/>
        <v>0</v>
      </c>
      <c r="J16" s="251">
        <f t="shared" si="5"/>
        <v>0</v>
      </c>
      <c r="K16" s="214" t="b">
        <f t="shared" si="6"/>
        <v>0</v>
      </c>
      <c r="L16" s="218" t="str">
        <f t="shared" si="7"/>
        <v>No</v>
      </c>
      <c r="M16" s="217" t="str">
        <f t="shared" si="8"/>
        <v>.</v>
      </c>
      <c r="N16" s="215" t="str">
        <f>IFERROR(IF(AND(L16="Yes",ISNUMBER(M16)),MAX(0,M16-SUMIFS(BU$3:BU15,L$3:L15,"Yes")),IF(OR(L16="No",M16="None"),"N/A","ERR")),"ERR")</f>
        <v>N/A</v>
      </c>
      <c r="O16" s="251" t="b">
        <f t="shared" si="46"/>
        <v>0</v>
      </c>
      <c r="P16" s="251" t="str">
        <f>IF(O16,BENEFIT_PARAMETERS!$C$76,"N/A")</f>
        <v>N/A</v>
      </c>
      <c r="Q16" s="288" t="str">
        <f>IF(P16="Yes", BENEFIT_PARAMETERS!$D$76,"N/A")</f>
        <v>N/A</v>
      </c>
      <c r="R16" s="253" t="str">
        <f t="shared" si="9"/>
        <v>N/A</v>
      </c>
      <c r="S16" s="217">
        <f t="shared" si="47"/>
        <v>0</v>
      </c>
      <c r="T16" s="215">
        <f t="shared" si="10"/>
        <v>0</v>
      </c>
      <c r="U16" s="214" t="b">
        <f t="shared" si="48"/>
        <v>0</v>
      </c>
      <c r="V16" s="251" t="str">
        <f>IF(O16,BENEFIT_PARAMETERS!$C$77,"N/A")</f>
        <v>N/A</v>
      </c>
      <c r="W16" s="288" t="str">
        <f>IF(V16="Yes", BENEFIT_PARAMETERS!$D$77,"N/A")</f>
        <v>N/A</v>
      </c>
      <c r="X16" s="253" t="str">
        <f>IF(O16,COUNTIF(Z$3:Z15,"&gt;0"),"N/A")</f>
        <v>N/A</v>
      </c>
      <c r="Y16" s="217" t="str">
        <f t="shared" si="11"/>
        <v>N/A</v>
      </c>
      <c r="Z16" s="293" t="str">
        <f t="shared" si="49"/>
        <v>N/A</v>
      </c>
      <c r="AA16" s="293">
        <f t="shared" si="50"/>
        <v>0</v>
      </c>
      <c r="AB16" s="293" t="str">
        <f t="shared" si="12"/>
        <v>N/A</v>
      </c>
      <c r="AC16" s="215">
        <f t="shared" si="51"/>
        <v>0</v>
      </c>
      <c r="AD16" s="214" t="b">
        <f t="shared" si="13"/>
        <v>0</v>
      </c>
      <c r="AE16" s="209" t="str">
        <f t="shared" si="14"/>
        <v>.</v>
      </c>
      <c r="AF16" s="216">
        <f t="shared" si="15"/>
        <v>0</v>
      </c>
      <c r="AG16" s="217" t="str">
        <f t="shared" si="16"/>
        <v>N/A</v>
      </c>
      <c r="AH16" s="217" t="b">
        <f t="shared" si="17"/>
        <v>0</v>
      </c>
      <c r="AI16" s="209" t="str">
        <f t="shared" si="18"/>
        <v>.</v>
      </c>
      <c r="AJ16" s="216">
        <f t="shared" si="19"/>
        <v>0</v>
      </c>
      <c r="AK16" s="217" t="str">
        <f t="shared" si="20"/>
        <v>N/A</v>
      </c>
      <c r="AL16" s="217">
        <f t="shared" si="52"/>
        <v>0</v>
      </c>
      <c r="AM16" s="215">
        <f t="shared" si="53"/>
        <v>0</v>
      </c>
      <c r="AN16" s="219" t="b">
        <f t="shared" si="21"/>
        <v>0</v>
      </c>
      <c r="AO16" s="217" t="str">
        <f t="shared" si="22"/>
        <v>N/A</v>
      </c>
      <c r="AP16" s="217" t="str">
        <f>IF(AND(ISNUMBER(AO16),AN16=TRUE),MAX(0,AO16-SUMIFS($AM$3:$AM15,AN$3:AN15,TRUE)),IF(AND(AN16=TRUE,ISNUMBER(AO16)=FALSE),"ERR","N/A"))</f>
        <v>N/A</v>
      </c>
      <c r="AQ16" s="215" t="str">
        <f t="shared" si="23"/>
        <v>N/A</v>
      </c>
      <c r="AR16" s="219" t="b">
        <f t="shared" si="24"/>
        <v>0</v>
      </c>
      <c r="AS16" s="217" t="str">
        <f t="shared" si="25"/>
        <v>N/A</v>
      </c>
      <c r="AT16" s="217" t="str">
        <f>IF(AND(AR16=TRUE,ISNUMBER(AS16)),MAX(0,AS16-SUMIFS($AM$3:$AM15,AR$3:AR15,TRUE)),IF(AND(AR16=TRUE,ISNUMBER(AS16)=FALSE),"ERR","N/A"))</f>
        <v>N/A</v>
      </c>
      <c r="AU16" s="215" t="str">
        <f t="shared" si="26"/>
        <v>N/A</v>
      </c>
      <c r="AV16" s="219" t="b">
        <f t="shared" si="27"/>
        <v>0</v>
      </c>
      <c r="AW16" s="217" t="str">
        <f t="shared" si="28"/>
        <v>N/A</v>
      </c>
      <c r="AX16" s="217" t="str">
        <f>IF(AND(AV16=TRUE,ISNUMBER(AW16)),MAX(0,AW16-SUMIFS($AM$3:$AM15,AV$3:AV15,TRUE)),IF(AND(AV16=TRUE,ISNUMBER(AW16)=FALSE),"ERR","N/A"))</f>
        <v>N/A</v>
      </c>
      <c r="AY16" s="215" t="str">
        <f t="shared" si="29"/>
        <v>N/A</v>
      </c>
      <c r="AZ16" s="219" t="b">
        <f t="shared" si="30"/>
        <v>0</v>
      </c>
      <c r="BA16" s="217" t="str">
        <f t="shared" si="31"/>
        <v>N/A</v>
      </c>
      <c r="BB16" s="217" t="str">
        <f>IF(AND(AZ16=TRUE,ISNUMBER(BA16)),MAX(0,BA16-SUMIFS($AM$3:$AM15,AZ$3:AZ15,TRUE)),IF(AND(AZ16=TRUE,ISNUMBER(BA16)=FALSE),"ERR","N/A"))</f>
        <v>N/A</v>
      </c>
      <c r="BC16" s="215" t="str">
        <f t="shared" si="32"/>
        <v>N/A</v>
      </c>
      <c r="BD16" s="219" t="b">
        <f t="shared" si="33"/>
        <v>0</v>
      </c>
      <c r="BE16" s="217" t="str">
        <f t="shared" si="34"/>
        <v>N/A</v>
      </c>
      <c r="BF16" s="217" t="str">
        <f>IF(AND(BD16=TRUE,ISNUMBER(BE16)=TRUE),MAX(0,BE16-SUMIFS(AM$3:AM15,BD$3:BD15,TRUE,F$3:F15,F16)),IF(AND(BD16=TRUE,ISNUMBER(BE16)=FALSE),"ERR","N/A"))</f>
        <v>N/A</v>
      </c>
      <c r="BG16" s="215" t="str">
        <f t="shared" si="35"/>
        <v>N/A</v>
      </c>
      <c r="BH16" s="214">
        <f t="shared" si="36"/>
        <v>0</v>
      </c>
      <c r="BI16" s="215">
        <f t="shared" si="54"/>
        <v>0</v>
      </c>
      <c r="BJ16" s="214" t="str">
        <f t="shared" si="55"/>
        <v>N/A</v>
      </c>
      <c r="BK16" s="217">
        <f t="shared" si="37"/>
        <v>0</v>
      </c>
      <c r="BL16" s="220" t="b">
        <f t="shared" si="38"/>
        <v>0</v>
      </c>
      <c r="BM16" s="217" t="str">
        <f t="shared" si="39"/>
        <v>N/A</v>
      </c>
      <c r="BN16" s="217" t="str">
        <f t="shared" si="56"/>
        <v>N/A</v>
      </c>
      <c r="BO16" s="220" t="b">
        <f t="shared" si="40"/>
        <v>0</v>
      </c>
      <c r="BP16" s="244" t="str">
        <f t="shared" si="41"/>
        <v>N/A</v>
      </c>
      <c r="BQ16" s="217" t="str">
        <f t="shared" si="57"/>
        <v>N/A</v>
      </c>
      <c r="BR16" s="215">
        <f t="shared" si="58"/>
        <v>0</v>
      </c>
      <c r="BS16" s="214" t="str">
        <f t="shared" si="59"/>
        <v>N/A</v>
      </c>
      <c r="BT16" s="217">
        <f t="shared" si="60"/>
        <v>0</v>
      </c>
      <c r="BU16" s="215">
        <f t="shared" si="61"/>
        <v>0</v>
      </c>
      <c r="BV16" s="214">
        <f t="shared" si="62"/>
        <v>0</v>
      </c>
      <c r="BW16" s="217">
        <f t="shared" si="42"/>
        <v>0</v>
      </c>
      <c r="BX16" s="217">
        <f t="shared" si="43"/>
        <v>0</v>
      </c>
      <c r="BY16" s="217">
        <f t="shared" si="63"/>
        <v>0</v>
      </c>
      <c r="BZ16" s="217">
        <f t="shared" si="44"/>
        <v>0</v>
      </c>
      <c r="CA16" s="217">
        <f t="shared" si="64"/>
        <v>0</v>
      </c>
      <c r="CB16" s="213" t="b">
        <f t="shared" si="45"/>
        <v>1</v>
      </c>
    </row>
    <row r="17" spans="1:81" x14ac:dyDescent="0.25">
      <c r="A17" s="207">
        <v>14</v>
      </c>
      <c r="B17" s="208">
        <v>42467</v>
      </c>
      <c r="C17" s="209">
        <v>4</v>
      </c>
      <c r="D17" s="210">
        <v>8</v>
      </c>
      <c r="E17" s="211" t="str">
        <f t="shared" si="0"/>
        <v>Prenatal Vitamins (OTC - Bottle of 100) [1 pill daily; 30 pills/month]</v>
      </c>
      <c r="F17" s="212" t="str">
        <f t="shared" si="1"/>
        <v>Over-the-counter Drugs</v>
      </c>
      <c r="G17" s="213" t="str">
        <f t="shared" si="2"/>
        <v>Not Covered</v>
      </c>
      <c r="H17" s="214">
        <f t="shared" si="3"/>
        <v>11.48</v>
      </c>
      <c r="I17" s="217">
        <f t="shared" si="4"/>
        <v>11.48</v>
      </c>
      <c r="J17" s="251">
        <f t="shared" si="5"/>
        <v>0</v>
      </c>
      <c r="K17" s="214" t="b">
        <f t="shared" si="6"/>
        <v>0</v>
      </c>
      <c r="L17" s="218" t="str">
        <f t="shared" si="7"/>
        <v>No</v>
      </c>
      <c r="M17" s="217" t="str">
        <f t="shared" si="8"/>
        <v>.</v>
      </c>
      <c r="N17" s="215" t="str">
        <f>IFERROR(IF(AND(L17="Yes",ISNUMBER(M17)),MAX(0,M17-SUMIFS(BU$3:BU16,L$3:L16,"Yes")),IF(OR(L17="No",M17="None"),"N/A","ERR")),"ERR")</f>
        <v>N/A</v>
      </c>
      <c r="O17" s="251" t="b">
        <f t="shared" si="46"/>
        <v>0</v>
      </c>
      <c r="P17" s="251" t="str">
        <f>IF(O17,BENEFIT_PARAMETERS!$C$76,"N/A")</f>
        <v>N/A</v>
      </c>
      <c r="Q17" s="288" t="str">
        <f>IF(P17="Yes", BENEFIT_PARAMETERS!$D$76,"N/A")</f>
        <v>N/A</v>
      </c>
      <c r="R17" s="253" t="str">
        <f t="shared" si="9"/>
        <v>N/A</v>
      </c>
      <c r="S17" s="217">
        <f t="shared" si="47"/>
        <v>0</v>
      </c>
      <c r="T17" s="215">
        <f t="shared" si="10"/>
        <v>0</v>
      </c>
      <c r="U17" s="214" t="b">
        <f t="shared" si="48"/>
        <v>0</v>
      </c>
      <c r="V17" s="251" t="str">
        <f>IF(O17,BENEFIT_PARAMETERS!$C$77,"N/A")</f>
        <v>N/A</v>
      </c>
      <c r="W17" s="288" t="str">
        <f>IF(V17="Yes", BENEFIT_PARAMETERS!$D$77,"N/A")</f>
        <v>N/A</v>
      </c>
      <c r="X17" s="253" t="str">
        <f>IF(O17,COUNTIF(Z$3:Z16,"&gt;0"),"N/A")</f>
        <v>N/A</v>
      </c>
      <c r="Y17" s="217" t="str">
        <f t="shared" si="11"/>
        <v>N/A</v>
      </c>
      <c r="Z17" s="293" t="str">
        <f t="shared" si="49"/>
        <v>N/A</v>
      </c>
      <c r="AA17" s="293">
        <f t="shared" si="50"/>
        <v>0</v>
      </c>
      <c r="AB17" s="293" t="str">
        <f t="shared" si="12"/>
        <v>N/A</v>
      </c>
      <c r="AC17" s="215">
        <f t="shared" si="51"/>
        <v>0</v>
      </c>
      <c r="AD17" s="214" t="b">
        <f t="shared" si="13"/>
        <v>0</v>
      </c>
      <c r="AE17" s="209" t="str">
        <f t="shared" si="14"/>
        <v>.</v>
      </c>
      <c r="AF17" s="216">
        <f t="shared" si="15"/>
        <v>0</v>
      </c>
      <c r="AG17" s="217" t="str">
        <f t="shared" si="16"/>
        <v>N/A</v>
      </c>
      <c r="AH17" s="217" t="b">
        <f t="shared" si="17"/>
        <v>0</v>
      </c>
      <c r="AI17" s="209" t="str">
        <f t="shared" si="18"/>
        <v>.</v>
      </c>
      <c r="AJ17" s="216">
        <f t="shared" si="19"/>
        <v>1</v>
      </c>
      <c r="AK17" s="217" t="str">
        <f t="shared" si="20"/>
        <v>N/A</v>
      </c>
      <c r="AL17" s="217">
        <f t="shared" si="52"/>
        <v>0</v>
      </c>
      <c r="AM17" s="215">
        <f t="shared" si="53"/>
        <v>0</v>
      </c>
      <c r="AN17" s="219" t="b">
        <f t="shared" si="21"/>
        <v>0</v>
      </c>
      <c r="AO17" s="217" t="str">
        <f t="shared" si="22"/>
        <v>N/A</v>
      </c>
      <c r="AP17" s="217" t="str">
        <f>IF(AND(ISNUMBER(AO17),AN17=TRUE),MAX(0,AO17-SUMIFS($AM$3:$AM16,AN$3:AN16,TRUE)),IF(AND(AN17=TRUE,ISNUMBER(AO17)=FALSE),"ERR","N/A"))</f>
        <v>N/A</v>
      </c>
      <c r="AQ17" s="215" t="str">
        <f t="shared" si="23"/>
        <v>N/A</v>
      </c>
      <c r="AR17" s="219" t="b">
        <f t="shared" si="24"/>
        <v>0</v>
      </c>
      <c r="AS17" s="217" t="str">
        <f t="shared" si="25"/>
        <v>N/A</v>
      </c>
      <c r="AT17" s="217" t="str">
        <f>IF(AND(AR17=TRUE,ISNUMBER(AS17)),MAX(0,AS17-SUMIFS($AM$3:$AM16,AR$3:AR16,TRUE)),IF(AND(AR17=TRUE,ISNUMBER(AS17)=FALSE),"ERR","N/A"))</f>
        <v>N/A</v>
      </c>
      <c r="AU17" s="215" t="str">
        <f t="shared" si="26"/>
        <v>N/A</v>
      </c>
      <c r="AV17" s="219" t="b">
        <f t="shared" si="27"/>
        <v>0</v>
      </c>
      <c r="AW17" s="217" t="str">
        <f t="shared" si="28"/>
        <v>N/A</v>
      </c>
      <c r="AX17" s="217" t="str">
        <f>IF(AND(AV17=TRUE,ISNUMBER(AW17)),MAX(0,AW17-SUMIFS($AM$3:$AM16,AV$3:AV16,TRUE)),IF(AND(AV17=TRUE,ISNUMBER(AW17)=FALSE),"ERR","N/A"))</f>
        <v>N/A</v>
      </c>
      <c r="AY17" s="215" t="str">
        <f t="shared" si="29"/>
        <v>N/A</v>
      </c>
      <c r="AZ17" s="219" t="b">
        <f t="shared" si="30"/>
        <v>0</v>
      </c>
      <c r="BA17" s="217" t="str">
        <f t="shared" si="31"/>
        <v>N/A</v>
      </c>
      <c r="BB17" s="217" t="str">
        <f>IF(AND(AZ17=TRUE,ISNUMBER(BA17)),MAX(0,BA17-SUMIFS($AM$3:$AM16,AZ$3:AZ16,TRUE)),IF(AND(AZ17=TRUE,ISNUMBER(BA17)=FALSE),"ERR","N/A"))</f>
        <v>N/A</v>
      </c>
      <c r="BC17" s="215" t="str">
        <f t="shared" si="32"/>
        <v>N/A</v>
      </c>
      <c r="BD17" s="219" t="b">
        <f t="shared" si="33"/>
        <v>0</v>
      </c>
      <c r="BE17" s="217" t="str">
        <f t="shared" si="34"/>
        <v>N/A</v>
      </c>
      <c r="BF17" s="217" t="str">
        <f>IF(AND(BD17=TRUE,ISNUMBER(BE17)=TRUE),MAX(0,BE17-SUMIFS(AM$3:AM16,BD$3:BD16,TRUE,F$3:F16,F17)),IF(AND(BD17=TRUE,ISNUMBER(BE17)=FALSE),"ERR","N/A"))</f>
        <v>N/A</v>
      </c>
      <c r="BG17" s="215" t="str">
        <f t="shared" si="35"/>
        <v>N/A</v>
      </c>
      <c r="BH17" s="214">
        <f t="shared" si="36"/>
        <v>0</v>
      </c>
      <c r="BI17" s="215">
        <f t="shared" si="54"/>
        <v>0</v>
      </c>
      <c r="BJ17" s="214" t="str">
        <f t="shared" si="55"/>
        <v>N/A</v>
      </c>
      <c r="BK17" s="217">
        <f t="shared" si="37"/>
        <v>0</v>
      </c>
      <c r="BL17" s="220" t="b">
        <f t="shared" si="38"/>
        <v>0</v>
      </c>
      <c r="BM17" s="217" t="str">
        <f t="shared" si="39"/>
        <v>N/A</v>
      </c>
      <c r="BN17" s="217" t="str">
        <f t="shared" si="56"/>
        <v>N/A</v>
      </c>
      <c r="BO17" s="220" t="b">
        <f t="shared" si="40"/>
        <v>0</v>
      </c>
      <c r="BP17" s="244" t="str">
        <f t="shared" si="41"/>
        <v>N/A</v>
      </c>
      <c r="BQ17" s="217" t="str">
        <f t="shared" si="57"/>
        <v>N/A</v>
      </c>
      <c r="BR17" s="215">
        <f t="shared" si="58"/>
        <v>0</v>
      </c>
      <c r="BS17" s="214" t="str">
        <f t="shared" si="59"/>
        <v>N/A</v>
      </c>
      <c r="BT17" s="217">
        <f t="shared" si="60"/>
        <v>0</v>
      </c>
      <c r="BU17" s="215">
        <f t="shared" si="61"/>
        <v>0</v>
      </c>
      <c r="BV17" s="214">
        <f t="shared" si="62"/>
        <v>0</v>
      </c>
      <c r="BW17" s="217">
        <f t="shared" si="42"/>
        <v>11.48</v>
      </c>
      <c r="BX17" s="217">
        <f t="shared" si="43"/>
        <v>0</v>
      </c>
      <c r="BY17" s="217">
        <f t="shared" si="63"/>
        <v>0</v>
      </c>
      <c r="BZ17" s="217">
        <f t="shared" si="44"/>
        <v>0</v>
      </c>
      <c r="CA17" s="217">
        <f t="shared" si="64"/>
        <v>0</v>
      </c>
      <c r="CB17" s="213" t="b">
        <f t="shared" si="45"/>
        <v>1</v>
      </c>
    </row>
    <row r="18" spans="1:81" x14ac:dyDescent="0.25">
      <c r="A18" s="207">
        <v>15</v>
      </c>
      <c r="B18" s="208">
        <v>42517</v>
      </c>
      <c r="C18" s="209">
        <v>5</v>
      </c>
      <c r="D18" s="210">
        <v>32</v>
      </c>
      <c r="E18" s="211" t="str">
        <f t="shared" si="0"/>
        <v>Office/Outpatient Visit Est</v>
      </c>
      <c r="F18" s="212" t="str">
        <f t="shared" si="1"/>
        <v>Professional Services: Obstetric Care (Bundled)</v>
      </c>
      <c r="G18" s="213" t="str">
        <f t="shared" si="2"/>
        <v>Not Covered</v>
      </c>
      <c r="H18" s="214">
        <f t="shared" si="3"/>
        <v>0</v>
      </c>
      <c r="I18" s="217">
        <f t="shared" si="4"/>
        <v>0</v>
      </c>
      <c r="J18" s="251">
        <f t="shared" si="5"/>
        <v>0</v>
      </c>
      <c r="K18" s="214" t="b">
        <f t="shared" si="6"/>
        <v>0</v>
      </c>
      <c r="L18" s="218" t="str">
        <f t="shared" si="7"/>
        <v>No</v>
      </c>
      <c r="M18" s="217" t="str">
        <f t="shared" si="8"/>
        <v>.</v>
      </c>
      <c r="N18" s="215" t="str">
        <f>IFERROR(IF(AND(L18="Yes",ISNUMBER(M18)),MAX(0,M18-SUMIFS(BU$3:BU17,L$3:L17,"Yes")),IF(OR(L18="No",M18="None"),"N/A","ERR")),"ERR")</f>
        <v>N/A</v>
      </c>
      <c r="O18" s="251" t="b">
        <f t="shared" si="46"/>
        <v>0</v>
      </c>
      <c r="P18" s="251" t="str">
        <f>IF(O18,BENEFIT_PARAMETERS!$C$76,"N/A")</f>
        <v>N/A</v>
      </c>
      <c r="Q18" s="288" t="str">
        <f>IF(P18="Yes", BENEFIT_PARAMETERS!$D$76,"N/A")</f>
        <v>N/A</v>
      </c>
      <c r="R18" s="253" t="str">
        <f t="shared" si="9"/>
        <v>N/A</v>
      </c>
      <c r="S18" s="217">
        <f t="shared" si="47"/>
        <v>0</v>
      </c>
      <c r="T18" s="215">
        <f t="shared" si="10"/>
        <v>0</v>
      </c>
      <c r="U18" s="214" t="b">
        <f t="shared" si="48"/>
        <v>0</v>
      </c>
      <c r="V18" s="251" t="str">
        <f>IF(O18,BENEFIT_PARAMETERS!$C$77,"N/A")</f>
        <v>N/A</v>
      </c>
      <c r="W18" s="288" t="str">
        <f>IF(V18="Yes", BENEFIT_PARAMETERS!$D$77,"N/A")</f>
        <v>N/A</v>
      </c>
      <c r="X18" s="253" t="str">
        <f>IF(O18,COUNTIF(Z$3:Z17,"&gt;0"),"N/A")</f>
        <v>N/A</v>
      </c>
      <c r="Y18" s="217" t="str">
        <f t="shared" si="11"/>
        <v>N/A</v>
      </c>
      <c r="Z18" s="293" t="str">
        <f t="shared" si="49"/>
        <v>N/A</v>
      </c>
      <c r="AA18" s="293">
        <f t="shared" si="50"/>
        <v>0</v>
      </c>
      <c r="AB18" s="293" t="str">
        <f t="shared" si="12"/>
        <v>N/A</v>
      </c>
      <c r="AC18" s="215">
        <f t="shared" si="51"/>
        <v>0</v>
      </c>
      <c r="AD18" s="214" t="b">
        <f t="shared" si="13"/>
        <v>0</v>
      </c>
      <c r="AE18" s="209" t="str">
        <f t="shared" si="14"/>
        <v>.</v>
      </c>
      <c r="AF18" s="216">
        <f t="shared" si="15"/>
        <v>0</v>
      </c>
      <c r="AG18" s="217" t="str">
        <f t="shared" si="16"/>
        <v>N/A</v>
      </c>
      <c r="AH18" s="217" t="b">
        <f t="shared" si="17"/>
        <v>0</v>
      </c>
      <c r="AI18" s="209" t="str">
        <f t="shared" si="18"/>
        <v>.</v>
      </c>
      <c r="AJ18" s="216">
        <f t="shared" si="19"/>
        <v>1</v>
      </c>
      <c r="AK18" s="217" t="str">
        <f t="shared" si="20"/>
        <v>N/A</v>
      </c>
      <c r="AL18" s="217">
        <f t="shared" si="52"/>
        <v>0</v>
      </c>
      <c r="AM18" s="215">
        <f t="shared" si="53"/>
        <v>0</v>
      </c>
      <c r="AN18" s="219" t="b">
        <f t="shared" si="21"/>
        <v>0</v>
      </c>
      <c r="AO18" s="217" t="str">
        <f t="shared" si="22"/>
        <v>N/A</v>
      </c>
      <c r="AP18" s="217" t="str">
        <f>IF(AND(ISNUMBER(AO18),AN18=TRUE),MAX(0,AO18-SUMIFS($AM$3:$AM17,AN$3:AN17,TRUE)),IF(AND(AN18=TRUE,ISNUMBER(AO18)=FALSE),"ERR","N/A"))</f>
        <v>N/A</v>
      </c>
      <c r="AQ18" s="215" t="str">
        <f t="shared" si="23"/>
        <v>N/A</v>
      </c>
      <c r="AR18" s="219" t="b">
        <f t="shared" si="24"/>
        <v>0</v>
      </c>
      <c r="AS18" s="217" t="str">
        <f t="shared" si="25"/>
        <v>N/A</v>
      </c>
      <c r="AT18" s="217" t="str">
        <f>IF(AND(AR18=TRUE,ISNUMBER(AS18)),MAX(0,AS18-SUMIFS($AM$3:$AM17,AR$3:AR17,TRUE)),IF(AND(AR18=TRUE,ISNUMBER(AS18)=FALSE),"ERR","N/A"))</f>
        <v>N/A</v>
      </c>
      <c r="AU18" s="215" t="str">
        <f t="shared" si="26"/>
        <v>N/A</v>
      </c>
      <c r="AV18" s="219" t="b">
        <f t="shared" si="27"/>
        <v>0</v>
      </c>
      <c r="AW18" s="217" t="str">
        <f t="shared" si="28"/>
        <v>N/A</v>
      </c>
      <c r="AX18" s="217" t="str">
        <f>IF(AND(AV18=TRUE,ISNUMBER(AW18)),MAX(0,AW18-SUMIFS($AM$3:$AM17,AV$3:AV17,TRUE)),IF(AND(AV18=TRUE,ISNUMBER(AW18)=FALSE),"ERR","N/A"))</f>
        <v>N/A</v>
      </c>
      <c r="AY18" s="215" t="str">
        <f t="shared" si="29"/>
        <v>N/A</v>
      </c>
      <c r="AZ18" s="219" t="b">
        <f t="shared" si="30"/>
        <v>0</v>
      </c>
      <c r="BA18" s="217" t="str">
        <f t="shared" si="31"/>
        <v>N/A</v>
      </c>
      <c r="BB18" s="217" t="str">
        <f>IF(AND(AZ18=TRUE,ISNUMBER(BA18)),MAX(0,BA18-SUMIFS($AM$3:$AM17,AZ$3:AZ17,TRUE)),IF(AND(AZ18=TRUE,ISNUMBER(BA18)=FALSE),"ERR","N/A"))</f>
        <v>N/A</v>
      </c>
      <c r="BC18" s="215" t="str">
        <f t="shared" si="32"/>
        <v>N/A</v>
      </c>
      <c r="BD18" s="219" t="b">
        <f t="shared" si="33"/>
        <v>0</v>
      </c>
      <c r="BE18" s="217" t="str">
        <f t="shared" si="34"/>
        <v>N/A</v>
      </c>
      <c r="BF18" s="217" t="str">
        <f>IF(AND(BD18=TRUE,ISNUMBER(BE18)=TRUE),MAX(0,BE18-SUMIFS(AM$3:AM17,BD$3:BD17,TRUE,F$3:F17,F18)),IF(AND(BD18=TRUE,ISNUMBER(BE18)=FALSE),"ERR","N/A"))</f>
        <v>N/A</v>
      </c>
      <c r="BG18" s="215" t="str">
        <f t="shared" si="35"/>
        <v>N/A</v>
      </c>
      <c r="BH18" s="214">
        <f t="shared" si="36"/>
        <v>0</v>
      </c>
      <c r="BI18" s="215">
        <f t="shared" si="54"/>
        <v>0</v>
      </c>
      <c r="BJ18" s="214" t="str">
        <f t="shared" si="55"/>
        <v>N/A</v>
      </c>
      <c r="BK18" s="217">
        <f t="shared" si="37"/>
        <v>0</v>
      </c>
      <c r="BL18" s="220" t="b">
        <f t="shared" si="38"/>
        <v>0</v>
      </c>
      <c r="BM18" s="217" t="str">
        <f t="shared" si="39"/>
        <v>N/A</v>
      </c>
      <c r="BN18" s="217" t="str">
        <f t="shared" si="56"/>
        <v>N/A</v>
      </c>
      <c r="BO18" s="220" t="b">
        <f t="shared" si="40"/>
        <v>0</v>
      </c>
      <c r="BP18" s="244" t="str">
        <f t="shared" si="41"/>
        <v>N/A</v>
      </c>
      <c r="BQ18" s="217" t="str">
        <f t="shared" si="57"/>
        <v>N/A</v>
      </c>
      <c r="BR18" s="215">
        <f t="shared" si="58"/>
        <v>0</v>
      </c>
      <c r="BS18" s="214" t="str">
        <f t="shared" si="59"/>
        <v>N/A</v>
      </c>
      <c r="BT18" s="217">
        <f t="shared" si="60"/>
        <v>0</v>
      </c>
      <c r="BU18" s="215">
        <f t="shared" si="61"/>
        <v>0</v>
      </c>
      <c r="BV18" s="214">
        <f t="shared" si="62"/>
        <v>0</v>
      </c>
      <c r="BW18" s="217">
        <f t="shared" si="42"/>
        <v>0</v>
      </c>
      <c r="BX18" s="217">
        <f t="shared" si="43"/>
        <v>0</v>
      </c>
      <c r="BY18" s="217">
        <f t="shared" si="63"/>
        <v>0</v>
      </c>
      <c r="BZ18" s="217">
        <f t="shared" si="44"/>
        <v>0</v>
      </c>
      <c r="CA18" s="217">
        <f t="shared" si="64"/>
        <v>0</v>
      </c>
      <c r="CB18" s="213" t="b">
        <f t="shared" si="45"/>
        <v>1</v>
      </c>
    </row>
    <row r="19" spans="1:81" x14ac:dyDescent="0.25">
      <c r="A19" s="207">
        <v>16</v>
      </c>
      <c r="B19" s="208">
        <v>42545</v>
      </c>
      <c r="C19" s="209">
        <v>6</v>
      </c>
      <c r="D19" s="210">
        <v>15</v>
      </c>
      <c r="E19" s="211" t="str">
        <f t="shared" si="0"/>
        <v>Alpha-fetoprotein serum</v>
      </c>
      <c r="F19" s="212" t="str">
        <f t="shared" si="1"/>
        <v>Diagnostic Services: Laboratory</v>
      </c>
      <c r="G19" s="213" t="str">
        <f t="shared" si="2"/>
        <v>Not Covered</v>
      </c>
      <c r="H19" s="214">
        <f t="shared" si="3"/>
        <v>23.21</v>
      </c>
      <c r="I19" s="217">
        <f t="shared" si="4"/>
        <v>23.21</v>
      </c>
      <c r="J19" s="251">
        <f t="shared" si="5"/>
        <v>0</v>
      </c>
      <c r="K19" s="214" t="b">
        <f t="shared" si="6"/>
        <v>0</v>
      </c>
      <c r="L19" s="218" t="str">
        <f t="shared" si="7"/>
        <v>No</v>
      </c>
      <c r="M19" s="217" t="str">
        <f t="shared" si="8"/>
        <v>.</v>
      </c>
      <c r="N19" s="215" t="str">
        <f>IFERROR(IF(AND(L19="Yes",ISNUMBER(M19)),MAX(0,M19-SUMIFS(BU$3:BU18,L$3:L18,"Yes")),IF(OR(L19="No",M19="None"),"N/A","ERR")),"ERR")</f>
        <v>N/A</v>
      </c>
      <c r="O19" s="251" t="b">
        <f t="shared" si="46"/>
        <v>0</v>
      </c>
      <c r="P19" s="251" t="str">
        <f>IF(O19,BENEFIT_PARAMETERS!$C$76,"N/A")</f>
        <v>N/A</v>
      </c>
      <c r="Q19" s="288" t="str">
        <f>IF(P19="Yes", BENEFIT_PARAMETERS!$D$76,"N/A")</f>
        <v>N/A</v>
      </c>
      <c r="R19" s="253" t="str">
        <f t="shared" si="9"/>
        <v>N/A</v>
      </c>
      <c r="S19" s="217">
        <f t="shared" si="47"/>
        <v>0</v>
      </c>
      <c r="T19" s="215">
        <f t="shared" si="10"/>
        <v>0</v>
      </c>
      <c r="U19" s="214" t="b">
        <f t="shared" si="48"/>
        <v>0</v>
      </c>
      <c r="V19" s="251" t="str">
        <f>IF(O19,BENEFIT_PARAMETERS!$C$77,"N/A")</f>
        <v>N/A</v>
      </c>
      <c r="W19" s="288" t="str">
        <f>IF(V19="Yes", BENEFIT_PARAMETERS!$D$77,"N/A")</f>
        <v>N/A</v>
      </c>
      <c r="X19" s="253" t="str">
        <f>IF(O19,COUNTIF(Z$3:Z18,"&gt;0"),"N/A")</f>
        <v>N/A</v>
      </c>
      <c r="Y19" s="217" t="str">
        <f t="shared" si="11"/>
        <v>N/A</v>
      </c>
      <c r="Z19" s="293" t="str">
        <f t="shared" si="49"/>
        <v>N/A</v>
      </c>
      <c r="AA19" s="293">
        <f t="shared" si="50"/>
        <v>0</v>
      </c>
      <c r="AB19" s="293" t="str">
        <f t="shared" si="12"/>
        <v>N/A</v>
      </c>
      <c r="AC19" s="215">
        <f t="shared" si="51"/>
        <v>0</v>
      </c>
      <c r="AD19" s="214" t="b">
        <f t="shared" si="13"/>
        <v>0</v>
      </c>
      <c r="AE19" s="209" t="str">
        <f t="shared" si="14"/>
        <v>.</v>
      </c>
      <c r="AF19" s="216">
        <f t="shared" si="15"/>
        <v>0</v>
      </c>
      <c r="AG19" s="217" t="str">
        <f t="shared" si="16"/>
        <v>N/A</v>
      </c>
      <c r="AH19" s="217" t="b">
        <f t="shared" si="17"/>
        <v>0</v>
      </c>
      <c r="AI19" s="209" t="str">
        <f t="shared" si="18"/>
        <v>.</v>
      </c>
      <c r="AJ19" s="216">
        <f t="shared" si="19"/>
        <v>0</v>
      </c>
      <c r="AK19" s="217" t="str">
        <f t="shared" si="20"/>
        <v>N/A</v>
      </c>
      <c r="AL19" s="217">
        <f t="shared" si="52"/>
        <v>0</v>
      </c>
      <c r="AM19" s="215">
        <f t="shared" si="53"/>
        <v>0</v>
      </c>
      <c r="AN19" s="219" t="b">
        <f t="shared" si="21"/>
        <v>0</v>
      </c>
      <c r="AO19" s="217" t="str">
        <f t="shared" si="22"/>
        <v>N/A</v>
      </c>
      <c r="AP19" s="217" t="str">
        <f>IF(AND(ISNUMBER(AO19),AN19=TRUE),MAX(0,AO19-SUMIFS($AM$3:$AM18,AN$3:AN18,TRUE)),IF(AND(AN19=TRUE,ISNUMBER(AO19)=FALSE),"ERR","N/A"))</f>
        <v>N/A</v>
      </c>
      <c r="AQ19" s="215" t="str">
        <f t="shared" si="23"/>
        <v>N/A</v>
      </c>
      <c r="AR19" s="219" t="b">
        <f t="shared" si="24"/>
        <v>0</v>
      </c>
      <c r="AS19" s="217" t="str">
        <f t="shared" si="25"/>
        <v>N/A</v>
      </c>
      <c r="AT19" s="217" t="str">
        <f>IF(AND(AR19=TRUE,ISNUMBER(AS19)),MAX(0,AS19-SUMIFS($AM$3:$AM18,AR$3:AR18,TRUE)),IF(AND(AR19=TRUE,ISNUMBER(AS19)=FALSE),"ERR","N/A"))</f>
        <v>N/A</v>
      </c>
      <c r="AU19" s="215" t="str">
        <f t="shared" si="26"/>
        <v>N/A</v>
      </c>
      <c r="AV19" s="219" t="b">
        <f t="shared" si="27"/>
        <v>0</v>
      </c>
      <c r="AW19" s="217" t="str">
        <f t="shared" si="28"/>
        <v>N/A</v>
      </c>
      <c r="AX19" s="217" t="str">
        <f>IF(AND(AV19=TRUE,ISNUMBER(AW19)),MAX(0,AW19-SUMIFS($AM$3:$AM18,AV$3:AV18,TRUE)),IF(AND(AV19=TRUE,ISNUMBER(AW19)=FALSE),"ERR","N/A"))</f>
        <v>N/A</v>
      </c>
      <c r="AY19" s="215" t="str">
        <f t="shared" si="29"/>
        <v>N/A</v>
      </c>
      <c r="AZ19" s="219" t="b">
        <f t="shared" si="30"/>
        <v>0</v>
      </c>
      <c r="BA19" s="217" t="str">
        <f t="shared" si="31"/>
        <v>N/A</v>
      </c>
      <c r="BB19" s="217" t="str">
        <f>IF(AND(AZ19=TRUE,ISNUMBER(BA19)),MAX(0,BA19-SUMIFS($AM$3:$AM18,AZ$3:AZ18,TRUE)),IF(AND(AZ19=TRUE,ISNUMBER(BA19)=FALSE),"ERR","N/A"))</f>
        <v>N/A</v>
      </c>
      <c r="BC19" s="215" t="str">
        <f t="shared" si="32"/>
        <v>N/A</v>
      </c>
      <c r="BD19" s="219" t="b">
        <f t="shared" si="33"/>
        <v>0</v>
      </c>
      <c r="BE19" s="217" t="str">
        <f t="shared" si="34"/>
        <v>N/A</v>
      </c>
      <c r="BF19" s="217" t="str">
        <f>IF(AND(BD19=TRUE,ISNUMBER(BE19)=TRUE),MAX(0,BE19-SUMIFS(AM$3:AM18,BD$3:BD18,TRUE,F$3:F18,F19)),IF(AND(BD19=TRUE,ISNUMBER(BE19)=FALSE),"ERR","N/A"))</f>
        <v>N/A</v>
      </c>
      <c r="BG19" s="215" t="str">
        <f t="shared" si="35"/>
        <v>N/A</v>
      </c>
      <c r="BH19" s="214">
        <f t="shared" si="36"/>
        <v>0</v>
      </c>
      <c r="BI19" s="215">
        <f t="shared" si="54"/>
        <v>0</v>
      </c>
      <c r="BJ19" s="214" t="str">
        <f t="shared" si="55"/>
        <v>N/A</v>
      </c>
      <c r="BK19" s="217">
        <f t="shared" si="37"/>
        <v>0</v>
      </c>
      <c r="BL19" s="220" t="b">
        <f t="shared" si="38"/>
        <v>0</v>
      </c>
      <c r="BM19" s="217" t="str">
        <f t="shared" si="39"/>
        <v>N/A</v>
      </c>
      <c r="BN19" s="217" t="str">
        <f t="shared" si="56"/>
        <v>N/A</v>
      </c>
      <c r="BO19" s="220" t="b">
        <f t="shared" si="40"/>
        <v>0</v>
      </c>
      <c r="BP19" s="244" t="str">
        <f t="shared" si="41"/>
        <v>N/A</v>
      </c>
      <c r="BQ19" s="217" t="str">
        <f t="shared" si="57"/>
        <v>N/A</v>
      </c>
      <c r="BR19" s="215">
        <f t="shared" si="58"/>
        <v>0</v>
      </c>
      <c r="BS19" s="214" t="str">
        <f t="shared" si="59"/>
        <v>N/A</v>
      </c>
      <c r="BT19" s="217">
        <f t="shared" si="60"/>
        <v>0</v>
      </c>
      <c r="BU19" s="215">
        <f t="shared" si="61"/>
        <v>0</v>
      </c>
      <c r="BV19" s="214">
        <f t="shared" si="62"/>
        <v>0</v>
      </c>
      <c r="BW19" s="217">
        <f t="shared" si="42"/>
        <v>23.21</v>
      </c>
      <c r="BX19" s="217">
        <f t="shared" si="43"/>
        <v>0</v>
      </c>
      <c r="BY19" s="217">
        <f t="shared" si="63"/>
        <v>0</v>
      </c>
      <c r="BZ19" s="217">
        <f t="shared" si="44"/>
        <v>0</v>
      </c>
      <c r="CA19" s="217">
        <f t="shared" si="64"/>
        <v>0</v>
      </c>
      <c r="CB19" s="213" t="b">
        <f t="shared" si="45"/>
        <v>1</v>
      </c>
    </row>
    <row r="20" spans="1:81" x14ac:dyDescent="0.25">
      <c r="A20" s="207">
        <v>17</v>
      </c>
      <c r="B20" s="208">
        <v>42545</v>
      </c>
      <c r="C20" s="209">
        <v>6</v>
      </c>
      <c r="D20" s="210">
        <v>16</v>
      </c>
      <c r="E20" s="211" t="str">
        <f t="shared" si="0"/>
        <v>Assay of estriol</v>
      </c>
      <c r="F20" s="212" t="str">
        <f t="shared" si="1"/>
        <v>Diagnostic Services: Laboratory</v>
      </c>
      <c r="G20" s="213" t="str">
        <f t="shared" si="2"/>
        <v>Not Covered</v>
      </c>
      <c r="H20" s="214">
        <f t="shared" si="3"/>
        <v>28.67</v>
      </c>
      <c r="I20" s="217">
        <f t="shared" si="4"/>
        <v>28.67</v>
      </c>
      <c r="J20" s="251">
        <f t="shared" si="5"/>
        <v>0</v>
      </c>
      <c r="K20" s="214" t="b">
        <f t="shared" si="6"/>
        <v>0</v>
      </c>
      <c r="L20" s="218" t="str">
        <f t="shared" si="7"/>
        <v>No</v>
      </c>
      <c r="M20" s="217" t="str">
        <f t="shared" si="8"/>
        <v>.</v>
      </c>
      <c r="N20" s="215" t="str">
        <f>IFERROR(IF(AND(L20="Yes",ISNUMBER(M20)),MAX(0,M20-SUMIFS(BU$3:BU19,L$3:L19,"Yes")),IF(OR(L20="No",M20="None"),"N/A","ERR")),"ERR")</f>
        <v>N/A</v>
      </c>
      <c r="O20" s="251" t="b">
        <f t="shared" si="46"/>
        <v>0</v>
      </c>
      <c r="P20" s="251" t="str">
        <f>IF(O20,BENEFIT_PARAMETERS!$C$76,"N/A")</f>
        <v>N/A</v>
      </c>
      <c r="Q20" s="288" t="str">
        <f>IF(P20="Yes", BENEFIT_PARAMETERS!$D$76,"N/A")</f>
        <v>N/A</v>
      </c>
      <c r="R20" s="253" t="str">
        <f t="shared" si="9"/>
        <v>N/A</v>
      </c>
      <c r="S20" s="217">
        <f t="shared" si="47"/>
        <v>0</v>
      </c>
      <c r="T20" s="215">
        <f t="shared" si="10"/>
        <v>0</v>
      </c>
      <c r="U20" s="214" t="b">
        <f t="shared" si="48"/>
        <v>0</v>
      </c>
      <c r="V20" s="251" t="str">
        <f>IF(O20,BENEFIT_PARAMETERS!$C$77,"N/A")</f>
        <v>N/A</v>
      </c>
      <c r="W20" s="288" t="str">
        <f>IF(V20="Yes", BENEFIT_PARAMETERS!$D$77,"N/A")</f>
        <v>N/A</v>
      </c>
      <c r="X20" s="253" t="str">
        <f>IF(O20,COUNTIF(Z$3:Z19,"&gt;0"),"N/A")</f>
        <v>N/A</v>
      </c>
      <c r="Y20" s="217" t="str">
        <f t="shared" si="11"/>
        <v>N/A</v>
      </c>
      <c r="Z20" s="293" t="str">
        <f t="shared" si="49"/>
        <v>N/A</v>
      </c>
      <c r="AA20" s="293">
        <f t="shared" si="50"/>
        <v>0</v>
      </c>
      <c r="AB20" s="293" t="str">
        <f t="shared" si="12"/>
        <v>N/A</v>
      </c>
      <c r="AC20" s="215">
        <f t="shared" si="51"/>
        <v>0</v>
      </c>
      <c r="AD20" s="214" t="b">
        <f t="shared" si="13"/>
        <v>0</v>
      </c>
      <c r="AE20" s="209" t="str">
        <f t="shared" si="14"/>
        <v>.</v>
      </c>
      <c r="AF20" s="216">
        <f t="shared" si="15"/>
        <v>0</v>
      </c>
      <c r="AG20" s="217" t="str">
        <f t="shared" si="16"/>
        <v>N/A</v>
      </c>
      <c r="AH20" s="217" t="b">
        <f t="shared" si="17"/>
        <v>0</v>
      </c>
      <c r="AI20" s="209" t="str">
        <f t="shared" si="18"/>
        <v>.</v>
      </c>
      <c r="AJ20" s="216">
        <f t="shared" si="19"/>
        <v>0</v>
      </c>
      <c r="AK20" s="217" t="str">
        <f t="shared" si="20"/>
        <v>N/A</v>
      </c>
      <c r="AL20" s="217">
        <f t="shared" si="52"/>
        <v>0</v>
      </c>
      <c r="AM20" s="215">
        <f t="shared" si="53"/>
        <v>0</v>
      </c>
      <c r="AN20" s="219" t="b">
        <f t="shared" si="21"/>
        <v>0</v>
      </c>
      <c r="AO20" s="217" t="str">
        <f t="shared" si="22"/>
        <v>N/A</v>
      </c>
      <c r="AP20" s="217" t="str">
        <f>IF(AND(ISNUMBER(AO20),AN20=TRUE),MAX(0,AO20-SUMIFS($AM$3:$AM19,AN$3:AN19,TRUE)),IF(AND(AN20=TRUE,ISNUMBER(AO20)=FALSE),"ERR","N/A"))</f>
        <v>N/A</v>
      </c>
      <c r="AQ20" s="215" t="str">
        <f t="shared" si="23"/>
        <v>N/A</v>
      </c>
      <c r="AR20" s="219" t="b">
        <f t="shared" si="24"/>
        <v>0</v>
      </c>
      <c r="AS20" s="217" t="str">
        <f t="shared" si="25"/>
        <v>N/A</v>
      </c>
      <c r="AT20" s="217" t="str">
        <f>IF(AND(AR20=TRUE,ISNUMBER(AS20)),MAX(0,AS20-SUMIFS($AM$3:$AM19,AR$3:AR19,TRUE)),IF(AND(AR20=TRUE,ISNUMBER(AS20)=FALSE),"ERR","N/A"))</f>
        <v>N/A</v>
      </c>
      <c r="AU20" s="215" t="str">
        <f t="shared" si="26"/>
        <v>N/A</v>
      </c>
      <c r="AV20" s="219" t="b">
        <f t="shared" si="27"/>
        <v>0</v>
      </c>
      <c r="AW20" s="217" t="str">
        <f t="shared" si="28"/>
        <v>N/A</v>
      </c>
      <c r="AX20" s="217" t="str">
        <f>IF(AND(AV20=TRUE,ISNUMBER(AW20)),MAX(0,AW20-SUMIFS($AM$3:$AM19,AV$3:AV19,TRUE)),IF(AND(AV20=TRUE,ISNUMBER(AW20)=FALSE),"ERR","N/A"))</f>
        <v>N/A</v>
      </c>
      <c r="AY20" s="215" t="str">
        <f t="shared" si="29"/>
        <v>N/A</v>
      </c>
      <c r="AZ20" s="219" t="b">
        <f t="shared" si="30"/>
        <v>0</v>
      </c>
      <c r="BA20" s="217" t="str">
        <f t="shared" si="31"/>
        <v>N/A</v>
      </c>
      <c r="BB20" s="217" t="str">
        <f>IF(AND(AZ20=TRUE,ISNUMBER(BA20)),MAX(0,BA20-SUMIFS($AM$3:$AM19,AZ$3:AZ19,TRUE)),IF(AND(AZ20=TRUE,ISNUMBER(BA20)=FALSE),"ERR","N/A"))</f>
        <v>N/A</v>
      </c>
      <c r="BC20" s="215" t="str">
        <f t="shared" si="32"/>
        <v>N/A</v>
      </c>
      <c r="BD20" s="219" t="b">
        <f t="shared" si="33"/>
        <v>0</v>
      </c>
      <c r="BE20" s="217" t="str">
        <f t="shared" si="34"/>
        <v>N/A</v>
      </c>
      <c r="BF20" s="217" t="str">
        <f>IF(AND(BD20=TRUE,ISNUMBER(BE20)=TRUE),MAX(0,BE20-SUMIFS(AM$3:AM19,BD$3:BD19,TRUE,F$3:F19,F20)),IF(AND(BD20=TRUE,ISNUMBER(BE20)=FALSE),"ERR","N/A"))</f>
        <v>N/A</v>
      </c>
      <c r="BG20" s="215" t="str">
        <f t="shared" si="35"/>
        <v>N/A</v>
      </c>
      <c r="BH20" s="214">
        <f t="shared" si="36"/>
        <v>0</v>
      </c>
      <c r="BI20" s="215">
        <f t="shared" si="54"/>
        <v>0</v>
      </c>
      <c r="BJ20" s="214" t="str">
        <f t="shared" si="55"/>
        <v>N/A</v>
      </c>
      <c r="BK20" s="217">
        <f t="shared" si="37"/>
        <v>0</v>
      </c>
      <c r="BL20" s="220" t="b">
        <f t="shared" si="38"/>
        <v>0</v>
      </c>
      <c r="BM20" s="217" t="str">
        <f t="shared" si="39"/>
        <v>N/A</v>
      </c>
      <c r="BN20" s="217" t="str">
        <f t="shared" si="56"/>
        <v>N/A</v>
      </c>
      <c r="BO20" s="220" t="b">
        <f t="shared" si="40"/>
        <v>0</v>
      </c>
      <c r="BP20" s="244" t="str">
        <f t="shared" si="41"/>
        <v>N/A</v>
      </c>
      <c r="BQ20" s="217" t="str">
        <f t="shared" si="57"/>
        <v>N/A</v>
      </c>
      <c r="BR20" s="215">
        <f t="shared" si="58"/>
        <v>0</v>
      </c>
      <c r="BS20" s="214" t="str">
        <f t="shared" si="59"/>
        <v>N/A</v>
      </c>
      <c r="BT20" s="217">
        <f t="shared" si="60"/>
        <v>0</v>
      </c>
      <c r="BU20" s="215">
        <f t="shared" si="61"/>
        <v>0</v>
      </c>
      <c r="BV20" s="214">
        <f t="shared" si="62"/>
        <v>0</v>
      </c>
      <c r="BW20" s="217">
        <f t="shared" si="42"/>
        <v>28.67</v>
      </c>
      <c r="BX20" s="217">
        <f t="shared" si="43"/>
        <v>0</v>
      </c>
      <c r="BY20" s="217">
        <f t="shared" si="63"/>
        <v>0</v>
      </c>
      <c r="BZ20" s="217">
        <f t="shared" si="44"/>
        <v>0</v>
      </c>
      <c r="CA20" s="217">
        <f t="shared" si="64"/>
        <v>0</v>
      </c>
      <c r="CB20" s="213" t="b">
        <f t="shared" si="45"/>
        <v>1</v>
      </c>
    </row>
    <row r="21" spans="1:81" x14ac:dyDescent="0.25">
      <c r="A21" s="207">
        <v>18</v>
      </c>
      <c r="B21" s="208">
        <v>42545</v>
      </c>
      <c r="C21" s="209">
        <v>6</v>
      </c>
      <c r="D21" s="210">
        <v>25</v>
      </c>
      <c r="E21" s="211" t="str">
        <f t="shared" si="0"/>
        <v>Chorionic gonadotropin test</v>
      </c>
      <c r="F21" s="212" t="str">
        <f t="shared" si="1"/>
        <v>Diagnostic Services: Laboratory</v>
      </c>
      <c r="G21" s="213" t="str">
        <f t="shared" si="2"/>
        <v>Not Covered</v>
      </c>
      <c r="H21" s="214">
        <f t="shared" si="3"/>
        <v>24.94</v>
      </c>
      <c r="I21" s="217">
        <f t="shared" si="4"/>
        <v>24.94</v>
      </c>
      <c r="J21" s="251">
        <f t="shared" si="5"/>
        <v>0</v>
      </c>
      <c r="K21" s="214" t="b">
        <f t="shared" si="6"/>
        <v>0</v>
      </c>
      <c r="L21" s="218" t="str">
        <f t="shared" si="7"/>
        <v>No</v>
      </c>
      <c r="M21" s="217" t="str">
        <f t="shared" si="8"/>
        <v>.</v>
      </c>
      <c r="N21" s="215" t="str">
        <f>IFERROR(IF(AND(L21="Yes",ISNUMBER(M21)),MAX(0,M21-SUMIFS(BU$3:BU20,L$3:L20,"Yes")),IF(OR(L21="No",M21="None"),"N/A","ERR")),"ERR")</f>
        <v>N/A</v>
      </c>
      <c r="O21" s="251" t="b">
        <f t="shared" si="46"/>
        <v>0</v>
      </c>
      <c r="P21" s="251" t="str">
        <f>IF(O21,BENEFIT_PARAMETERS!$C$76,"N/A")</f>
        <v>N/A</v>
      </c>
      <c r="Q21" s="288" t="str">
        <f>IF(P21="Yes", BENEFIT_PARAMETERS!$D$76,"N/A")</f>
        <v>N/A</v>
      </c>
      <c r="R21" s="253" t="str">
        <f t="shared" si="9"/>
        <v>N/A</v>
      </c>
      <c r="S21" s="217">
        <f t="shared" si="47"/>
        <v>0</v>
      </c>
      <c r="T21" s="215">
        <f t="shared" si="10"/>
        <v>0</v>
      </c>
      <c r="U21" s="214" t="b">
        <f t="shared" si="48"/>
        <v>0</v>
      </c>
      <c r="V21" s="251" t="str">
        <f>IF(O21,BENEFIT_PARAMETERS!$C$77,"N/A")</f>
        <v>N/A</v>
      </c>
      <c r="W21" s="288" t="str">
        <f>IF(V21="Yes", BENEFIT_PARAMETERS!$D$77,"N/A")</f>
        <v>N/A</v>
      </c>
      <c r="X21" s="253" t="str">
        <f>IF(O21,COUNTIF(Z$3:Z20,"&gt;0"),"N/A")</f>
        <v>N/A</v>
      </c>
      <c r="Y21" s="217" t="str">
        <f t="shared" si="11"/>
        <v>N/A</v>
      </c>
      <c r="Z21" s="293" t="str">
        <f t="shared" si="49"/>
        <v>N/A</v>
      </c>
      <c r="AA21" s="293">
        <f t="shared" si="50"/>
        <v>0</v>
      </c>
      <c r="AB21" s="293" t="str">
        <f t="shared" si="12"/>
        <v>N/A</v>
      </c>
      <c r="AC21" s="215">
        <f t="shared" si="51"/>
        <v>0</v>
      </c>
      <c r="AD21" s="214" t="b">
        <f t="shared" si="13"/>
        <v>0</v>
      </c>
      <c r="AE21" s="209" t="str">
        <f t="shared" si="14"/>
        <v>.</v>
      </c>
      <c r="AF21" s="216">
        <f t="shared" si="15"/>
        <v>0</v>
      </c>
      <c r="AG21" s="217" t="str">
        <f t="shared" si="16"/>
        <v>N/A</v>
      </c>
      <c r="AH21" s="217" t="b">
        <f t="shared" si="17"/>
        <v>0</v>
      </c>
      <c r="AI21" s="209" t="str">
        <f t="shared" si="18"/>
        <v>.</v>
      </c>
      <c r="AJ21" s="216">
        <f t="shared" si="19"/>
        <v>0</v>
      </c>
      <c r="AK21" s="217" t="str">
        <f t="shared" si="20"/>
        <v>N/A</v>
      </c>
      <c r="AL21" s="217">
        <f t="shared" si="52"/>
        <v>0</v>
      </c>
      <c r="AM21" s="215">
        <f t="shared" si="53"/>
        <v>0</v>
      </c>
      <c r="AN21" s="219" t="b">
        <f t="shared" si="21"/>
        <v>0</v>
      </c>
      <c r="AO21" s="217" t="str">
        <f t="shared" si="22"/>
        <v>N/A</v>
      </c>
      <c r="AP21" s="217" t="str">
        <f>IF(AND(ISNUMBER(AO21),AN21=TRUE),MAX(0,AO21-SUMIFS($AM$3:$AM20,AN$3:AN20,TRUE)),IF(AND(AN21=TRUE,ISNUMBER(AO21)=FALSE),"ERR","N/A"))</f>
        <v>N/A</v>
      </c>
      <c r="AQ21" s="215" t="str">
        <f t="shared" si="23"/>
        <v>N/A</v>
      </c>
      <c r="AR21" s="219" t="b">
        <f t="shared" si="24"/>
        <v>0</v>
      </c>
      <c r="AS21" s="217" t="str">
        <f t="shared" si="25"/>
        <v>N/A</v>
      </c>
      <c r="AT21" s="217" t="str">
        <f>IF(AND(AR21=TRUE,ISNUMBER(AS21)),MAX(0,AS21-SUMIFS($AM$3:$AM20,AR$3:AR20,TRUE)),IF(AND(AR21=TRUE,ISNUMBER(AS21)=FALSE),"ERR","N/A"))</f>
        <v>N/A</v>
      </c>
      <c r="AU21" s="215" t="str">
        <f t="shared" si="26"/>
        <v>N/A</v>
      </c>
      <c r="AV21" s="219" t="b">
        <f t="shared" si="27"/>
        <v>0</v>
      </c>
      <c r="AW21" s="217" t="str">
        <f t="shared" si="28"/>
        <v>N/A</v>
      </c>
      <c r="AX21" s="217" t="str">
        <f>IF(AND(AV21=TRUE,ISNUMBER(AW21)),MAX(0,AW21-SUMIFS($AM$3:$AM20,AV$3:AV20,TRUE)),IF(AND(AV21=TRUE,ISNUMBER(AW21)=FALSE),"ERR","N/A"))</f>
        <v>N/A</v>
      </c>
      <c r="AY21" s="215" t="str">
        <f t="shared" si="29"/>
        <v>N/A</v>
      </c>
      <c r="AZ21" s="219" t="b">
        <f t="shared" si="30"/>
        <v>0</v>
      </c>
      <c r="BA21" s="217" t="str">
        <f t="shared" si="31"/>
        <v>N/A</v>
      </c>
      <c r="BB21" s="217" t="str">
        <f>IF(AND(AZ21=TRUE,ISNUMBER(BA21)),MAX(0,BA21-SUMIFS($AM$3:$AM20,AZ$3:AZ20,TRUE)),IF(AND(AZ21=TRUE,ISNUMBER(BA21)=FALSE),"ERR","N/A"))</f>
        <v>N/A</v>
      </c>
      <c r="BC21" s="215" t="str">
        <f t="shared" si="32"/>
        <v>N/A</v>
      </c>
      <c r="BD21" s="219" t="b">
        <f t="shared" si="33"/>
        <v>0</v>
      </c>
      <c r="BE21" s="217" t="str">
        <f t="shared" si="34"/>
        <v>N/A</v>
      </c>
      <c r="BF21" s="217" t="str">
        <f>IF(AND(BD21=TRUE,ISNUMBER(BE21)=TRUE),MAX(0,BE21-SUMIFS(AM$3:AM20,BD$3:BD20,TRUE,F$3:F20,F21)),IF(AND(BD21=TRUE,ISNUMBER(BE21)=FALSE),"ERR","N/A"))</f>
        <v>N/A</v>
      </c>
      <c r="BG21" s="215" t="str">
        <f t="shared" si="35"/>
        <v>N/A</v>
      </c>
      <c r="BH21" s="214">
        <f t="shared" si="36"/>
        <v>0</v>
      </c>
      <c r="BI21" s="215">
        <f t="shared" si="54"/>
        <v>0</v>
      </c>
      <c r="BJ21" s="214" t="str">
        <f t="shared" si="55"/>
        <v>N/A</v>
      </c>
      <c r="BK21" s="217">
        <f t="shared" si="37"/>
        <v>0</v>
      </c>
      <c r="BL21" s="220" t="b">
        <f t="shared" si="38"/>
        <v>0</v>
      </c>
      <c r="BM21" s="217" t="str">
        <f t="shared" si="39"/>
        <v>N/A</v>
      </c>
      <c r="BN21" s="217" t="str">
        <f t="shared" si="56"/>
        <v>N/A</v>
      </c>
      <c r="BO21" s="220" t="b">
        <f t="shared" si="40"/>
        <v>0</v>
      </c>
      <c r="BP21" s="244" t="str">
        <f t="shared" si="41"/>
        <v>N/A</v>
      </c>
      <c r="BQ21" s="217" t="str">
        <f t="shared" si="57"/>
        <v>N/A</v>
      </c>
      <c r="BR21" s="215">
        <f t="shared" si="58"/>
        <v>0</v>
      </c>
      <c r="BS21" s="214" t="str">
        <f t="shared" si="59"/>
        <v>N/A</v>
      </c>
      <c r="BT21" s="217">
        <f t="shared" si="60"/>
        <v>0</v>
      </c>
      <c r="BU21" s="215">
        <f t="shared" si="61"/>
        <v>0</v>
      </c>
      <c r="BV21" s="214">
        <f t="shared" si="62"/>
        <v>0</v>
      </c>
      <c r="BW21" s="217">
        <f t="shared" si="42"/>
        <v>24.94</v>
      </c>
      <c r="BX21" s="217">
        <f t="shared" si="43"/>
        <v>0</v>
      </c>
      <c r="BY21" s="217">
        <f t="shared" si="63"/>
        <v>0</v>
      </c>
      <c r="BZ21" s="217">
        <f t="shared" si="44"/>
        <v>0</v>
      </c>
      <c r="CA21" s="217">
        <f t="shared" si="64"/>
        <v>0</v>
      </c>
      <c r="CB21" s="213" t="b">
        <f t="shared" si="45"/>
        <v>1</v>
      </c>
    </row>
    <row r="22" spans="1:81" x14ac:dyDescent="0.25">
      <c r="A22" s="207">
        <v>19</v>
      </c>
      <c r="B22" s="208">
        <v>42545</v>
      </c>
      <c r="C22" s="209">
        <v>6</v>
      </c>
      <c r="D22" s="210">
        <v>27</v>
      </c>
      <c r="E22" s="211" t="str">
        <f t="shared" si="0"/>
        <v>Inhibin A</v>
      </c>
      <c r="F22" s="212" t="str">
        <f t="shared" si="1"/>
        <v>Diagnostic Services: Laboratory</v>
      </c>
      <c r="G22" s="213" t="str">
        <f t="shared" si="2"/>
        <v>Not Covered</v>
      </c>
      <c r="H22" s="214">
        <f t="shared" si="3"/>
        <v>21.67</v>
      </c>
      <c r="I22" s="217">
        <f t="shared" si="4"/>
        <v>21.67</v>
      </c>
      <c r="J22" s="251">
        <f t="shared" si="5"/>
        <v>0</v>
      </c>
      <c r="K22" s="214" t="b">
        <f t="shared" si="6"/>
        <v>0</v>
      </c>
      <c r="L22" s="218" t="str">
        <f t="shared" si="7"/>
        <v>No</v>
      </c>
      <c r="M22" s="217" t="str">
        <f t="shared" si="8"/>
        <v>.</v>
      </c>
      <c r="N22" s="215" t="str">
        <f>IFERROR(IF(AND(L22="Yes",ISNUMBER(M22)),MAX(0,M22-SUMIFS(BU$3:BU21,L$3:L21,"Yes")),IF(OR(L22="No",M22="None"),"N/A","ERR")),"ERR")</f>
        <v>N/A</v>
      </c>
      <c r="O22" s="251" t="b">
        <f t="shared" si="46"/>
        <v>0</v>
      </c>
      <c r="P22" s="251" t="str">
        <f>IF(O22,BENEFIT_PARAMETERS!$C$76,"N/A")</f>
        <v>N/A</v>
      </c>
      <c r="Q22" s="288" t="str">
        <f>IF(P22="Yes", BENEFIT_PARAMETERS!$D$76,"N/A")</f>
        <v>N/A</v>
      </c>
      <c r="R22" s="253" t="str">
        <f t="shared" si="9"/>
        <v>N/A</v>
      </c>
      <c r="S22" s="217">
        <f t="shared" si="47"/>
        <v>0</v>
      </c>
      <c r="T22" s="215">
        <f t="shared" si="10"/>
        <v>0</v>
      </c>
      <c r="U22" s="214" t="b">
        <f t="shared" si="48"/>
        <v>0</v>
      </c>
      <c r="V22" s="251" t="str">
        <f>IF(O22,BENEFIT_PARAMETERS!$C$77,"N/A")</f>
        <v>N/A</v>
      </c>
      <c r="W22" s="288" t="str">
        <f>IF(V22="Yes", BENEFIT_PARAMETERS!$D$77,"N/A")</f>
        <v>N/A</v>
      </c>
      <c r="X22" s="253" t="str">
        <f>IF(O22,COUNTIF(Z$3:Z21,"&gt;0"),"N/A")</f>
        <v>N/A</v>
      </c>
      <c r="Y22" s="217" t="str">
        <f t="shared" si="11"/>
        <v>N/A</v>
      </c>
      <c r="Z22" s="293" t="str">
        <f t="shared" si="49"/>
        <v>N/A</v>
      </c>
      <c r="AA22" s="293">
        <f t="shared" si="50"/>
        <v>0</v>
      </c>
      <c r="AB22" s="293" t="str">
        <f t="shared" si="12"/>
        <v>N/A</v>
      </c>
      <c r="AC22" s="215">
        <f t="shared" si="51"/>
        <v>0</v>
      </c>
      <c r="AD22" s="214" t="b">
        <f t="shared" si="13"/>
        <v>0</v>
      </c>
      <c r="AE22" s="209" t="str">
        <f t="shared" si="14"/>
        <v>.</v>
      </c>
      <c r="AF22" s="216">
        <f t="shared" si="15"/>
        <v>0</v>
      </c>
      <c r="AG22" s="217" t="str">
        <f t="shared" si="16"/>
        <v>N/A</v>
      </c>
      <c r="AH22" s="217" t="b">
        <f t="shared" si="17"/>
        <v>0</v>
      </c>
      <c r="AI22" s="209" t="str">
        <f t="shared" si="18"/>
        <v>.</v>
      </c>
      <c r="AJ22" s="216">
        <f t="shared" si="19"/>
        <v>0</v>
      </c>
      <c r="AK22" s="217" t="str">
        <f t="shared" si="20"/>
        <v>N/A</v>
      </c>
      <c r="AL22" s="217">
        <f t="shared" si="52"/>
        <v>0</v>
      </c>
      <c r="AM22" s="215">
        <f t="shared" si="53"/>
        <v>0</v>
      </c>
      <c r="AN22" s="219" t="b">
        <f t="shared" si="21"/>
        <v>0</v>
      </c>
      <c r="AO22" s="217" t="str">
        <f t="shared" si="22"/>
        <v>N/A</v>
      </c>
      <c r="AP22" s="217" t="str">
        <f>IF(AND(ISNUMBER(AO22),AN22=TRUE),MAX(0,AO22-SUMIFS($AM$3:$AM21,AN$3:AN21,TRUE)),IF(AND(AN22=TRUE,ISNUMBER(AO22)=FALSE),"ERR","N/A"))</f>
        <v>N/A</v>
      </c>
      <c r="AQ22" s="215" t="str">
        <f t="shared" si="23"/>
        <v>N/A</v>
      </c>
      <c r="AR22" s="219" t="b">
        <f t="shared" si="24"/>
        <v>0</v>
      </c>
      <c r="AS22" s="217" t="str">
        <f t="shared" si="25"/>
        <v>N/A</v>
      </c>
      <c r="AT22" s="217" t="str">
        <f>IF(AND(AR22=TRUE,ISNUMBER(AS22)),MAX(0,AS22-SUMIFS($AM$3:$AM21,AR$3:AR21,TRUE)),IF(AND(AR22=TRUE,ISNUMBER(AS22)=FALSE),"ERR","N/A"))</f>
        <v>N/A</v>
      </c>
      <c r="AU22" s="215" t="str">
        <f t="shared" si="26"/>
        <v>N/A</v>
      </c>
      <c r="AV22" s="219" t="b">
        <f t="shared" si="27"/>
        <v>0</v>
      </c>
      <c r="AW22" s="217" t="str">
        <f t="shared" si="28"/>
        <v>N/A</v>
      </c>
      <c r="AX22" s="217" t="str">
        <f>IF(AND(AV22=TRUE,ISNUMBER(AW22)),MAX(0,AW22-SUMIFS($AM$3:$AM21,AV$3:AV21,TRUE)),IF(AND(AV22=TRUE,ISNUMBER(AW22)=FALSE),"ERR","N/A"))</f>
        <v>N/A</v>
      </c>
      <c r="AY22" s="215" t="str">
        <f t="shared" si="29"/>
        <v>N/A</v>
      </c>
      <c r="AZ22" s="219" t="b">
        <f t="shared" si="30"/>
        <v>0</v>
      </c>
      <c r="BA22" s="217" t="str">
        <f t="shared" si="31"/>
        <v>N/A</v>
      </c>
      <c r="BB22" s="217" t="str">
        <f>IF(AND(AZ22=TRUE,ISNUMBER(BA22)),MAX(0,BA22-SUMIFS($AM$3:$AM21,AZ$3:AZ21,TRUE)),IF(AND(AZ22=TRUE,ISNUMBER(BA22)=FALSE),"ERR","N/A"))</f>
        <v>N/A</v>
      </c>
      <c r="BC22" s="215" t="str">
        <f t="shared" si="32"/>
        <v>N/A</v>
      </c>
      <c r="BD22" s="219" t="b">
        <f t="shared" si="33"/>
        <v>0</v>
      </c>
      <c r="BE22" s="217" t="str">
        <f t="shared" si="34"/>
        <v>N/A</v>
      </c>
      <c r="BF22" s="217" t="str">
        <f>IF(AND(BD22=TRUE,ISNUMBER(BE22)=TRUE),MAX(0,BE22-SUMIFS(AM$3:AM21,BD$3:BD21,TRUE,F$3:F21,F22)),IF(AND(BD22=TRUE,ISNUMBER(BE22)=FALSE),"ERR","N/A"))</f>
        <v>N/A</v>
      </c>
      <c r="BG22" s="215" t="str">
        <f t="shared" si="35"/>
        <v>N/A</v>
      </c>
      <c r="BH22" s="214">
        <f t="shared" si="36"/>
        <v>0</v>
      </c>
      <c r="BI22" s="215">
        <f t="shared" si="54"/>
        <v>0</v>
      </c>
      <c r="BJ22" s="214" t="str">
        <f t="shared" si="55"/>
        <v>N/A</v>
      </c>
      <c r="BK22" s="217">
        <f t="shared" si="37"/>
        <v>0</v>
      </c>
      <c r="BL22" s="220" t="b">
        <f t="shared" si="38"/>
        <v>0</v>
      </c>
      <c r="BM22" s="217" t="str">
        <f t="shared" si="39"/>
        <v>N/A</v>
      </c>
      <c r="BN22" s="217" t="str">
        <f t="shared" si="56"/>
        <v>N/A</v>
      </c>
      <c r="BO22" s="220" t="b">
        <f t="shared" si="40"/>
        <v>0</v>
      </c>
      <c r="BP22" s="244" t="str">
        <f t="shared" si="41"/>
        <v>N/A</v>
      </c>
      <c r="BQ22" s="217" t="str">
        <f t="shared" si="57"/>
        <v>N/A</v>
      </c>
      <c r="BR22" s="215">
        <f t="shared" si="58"/>
        <v>0</v>
      </c>
      <c r="BS22" s="214" t="str">
        <f t="shared" si="59"/>
        <v>N/A</v>
      </c>
      <c r="BT22" s="217">
        <f t="shared" si="60"/>
        <v>0</v>
      </c>
      <c r="BU22" s="215">
        <f t="shared" si="61"/>
        <v>0</v>
      </c>
      <c r="BV22" s="214">
        <f t="shared" si="62"/>
        <v>0</v>
      </c>
      <c r="BW22" s="217">
        <f t="shared" si="42"/>
        <v>21.67</v>
      </c>
      <c r="BX22" s="217">
        <f t="shared" si="43"/>
        <v>0</v>
      </c>
      <c r="BY22" s="217">
        <f t="shared" si="63"/>
        <v>0</v>
      </c>
      <c r="BZ22" s="217">
        <f t="shared" si="44"/>
        <v>0</v>
      </c>
      <c r="CA22" s="217">
        <f t="shared" si="64"/>
        <v>0</v>
      </c>
      <c r="CB22" s="213" t="b">
        <f t="shared" si="45"/>
        <v>1</v>
      </c>
    </row>
    <row r="23" spans="1:81" x14ac:dyDescent="0.25">
      <c r="A23" s="207">
        <v>20</v>
      </c>
      <c r="B23" s="208">
        <v>42545</v>
      </c>
      <c r="C23" s="209">
        <v>6</v>
      </c>
      <c r="D23" s="210">
        <v>37</v>
      </c>
      <c r="E23" s="211" t="str">
        <f t="shared" si="0"/>
        <v>CFTR gene analysis, common variants</v>
      </c>
      <c r="F23" s="212" t="str">
        <f t="shared" si="1"/>
        <v>Diagnostic Services: Laboratory</v>
      </c>
      <c r="G23" s="213" t="str">
        <f t="shared" si="2"/>
        <v>Not Covered</v>
      </c>
      <c r="H23" s="214">
        <f t="shared" si="3"/>
        <v>595.42999999999995</v>
      </c>
      <c r="I23" s="217">
        <f t="shared" si="4"/>
        <v>595.42999999999995</v>
      </c>
      <c r="J23" s="251">
        <f t="shared" si="5"/>
        <v>0</v>
      </c>
      <c r="K23" s="214" t="b">
        <f t="shared" si="6"/>
        <v>0</v>
      </c>
      <c r="L23" s="218" t="str">
        <f t="shared" si="7"/>
        <v>No</v>
      </c>
      <c r="M23" s="217" t="str">
        <f t="shared" si="8"/>
        <v>.</v>
      </c>
      <c r="N23" s="215" t="str">
        <f>IFERROR(IF(AND(L23="Yes",ISNUMBER(M23)),MAX(0,M23-SUMIFS(BU$3:BU22,L$3:L22,"Yes")),IF(OR(L23="No",M23="None"),"N/A","ERR")),"ERR")</f>
        <v>N/A</v>
      </c>
      <c r="O23" s="251" t="b">
        <f t="shared" si="46"/>
        <v>0</v>
      </c>
      <c r="P23" s="251" t="str">
        <f>IF(O23,BENEFIT_PARAMETERS!$C$76,"N/A")</f>
        <v>N/A</v>
      </c>
      <c r="Q23" s="288" t="str">
        <f>IF(P23="Yes", BENEFIT_PARAMETERS!$D$76,"N/A")</f>
        <v>N/A</v>
      </c>
      <c r="R23" s="253" t="str">
        <f t="shared" si="9"/>
        <v>N/A</v>
      </c>
      <c r="S23" s="217">
        <f t="shared" si="47"/>
        <v>0</v>
      </c>
      <c r="T23" s="215">
        <f t="shared" si="10"/>
        <v>0</v>
      </c>
      <c r="U23" s="214" t="b">
        <f t="shared" si="48"/>
        <v>0</v>
      </c>
      <c r="V23" s="251" t="str">
        <f>IF(O23,BENEFIT_PARAMETERS!$C$77,"N/A")</f>
        <v>N/A</v>
      </c>
      <c r="W23" s="288" t="str">
        <f>IF(V23="Yes", BENEFIT_PARAMETERS!$D$77,"N/A")</f>
        <v>N/A</v>
      </c>
      <c r="X23" s="253" t="str">
        <f>IF(O23,COUNTIF(Z$3:Z22,"&gt;0"),"N/A")</f>
        <v>N/A</v>
      </c>
      <c r="Y23" s="217" t="str">
        <f t="shared" si="11"/>
        <v>N/A</v>
      </c>
      <c r="Z23" s="293" t="str">
        <f t="shared" si="49"/>
        <v>N/A</v>
      </c>
      <c r="AA23" s="293">
        <f t="shared" si="50"/>
        <v>0</v>
      </c>
      <c r="AB23" s="293" t="str">
        <f t="shared" si="12"/>
        <v>N/A</v>
      </c>
      <c r="AC23" s="215">
        <f t="shared" si="51"/>
        <v>0</v>
      </c>
      <c r="AD23" s="214" t="b">
        <f t="shared" si="13"/>
        <v>0</v>
      </c>
      <c r="AE23" s="209" t="str">
        <f t="shared" si="14"/>
        <v>.</v>
      </c>
      <c r="AF23" s="216">
        <f t="shared" si="15"/>
        <v>0</v>
      </c>
      <c r="AG23" s="217" t="str">
        <f t="shared" si="16"/>
        <v>N/A</v>
      </c>
      <c r="AH23" s="217" t="b">
        <f t="shared" si="17"/>
        <v>0</v>
      </c>
      <c r="AI23" s="209" t="str">
        <f t="shared" si="18"/>
        <v>.</v>
      </c>
      <c r="AJ23" s="216">
        <f t="shared" si="19"/>
        <v>0</v>
      </c>
      <c r="AK23" s="217" t="str">
        <f t="shared" si="20"/>
        <v>N/A</v>
      </c>
      <c r="AL23" s="217">
        <f t="shared" si="52"/>
        <v>0</v>
      </c>
      <c r="AM23" s="215">
        <f t="shared" si="53"/>
        <v>0</v>
      </c>
      <c r="AN23" s="219" t="b">
        <f t="shared" si="21"/>
        <v>0</v>
      </c>
      <c r="AO23" s="217" t="str">
        <f t="shared" si="22"/>
        <v>N/A</v>
      </c>
      <c r="AP23" s="217" t="str">
        <f>IF(AND(ISNUMBER(AO23),AN23=TRUE),MAX(0,AO23-SUMIFS($AM$3:$AM22,AN$3:AN22,TRUE)),IF(AND(AN23=TRUE,ISNUMBER(AO23)=FALSE),"ERR","N/A"))</f>
        <v>N/A</v>
      </c>
      <c r="AQ23" s="215" t="str">
        <f t="shared" si="23"/>
        <v>N/A</v>
      </c>
      <c r="AR23" s="219" t="b">
        <f t="shared" si="24"/>
        <v>0</v>
      </c>
      <c r="AS23" s="217" t="str">
        <f t="shared" si="25"/>
        <v>N/A</v>
      </c>
      <c r="AT23" s="217" t="str">
        <f>IF(AND(AR23=TRUE,ISNUMBER(AS23)),MAX(0,AS23-SUMIFS($AM$3:$AM22,AR$3:AR22,TRUE)),IF(AND(AR23=TRUE,ISNUMBER(AS23)=FALSE),"ERR","N/A"))</f>
        <v>N/A</v>
      </c>
      <c r="AU23" s="215" t="str">
        <f t="shared" si="26"/>
        <v>N/A</v>
      </c>
      <c r="AV23" s="219" t="b">
        <f t="shared" si="27"/>
        <v>0</v>
      </c>
      <c r="AW23" s="217" t="str">
        <f t="shared" si="28"/>
        <v>N/A</v>
      </c>
      <c r="AX23" s="217" t="str">
        <f>IF(AND(AV23=TRUE,ISNUMBER(AW23)),MAX(0,AW23-SUMIFS($AM$3:$AM22,AV$3:AV22,TRUE)),IF(AND(AV23=TRUE,ISNUMBER(AW23)=FALSE),"ERR","N/A"))</f>
        <v>N/A</v>
      </c>
      <c r="AY23" s="215" t="str">
        <f t="shared" si="29"/>
        <v>N/A</v>
      </c>
      <c r="AZ23" s="219" t="b">
        <f t="shared" si="30"/>
        <v>0</v>
      </c>
      <c r="BA23" s="217" t="str">
        <f t="shared" si="31"/>
        <v>N/A</v>
      </c>
      <c r="BB23" s="217" t="str">
        <f>IF(AND(AZ23=TRUE,ISNUMBER(BA23)),MAX(0,BA23-SUMIFS($AM$3:$AM22,AZ$3:AZ22,TRUE)),IF(AND(AZ23=TRUE,ISNUMBER(BA23)=FALSE),"ERR","N/A"))</f>
        <v>N/A</v>
      </c>
      <c r="BC23" s="215" t="str">
        <f t="shared" si="32"/>
        <v>N/A</v>
      </c>
      <c r="BD23" s="219" t="b">
        <f t="shared" si="33"/>
        <v>0</v>
      </c>
      <c r="BE23" s="217" t="str">
        <f t="shared" si="34"/>
        <v>N/A</v>
      </c>
      <c r="BF23" s="217" t="str">
        <f>IF(AND(BD23=TRUE,ISNUMBER(BE23)=TRUE),MAX(0,BE23-SUMIFS(AM$3:AM22,BD$3:BD22,TRUE,F$3:F22,F23)),IF(AND(BD23=TRUE,ISNUMBER(BE23)=FALSE),"ERR","N/A"))</f>
        <v>N/A</v>
      </c>
      <c r="BG23" s="215" t="str">
        <f t="shared" si="35"/>
        <v>N/A</v>
      </c>
      <c r="BH23" s="214">
        <f t="shared" si="36"/>
        <v>0</v>
      </c>
      <c r="BI23" s="215">
        <f t="shared" si="54"/>
        <v>0</v>
      </c>
      <c r="BJ23" s="214" t="str">
        <f t="shared" si="55"/>
        <v>N/A</v>
      </c>
      <c r="BK23" s="217">
        <f t="shared" si="37"/>
        <v>0</v>
      </c>
      <c r="BL23" s="220" t="b">
        <f t="shared" si="38"/>
        <v>0</v>
      </c>
      <c r="BM23" s="217" t="str">
        <f t="shared" si="39"/>
        <v>N/A</v>
      </c>
      <c r="BN23" s="217" t="str">
        <f t="shared" si="56"/>
        <v>N/A</v>
      </c>
      <c r="BO23" s="220" t="b">
        <f t="shared" si="40"/>
        <v>0</v>
      </c>
      <c r="BP23" s="244" t="str">
        <f t="shared" si="41"/>
        <v>N/A</v>
      </c>
      <c r="BQ23" s="217" t="str">
        <f t="shared" si="57"/>
        <v>N/A</v>
      </c>
      <c r="BR23" s="215">
        <f t="shared" si="58"/>
        <v>0</v>
      </c>
      <c r="BS23" s="214" t="str">
        <f t="shared" si="59"/>
        <v>N/A</v>
      </c>
      <c r="BT23" s="217">
        <f t="shared" si="60"/>
        <v>0</v>
      </c>
      <c r="BU23" s="215">
        <f t="shared" si="61"/>
        <v>0</v>
      </c>
      <c r="BV23" s="214">
        <f t="shared" si="62"/>
        <v>0</v>
      </c>
      <c r="BW23" s="217">
        <f t="shared" si="42"/>
        <v>595.42999999999995</v>
      </c>
      <c r="BX23" s="217">
        <f t="shared" si="43"/>
        <v>0</v>
      </c>
      <c r="BY23" s="217">
        <f t="shared" si="63"/>
        <v>0</v>
      </c>
      <c r="BZ23" s="217">
        <f t="shared" si="44"/>
        <v>0</v>
      </c>
      <c r="CA23" s="217">
        <f t="shared" si="64"/>
        <v>0</v>
      </c>
      <c r="CB23" s="213" t="b">
        <f t="shared" si="45"/>
        <v>1</v>
      </c>
    </row>
    <row r="24" spans="1:81" x14ac:dyDescent="0.25">
      <c r="A24" s="207">
        <v>21</v>
      </c>
      <c r="B24" s="208">
        <v>42545</v>
      </c>
      <c r="C24" s="209">
        <v>6</v>
      </c>
      <c r="D24" s="210">
        <v>12</v>
      </c>
      <c r="E24" s="211" t="str">
        <f t="shared" si="0"/>
        <v>Routine Venipuncture</v>
      </c>
      <c r="F24" s="212" t="str">
        <f t="shared" si="1"/>
        <v>Diagnostic Services: Laboratory</v>
      </c>
      <c r="G24" s="213" t="str">
        <f t="shared" si="2"/>
        <v>Not Covered</v>
      </c>
      <c r="H24" s="214">
        <f t="shared" si="3"/>
        <v>5.3</v>
      </c>
      <c r="I24" s="217">
        <f t="shared" si="4"/>
        <v>5.3</v>
      </c>
      <c r="J24" s="251">
        <f t="shared" si="5"/>
        <v>0</v>
      </c>
      <c r="K24" s="214" t="b">
        <f t="shared" si="6"/>
        <v>0</v>
      </c>
      <c r="L24" s="218" t="str">
        <f t="shared" si="7"/>
        <v>No</v>
      </c>
      <c r="M24" s="217" t="str">
        <f t="shared" si="8"/>
        <v>.</v>
      </c>
      <c r="N24" s="215" t="str">
        <f>IFERROR(IF(AND(L24="Yes",ISNUMBER(M24)),MAX(0,M24-SUMIFS(BU$3:BU23,L$3:L23,"Yes")),IF(OR(L24="No",M24="None"),"N/A","ERR")),"ERR")</f>
        <v>N/A</v>
      </c>
      <c r="O24" s="251" t="b">
        <f t="shared" si="46"/>
        <v>0</v>
      </c>
      <c r="P24" s="251" t="str">
        <f>IF(O24,BENEFIT_PARAMETERS!$C$76,"N/A")</f>
        <v>N/A</v>
      </c>
      <c r="Q24" s="288" t="str">
        <f>IF(P24="Yes", BENEFIT_PARAMETERS!$D$76,"N/A")</f>
        <v>N/A</v>
      </c>
      <c r="R24" s="253" t="str">
        <f t="shared" si="9"/>
        <v>N/A</v>
      </c>
      <c r="S24" s="217">
        <f t="shared" si="47"/>
        <v>0</v>
      </c>
      <c r="T24" s="215">
        <f t="shared" si="10"/>
        <v>0</v>
      </c>
      <c r="U24" s="214" t="b">
        <f t="shared" si="48"/>
        <v>0</v>
      </c>
      <c r="V24" s="251" t="str">
        <f>IF(O24,BENEFIT_PARAMETERS!$C$77,"N/A")</f>
        <v>N/A</v>
      </c>
      <c r="W24" s="288" t="str">
        <f>IF(V24="Yes", BENEFIT_PARAMETERS!$D$77,"N/A")</f>
        <v>N/A</v>
      </c>
      <c r="X24" s="253" t="str">
        <f>IF(O24,COUNTIF(Z$3:Z23,"&gt;0"),"N/A")</f>
        <v>N/A</v>
      </c>
      <c r="Y24" s="217" t="str">
        <f t="shared" si="11"/>
        <v>N/A</v>
      </c>
      <c r="Z24" s="293" t="str">
        <f t="shared" si="49"/>
        <v>N/A</v>
      </c>
      <c r="AA24" s="293">
        <f t="shared" si="50"/>
        <v>0</v>
      </c>
      <c r="AB24" s="293" t="str">
        <f t="shared" si="12"/>
        <v>N/A</v>
      </c>
      <c r="AC24" s="215">
        <f t="shared" si="51"/>
        <v>0</v>
      </c>
      <c r="AD24" s="214" t="b">
        <f t="shared" si="13"/>
        <v>0</v>
      </c>
      <c r="AE24" s="209" t="str">
        <f t="shared" si="14"/>
        <v>.</v>
      </c>
      <c r="AF24" s="216">
        <f t="shared" si="15"/>
        <v>0</v>
      </c>
      <c r="AG24" s="217" t="str">
        <f t="shared" si="16"/>
        <v>N/A</v>
      </c>
      <c r="AH24" s="217" t="b">
        <f t="shared" si="17"/>
        <v>0</v>
      </c>
      <c r="AI24" s="209" t="str">
        <f t="shared" si="18"/>
        <v>.</v>
      </c>
      <c r="AJ24" s="216">
        <f t="shared" si="19"/>
        <v>1</v>
      </c>
      <c r="AK24" s="217" t="str">
        <f t="shared" si="20"/>
        <v>N/A</v>
      </c>
      <c r="AL24" s="217">
        <f t="shared" si="52"/>
        <v>0</v>
      </c>
      <c r="AM24" s="215">
        <f t="shared" si="53"/>
        <v>0</v>
      </c>
      <c r="AN24" s="219" t="b">
        <f t="shared" si="21"/>
        <v>0</v>
      </c>
      <c r="AO24" s="217" t="str">
        <f t="shared" si="22"/>
        <v>N/A</v>
      </c>
      <c r="AP24" s="217" t="str">
        <f>IF(AND(ISNUMBER(AO24),AN24=TRUE),MAX(0,AO24-SUMIFS($AM$3:$AM23,AN$3:AN23,TRUE)),IF(AND(AN24=TRUE,ISNUMBER(AO24)=FALSE),"ERR","N/A"))</f>
        <v>N/A</v>
      </c>
      <c r="AQ24" s="215" t="str">
        <f t="shared" si="23"/>
        <v>N/A</v>
      </c>
      <c r="AR24" s="219" t="b">
        <f t="shared" si="24"/>
        <v>0</v>
      </c>
      <c r="AS24" s="217" t="str">
        <f t="shared" si="25"/>
        <v>N/A</v>
      </c>
      <c r="AT24" s="217" t="str">
        <f>IF(AND(AR24=TRUE,ISNUMBER(AS24)),MAX(0,AS24-SUMIFS($AM$3:$AM23,AR$3:AR23,TRUE)),IF(AND(AR24=TRUE,ISNUMBER(AS24)=FALSE),"ERR","N/A"))</f>
        <v>N/A</v>
      </c>
      <c r="AU24" s="215" t="str">
        <f t="shared" si="26"/>
        <v>N/A</v>
      </c>
      <c r="AV24" s="219" t="b">
        <f t="shared" si="27"/>
        <v>0</v>
      </c>
      <c r="AW24" s="217" t="str">
        <f t="shared" si="28"/>
        <v>N/A</v>
      </c>
      <c r="AX24" s="217" t="str">
        <f>IF(AND(AV24=TRUE,ISNUMBER(AW24)),MAX(0,AW24-SUMIFS($AM$3:$AM23,AV$3:AV23,TRUE)),IF(AND(AV24=TRUE,ISNUMBER(AW24)=FALSE),"ERR","N/A"))</f>
        <v>N/A</v>
      </c>
      <c r="AY24" s="215" t="str">
        <f t="shared" si="29"/>
        <v>N/A</v>
      </c>
      <c r="AZ24" s="219" t="b">
        <f t="shared" si="30"/>
        <v>0</v>
      </c>
      <c r="BA24" s="217" t="str">
        <f t="shared" si="31"/>
        <v>N/A</v>
      </c>
      <c r="BB24" s="217" t="str">
        <f>IF(AND(AZ24=TRUE,ISNUMBER(BA24)),MAX(0,BA24-SUMIFS($AM$3:$AM23,AZ$3:AZ23,TRUE)),IF(AND(AZ24=TRUE,ISNUMBER(BA24)=FALSE),"ERR","N/A"))</f>
        <v>N/A</v>
      </c>
      <c r="BC24" s="215" t="str">
        <f t="shared" si="32"/>
        <v>N/A</v>
      </c>
      <c r="BD24" s="219" t="b">
        <f t="shared" si="33"/>
        <v>0</v>
      </c>
      <c r="BE24" s="217" t="str">
        <f t="shared" si="34"/>
        <v>N/A</v>
      </c>
      <c r="BF24" s="217" t="str">
        <f>IF(AND(BD24=TRUE,ISNUMBER(BE24)=TRUE),MAX(0,BE24-SUMIFS(AM$3:AM23,BD$3:BD23,TRUE,F$3:F23,F24)),IF(AND(BD24=TRUE,ISNUMBER(BE24)=FALSE),"ERR","N/A"))</f>
        <v>N/A</v>
      </c>
      <c r="BG24" s="215" t="str">
        <f t="shared" si="35"/>
        <v>N/A</v>
      </c>
      <c r="BH24" s="214">
        <f t="shared" si="36"/>
        <v>0</v>
      </c>
      <c r="BI24" s="215">
        <f t="shared" si="54"/>
        <v>0</v>
      </c>
      <c r="BJ24" s="214" t="str">
        <f t="shared" si="55"/>
        <v>N/A</v>
      </c>
      <c r="BK24" s="217">
        <f t="shared" si="37"/>
        <v>0</v>
      </c>
      <c r="BL24" s="220" t="b">
        <f t="shared" si="38"/>
        <v>0</v>
      </c>
      <c r="BM24" s="217" t="str">
        <f t="shared" si="39"/>
        <v>N/A</v>
      </c>
      <c r="BN24" s="217" t="str">
        <f t="shared" si="56"/>
        <v>N/A</v>
      </c>
      <c r="BO24" s="220" t="b">
        <f t="shared" si="40"/>
        <v>0</v>
      </c>
      <c r="BP24" s="244" t="str">
        <f t="shared" si="41"/>
        <v>N/A</v>
      </c>
      <c r="BQ24" s="217" t="str">
        <f t="shared" si="57"/>
        <v>N/A</v>
      </c>
      <c r="BR24" s="215">
        <f t="shared" si="58"/>
        <v>0</v>
      </c>
      <c r="BS24" s="214" t="str">
        <f t="shared" si="59"/>
        <v>N/A</v>
      </c>
      <c r="BT24" s="217">
        <f t="shared" si="60"/>
        <v>0</v>
      </c>
      <c r="BU24" s="215">
        <f t="shared" si="61"/>
        <v>0</v>
      </c>
      <c r="BV24" s="214">
        <f t="shared" si="62"/>
        <v>0</v>
      </c>
      <c r="BW24" s="217">
        <f t="shared" si="42"/>
        <v>5.3</v>
      </c>
      <c r="BX24" s="217">
        <f t="shared" si="43"/>
        <v>0</v>
      </c>
      <c r="BY24" s="217">
        <f t="shared" si="63"/>
        <v>0</v>
      </c>
      <c r="BZ24" s="217">
        <f t="shared" si="44"/>
        <v>0</v>
      </c>
      <c r="CA24" s="217">
        <f t="shared" si="64"/>
        <v>0</v>
      </c>
      <c r="CB24" s="213" t="b">
        <f t="shared" si="45"/>
        <v>1</v>
      </c>
    </row>
    <row r="25" spans="1:81" x14ac:dyDescent="0.25">
      <c r="A25" s="207">
        <v>22</v>
      </c>
      <c r="B25" s="208">
        <v>42545</v>
      </c>
      <c r="C25" s="209">
        <v>6</v>
      </c>
      <c r="D25" s="210">
        <v>32</v>
      </c>
      <c r="E25" s="211" t="str">
        <f t="shared" si="0"/>
        <v>Office/Outpatient Visit Est</v>
      </c>
      <c r="F25" s="212" t="str">
        <f t="shared" si="1"/>
        <v>Professional Services: Obstetric Care (Bundled)</v>
      </c>
      <c r="G25" s="213" t="str">
        <f t="shared" si="2"/>
        <v>Not Covered</v>
      </c>
      <c r="H25" s="214">
        <f t="shared" si="3"/>
        <v>0</v>
      </c>
      <c r="I25" s="217">
        <f t="shared" si="4"/>
        <v>0</v>
      </c>
      <c r="J25" s="251">
        <f t="shared" si="5"/>
        <v>0</v>
      </c>
      <c r="K25" s="214" t="b">
        <f t="shared" si="6"/>
        <v>0</v>
      </c>
      <c r="L25" s="218" t="str">
        <f t="shared" si="7"/>
        <v>No</v>
      </c>
      <c r="M25" s="217" t="str">
        <f t="shared" si="8"/>
        <v>.</v>
      </c>
      <c r="N25" s="215" t="str">
        <f>IFERROR(IF(AND(L25="Yes",ISNUMBER(M25)),MAX(0,M25-SUMIFS(BU$3:BU24,L$3:L24,"Yes")),IF(OR(L25="No",M25="None"),"N/A","ERR")),"ERR")</f>
        <v>N/A</v>
      </c>
      <c r="O25" s="251" t="b">
        <f t="shared" si="46"/>
        <v>0</v>
      </c>
      <c r="P25" s="251" t="str">
        <f>IF(O25,BENEFIT_PARAMETERS!$C$76,"N/A")</f>
        <v>N/A</v>
      </c>
      <c r="Q25" s="288" t="str">
        <f>IF(P25="Yes", BENEFIT_PARAMETERS!$D$76,"N/A")</f>
        <v>N/A</v>
      </c>
      <c r="R25" s="253" t="str">
        <f t="shared" si="9"/>
        <v>N/A</v>
      </c>
      <c r="S25" s="217">
        <f t="shared" si="47"/>
        <v>0</v>
      </c>
      <c r="T25" s="215">
        <f t="shared" si="10"/>
        <v>0</v>
      </c>
      <c r="U25" s="214" t="b">
        <f t="shared" si="48"/>
        <v>0</v>
      </c>
      <c r="V25" s="251" t="str">
        <f>IF(O25,BENEFIT_PARAMETERS!$C$77,"N/A")</f>
        <v>N/A</v>
      </c>
      <c r="W25" s="288" t="str">
        <f>IF(V25="Yes", BENEFIT_PARAMETERS!$D$77,"N/A")</f>
        <v>N/A</v>
      </c>
      <c r="X25" s="253" t="str">
        <f>IF(O25,COUNTIF(Z$3:Z24,"&gt;0"),"N/A")</f>
        <v>N/A</v>
      </c>
      <c r="Y25" s="217" t="str">
        <f t="shared" si="11"/>
        <v>N/A</v>
      </c>
      <c r="Z25" s="293" t="str">
        <f t="shared" si="49"/>
        <v>N/A</v>
      </c>
      <c r="AA25" s="293">
        <f t="shared" si="50"/>
        <v>0</v>
      </c>
      <c r="AB25" s="293" t="str">
        <f t="shared" si="12"/>
        <v>N/A</v>
      </c>
      <c r="AC25" s="215">
        <f t="shared" si="51"/>
        <v>0</v>
      </c>
      <c r="AD25" s="214" t="b">
        <f t="shared" si="13"/>
        <v>0</v>
      </c>
      <c r="AE25" s="209" t="str">
        <f t="shared" si="14"/>
        <v>.</v>
      </c>
      <c r="AF25" s="216">
        <f t="shared" si="15"/>
        <v>0</v>
      </c>
      <c r="AG25" s="217" t="str">
        <f t="shared" si="16"/>
        <v>N/A</v>
      </c>
      <c r="AH25" s="217" t="b">
        <f t="shared" si="17"/>
        <v>0</v>
      </c>
      <c r="AI25" s="209" t="str">
        <f t="shared" si="18"/>
        <v>.</v>
      </c>
      <c r="AJ25" s="216">
        <f t="shared" si="19"/>
        <v>2</v>
      </c>
      <c r="AK25" s="217" t="str">
        <f t="shared" si="20"/>
        <v>N/A</v>
      </c>
      <c r="AL25" s="217">
        <f t="shared" si="52"/>
        <v>0</v>
      </c>
      <c r="AM25" s="215">
        <f t="shared" si="53"/>
        <v>0</v>
      </c>
      <c r="AN25" s="219" t="b">
        <f t="shared" si="21"/>
        <v>0</v>
      </c>
      <c r="AO25" s="217" t="str">
        <f t="shared" si="22"/>
        <v>N/A</v>
      </c>
      <c r="AP25" s="217" t="str">
        <f>IF(AND(ISNUMBER(AO25),AN25=TRUE),MAX(0,AO25-SUMIFS($AM$3:$AM24,AN$3:AN24,TRUE)),IF(AND(AN25=TRUE,ISNUMBER(AO25)=FALSE),"ERR","N/A"))</f>
        <v>N/A</v>
      </c>
      <c r="AQ25" s="215" t="str">
        <f t="shared" si="23"/>
        <v>N/A</v>
      </c>
      <c r="AR25" s="219" t="b">
        <f t="shared" si="24"/>
        <v>0</v>
      </c>
      <c r="AS25" s="217" t="str">
        <f t="shared" si="25"/>
        <v>N/A</v>
      </c>
      <c r="AT25" s="217" t="str">
        <f>IF(AND(AR25=TRUE,ISNUMBER(AS25)),MAX(0,AS25-SUMIFS($AM$3:$AM24,AR$3:AR24,TRUE)),IF(AND(AR25=TRUE,ISNUMBER(AS25)=FALSE),"ERR","N/A"))</f>
        <v>N/A</v>
      </c>
      <c r="AU25" s="215" t="str">
        <f t="shared" si="26"/>
        <v>N/A</v>
      </c>
      <c r="AV25" s="219" t="b">
        <f t="shared" si="27"/>
        <v>0</v>
      </c>
      <c r="AW25" s="217" t="str">
        <f t="shared" si="28"/>
        <v>N/A</v>
      </c>
      <c r="AX25" s="217" t="str">
        <f>IF(AND(AV25=TRUE,ISNUMBER(AW25)),MAX(0,AW25-SUMIFS($AM$3:$AM24,AV$3:AV24,TRUE)),IF(AND(AV25=TRUE,ISNUMBER(AW25)=FALSE),"ERR","N/A"))</f>
        <v>N/A</v>
      </c>
      <c r="AY25" s="215" t="str">
        <f t="shared" si="29"/>
        <v>N/A</v>
      </c>
      <c r="AZ25" s="219" t="b">
        <f t="shared" si="30"/>
        <v>0</v>
      </c>
      <c r="BA25" s="217" t="str">
        <f t="shared" si="31"/>
        <v>N/A</v>
      </c>
      <c r="BB25" s="217" t="str">
        <f>IF(AND(AZ25=TRUE,ISNUMBER(BA25)),MAX(0,BA25-SUMIFS($AM$3:$AM24,AZ$3:AZ24,TRUE)),IF(AND(AZ25=TRUE,ISNUMBER(BA25)=FALSE),"ERR","N/A"))</f>
        <v>N/A</v>
      </c>
      <c r="BC25" s="215" t="str">
        <f t="shared" si="32"/>
        <v>N/A</v>
      </c>
      <c r="BD25" s="219" t="b">
        <f t="shared" si="33"/>
        <v>0</v>
      </c>
      <c r="BE25" s="217" t="str">
        <f t="shared" si="34"/>
        <v>N/A</v>
      </c>
      <c r="BF25" s="217" t="str">
        <f>IF(AND(BD25=TRUE,ISNUMBER(BE25)=TRUE),MAX(0,BE25-SUMIFS(AM$3:AM24,BD$3:BD24,TRUE,F$3:F24,F25)),IF(AND(BD25=TRUE,ISNUMBER(BE25)=FALSE),"ERR","N/A"))</f>
        <v>N/A</v>
      </c>
      <c r="BG25" s="215" t="str">
        <f t="shared" si="35"/>
        <v>N/A</v>
      </c>
      <c r="BH25" s="214">
        <f t="shared" si="36"/>
        <v>0</v>
      </c>
      <c r="BI25" s="215">
        <f t="shared" si="54"/>
        <v>0</v>
      </c>
      <c r="BJ25" s="214" t="str">
        <f t="shared" si="55"/>
        <v>N/A</v>
      </c>
      <c r="BK25" s="217">
        <f t="shared" si="37"/>
        <v>0</v>
      </c>
      <c r="BL25" s="220" t="b">
        <f t="shared" si="38"/>
        <v>0</v>
      </c>
      <c r="BM25" s="217" t="str">
        <f t="shared" si="39"/>
        <v>N/A</v>
      </c>
      <c r="BN25" s="217" t="str">
        <f t="shared" si="56"/>
        <v>N/A</v>
      </c>
      <c r="BO25" s="220" t="b">
        <f t="shared" si="40"/>
        <v>0</v>
      </c>
      <c r="BP25" s="244" t="str">
        <f t="shared" si="41"/>
        <v>N/A</v>
      </c>
      <c r="BQ25" s="217" t="str">
        <f t="shared" si="57"/>
        <v>N/A</v>
      </c>
      <c r="BR25" s="215">
        <f t="shared" si="58"/>
        <v>0</v>
      </c>
      <c r="BS25" s="214" t="str">
        <f t="shared" si="59"/>
        <v>N/A</v>
      </c>
      <c r="BT25" s="217">
        <f t="shared" si="60"/>
        <v>0</v>
      </c>
      <c r="BU25" s="215">
        <f t="shared" si="61"/>
        <v>0</v>
      </c>
      <c r="BV25" s="214">
        <f t="shared" si="62"/>
        <v>0</v>
      </c>
      <c r="BW25" s="217">
        <f t="shared" si="42"/>
        <v>0</v>
      </c>
      <c r="BX25" s="217">
        <f t="shared" si="43"/>
        <v>0</v>
      </c>
      <c r="BY25" s="217">
        <f t="shared" si="63"/>
        <v>0</v>
      </c>
      <c r="BZ25" s="217">
        <f t="shared" si="44"/>
        <v>0</v>
      </c>
      <c r="CA25" s="217">
        <f t="shared" si="64"/>
        <v>0</v>
      </c>
      <c r="CB25" s="213" t="b">
        <f t="shared" si="45"/>
        <v>1</v>
      </c>
    </row>
    <row r="26" spans="1:81" x14ac:dyDescent="0.25">
      <c r="A26" s="207">
        <v>23</v>
      </c>
      <c r="B26" s="208">
        <v>42557</v>
      </c>
      <c r="C26" s="209">
        <v>7</v>
      </c>
      <c r="D26" s="210">
        <v>8</v>
      </c>
      <c r="E26" s="211" t="str">
        <f t="shared" si="0"/>
        <v>Prenatal Vitamins (OTC - Bottle of 100) [1 pill daily; 30 pills/month]</v>
      </c>
      <c r="F26" s="212" t="str">
        <f t="shared" si="1"/>
        <v>Over-the-counter Drugs</v>
      </c>
      <c r="G26" s="213" t="str">
        <f t="shared" si="2"/>
        <v>Not Covered</v>
      </c>
      <c r="H26" s="214">
        <f t="shared" si="3"/>
        <v>11.48</v>
      </c>
      <c r="I26" s="217">
        <f t="shared" si="4"/>
        <v>11.48</v>
      </c>
      <c r="J26" s="251">
        <f t="shared" si="5"/>
        <v>0</v>
      </c>
      <c r="K26" s="214" t="b">
        <f t="shared" si="6"/>
        <v>0</v>
      </c>
      <c r="L26" s="218" t="str">
        <f t="shared" si="7"/>
        <v>No</v>
      </c>
      <c r="M26" s="217" t="str">
        <f t="shared" si="8"/>
        <v>.</v>
      </c>
      <c r="N26" s="215" t="str">
        <f>IFERROR(IF(AND(L26="Yes",ISNUMBER(M26)),MAX(0,M26-SUMIFS(BU$3:BU25,L$3:L25,"Yes")),IF(OR(L26="No",M26="None"),"N/A","ERR")),"ERR")</f>
        <v>N/A</v>
      </c>
      <c r="O26" s="251" t="b">
        <f t="shared" si="46"/>
        <v>0</v>
      </c>
      <c r="P26" s="251" t="str">
        <f>IF(O26,BENEFIT_PARAMETERS!$C$76,"N/A")</f>
        <v>N/A</v>
      </c>
      <c r="Q26" s="288" t="str">
        <f>IF(P26="Yes", BENEFIT_PARAMETERS!$D$76,"N/A")</f>
        <v>N/A</v>
      </c>
      <c r="R26" s="253" t="str">
        <f t="shared" si="9"/>
        <v>N/A</v>
      </c>
      <c r="S26" s="217">
        <f t="shared" si="47"/>
        <v>0</v>
      </c>
      <c r="T26" s="215">
        <f t="shared" si="10"/>
        <v>0</v>
      </c>
      <c r="U26" s="214" t="b">
        <f t="shared" si="48"/>
        <v>0</v>
      </c>
      <c r="V26" s="251" t="str">
        <f>IF(O26,BENEFIT_PARAMETERS!$C$77,"N/A")</f>
        <v>N/A</v>
      </c>
      <c r="W26" s="288" t="str">
        <f>IF(V26="Yes", BENEFIT_PARAMETERS!$D$77,"N/A")</f>
        <v>N/A</v>
      </c>
      <c r="X26" s="253" t="str">
        <f>IF(O26,COUNTIF(Z$3:Z25,"&gt;0"),"N/A")</f>
        <v>N/A</v>
      </c>
      <c r="Y26" s="217" t="str">
        <f t="shared" si="11"/>
        <v>N/A</v>
      </c>
      <c r="Z26" s="293" t="str">
        <f t="shared" si="49"/>
        <v>N/A</v>
      </c>
      <c r="AA26" s="293">
        <f t="shared" si="50"/>
        <v>0</v>
      </c>
      <c r="AB26" s="293" t="str">
        <f t="shared" si="12"/>
        <v>N/A</v>
      </c>
      <c r="AC26" s="215">
        <f t="shared" si="51"/>
        <v>0</v>
      </c>
      <c r="AD26" s="214" t="b">
        <f t="shared" si="13"/>
        <v>0</v>
      </c>
      <c r="AE26" s="209" t="str">
        <f t="shared" si="14"/>
        <v>.</v>
      </c>
      <c r="AF26" s="216">
        <f t="shared" si="15"/>
        <v>0</v>
      </c>
      <c r="AG26" s="217" t="str">
        <f t="shared" si="16"/>
        <v>N/A</v>
      </c>
      <c r="AH26" s="217" t="b">
        <f t="shared" si="17"/>
        <v>0</v>
      </c>
      <c r="AI26" s="209" t="str">
        <f t="shared" si="18"/>
        <v>.</v>
      </c>
      <c r="AJ26" s="216">
        <f t="shared" si="19"/>
        <v>2</v>
      </c>
      <c r="AK26" s="217" t="str">
        <f t="shared" si="20"/>
        <v>N/A</v>
      </c>
      <c r="AL26" s="217">
        <f t="shared" si="52"/>
        <v>0</v>
      </c>
      <c r="AM26" s="215">
        <f t="shared" si="53"/>
        <v>0</v>
      </c>
      <c r="AN26" s="219" t="b">
        <f t="shared" si="21"/>
        <v>0</v>
      </c>
      <c r="AO26" s="217" t="str">
        <f t="shared" si="22"/>
        <v>N/A</v>
      </c>
      <c r="AP26" s="217" t="str">
        <f>IF(AND(ISNUMBER(AO26),AN26=TRUE),MAX(0,AO26-SUMIFS($AM$3:$AM25,AN$3:AN25,TRUE)),IF(AND(AN26=TRUE,ISNUMBER(AO26)=FALSE),"ERR","N/A"))</f>
        <v>N/A</v>
      </c>
      <c r="AQ26" s="215" t="str">
        <f t="shared" si="23"/>
        <v>N/A</v>
      </c>
      <c r="AR26" s="219" t="b">
        <f t="shared" si="24"/>
        <v>0</v>
      </c>
      <c r="AS26" s="217" t="str">
        <f t="shared" si="25"/>
        <v>N/A</v>
      </c>
      <c r="AT26" s="217" t="str">
        <f>IF(AND(AR26=TRUE,ISNUMBER(AS26)),MAX(0,AS26-SUMIFS($AM$3:$AM25,AR$3:AR25,TRUE)),IF(AND(AR26=TRUE,ISNUMBER(AS26)=FALSE),"ERR","N/A"))</f>
        <v>N/A</v>
      </c>
      <c r="AU26" s="215" t="str">
        <f t="shared" si="26"/>
        <v>N/A</v>
      </c>
      <c r="AV26" s="219" t="b">
        <f t="shared" si="27"/>
        <v>0</v>
      </c>
      <c r="AW26" s="217" t="str">
        <f t="shared" si="28"/>
        <v>N/A</v>
      </c>
      <c r="AX26" s="217" t="str">
        <f>IF(AND(AV26=TRUE,ISNUMBER(AW26)),MAX(0,AW26-SUMIFS($AM$3:$AM25,AV$3:AV25,TRUE)),IF(AND(AV26=TRUE,ISNUMBER(AW26)=FALSE),"ERR","N/A"))</f>
        <v>N/A</v>
      </c>
      <c r="AY26" s="215" t="str">
        <f t="shared" si="29"/>
        <v>N/A</v>
      </c>
      <c r="AZ26" s="219" t="b">
        <f t="shared" si="30"/>
        <v>0</v>
      </c>
      <c r="BA26" s="217" t="str">
        <f t="shared" si="31"/>
        <v>N/A</v>
      </c>
      <c r="BB26" s="217" t="str">
        <f>IF(AND(AZ26=TRUE,ISNUMBER(BA26)),MAX(0,BA26-SUMIFS($AM$3:$AM25,AZ$3:AZ25,TRUE)),IF(AND(AZ26=TRUE,ISNUMBER(BA26)=FALSE),"ERR","N/A"))</f>
        <v>N/A</v>
      </c>
      <c r="BC26" s="215" t="str">
        <f t="shared" si="32"/>
        <v>N/A</v>
      </c>
      <c r="BD26" s="219" t="b">
        <f t="shared" si="33"/>
        <v>0</v>
      </c>
      <c r="BE26" s="217" t="str">
        <f t="shared" si="34"/>
        <v>N/A</v>
      </c>
      <c r="BF26" s="217" t="str">
        <f>IF(AND(BD26=TRUE,ISNUMBER(BE26)=TRUE),MAX(0,BE26-SUMIFS(AM$3:AM25,BD$3:BD25,TRUE,F$3:F25,F26)),IF(AND(BD26=TRUE,ISNUMBER(BE26)=FALSE),"ERR","N/A"))</f>
        <v>N/A</v>
      </c>
      <c r="BG26" s="215" t="str">
        <f t="shared" si="35"/>
        <v>N/A</v>
      </c>
      <c r="BH26" s="214">
        <f t="shared" si="36"/>
        <v>0</v>
      </c>
      <c r="BI26" s="215">
        <f t="shared" si="54"/>
        <v>0</v>
      </c>
      <c r="BJ26" s="214" t="str">
        <f t="shared" si="55"/>
        <v>N/A</v>
      </c>
      <c r="BK26" s="217">
        <f t="shared" si="37"/>
        <v>0</v>
      </c>
      <c r="BL26" s="220" t="b">
        <f t="shared" si="38"/>
        <v>0</v>
      </c>
      <c r="BM26" s="217" t="str">
        <f t="shared" si="39"/>
        <v>N/A</v>
      </c>
      <c r="BN26" s="217" t="str">
        <f t="shared" si="56"/>
        <v>N/A</v>
      </c>
      <c r="BO26" s="220" t="b">
        <f t="shared" si="40"/>
        <v>0</v>
      </c>
      <c r="BP26" s="244" t="str">
        <f t="shared" si="41"/>
        <v>N/A</v>
      </c>
      <c r="BQ26" s="217" t="str">
        <f t="shared" si="57"/>
        <v>N/A</v>
      </c>
      <c r="BR26" s="215">
        <f t="shared" si="58"/>
        <v>0</v>
      </c>
      <c r="BS26" s="214" t="str">
        <f t="shared" si="59"/>
        <v>N/A</v>
      </c>
      <c r="BT26" s="217">
        <f t="shared" si="60"/>
        <v>0</v>
      </c>
      <c r="BU26" s="215">
        <f t="shared" si="61"/>
        <v>0</v>
      </c>
      <c r="BV26" s="214">
        <f t="shared" si="62"/>
        <v>0</v>
      </c>
      <c r="BW26" s="217">
        <f t="shared" si="42"/>
        <v>11.48</v>
      </c>
      <c r="BX26" s="217">
        <f t="shared" si="43"/>
        <v>0</v>
      </c>
      <c r="BY26" s="217">
        <f t="shared" si="63"/>
        <v>0</v>
      </c>
      <c r="BZ26" s="217">
        <f t="shared" si="44"/>
        <v>0</v>
      </c>
      <c r="CA26" s="217">
        <f t="shared" si="64"/>
        <v>0</v>
      </c>
      <c r="CB26" s="213" t="b">
        <f t="shared" si="45"/>
        <v>1</v>
      </c>
      <c r="CC26" s="189"/>
    </row>
    <row r="27" spans="1:81" x14ac:dyDescent="0.25">
      <c r="A27" s="207">
        <v>24</v>
      </c>
      <c r="B27" s="208">
        <v>42573</v>
      </c>
      <c r="C27" s="209">
        <v>7</v>
      </c>
      <c r="D27" s="210">
        <v>32</v>
      </c>
      <c r="E27" s="211" t="str">
        <f t="shared" si="0"/>
        <v>Office/Outpatient Visit Est</v>
      </c>
      <c r="F27" s="212" t="str">
        <f t="shared" si="1"/>
        <v>Professional Services: Obstetric Care (Bundled)</v>
      </c>
      <c r="G27" s="213" t="str">
        <f t="shared" si="2"/>
        <v>Not Covered</v>
      </c>
      <c r="H27" s="214">
        <f t="shared" si="3"/>
        <v>0</v>
      </c>
      <c r="I27" s="217">
        <f t="shared" si="4"/>
        <v>0</v>
      </c>
      <c r="J27" s="251">
        <f t="shared" si="5"/>
        <v>0</v>
      </c>
      <c r="K27" s="214" t="b">
        <f t="shared" si="6"/>
        <v>0</v>
      </c>
      <c r="L27" s="218" t="str">
        <f t="shared" si="7"/>
        <v>No</v>
      </c>
      <c r="M27" s="217" t="str">
        <f t="shared" si="8"/>
        <v>.</v>
      </c>
      <c r="N27" s="215" t="str">
        <f>IFERROR(IF(AND(L27="Yes",ISNUMBER(M27)),MAX(0,M27-SUMIFS(BU$3:BU26,L$3:L26,"Yes")),IF(OR(L27="No",M27="None"),"N/A","ERR")),"ERR")</f>
        <v>N/A</v>
      </c>
      <c r="O27" s="251" t="b">
        <f t="shared" si="46"/>
        <v>0</v>
      </c>
      <c r="P27" s="251" t="str">
        <f>IF(O27,BENEFIT_PARAMETERS!$C$76,"N/A")</f>
        <v>N/A</v>
      </c>
      <c r="Q27" s="288" t="str">
        <f>IF(P27="Yes", BENEFIT_PARAMETERS!$D$76,"N/A")</f>
        <v>N/A</v>
      </c>
      <c r="R27" s="253" t="str">
        <f t="shared" si="9"/>
        <v>N/A</v>
      </c>
      <c r="S27" s="217">
        <f t="shared" si="47"/>
        <v>0</v>
      </c>
      <c r="T27" s="215">
        <f t="shared" si="10"/>
        <v>0</v>
      </c>
      <c r="U27" s="214" t="b">
        <f t="shared" si="48"/>
        <v>0</v>
      </c>
      <c r="V27" s="251" t="str">
        <f>IF(O27,BENEFIT_PARAMETERS!$C$77,"N/A")</f>
        <v>N/A</v>
      </c>
      <c r="W27" s="288" t="str">
        <f>IF(V27="Yes", BENEFIT_PARAMETERS!$D$77,"N/A")</f>
        <v>N/A</v>
      </c>
      <c r="X27" s="253" t="str">
        <f>IF(O27,COUNTIF(Z$3:Z26,"&gt;0"),"N/A")</f>
        <v>N/A</v>
      </c>
      <c r="Y27" s="217" t="str">
        <f t="shared" si="11"/>
        <v>N/A</v>
      </c>
      <c r="Z27" s="293" t="str">
        <f t="shared" si="49"/>
        <v>N/A</v>
      </c>
      <c r="AA27" s="293">
        <f t="shared" si="50"/>
        <v>0</v>
      </c>
      <c r="AB27" s="293" t="str">
        <f t="shared" si="12"/>
        <v>N/A</v>
      </c>
      <c r="AC27" s="215">
        <f t="shared" si="51"/>
        <v>0</v>
      </c>
      <c r="AD27" s="214" t="b">
        <f t="shared" si="13"/>
        <v>0</v>
      </c>
      <c r="AE27" s="209" t="str">
        <f t="shared" si="14"/>
        <v>.</v>
      </c>
      <c r="AF27" s="216">
        <f t="shared" si="15"/>
        <v>0</v>
      </c>
      <c r="AG27" s="217" t="str">
        <f t="shared" si="16"/>
        <v>N/A</v>
      </c>
      <c r="AH27" s="217" t="b">
        <f t="shared" si="17"/>
        <v>0</v>
      </c>
      <c r="AI27" s="209" t="str">
        <f t="shared" si="18"/>
        <v>.</v>
      </c>
      <c r="AJ27" s="216">
        <f t="shared" si="19"/>
        <v>3</v>
      </c>
      <c r="AK27" s="217" t="str">
        <f t="shared" si="20"/>
        <v>N/A</v>
      </c>
      <c r="AL27" s="217">
        <f t="shared" si="52"/>
        <v>0</v>
      </c>
      <c r="AM27" s="215">
        <f t="shared" si="53"/>
        <v>0</v>
      </c>
      <c r="AN27" s="219" t="b">
        <f t="shared" si="21"/>
        <v>0</v>
      </c>
      <c r="AO27" s="217" t="str">
        <f t="shared" si="22"/>
        <v>N/A</v>
      </c>
      <c r="AP27" s="217" t="str">
        <f>IF(AND(ISNUMBER(AO27),AN27=TRUE),MAX(0,AO27-SUMIFS($AM$3:$AM26,AN$3:AN26,TRUE)),IF(AND(AN27=TRUE,ISNUMBER(AO27)=FALSE),"ERR","N/A"))</f>
        <v>N/A</v>
      </c>
      <c r="AQ27" s="215" t="str">
        <f t="shared" si="23"/>
        <v>N/A</v>
      </c>
      <c r="AR27" s="219" t="b">
        <f t="shared" si="24"/>
        <v>0</v>
      </c>
      <c r="AS27" s="217" t="str">
        <f t="shared" si="25"/>
        <v>N/A</v>
      </c>
      <c r="AT27" s="217" t="str">
        <f>IF(AND(AR27=TRUE,ISNUMBER(AS27)),MAX(0,AS27-SUMIFS($AM$3:$AM26,AR$3:AR26,TRUE)),IF(AND(AR27=TRUE,ISNUMBER(AS27)=FALSE),"ERR","N/A"))</f>
        <v>N/A</v>
      </c>
      <c r="AU27" s="215" t="str">
        <f t="shared" si="26"/>
        <v>N/A</v>
      </c>
      <c r="AV27" s="219" t="b">
        <f t="shared" si="27"/>
        <v>0</v>
      </c>
      <c r="AW27" s="217" t="str">
        <f t="shared" si="28"/>
        <v>N/A</v>
      </c>
      <c r="AX27" s="217" t="str">
        <f>IF(AND(AV27=TRUE,ISNUMBER(AW27)),MAX(0,AW27-SUMIFS($AM$3:$AM26,AV$3:AV26,TRUE)),IF(AND(AV27=TRUE,ISNUMBER(AW27)=FALSE),"ERR","N/A"))</f>
        <v>N/A</v>
      </c>
      <c r="AY27" s="215" t="str">
        <f t="shared" si="29"/>
        <v>N/A</v>
      </c>
      <c r="AZ27" s="219" t="b">
        <f t="shared" si="30"/>
        <v>0</v>
      </c>
      <c r="BA27" s="217" t="str">
        <f t="shared" si="31"/>
        <v>N/A</v>
      </c>
      <c r="BB27" s="217" t="str">
        <f>IF(AND(AZ27=TRUE,ISNUMBER(BA27)),MAX(0,BA27-SUMIFS($AM$3:$AM26,AZ$3:AZ26,TRUE)),IF(AND(AZ27=TRUE,ISNUMBER(BA27)=FALSE),"ERR","N/A"))</f>
        <v>N/A</v>
      </c>
      <c r="BC27" s="215" t="str">
        <f t="shared" si="32"/>
        <v>N/A</v>
      </c>
      <c r="BD27" s="219" t="b">
        <f t="shared" si="33"/>
        <v>0</v>
      </c>
      <c r="BE27" s="217" t="str">
        <f t="shared" si="34"/>
        <v>N/A</v>
      </c>
      <c r="BF27" s="217" t="str">
        <f>IF(AND(BD27=TRUE,ISNUMBER(BE27)=TRUE),MAX(0,BE27-SUMIFS(AM$3:AM26,BD$3:BD26,TRUE,F$3:F26,F27)),IF(AND(BD27=TRUE,ISNUMBER(BE27)=FALSE),"ERR","N/A"))</f>
        <v>N/A</v>
      </c>
      <c r="BG27" s="215" t="str">
        <f t="shared" si="35"/>
        <v>N/A</v>
      </c>
      <c r="BH27" s="214">
        <f t="shared" si="36"/>
        <v>0</v>
      </c>
      <c r="BI27" s="215">
        <f t="shared" si="54"/>
        <v>0</v>
      </c>
      <c r="BJ27" s="214" t="str">
        <f t="shared" si="55"/>
        <v>N/A</v>
      </c>
      <c r="BK27" s="217">
        <f t="shared" si="37"/>
        <v>0</v>
      </c>
      <c r="BL27" s="220" t="b">
        <f t="shared" si="38"/>
        <v>0</v>
      </c>
      <c r="BM27" s="217" t="str">
        <f t="shared" si="39"/>
        <v>N/A</v>
      </c>
      <c r="BN27" s="217" t="str">
        <f t="shared" si="56"/>
        <v>N/A</v>
      </c>
      <c r="BO27" s="220" t="b">
        <f t="shared" si="40"/>
        <v>0</v>
      </c>
      <c r="BP27" s="244" t="str">
        <f t="shared" si="41"/>
        <v>N/A</v>
      </c>
      <c r="BQ27" s="217" t="str">
        <f t="shared" si="57"/>
        <v>N/A</v>
      </c>
      <c r="BR27" s="215">
        <f t="shared" si="58"/>
        <v>0</v>
      </c>
      <c r="BS27" s="214" t="str">
        <f t="shared" si="59"/>
        <v>N/A</v>
      </c>
      <c r="BT27" s="217">
        <f t="shared" si="60"/>
        <v>0</v>
      </c>
      <c r="BU27" s="215">
        <f t="shared" si="61"/>
        <v>0</v>
      </c>
      <c r="BV27" s="214">
        <f t="shared" si="62"/>
        <v>0</v>
      </c>
      <c r="BW27" s="217">
        <f t="shared" si="42"/>
        <v>0</v>
      </c>
      <c r="BX27" s="217">
        <f t="shared" si="43"/>
        <v>0</v>
      </c>
      <c r="BY27" s="217">
        <f t="shared" si="63"/>
        <v>0</v>
      </c>
      <c r="BZ27" s="217">
        <f t="shared" si="44"/>
        <v>0</v>
      </c>
      <c r="CA27" s="217">
        <f t="shared" si="64"/>
        <v>0</v>
      </c>
      <c r="CB27" s="213" t="b">
        <f t="shared" si="45"/>
        <v>1</v>
      </c>
    </row>
    <row r="28" spans="1:81" x14ac:dyDescent="0.25">
      <c r="A28" s="207">
        <v>25</v>
      </c>
      <c r="B28" s="208">
        <v>42573</v>
      </c>
      <c r="C28" s="209">
        <v>7</v>
      </c>
      <c r="D28" s="210">
        <v>13</v>
      </c>
      <c r="E28" s="211" t="str">
        <f t="shared" si="0"/>
        <v>OB US &gt;/= 14 WKS SNGL FETUS</v>
      </c>
      <c r="F28" s="212" t="str">
        <f t="shared" si="1"/>
        <v>Diagnostic Services: Radiology</v>
      </c>
      <c r="G28" s="213" t="str">
        <f t="shared" si="2"/>
        <v>Not Covered</v>
      </c>
      <c r="H28" s="214">
        <f t="shared" si="3"/>
        <v>209.73</v>
      </c>
      <c r="I28" s="217">
        <f t="shared" si="4"/>
        <v>209.73</v>
      </c>
      <c r="J28" s="251">
        <f t="shared" si="5"/>
        <v>0</v>
      </c>
      <c r="K28" s="214" t="b">
        <f t="shared" si="6"/>
        <v>0</v>
      </c>
      <c r="L28" s="218" t="str">
        <f t="shared" si="7"/>
        <v>No</v>
      </c>
      <c r="M28" s="217" t="str">
        <f t="shared" si="8"/>
        <v>.</v>
      </c>
      <c r="N28" s="215" t="str">
        <f>IFERROR(IF(AND(L28="Yes",ISNUMBER(M28)),MAX(0,M28-SUMIFS(BU$3:BU27,L$3:L27,"Yes")),IF(OR(L28="No",M28="None"),"N/A","ERR")),"ERR")</f>
        <v>N/A</v>
      </c>
      <c r="O28" s="251" t="b">
        <f t="shared" si="46"/>
        <v>0</v>
      </c>
      <c r="P28" s="251" t="str">
        <f>IF(O28,BENEFIT_PARAMETERS!$C$76,"N/A")</f>
        <v>N/A</v>
      </c>
      <c r="Q28" s="288" t="str">
        <f>IF(P28="Yes", BENEFIT_PARAMETERS!$D$76,"N/A")</f>
        <v>N/A</v>
      </c>
      <c r="R28" s="253" t="str">
        <f t="shared" si="9"/>
        <v>N/A</v>
      </c>
      <c r="S28" s="217">
        <f t="shared" si="47"/>
        <v>0</v>
      </c>
      <c r="T28" s="215">
        <f t="shared" si="10"/>
        <v>0</v>
      </c>
      <c r="U28" s="214" t="b">
        <f t="shared" si="48"/>
        <v>0</v>
      </c>
      <c r="V28" s="251" t="str">
        <f>IF(O28,BENEFIT_PARAMETERS!$C$77,"N/A")</f>
        <v>N/A</v>
      </c>
      <c r="W28" s="288" t="str">
        <f>IF(V28="Yes", BENEFIT_PARAMETERS!$D$77,"N/A")</f>
        <v>N/A</v>
      </c>
      <c r="X28" s="253" t="str">
        <f>IF(O28,COUNTIF(Z$3:Z27,"&gt;0"),"N/A")</f>
        <v>N/A</v>
      </c>
      <c r="Y28" s="217" t="str">
        <f t="shared" si="11"/>
        <v>N/A</v>
      </c>
      <c r="Z28" s="293" t="str">
        <f t="shared" si="49"/>
        <v>N/A</v>
      </c>
      <c r="AA28" s="293">
        <f t="shared" si="50"/>
        <v>0</v>
      </c>
      <c r="AB28" s="293" t="str">
        <f t="shared" si="12"/>
        <v>N/A</v>
      </c>
      <c r="AC28" s="215">
        <f t="shared" si="51"/>
        <v>0</v>
      </c>
      <c r="AD28" s="214" t="b">
        <f t="shared" si="13"/>
        <v>0</v>
      </c>
      <c r="AE28" s="209" t="str">
        <f t="shared" si="14"/>
        <v>.</v>
      </c>
      <c r="AF28" s="216">
        <f t="shared" si="15"/>
        <v>0</v>
      </c>
      <c r="AG28" s="217" t="str">
        <f t="shared" si="16"/>
        <v>N/A</v>
      </c>
      <c r="AH28" s="217" t="b">
        <f t="shared" si="17"/>
        <v>0</v>
      </c>
      <c r="AI28" s="209" t="str">
        <f t="shared" si="18"/>
        <v>.</v>
      </c>
      <c r="AJ28" s="216">
        <f t="shared" si="19"/>
        <v>0</v>
      </c>
      <c r="AK28" s="217" t="str">
        <f t="shared" si="20"/>
        <v>N/A</v>
      </c>
      <c r="AL28" s="217">
        <f t="shared" si="52"/>
        <v>0</v>
      </c>
      <c r="AM28" s="215">
        <f t="shared" si="53"/>
        <v>0</v>
      </c>
      <c r="AN28" s="219" t="b">
        <f t="shared" si="21"/>
        <v>0</v>
      </c>
      <c r="AO28" s="217" t="str">
        <f t="shared" si="22"/>
        <v>N/A</v>
      </c>
      <c r="AP28" s="217" t="str">
        <f>IF(AND(ISNUMBER(AO28),AN28=TRUE),MAX(0,AO28-SUMIFS($AM$3:$AM27,AN$3:AN27,TRUE)),IF(AND(AN28=TRUE,ISNUMBER(AO28)=FALSE),"ERR","N/A"))</f>
        <v>N/A</v>
      </c>
      <c r="AQ28" s="215" t="str">
        <f t="shared" si="23"/>
        <v>N/A</v>
      </c>
      <c r="AR28" s="219" t="b">
        <f t="shared" si="24"/>
        <v>0</v>
      </c>
      <c r="AS28" s="217" t="str">
        <f t="shared" si="25"/>
        <v>N/A</v>
      </c>
      <c r="AT28" s="217" t="str">
        <f>IF(AND(AR28=TRUE,ISNUMBER(AS28)),MAX(0,AS28-SUMIFS($AM$3:$AM27,AR$3:AR27,TRUE)),IF(AND(AR28=TRUE,ISNUMBER(AS28)=FALSE),"ERR","N/A"))</f>
        <v>N/A</v>
      </c>
      <c r="AU28" s="215" t="str">
        <f t="shared" si="26"/>
        <v>N/A</v>
      </c>
      <c r="AV28" s="219" t="b">
        <f t="shared" si="27"/>
        <v>0</v>
      </c>
      <c r="AW28" s="217" t="str">
        <f t="shared" si="28"/>
        <v>N/A</v>
      </c>
      <c r="AX28" s="217" t="str">
        <f>IF(AND(AV28=TRUE,ISNUMBER(AW28)),MAX(0,AW28-SUMIFS($AM$3:$AM27,AV$3:AV27,TRUE)),IF(AND(AV28=TRUE,ISNUMBER(AW28)=FALSE),"ERR","N/A"))</f>
        <v>N/A</v>
      </c>
      <c r="AY28" s="215" t="str">
        <f t="shared" si="29"/>
        <v>N/A</v>
      </c>
      <c r="AZ28" s="219" t="b">
        <f t="shared" si="30"/>
        <v>0</v>
      </c>
      <c r="BA28" s="217" t="str">
        <f t="shared" si="31"/>
        <v>N/A</v>
      </c>
      <c r="BB28" s="217" t="str">
        <f>IF(AND(AZ28=TRUE,ISNUMBER(BA28)),MAX(0,BA28-SUMIFS($AM$3:$AM27,AZ$3:AZ27,TRUE)),IF(AND(AZ28=TRUE,ISNUMBER(BA28)=FALSE),"ERR","N/A"))</f>
        <v>N/A</v>
      </c>
      <c r="BC28" s="215" t="str">
        <f t="shared" si="32"/>
        <v>N/A</v>
      </c>
      <c r="BD28" s="219" t="b">
        <f t="shared" si="33"/>
        <v>0</v>
      </c>
      <c r="BE28" s="217" t="str">
        <f t="shared" si="34"/>
        <v>N/A</v>
      </c>
      <c r="BF28" s="217" t="str">
        <f>IF(AND(BD28=TRUE,ISNUMBER(BE28)=TRUE),MAX(0,BE28-SUMIFS(AM$3:AM27,BD$3:BD27,TRUE,F$3:F27,F28)),IF(AND(BD28=TRUE,ISNUMBER(BE28)=FALSE),"ERR","N/A"))</f>
        <v>N/A</v>
      </c>
      <c r="BG28" s="215" t="str">
        <f t="shared" si="35"/>
        <v>N/A</v>
      </c>
      <c r="BH28" s="214">
        <f t="shared" si="36"/>
        <v>0</v>
      </c>
      <c r="BI28" s="215">
        <f t="shared" si="54"/>
        <v>0</v>
      </c>
      <c r="BJ28" s="214" t="str">
        <f t="shared" si="55"/>
        <v>N/A</v>
      </c>
      <c r="BK28" s="217">
        <f t="shared" si="37"/>
        <v>0</v>
      </c>
      <c r="BL28" s="220" t="b">
        <f t="shared" si="38"/>
        <v>0</v>
      </c>
      <c r="BM28" s="217" t="str">
        <f t="shared" si="39"/>
        <v>N/A</v>
      </c>
      <c r="BN28" s="217" t="str">
        <f t="shared" si="56"/>
        <v>N/A</v>
      </c>
      <c r="BO28" s="220" t="b">
        <f t="shared" si="40"/>
        <v>0</v>
      </c>
      <c r="BP28" s="244" t="str">
        <f t="shared" si="41"/>
        <v>N/A</v>
      </c>
      <c r="BQ28" s="217" t="str">
        <f t="shared" si="57"/>
        <v>N/A</v>
      </c>
      <c r="BR28" s="215">
        <f t="shared" si="58"/>
        <v>0</v>
      </c>
      <c r="BS28" s="214" t="str">
        <f t="shared" si="59"/>
        <v>N/A</v>
      </c>
      <c r="BT28" s="217">
        <f t="shared" si="60"/>
        <v>0</v>
      </c>
      <c r="BU28" s="215">
        <f t="shared" si="61"/>
        <v>0</v>
      </c>
      <c r="BV28" s="214">
        <f t="shared" si="62"/>
        <v>0</v>
      </c>
      <c r="BW28" s="217">
        <f t="shared" si="42"/>
        <v>209.73</v>
      </c>
      <c r="BX28" s="217">
        <f t="shared" si="43"/>
        <v>0</v>
      </c>
      <c r="BY28" s="217">
        <f t="shared" si="63"/>
        <v>0</v>
      </c>
      <c r="BZ28" s="217">
        <f t="shared" si="44"/>
        <v>0</v>
      </c>
      <c r="CA28" s="217">
        <f t="shared" si="64"/>
        <v>0</v>
      </c>
      <c r="CB28" s="213" t="b">
        <f t="shared" si="45"/>
        <v>1</v>
      </c>
    </row>
    <row r="29" spans="1:81" x14ac:dyDescent="0.25">
      <c r="A29" s="207">
        <v>26</v>
      </c>
      <c r="B29" s="208">
        <v>42601</v>
      </c>
      <c r="C29" s="209">
        <v>8</v>
      </c>
      <c r="D29" s="210">
        <v>32</v>
      </c>
      <c r="E29" s="211" t="str">
        <f t="shared" si="0"/>
        <v>Office/Outpatient Visit Est</v>
      </c>
      <c r="F29" s="212" t="str">
        <f t="shared" si="1"/>
        <v>Professional Services: Obstetric Care (Bundled)</v>
      </c>
      <c r="G29" s="213" t="str">
        <f t="shared" si="2"/>
        <v>Not Covered</v>
      </c>
      <c r="H29" s="214">
        <f t="shared" si="3"/>
        <v>0</v>
      </c>
      <c r="I29" s="217">
        <f t="shared" si="4"/>
        <v>0</v>
      </c>
      <c r="J29" s="251">
        <f t="shared" si="5"/>
        <v>0</v>
      </c>
      <c r="K29" s="214" t="b">
        <f t="shared" si="6"/>
        <v>0</v>
      </c>
      <c r="L29" s="218" t="str">
        <f t="shared" si="7"/>
        <v>No</v>
      </c>
      <c r="M29" s="217" t="str">
        <f t="shared" si="8"/>
        <v>.</v>
      </c>
      <c r="N29" s="215" t="str">
        <f>IFERROR(IF(AND(L29="Yes",ISNUMBER(M29)),MAX(0,M29-SUMIFS(BU$3:BU28,L$3:L28,"Yes")),IF(OR(L29="No",M29="None"),"N/A","ERR")),"ERR")</f>
        <v>N/A</v>
      </c>
      <c r="O29" s="251" t="b">
        <f t="shared" si="46"/>
        <v>0</v>
      </c>
      <c r="P29" s="251" t="str">
        <f>IF(O29,BENEFIT_PARAMETERS!$C$76,"N/A")</f>
        <v>N/A</v>
      </c>
      <c r="Q29" s="288" t="str">
        <f>IF(P29="Yes", BENEFIT_PARAMETERS!$D$76,"N/A")</f>
        <v>N/A</v>
      </c>
      <c r="R29" s="253" t="str">
        <f t="shared" si="9"/>
        <v>N/A</v>
      </c>
      <c r="S29" s="217">
        <f t="shared" si="47"/>
        <v>0</v>
      </c>
      <c r="T29" s="215">
        <f t="shared" si="10"/>
        <v>0</v>
      </c>
      <c r="U29" s="214" t="b">
        <f t="shared" si="48"/>
        <v>0</v>
      </c>
      <c r="V29" s="251" t="str">
        <f>IF(O29,BENEFIT_PARAMETERS!$C$77,"N/A")</f>
        <v>N/A</v>
      </c>
      <c r="W29" s="288" t="str">
        <f>IF(V29="Yes", BENEFIT_PARAMETERS!$D$77,"N/A")</f>
        <v>N/A</v>
      </c>
      <c r="X29" s="253" t="str">
        <f>IF(O29,COUNTIF(Z$3:Z28,"&gt;0"),"N/A")</f>
        <v>N/A</v>
      </c>
      <c r="Y29" s="217" t="str">
        <f t="shared" si="11"/>
        <v>N/A</v>
      </c>
      <c r="Z29" s="293" t="str">
        <f t="shared" si="49"/>
        <v>N/A</v>
      </c>
      <c r="AA29" s="293">
        <f t="shared" si="50"/>
        <v>0</v>
      </c>
      <c r="AB29" s="293" t="str">
        <f t="shared" si="12"/>
        <v>N/A</v>
      </c>
      <c r="AC29" s="215">
        <f t="shared" si="51"/>
        <v>0</v>
      </c>
      <c r="AD29" s="214" t="b">
        <f t="shared" si="13"/>
        <v>0</v>
      </c>
      <c r="AE29" s="209" t="str">
        <f t="shared" si="14"/>
        <v>.</v>
      </c>
      <c r="AF29" s="216">
        <f t="shared" si="15"/>
        <v>0</v>
      </c>
      <c r="AG29" s="217" t="str">
        <f t="shared" si="16"/>
        <v>N/A</v>
      </c>
      <c r="AH29" s="217" t="b">
        <f t="shared" si="17"/>
        <v>0</v>
      </c>
      <c r="AI29" s="209" t="str">
        <f t="shared" si="18"/>
        <v>.</v>
      </c>
      <c r="AJ29" s="216">
        <f t="shared" si="19"/>
        <v>4</v>
      </c>
      <c r="AK29" s="217" t="str">
        <f t="shared" si="20"/>
        <v>N/A</v>
      </c>
      <c r="AL29" s="217">
        <f t="shared" si="52"/>
        <v>0</v>
      </c>
      <c r="AM29" s="215">
        <f t="shared" si="53"/>
        <v>0</v>
      </c>
      <c r="AN29" s="219" t="b">
        <f t="shared" si="21"/>
        <v>0</v>
      </c>
      <c r="AO29" s="217" t="str">
        <f t="shared" si="22"/>
        <v>N/A</v>
      </c>
      <c r="AP29" s="217" t="str">
        <f>IF(AND(ISNUMBER(AO29),AN29=TRUE),MAX(0,AO29-SUMIFS($AM$3:$AM28,AN$3:AN28,TRUE)),IF(AND(AN29=TRUE,ISNUMBER(AO29)=FALSE),"ERR","N/A"))</f>
        <v>N/A</v>
      </c>
      <c r="AQ29" s="215" t="str">
        <f t="shared" si="23"/>
        <v>N/A</v>
      </c>
      <c r="AR29" s="219" t="b">
        <f t="shared" si="24"/>
        <v>0</v>
      </c>
      <c r="AS29" s="217" t="str">
        <f t="shared" si="25"/>
        <v>N/A</v>
      </c>
      <c r="AT29" s="217" t="str">
        <f>IF(AND(AR29=TRUE,ISNUMBER(AS29)),MAX(0,AS29-SUMIFS($AM$3:$AM28,AR$3:AR28,TRUE)),IF(AND(AR29=TRUE,ISNUMBER(AS29)=FALSE),"ERR","N/A"))</f>
        <v>N/A</v>
      </c>
      <c r="AU29" s="215" t="str">
        <f t="shared" si="26"/>
        <v>N/A</v>
      </c>
      <c r="AV29" s="219" t="b">
        <f t="shared" si="27"/>
        <v>0</v>
      </c>
      <c r="AW29" s="217" t="str">
        <f t="shared" si="28"/>
        <v>N/A</v>
      </c>
      <c r="AX29" s="217" t="str">
        <f>IF(AND(AV29=TRUE,ISNUMBER(AW29)),MAX(0,AW29-SUMIFS($AM$3:$AM28,AV$3:AV28,TRUE)),IF(AND(AV29=TRUE,ISNUMBER(AW29)=FALSE),"ERR","N/A"))</f>
        <v>N/A</v>
      </c>
      <c r="AY29" s="215" t="str">
        <f t="shared" si="29"/>
        <v>N/A</v>
      </c>
      <c r="AZ29" s="219" t="b">
        <f t="shared" si="30"/>
        <v>0</v>
      </c>
      <c r="BA29" s="217" t="str">
        <f t="shared" si="31"/>
        <v>N/A</v>
      </c>
      <c r="BB29" s="217" t="str">
        <f>IF(AND(AZ29=TRUE,ISNUMBER(BA29)),MAX(0,BA29-SUMIFS($AM$3:$AM28,AZ$3:AZ28,TRUE)),IF(AND(AZ29=TRUE,ISNUMBER(BA29)=FALSE),"ERR","N/A"))</f>
        <v>N/A</v>
      </c>
      <c r="BC29" s="215" t="str">
        <f t="shared" si="32"/>
        <v>N/A</v>
      </c>
      <c r="BD29" s="219" t="b">
        <f t="shared" si="33"/>
        <v>0</v>
      </c>
      <c r="BE29" s="217" t="str">
        <f t="shared" si="34"/>
        <v>N/A</v>
      </c>
      <c r="BF29" s="217" t="str">
        <f>IF(AND(BD29=TRUE,ISNUMBER(BE29)=TRUE),MAX(0,BE29-SUMIFS(AM$3:AM28,BD$3:BD28,TRUE,F$3:F28,F29)),IF(AND(BD29=TRUE,ISNUMBER(BE29)=FALSE),"ERR","N/A"))</f>
        <v>N/A</v>
      </c>
      <c r="BG29" s="215" t="str">
        <f t="shared" si="35"/>
        <v>N/A</v>
      </c>
      <c r="BH29" s="214">
        <f t="shared" si="36"/>
        <v>0</v>
      </c>
      <c r="BI29" s="215">
        <f t="shared" si="54"/>
        <v>0</v>
      </c>
      <c r="BJ29" s="214" t="str">
        <f t="shared" si="55"/>
        <v>N/A</v>
      </c>
      <c r="BK29" s="217">
        <f t="shared" si="37"/>
        <v>0</v>
      </c>
      <c r="BL29" s="220" t="b">
        <f t="shared" si="38"/>
        <v>0</v>
      </c>
      <c r="BM29" s="217" t="str">
        <f t="shared" si="39"/>
        <v>N/A</v>
      </c>
      <c r="BN29" s="217" t="str">
        <f t="shared" si="56"/>
        <v>N/A</v>
      </c>
      <c r="BO29" s="220" t="b">
        <f t="shared" si="40"/>
        <v>0</v>
      </c>
      <c r="BP29" s="244" t="str">
        <f t="shared" si="41"/>
        <v>N/A</v>
      </c>
      <c r="BQ29" s="217" t="str">
        <f t="shared" si="57"/>
        <v>N/A</v>
      </c>
      <c r="BR29" s="215">
        <f t="shared" si="58"/>
        <v>0</v>
      </c>
      <c r="BS29" s="214" t="str">
        <f t="shared" si="59"/>
        <v>N/A</v>
      </c>
      <c r="BT29" s="217">
        <f t="shared" si="60"/>
        <v>0</v>
      </c>
      <c r="BU29" s="215">
        <f t="shared" si="61"/>
        <v>0</v>
      </c>
      <c r="BV29" s="214">
        <f t="shared" si="62"/>
        <v>0</v>
      </c>
      <c r="BW29" s="217">
        <f t="shared" si="42"/>
        <v>0</v>
      </c>
      <c r="BX29" s="217">
        <f t="shared" si="43"/>
        <v>0</v>
      </c>
      <c r="BY29" s="217">
        <f t="shared" si="63"/>
        <v>0</v>
      </c>
      <c r="BZ29" s="217">
        <f t="shared" si="44"/>
        <v>0</v>
      </c>
      <c r="CA29" s="217">
        <f t="shared" si="64"/>
        <v>0</v>
      </c>
      <c r="CB29" s="213" t="b">
        <f t="shared" si="45"/>
        <v>1</v>
      </c>
    </row>
    <row r="30" spans="1:81" x14ac:dyDescent="0.25">
      <c r="A30" s="207">
        <v>27</v>
      </c>
      <c r="B30" s="208">
        <v>42629</v>
      </c>
      <c r="C30" s="209">
        <v>9</v>
      </c>
      <c r="D30" s="210">
        <v>17</v>
      </c>
      <c r="E30" s="211" t="str">
        <f t="shared" si="0"/>
        <v>Assay Glucose Blood Quant</v>
      </c>
      <c r="F30" s="212" t="str">
        <f t="shared" si="1"/>
        <v>Diagnostic Services: Laboratory</v>
      </c>
      <c r="G30" s="213" t="str">
        <f t="shared" si="2"/>
        <v>Not Covered</v>
      </c>
      <c r="H30" s="214">
        <f t="shared" si="3"/>
        <v>8.2100000000000009</v>
      </c>
      <c r="I30" s="217">
        <f t="shared" si="4"/>
        <v>8.2100000000000009</v>
      </c>
      <c r="J30" s="251">
        <f t="shared" si="5"/>
        <v>0</v>
      </c>
      <c r="K30" s="214" t="b">
        <f t="shared" si="6"/>
        <v>0</v>
      </c>
      <c r="L30" s="218" t="str">
        <f t="shared" si="7"/>
        <v>No</v>
      </c>
      <c r="M30" s="217" t="str">
        <f t="shared" si="8"/>
        <v>.</v>
      </c>
      <c r="N30" s="215" t="str">
        <f>IFERROR(IF(AND(L30="Yes",ISNUMBER(M30)),MAX(0,M30-SUMIFS(BU$3:BU29,L$3:L29,"Yes")),IF(OR(L30="No",M30="None"),"N/A","ERR")),"ERR")</f>
        <v>N/A</v>
      </c>
      <c r="O30" s="251" t="b">
        <f t="shared" si="46"/>
        <v>0</v>
      </c>
      <c r="P30" s="251" t="str">
        <f>IF(O30,BENEFIT_PARAMETERS!$C$76,"N/A")</f>
        <v>N/A</v>
      </c>
      <c r="Q30" s="288" t="str">
        <f>IF(P30="Yes", BENEFIT_PARAMETERS!$D$76,"N/A")</f>
        <v>N/A</v>
      </c>
      <c r="R30" s="253" t="str">
        <f t="shared" si="9"/>
        <v>N/A</v>
      </c>
      <c r="S30" s="217">
        <f t="shared" si="47"/>
        <v>0</v>
      </c>
      <c r="T30" s="215">
        <f t="shared" si="10"/>
        <v>0</v>
      </c>
      <c r="U30" s="214" t="b">
        <f t="shared" si="48"/>
        <v>0</v>
      </c>
      <c r="V30" s="251" t="str">
        <f>IF(O30,BENEFIT_PARAMETERS!$C$77,"N/A")</f>
        <v>N/A</v>
      </c>
      <c r="W30" s="288" t="str">
        <f>IF(V30="Yes", BENEFIT_PARAMETERS!$D$77,"N/A")</f>
        <v>N/A</v>
      </c>
      <c r="X30" s="253" t="str">
        <f>IF(O30,COUNTIF(Z$3:Z29,"&gt;0"),"N/A")</f>
        <v>N/A</v>
      </c>
      <c r="Y30" s="217" t="str">
        <f t="shared" si="11"/>
        <v>N/A</v>
      </c>
      <c r="Z30" s="293" t="str">
        <f t="shared" si="49"/>
        <v>N/A</v>
      </c>
      <c r="AA30" s="293">
        <f t="shared" si="50"/>
        <v>0</v>
      </c>
      <c r="AB30" s="293" t="str">
        <f t="shared" si="12"/>
        <v>N/A</v>
      </c>
      <c r="AC30" s="215">
        <f t="shared" si="51"/>
        <v>0</v>
      </c>
      <c r="AD30" s="214" t="b">
        <f t="shared" si="13"/>
        <v>0</v>
      </c>
      <c r="AE30" s="209" t="str">
        <f t="shared" si="14"/>
        <v>.</v>
      </c>
      <c r="AF30" s="216">
        <f t="shared" si="15"/>
        <v>0</v>
      </c>
      <c r="AG30" s="217" t="str">
        <f t="shared" si="16"/>
        <v>N/A</v>
      </c>
      <c r="AH30" s="217" t="b">
        <f t="shared" si="17"/>
        <v>0</v>
      </c>
      <c r="AI30" s="209" t="str">
        <f t="shared" si="18"/>
        <v>.</v>
      </c>
      <c r="AJ30" s="216">
        <f t="shared" si="19"/>
        <v>0</v>
      </c>
      <c r="AK30" s="217" t="str">
        <f t="shared" si="20"/>
        <v>N/A</v>
      </c>
      <c r="AL30" s="217">
        <f t="shared" si="52"/>
        <v>0</v>
      </c>
      <c r="AM30" s="215">
        <f t="shared" si="53"/>
        <v>0</v>
      </c>
      <c r="AN30" s="219" t="b">
        <f t="shared" si="21"/>
        <v>0</v>
      </c>
      <c r="AO30" s="217" t="str">
        <f t="shared" si="22"/>
        <v>N/A</v>
      </c>
      <c r="AP30" s="217" t="str">
        <f>IF(AND(ISNUMBER(AO30),AN30=TRUE),MAX(0,AO30-SUMIFS($AM$3:$AM29,AN$3:AN29,TRUE)),IF(AND(AN30=TRUE,ISNUMBER(AO30)=FALSE),"ERR","N/A"))</f>
        <v>N/A</v>
      </c>
      <c r="AQ30" s="215" t="str">
        <f t="shared" si="23"/>
        <v>N/A</v>
      </c>
      <c r="AR30" s="219" t="b">
        <f t="shared" si="24"/>
        <v>0</v>
      </c>
      <c r="AS30" s="217" t="str">
        <f t="shared" si="25"/>
        <v>N/A</v>
      </c>
      <c r="AT30" s="217" t="str">
        <f>IF(AND(AR30=TRUE,ISNUMBER(AS30)),MAX(0,AS30-SUMIFS($AM$3:$AM29,AR$3:AR29,TRUE)),IF(AND(AR30=TRUE,ISNUMBER(AS30)=FALSE),"ERR","N/A"))</f>
        <v>N/A</v>
      </c>
      <c r="AU30" s="215" t="str">
        <f t="shared" si="26"/>
        <v>N/A</v>
      </c>
      <c r="AV30" s="219" t="b">
        <f t="shared" si="27"/>
        <v>0</v>
      </c>
      <c r="AW30" s="217" t="str">
        <f t="shared" si="28"/>
        <v>N/A</v>
      </c>
      <c r="AX30" s="217" t="str">
        <f>IF(AND(AV30=TRUE,ISNUMBER(AW30)),MAX(0,AW30-SUMIFS($AM$3:$AM29,AV$3:AV29,TRUE)),IF(AND(AV30=TRUE,ISNUMBER(AW30)=FALSE),"ERR","N/A"))</f>
        <v>N/A</v>
      </c>
      <c r="AY30" s="215" t="str">
        <f t="shared" si="29"/>
        <v>N/A</v>
      </c>
      <c r="AZ30" s="219" t="b">
        <f t="shared" si="30"/>
        <v>0</v>
      </c>
      <c r="BA30" s="217" t="str">
        <f t="shared" si="31"/>
        <v>N/A</v>
      </c>
      <c r="BB30" s="217" t="str">
        <f>IF(AND(AZ30=TRUE,ISNUMBER(BA30)),MAX(0,BA30-SUMIFS($AM$3:$AM29,AZ$3:AZ29,TRUE)),IF(AND(AZ30=TRUE,ISNUMBER(BA30)=FALSE),"ERR","N/A"))</f>
        <v>N/A</v>
      </c>
      <c r="BC30" s="215" t="str">
        <f t="shared" si="32"/>
        <v>N/A</v>
      </c>
      <c r="BD30" s="219" t="b">
        <f t="shared" si="33"/>
        <v>0</v>
      </c>
      <c r="BE30" s="217" t="str">
        <f t="shared" si="34"/>
        <v>N/A</v>
      </c>
      <c r="BF30" s="217" t="str">
        <f>IF(AND(BD30=TRUE,ISNUMBER(BE30)=TRUE),MAX(0,BE30-SUMIFS(AM$3:AM29,BD$3:BD29,TRUE,F$3:F29,F30)),IF(AND(BD30=TRUE,ISNUMBER(BE30)=FALSE),"ERR","N/A"))</f>
        <v>N/A</v>
      </c>
      <c r="BG30" s="215" t="str">
        <f t="shared" si="35"/>
        <v>N/A</v>
      </c>
      <c r="BH30" s="214">
        <f t="shared" si="36"/>
        <v>0</v>
      </c>
      <c r="BI30" s="215">
        <f t="shared" si="54"/>
        <v>0</v>
      </c>
      <c r="BJ30" s="214" t="str">
        <f t="shared" si="55"/>
        <v>N/A</v>
      </c>
      <c r="BK30" s="217">
        <f t="shared" si="37"/>
        <v>0</v>
      </c>
      <c r="BL30" s="220" t="b">
        <f t="shared" si="38"/>
        <v>0</v>
      </c>
      <c r="BM30" s="217" t="str">
        <f t="shared" si="39"/>
        <v>N/A</v>
      </c>
      <c r="BN30" s="217" t="str">
        <f t="shared" si="56"/>
        <v>N/A</v>
      </c>
      <c r="BO30" s="220" t="b">
        <f t="shared" si="40"/>
        <v>0</v>
      </c>
      <c r="BP30" s="244" t="str">
        <f t="shared" si="41"/>
        <v>N/A</v>
      </c>
      <c r="BQ30" s="217" t="str">
        <f t="shared" si="57"/>
        <v>N/A</v>
      </c>
      <c r="BR30" s="215">
        <f t="shared" si="58"/>
        <v>0</v>
      </c>
      <c r="BS30" s="214" t="str">
        <f t="shared" si="59"/>
        <v>N/A</v>
      </c>
      <c r="BT30" s="217">
        <f t="shared" si="60"/>
        <v>0</v>
      </c>
      <c r="BU30" s="215">
        <f t="shared" si="61"/>
        <v>0</v>
      </c>
      <c r="BV30" s="214">
        <f t="shared" si="62"/>
        <v>0</v>
      </c>
      <c r="BW30" s="217">
        <f t="shared" si="42"/>
        <v>8.2100000000000009</v>
      </c>
      <c r="BX30" s="217">
        <f t="shared" si="43"/>
        <v>0</v>
      </c>
      <c r="BY30" s="217">
        <f t="shared" si="63"/>
        <v>0</v>
      </c>
      <c r="BZ30" s="217">
        <f t="shared" si="44"/>
        <v>0</v>
      </c>
      <c r="CA30" s="217">
        <f t="shared" si="64"/>
        <v>0</v>
      </c>
      <c r="CB30" s="213" t="b">
        <f t="shared" si="45"/>
        <v>1</v>
      </c>
    </row>
    <row r="31" spans="1:81" x14ac:dyDescent="0.25">
      <c r="A31" s="207">
        <v>28</v>
      </c>
      <c r="B31" s="208">
        <v>42629</v>
      </c>
      <c r="C31" s="209">
        <v>9</v>
      </c>
      <c r="D31" s="210">
        <v>26</v>
      </c>
      <c r="E31" s="211" t="str">
        <f t="shared" si="0"/>
        <v>Complete cbc w/auto diff wbc</v>
      </c>
      <c r="F31" s="212" t="str">
        <f t="shared" si="1"/>
        <v>Diagnostic Services: Laboratory</v>
      </c>
      <c r="G31" s="213" t="str">
        <f t="shared" si="2"/>
        <v>Not Covered</v>
      </c>
      <c r="H31" s="214">
        <f t="shared" si="3"/>
        <v>13.99</v>
      </c>
      <c r="I31" s="217">
        <f t="shared" si="4"/>
        <v>13.99</v>
      </c>
      <c r="J31" s="251">
        <f t="shared" si="5"/>
        <v>0</v>
      </c>
      <c r="K31" s="214" t="b">
        <f t="shared" si="6"/>
        <v>0</v>
      </c>
      <c r="L31" s="218" t="str">
        <f t="shared" si="7"/>
        <v>No</v>
      </c>
      <c r="M31" s="217" t="str">
        <f t="shared" si="8"/>
        <v>.</v>
      </c>
      <c r="N31" s="215" t="str">
        <f>IFERROR(IF(AND(L31="Yes",ISNUMBER(M31)),MAX(0,M31-SUMIFS(BU$3:BU30,L$3:L30,"Yes")),IF(OR(L31="No",M31="None"),"N/A","ERR")),"ERR")</f>
        <v>N/A</v>
      </c>
      <c r="O31" s="251" t="b">
        <f t="shared" si="46"/>
        <v>0</v>
      </c>
      <c r="P31" s="251" t="str">
        <f>IF(O31,BENEFIT_PARAMETERS!$C$76,"N/A")</f>
        <v>N/A</v>
      </c>
      <c r="Q31" s="288" t="str">
        <f>IF(P31="Yes", BENEFIT_PARAMETERS!$D$76,"N/A")</f>
        <v>N/A</v>
      </c>
      <c r="R31" s="253" t="str">
        <f t="shared" si="9"/>
        <v>N/A</v>
      </c>
      <c r="S31" s="217">
        <f t="shared" si="47"/>
        <v>0</v>
      </c>
      <c r="T31" s="215">
        <f t="shared" si="10"/>
        <v>0</v>
      </c>
      <c r="U31" s="214" t="b">
        <f t="shared" si="48"/>
        <v>0</v>
      </c>
      <c r="V31" s="251" t="str">
        <f>IF(O31,BENEFIT_PARAMETERS!$C$77,"N/A")</f>
        <v>N/A</v>
      </c>
      <c r="W31" s="288" t="str">
        <f>IF(V31="Yes", BENEFIT_PARAMETERS!$D$77,"N/A")</f>
        <v>N/A</v>
      </c>
      <c r="X31" s="253" t="str">
        <f>IF(O31,COUNTIF(Z$3:Z30,"&gt;0"),"N/A")</f>
        <v>N/A</v>
      </c>
      <c r="Y31" s="217" t="str">
        <f t="shared" si="11"/>
        <v>N/A</v>
      </c>
      <c r="Z31" s="293" t="str">
        <f t="shared" si="49"/>
        <v>N/A</v>
      </c>
      <c r="AA31" s="293">
        <f t="shared" si="50"/>
        <v>0</v>
      </c>
      <c r="AB31" s="293" t="str">
        <f t="shared" si="12"/>
        <v>N/A</v>
      </c>
      <c r="AC31" s="215">
        <f t="shared" si="51"/>
        <v>0</v>
      </c>
      <c r="AD31" s="214" t="b">
        <f t="shared" si="13"/>
        <v>0</v>
      </c>
      <c r="AE31" s="209" t="str">
        <f t="shared" si="14"/>
        <v>.</v>
      </c>
      <c r="AF31" s="216">
        <f t="shared" si="15"/>
        <v>0</v>
      </c>
      <c r="AG31" s="217" t="str">
        <f t="shared" si="16"/>
        <v>N/A</v>
      </c>
      <c r="AH31" s="217" t="b">
        <f t="shared" si="17"/>
        <v>0</v>
      </c>
      <c r="AI31" s="209" t="str">
        <f t="shared" si="18"/>
        <v>.</v>
      </c>
      <c r="AJ31" s="216">
        <f t="shared" si="19"/>
        <v>0</v>
      </c>
      <c r="AK31" s="217" t="str">
        <f t="shared" si="20"/>
        <v>N/A</v>
      </c>
      <c r="AL31" s="217">
        <f t="shared" si="52"/>
        <v>0</v>
      </c>
      <c r="AM31" s="215">
        <f t="shared" si="53"/>
        <v>0</v>
      </c>
      <c r="AN31" s="219" t="b">
        <f t="shared" si="21"/>
        <v>0</v>
      </c>
      <c r="AO31" s="217" t="str">
        <f t="shared" si="22"/>
        <v>N/A</v>
      </c>
      <c r="AP31" s="217" t="str">
        <f>IF(AND(ISNUMBER(AO31),AN31=TRUE),MAX(0,AO31-SUMIFS($AM$3:$AM30,AN$3:AN30,TRUE)),IF(AND(AN31=TRUE,ISNUMBER(AO31)=FALSE),"ERR","N/A"))</f>
        <v>N/A</v>
      </c>
      <c r="AQ31" s="215" t="str">
        <f t="shared" si="23"/>
        <v>N/A</v>
      </c>
      <c r="AR31" s="219" t="b">
        <f t="shared" si="24"/>
        <v>0</v>
      </c>
      <c r="AS31" s="217" t="str">
        <f t="shared" si="25"/>
        <v>N/A</v>
      </c>
      <c r="AT31" s="217" t="str">
        <f>IF(AND(AR31=TRUE,ISNUMBER(AS31)),MAX(0,AS31-SUMIFS($AM$3:$AM30,AR$3:AR30,TRUE)),IF(AND(AR31=TRUE,ISNUMBER(AS31)=FALSE),"ERR","N/A"))</f>
        <v>N/A</v>
      </c>
      <c r="AU31" s="215" t="str">
        <f t="shared" si="26"/>
        <v>N/A</v>
      </c>
      <c r="AV31" s="219" t="b">
        <f t="shared" si="27"/>
        <v>0</v>
      </c>
      <c r="AW31" s="217" t="str">
        <f t="shared" si="28"/>
        <v>N/A</v>
      </c>
      <c r="AX31" s="217" t="str">
        <f>IF(AND(AV31=TRUE,ISNUMBER(AW31)),MAX(0,AW31-SUMIFS($AM$3:$AM30,AV$3:AV30,TRUE)),IF(AND(AV31=TRUE,ISNUMBER(AW31)=FALSE),"ERR","N/A"))</f>
        <v>N/A</v>
      </c>
      <c r="AY31" s="215" t="str">
        <f t="shared" si="29"/>
        <v>N/A</v>
      </c>
      <c r="AZ31" s="219" t="b">
        <f t="shared" si="30"/>
        <v>0</v>
      </c>
      <c r="BA31" s="217" t="str">
        <f t="shared" si="31"/>
        <v>N/A</v>
      </c>
      <c r="BB31" s="217" t="str">
        <f>IF(AND(AZ31=TRUE,ISNUMBER(BA31)),MAX(0,BA31-SUMIFS($AM$3:$AM30,AZ$3:AZ30,TRUE)),IF(AND(AZ31=TRUE,ISNUMBER(BA31)=FALSE),"ERR","N/A"))</f>
        <v>N/A</v>
      </c>
      <c r="BC31" s="215" t="str">
        <f t="shared" si="32"/>
        <v>N/A</v>
      </c>
      <c r="BD31" s="219" t="b">
        <f t="shared" si="33"/>
        <v>0</v>
      </c>
      <c r="BE31" s="217" t="str">
        <f t="shared" si="34"/>
        <v>N/A</v>
      </c>
      <c r="BF31" s="217" t="str">
        <f>IF(AND(BD31=TRUE,ISNUMBER(BE31)=TRUE),MAX(0,BE31-SUMIFS(AM$3:AM30,BD$3:BD30,TRUE,F$3:F30,F31)),IF(AND(BD31=TRUE,ISNUMBER(BE31)=FALSE),"ERR","N/A"))</f>
        <v>N/A</v>
      </c>
      <c r="BG31" s="215" t="str">
        <f t="shared" si="35"/>
        <v>N/A</v>
      </c>
      <c r="BH31" s="214">
        <f t="shared" si="36"/>
        <v>0</v>
      </c>
      <c r="BI31" s="215">
        <f t="shared" si="54"/>
        <v>0</v>
      </c>
      <c r="BJ31" s="214" t="str">
        <f t="shared" si="55"/>
        <v>N/A</v>
      </c>
      <c r="BK31" s="217">
        <f t="shared" si="37"/>
        <v>0</v>
      </c>
      <c r="BL31" s="220" t="b">
        <f t="shared" si="38"/>
        <v>0</v>
      </c>
      <c r="BM31" s="217" t="str">
        <f t="shared" si="39"/>
        <v>N/A</v>
      </c>
      <c r="BN31" s="217" t="str">
        <f t="shared" si="56"/>
        <v>N/A</v>
      </c>
      <c r="BO31" s="220" t="b">
        <f t="shared" si="40"/>
        <v>0</v>
      </c>
      <c r="BP31" s="244" t="str">
        <f t="shared" si="41"/>
        <v>N/A</v>
      </c>
      <c r="BQ31" s="217" t="str">
        <f t="shared" si="57"/>
        <v>N/A</v>
      </c>
      <c r="BR31" s="215">
        <f t="shared" si="58"/>
        <v>0</v>
      </c>
      <c r="BS31" s="214" t="str">
        <f t="shared" si="59"/>
        <v>N/A</v>
      </c>
      <c r="BT31" s="217">
        <f t="shared" si="60"/>
        <v>0</v>
      </c>
      <c r="BU31" s="215">
        <f t="shared" si="61"/>
        <v>0</v>
      </c>
      <c r="BV31" s="214">
        <f t="shared" si="62"/>
        <v>0</v>
      </c>
      <c r="BW31" s="217">
        <f t="shared" si="42"/>
        <v>13.99</v>
      </c>
      <c r="BX31" s="217">
        <f t="shared" si="43"/>
        <v>0</v>
      </c>
      <c r="BY31" s="217">
        <f t="shared" si="63"/>
        <v>0</v>
      </c>
      <c r="BZ31" s="217">
        <f t="shared" si="44"/>
        <v>0</v>
      </c>
      <c r="CA31" s="217">
        <f t="shared" si="64"/>
        <v>0</v>
      </c>
      <c r="CB31" s="213" t="b">
        <f t="shared" si="45"/>
        <v>1</v>
      </c>
    </row>
    <row r="32" spans="1:81" x14ac:dyDescent="0.25">
      <c r="A32" s="207">
        <v>29</v>
      </c>
      <c r="B32" s="208">
        <v>42629</v>
      </c>
      <c r="C32" s="209">
        <v>9</v>
      </c>
      <c r="D32" s="210">
        <v>18</v>
      </c>
      <c r="E32" s="211" t="str">
        <f t="shared" si="0"/>
        <v>Glucose Test</v>
      </c>
      <c r="F32" s="212" t="str">
        <f t="shared" si="1"/>
        <v>Diagnostic Services: Laboratory</v>
      </c>
      <c r="G32" s="213" t="str">
        <f t="shared" si="2"/>
        <v>Not Covered</v>
      </c>
      <c r="H32" s="214">
        <f t="shared" si="3"/>
        <v>10.029999999999999</v>
      </c>
      <c r="I32" s="217">
        <f t="shared" si="4"/>
        <v>10.029999999999999</v>
      </c>
      <c r="J32" s="251">
        <f t="shared" si="5"/>
        <v>0</v>
      </c>
      <c r="K32" s="214" t="b">
        <f t="shared" si="6"/>
        <v>0</v>
      </c>
      <c r="L32" s="218" t="str">
        <f t="shared" si="7"/>
        <v>No</v>
      </c>
      <c r="M32" s="217" t="str">
        <f t="shared" si="8"/>
        <v>.</v>
      </c>
      <c r="N32" s="215" t="str">
        <f>IFERROR(IF(AND(L32="Yes",ISNUMBER(M32)),MAX(0,M32-SUMIFS(BU$3:BU31,L$3:L31,"Yes")),IF(OR(L32="No",M32="None"),"N/A","ERR")),"ERR")</f>
        <v>N/A</v>
      </c>
      <c r="O32" s="251" t="b">
        <f t="shared" si="46"/>
        <v>0</v>
      </c>
      <c r="P32" s="251" t="str">
        <f>IF(O32,BENEFIT_PARAMETERS!$C$76,"N/A")</f>
        <v>N/A</v>
      </c>
      <c r="Q32" s="288" t="str">
        <f>IF(P32="Yes", BENEFIT_PARAMETERS!$D$76,"N/A")</f>
        <v>N/A</v>
      </c>
      <c r="R32" s="253" t="str">
        <f t="shared" si="9"/>
        <v>N/A</v>
      </c>
      <c r="S32" s="217">
        <f t="shared" si="47"/>
        <v>0</v>
      </c>
      <c r="T32" s="215">
        <f t="shared" si="10"/>
        <v>0</v>
      </c>
      <c r="U32" s="214" t="b">
        <f t="shared" si="48"/>
        <v>0</v>
      </c>
      <c r="V32" s="251" t="str">
        <f>IF(O32,BENEFIT_PARAMETERS!$C$77,"N/A")</f>
        <v>N/A</v>
      </c>
      <c r="W32" s="288" t="str">
        <f>IF(V32="Yes", BENEFIT_PARAMETERS!$D$77,"N/A")</f>
        <v>N/A</v>
      </c>
      <c r="X32" s="253" t="str">
        <f>IF(O32,COUNTIF(Z$3:Z31,"&gt;0"),"N/A")</f>
        <v>N/A</v>
      </c>
      <c r="Y32" s="217" t="str">
        <f t="shared" si="11"/>
        <v>N/A</v>
      </c>
      <c r="Z32" s="293" t="str">
        <f t="shared" si="49"/>
        <v>N/A</v>
      </c>
      <c r="AA32" s="293">
        <f t="shared" si="50"/>
        <v>0</v>
      </c>
      <c r="AB32" s="293" t="str">
        <f t="shared" si="12"/>
        <v>N/A</v>
      </c>
      <c r="AC32" s="215">
        <f t="shared" si="51"/>
        <v>0</v>
      </c>
      <c r="AD32" s="214" t="b">
        <f t="shared" si="13"/>
        <v>0</v>
      </c>
      <c r="AE32" s="209" t="str">
        <f t="shared" si="14"/>
        <v>.</v>
      </c>
      <c r="AF32" s="216">
        <f t="shared" si="15"/>
        <v>0</v>
      </c>
      <c r="AG32" s="217" t="str">
        <f t="shared" si="16"/>
        <v>N/A</v>
      </c>
      <c r="AH32" s="217" t="b">
        <f t="shared" si="17"/>
        <v>0</v>
      </c>
      <c r="AI32" s="209" t="str">
        <f t="shared" si="18"/>
        <v>.</v>
      </c>
      <c r="AJ32" s="216">
        <f t="shared" si="19"/>
        <v>0</v>
      </c>
      <c r="AK32" s="217" t="str">
        <f t="shared" si="20"/>
        <v>N/A</v>
      </c>
      <c r="AL32" s="217">
        <f t="shared" si="52"/>
        <v>0</v>
      </c>
      <c r="AM32" s="215">
        <f t="shared" si="53"/>
        <v>0</v>
      </c>
      <c r="AN32" s="219" t="b">
        <f t="shared" si="21"/>
        <v>0</v>
      </c>
      <c r="AO32" s="217" t="str">
        <f t="shared" si="22"/>
        <v>N/A</v>
      </c>
      <c r="AP32" s="217" t="str">
        <f>IF(AND(ISNUMBER(AO32),AN32=TRUE),MAX(0,AO32-SUMIFS($AM$3:$AM31,AN$3:AN31,TRUE)),IF(AND(AN32=TRUE,ISNUMBER(AO32)=FALSE),"ERR","N/A"))</f>
        <v>N/A</v>
      </c>
      <c r="AQ32" s="215" t="str">
        <f t="shared" si="23"/>
        <v>N/A</v>
      </c>
      <c r="AR32" s="219" t="b">
        <f t="shared" si="24"/>
        <v>0</v>
      </c>
      <c r="AS32" s="217" t="str">
        <f t="shared" si="25"/>
        <v>N/A</v>
      </c>
      <c r="AT32" s="217" t="str">
        <f>IF(AND(AR32=TRUE,ISNUMBER(AS32)),MAX(0,AS32-SUMIFS($AM$3:$AM31,AR$3:AR31,TRUE)),IF(AND(AR32=TRUE,ISNUMBER(AS32)=FALSE),"ERR","N/A"))</f>
        <v>N/A</v>
      </c>
      <c r="AU32" s="215" t="str">
        <f t="shared" si="26"/>
        <v>N/A</v>
      </c>
      <c r="AV32" s="219" t="b">
        <f t="shared" si="27"/>
        <v>0</v>
      </c>
      <c r="AW32" s="217" t="str">
        <f t="shared" si="28"/>
        <v>N/A</v>
      </c>
      <c r="AX32" s="217" t="str">
        <f>IF(AND(AV32=TRUE,ISNUMBER(AW32)),MAX(0,AW32-SUMIFS($AM$3:$AM31,AV$3:AV31,TRUE)),IF(AND(AV32=TRUE,ISNUMBER(AW32)=FALSE),"ERR","N/A"))</f>
        <v>N/A</v>
      </c>
      <c r="AY32" s="215" t="str">
        <f t="shared" si="29"/>
        <v>N/A</v>
      </c>
      <c r="AZ32" s="219" t="b">
        <f t="shared" si="30"/>
        <v>0</v>
      </c>
      <c r="BA32" s="217" t="str">
        <f t="shared" si="31"/>
        <v>N/A</v>
      </c>
      <c r="BB32" s="217" t="str">
        <f>IF(AND(AZ32=TRUE,ISNUMBER(BA32)),MAX(0,BA32-SUMIFS($AM$3:$AM31,AZ$3:AZ31,TRUE)),IF(AND(AZ32=TRUE,ISNUMBER(BA32)=FALSE),"ERR","N/A"))</f>
        <v>N/A</v>
      </c>
      <c r="BC32" s="215" t="str">
        <f t="shared" si="32"/>
        <v>N/A</v>
      </c>
      <c r="BD32" s="219" t="b">
        <f t="shared" si="33"/>
        <v>0</v>
      </c>
      <c r="BE32" s="217" t="str">
        <f t="shared" si="34"/>
        <v>N/A</v>
      </c>
      <c r="BF32" s="217" t="str">
        <f>IF(AND(BD32=TRUE,ISNUMBER(BE32)=TRUE),MAX(0,BE32-SUMIFS(AM$3:AM31,BD$3:BD31,TRUE,F$3:F31,F32)),IF(AND(BD32=TRUE,ISNUMBER(BE32)=FALSE),"ERR","N/A"))</f>
        <v>N/A</v>
      </c>
      <c r="BG32" s="215" t="str">
        <f t="shared" si="35"/>
        <v>N/A</v>
      </c>
      <c r="BH32" s="214">
        <f t="shared" si="36"/>
        <v>0</v>
      </c>
      <c r="BI32" s="215">
        <f t="shared" si="54"/>
        <v>0</v>
      </c>
      <c r="BJ32" s="214" t="str">
        <f t="shared" si="55"/>
        <v>N/A</v>
      </c>
      <c r="BK32" s="217">
        <f t="shared" si="37"/>
        <v>0</v>
      </c>
      <c r="BL32" s="220" t="b">
        <f t="shared" si="38"/>
        <v>0</v>
      </c>
      <c r="BM32" s="217" t="str">
        <f t="shared" si="39"/>
        <v>N/A</v>
      </c>
      <c r="BN32" s="217" t="str">
        <f t="shared" si="56"/>
        <v>N/A</v>
      </c>
      <c r="BO32" s="220" t="b">
        <f t="shared" si="40"/>
        <v>0</v>
      </c>
      <c r="BP32" s="244" t="str">
        <f t="shared" si="41"/>
        <v>N/A</v>
      </c>
      <c r="BQ32" s="217" t="str">
        <f t="shared" si="57"/>
        <v>N/A</v>
      </c>
      <c r="BR32" s="215">
        <f t="shared" si="58"/>
        <v>0</v>
      </c>
      <c r="BS32" s="214" t="str">
        <f t="shared" si="59"/>
        <v>N/A</v>
      </c>
      <c r="BT32" s="217">
        <f t="shared" si="60"/>
        <v>0</v>
      </c>
      <c r="BU32" s="215">
        <f t="shared" si="61"/>
        <v>0</v>
      </c>
      <c r="BV32" s="214">
        <f t="shared" si="62"/>
        <v>0</v>
      </c>
      <c r="BW32" s="217">
        <f t="shared" si="42"/>
        <v>10.029999999999999</v>
      </c>
      <c r="BX32" s="217">
        <f t="shared" si="43"/>
        <v>0</v>
      </c>
      <c r="BY32" s="217">
        <f t="shared" si="63"/>
        <v>0</v>
      </c>
      <c r="BZ32" s="217">
        <f t="shared" si="44"/>
        <v>0</v>
      </c>
      <c r="CA32" s="217">
        <f t="shared" si="64"/>
        <v>0</v>
      </c>
      <c r="CB32" s="213" t="b">
        <f t="shared" si="45"/>
        <v>1</v>
      </c>
    </row>
    <row r="33" spans="1:80" x14ac:dyDescent="0.25">
      <c r="A33" s="207">
        <v>30</v>
      </c>
      <c r="B33" s="208">
        <v>42629</v>
      </c>
      <c r="C33" s="209">
        <v>9</v>
      </c>
      <c r="D33" s="210">
        <v>12</v>
      </c>
      <c r="E33" s="211" t="str">
        <f t="shared" ref="E33:E53" si="65">VLOOKUP(ServiceCode,MaternityFeeSchedule,6,FALSE)</f>
        <v>Routine Venipuncture</v>
      </c>
      <c r="F33" s="212" t="str">
        <f t="shared" ref="F33:F53" si="66">VLOOKUP(ServiceCode,MaternityFeeSchedule,5,FALSE)</f>
        <v>Diagnostic Services: Laboratory</v>
      </c>
      <c r="G33" s="213" t="str">
        <f t="shared" ref="G33:G53" si="67">VLOOKUP(BenefitCategory,BenefitDesignTable,COLUMN(BenefitCostSharing),FALSE)</f>
        <v>Not Covered</v>
      </c>
      <c r="H33" s="214">
        <f t="shared" ref="H33:H36" si="68">VLOOKUP(D33,MaternityFeeSchedule,7,FALSE)</f>
        <v>5.3</v>
      </c>
      <c r="I33" s="217">
        <f t="shared" ref="I33:I36" si="69">IF(G33="Not Covered",H33,0)</f>
        <v>5.3</v>
      </c>
      <c r="J33" s="251">
        <f t="shared" ref="J33:J36" si="70">H33-I33</f>
        <v>0</v>
      </c>
      <c r="K33" s="214" t="b">
        <f t="shared" ref="K33:K36" si="71">VLOOKUP(F33,nrCoverageTable,COLUMN(nrOOPLimitValid),FALSE)</f>
        <v>0</v>
      </c>
      <c r="L33" s="218" t="str">
        <f t="shared" ref="L33:L36" si="72">IF(K33,VLOOKUP(F33,BenefitDesignTable,COLUMN(BenefitOOPLimitApplies),FALSE),"No")</f>
        <v>No</v>
      </c>
      <c r="M33" s="217" t="str">
        <f t="shared" ref="M33:M36" si="73">VLOOKUP(F33,BenefitDesignTable,COLUMN(OPLimit),FALSE)</f>
        <v>.</v>
      </c>
      <c r="N33" s="215" t="str">
        <f>IFERROR(IF(AND(L33="Yes",ISNUMBER(M33)),MAX(0,M33-SUMIFS(BU$3:BU32,L$3:L32,"Yes")),IF(OR(L33="No",M33="None"),"N/A","ERR")),"ERR")</f>
        <v>N/A</v>
      </c>
      <c r="O33" s="251" t="b">
        <f t="shared" si="46"/>
        <v>0</v>
      </c>
      <c r="P33" s="251" t="str">
        <f>IF(O33,BENEFIT_PARAMETERS!$C$76,"N/A")</f>
        <v>N/A</v>
      </c>
      <c r="Q33" s="288" t="str">
        <f>IF(P33="Yes", BENEFIT_PARAMETERS!$D$76,"N/A")</f>
        <v>N/A</v>
      </c>
      <c r="R33" s="253" t="str">
        <f t="shared" si="9"/>
        <v>N/A</v>
      </c>
      <c r="S33" s="217">
        <f t="shared" si="47"/>
        <v>0</v>
      </c>
      <c r="T33" s="215">
        <f t="shared" ref="T33:T36" si="74">J33-S33</f>
        <v>0</v>
      </c>
      <c r="U33" s="214" t="b">
        <f t="shared" si="48"/>
        <v>0</v>
      </c>
      <c r="V33" s="251" t="str">
        <f>IF(O33,BENEFIT_PARAMETERS!$C$77,"N/A")</f>
        <v>N/A</v>
      </c>
      <c r="W33" s="288" t="str">
        <f>IF(V33="Yes", BENEFIT_PARAMETERS!$D$77,"N/A")</f>
        <v>N/A</v>
      </c>
      <c r="X33" s="253" t="str">
        <f>IF(O33,COUNTIF(Z$3:Z32,"&gt;0"),"N/A")</f>
        <v>N/A</v>
      </c>
      <c r="Y33" s="217" t="str">
        <f t="shared" ref="Y33:Y36" si="75">IF(V33="Yes",VLOOKUP("Professional Services: Primary Care",BenefitDesignTable,COLUMN(BenefitCopay),FALSE),"N/A")</f>
        <v>N/A</v>
      </c>
      <c r="Z33" s="293" t="str">
        <f t="shared" si="49"/>
        <v>N/A</v>
      </c>
      <c r="AA33" s="293">
        <f t="shared" si="50"/>
        <v>0</v>
      </c>
      <c r="AB33" s="293" t="str">
        <f t="shared" ref="AB33:AB36" si="76">IF(L33="Yes",IF(Z33="N/A",N33,N33-Z33),"N/A")</f>
        <v>N/A</v>
      </c>
      <c r="AC33" s="215">
        <f t="shared" si="51"/>
        <v>0</v>
      </c>
      <c r="AD33" s="214" t="b">
        <f t="shared" ref="AD33:AD36" si="77">VLOOKUP(F33,nrCoverageTable,COLUMN(nrMonthlyLimitValid),FALSE)</f>
        <v>0</v>
      </c>
      <c r="AE33" s="209" t="str">
        <f t="shared" ref="AE33:AE36" si="78">IF(AD33,VLOOKUP(F33,BenefitDesignTable,COLUMN(BenefitLimithMonth),FALSE),".")</f>
        <v>.</v>
      </c>
      <c r="AF33" s="216">
        <f t="shared" ref="AF33:AF36" si="79">COUNTIFS(ServiceCode,D33,ClaimMonth,C33,ClaimNumber,"&lt;"&amp;A33)</f>
        <v>0</v>
      </c>
      <c r="AG33" s="217" t="str">
        <f t="shared" ref="AG33:AG36" si="80">IF(AD33,IF(OR(AE33="None",ISNUMBER(AE33)),IF(AF33&gt;=AE33,H33,0),"ERR"),"N/A")</f>
        <v>N/A</v>
      </c>
      <c r="AH33" s="217" t="b">
        <f t="shared" ref="AH33:AH36" si="81">VLOOKUP(F33,nrCoverageTable,COLUMN(nrAnnualLimitValid),FALSE)</f>
        <v>0</v>
      </c>
      <c r="AI33" s="209" t="str">
        <f t="shared" ref="AI33:AI36" si="82">IF(AH33,VLOOKUP(F33,BenefitDesignTable,COLUMN(BenefitLimitAnnual),FALSE),".")</f>
        <v>.</v>
      </c>
      <c r="AJ33" s="216">
        <f t="shared" ref="AJ33:AJ36" si="83">COUNTIFS(ServiceCode,D33,ClaimNumber,"&lt;"&amp;A33)</f>
        <v>2</v>
      </c>
      <c r="AK33" s="217" t="str">
        <f t="shared" ref="AK33:AK36" si="84">IF(AH33,IF(OR(AI33="None",ISNUMBER(AI33)),IF(AJ33&gt;=AI33,H33,0),"ERR"),"N/A")</f>
        <v>N/A</v>
      </c>
      <c r="AL33" s="217">
        <f t="shared" si="52"/>
        <v>0</v>
      </c>
      <c r="AM33" s="215">
        <f t="shared" si="53"/>
        <v>0</v>
      </c>
      <c r="AN33" s="219" t="b">
        <f t="shared" ref="AN33:AN36" si="85">VLOOKUP(F33,nrCoverageTable,COLUMN(nrUsesPlanDeduct),FALSE)</f>
        <v>0</v>
      </c>
      <c r="AO33" s="217" t="str">
        <f t="shared" ref="AO33:AO36" si="86">IF(AN33,VLOOKUP(F33,BenefitDesignTable,COLUMN(PlanDeductible),FALSE),"N/A")</f>
        <v>N/A</v>
      </c>
      <c r="AP33" s="217" t="str">
        <f>IF(AND(ISNUMBER(AO33),AN33=TRUE),MAX(0,AO33-SUMIFS($AM$3:$AM32,AN$3:AN32,TRUE)),IF(AND(AN33=TRUE,ISNUMBER(AO33)=FALSE),"ERR","N/A"))</f>
        <v>N/A</v>
      </c>
      <c r="AQ33" s="215" t="str">
        <f t="shared" ref="AQ33:AQ36" si="87">IF(ISNUMBER(AP33),MIN($AM33,AP33),"N/A")</f>
        <v>N/A</v>
      </c>
      <c r="AR33" s="219" t="b">
        <f t="shared" ref="AR33:AR36" si="88">VLOOKUP(F33,nrCoverageTable,COLUMN(nrUsesRxDeduct),FALSE)</f>
        <v>0</v>
      </c>
      <c r="AS33" s="217" t="str">
        <f t="shared" ref="AS33:AS36" si="89">IF(AR33,VLOOKUP(F33,BenefitDesignTable,COLUMN(RxDeductible),FALSE),"N/A")</f>
        <v>N/A</v>
      </c>
      <c r="AT33" s="217" t="str">
        <f>IF(AND(AR33=TRUE,ISNUMBER(AS33)),MAX(0,AS33-SUMIFS($AM$3:$AM32,AR$3:AR32,TRUE)),IF(AND(AR33=TRUE,ISNUMBER(AS33)=FALSE),"ERR","N/A"))</f>
        <v>N/A</v>
      </c>
      <c r="AU33" s="215" t="str">
        <f t="shared" ref="AU33:AU36" si="90">IF(ISNUMBER(AT33),MIN($AM33,AT33),"N/A")</f>
        <v>N/A</v>
      </c>
      <c r="AV33" s="219" t="b">
        <f t="shared" ref="AV33:AV36" si="91">VLOOKUP(F33,nrCoverageTable,COLUMN(nrUsesDeductC),FALSE)</f>
        <v>0</v>
      </c>
      <c r="AW33" s="217" t="str">
        <f t="shared" ref="AW33:AW36" si="92">IF(AV33,VLOOKUP(F33,BenefitDesignTable,COLUMN(OptDeductibleC),FALSE),"N/A")</f>
        <v>N/A</v>
      </c>
      <c r="AX33" s="217" t="str">
        <f>IF(AND(AV33=TRUE,ISNUMBER(AW33)),MAX(0,AW33-SUMIFS($AM$3:$AM32,AV$3:AV32,TRUE)),IF(AND(AV33=TRUE,ISNUMBER(AW33)=FALSE),"ERR","N/A"))</f>
        <v>N/A</v>
      </c>
      <c r="AY33" s="215" t="str">
        <f t="shared" ref="AY33:AY36" si="93">IF(ISNUMBER(AX33),MIN($AM33,AX33),"N/A")</f>
        <v>N/A</v>
      </c>
      <c r="AZ33" s="219" t="b">
        <f t="shared" ref="AZ33:AZ36" si="94">VLOOKUP(F33,nrCoverageTable,COLUMN(nrUsesDeductD),FALSE)</f>
        <v>0</v>
      </c>
      <c r="BA33" s="217" t="str">
        <f t="shared" ref="BA33:BA36" si="95">IF(AZ33,VLOOKUP(F33,BenefitDesignTable,COLUMN(OptDeductibleD),FALSE),"N/A")</f>
        <v>N/A</v>
      </c>
      <c r="BB33" s="217" t="str">
        <f>IF(AND(AZ33=TRUE,ISNUMBER(BA33)),MAX(0,BA33-SUMIFS($AM$3:$AM32,AZ$3:AZ32,TRUE)),IF(AND(AZ33=TRUE,ISNUMBER(BA33)=FALSE),"ERR","N/A"))</f>
        <v>N/A</v>
      </c>
      <c r="BC33" s="215" t="str">
        <f t="shared" ref="BC33:BC36" si="96">IF(ISNUMBER(BB33),MIN($AM33,BB33),"N/A")</f>
        <v>N/A</v>
      </c>
      <c r="BD33" s="219" t="b">
        <f t="shared" ref="BD33:BD36" si="97">VLOOKUP(F33,nrCoverageTable,COLUMN(nrUsesBenDeduct),FALSE)</f>
        <v>0</v>
      </c>
      <c r="BE33" s="217" t="str">
        <f t="shared" ref="BE33:BE36" si="98">IF(BD33,VLOOKUP(F33,BenefitDesignTable,COLUMN(BenefitDeductible),FALSE),"N/A")</f>
        <v>N/A</v>
      </c>
      <c r="BF33" s="217" t="str">
        <f>IF(AND(BD33=TRUE,ISNUMBER(BE33)=TRUE),MAX(0,BE33-SUMIFS(AM$3:AM32,BD$3:BD32,TRUE,F$3:F32,F33)),IF(AND(BD33=TRUE,ISNUMBER(BE33)=FALSE),"ERR","N/A"))</f>
        <v>N/A</v>
      </c>
      <c r="BG33" s="215" t="str">
        <f t="shared" ref="BG33:BG36" si="99">IF(ISNUMBER(BF33),MIN($AM33,BF33),"N/A")</f>
        <v>N/A</v>
      </c>
      <c r="BH33" s="214">
        <f t="shared" si="36"/>
        <v>0</v>
      </c>
      <c r="BI33" s="215">
        <f t="shared" si="54"/>
        <v>0</v>
      </c>
      <c r="BJ33" s="214" t="str">
        <f t="shared" si="55"/>
        <v>N/A</v>
      </c>
      <c r="BK33" s="217">
        <f t="shared" ref="BK33:BK36" si="100">IF(OR(BI33="ERR",AM33="ERR"),"ERR",MAX(0,AM33-BI33))</f>
        <v>0</v>
      </c>
      <c r="BL33" s="220" t="b">
        <f t="shared" ref="BL33:BL36" si="101">VLOOKUP(F33,nrCoverageTable,COLUMN(nrUsesCopay),FALSE)</f>
        <v>0</v>
      </c>
      <c r="BM33" s="217" t="str">
        <f t="shared" ref="BM33:BM36" si="102">IF(BL33,VLOOKUP(F33,BenefitDesignTable,COLUMN(BenefitCopay),FALSE),"N/A")</f>
        <v>N/A</v>
      </c>
      <c r="BN33" s="217" t="str">
        <f t="shared" si="56"/>
        <v>N/A</v>
      </c>
      <c r="BO33" s="220" t="b">
        <f t="shared" ref="BO33:BO36" si="103">VLOOKUP(F33,nrCoverageTable,COLUMN(nrUsesCoins),FALSE)</f>
        <v>0</v>
      </c>
      <c r="BP33" s="244" t="str">
        <f t="shared" ref="BP33:BP36" si="104">IF(BO33,VLOOKUP(F33,BenefitDesignTable,COLUMN(BenefitCoins),FALSE),"N/A")</f>
        <v>N/A</v>
      </c>
      <c r="BQ33" s="217" t="str">
        <f t="shared" si="57"/>
        <v>N/A</v>
      </c>
      <c r="BR33" s="215">
        <f t="shared" si="58"/>
        <v>0</v>
      </c>
      <c r="BS33" s="214" t="str">
        <f t="shared" si="59"/>
        <v>N/A</v>
      </c>
      <c r="BT33" s="217">
        <f t="shared" si="60"/>
        <v>0</v>
      </c>
      <c r="BU33" s="215">
        <f t="shared" si="61"/>
        <v>0</v>
      </c>
      <c r="BV33" s="214">
        <f t="shared" si="62"/>
        <v>0</v>
      </c>
      <c r="BW33" s="217">
        <f t="shared" ref="BW33:BW36" si="105">I33</f>
        <v>5.3</v>
      </c>
      <c r="BX33" s="217">
        <f t="shared" ref="BX33:BX36" si="106">IF(OR(AG33="ERR",AK33="ERR"),"ERR",SUM(AG33,AK33))</f>
        <v>0</v>
      </c>
      <c r="BY33" s="217">
        <f t="shared" si="63"/>
        <v>0</v>
      </c>
      <c r="BZ33" s="217">
        <f t="shared" si="44"/>
        <v>0</v>
      </c>
      <c r="CA33" s="217">
        <f t="shared" si="64"/>
        <v>0</v>
      </c>
      <c r="CB33" s="213" t="b">
        <f t="shared" ref="CB33:CB36" si="107">SUM(BV33:CA33)=H33</f>
        <v>1</v>
      </c>
    </row>
    <row r="34" spans="1:80" x14ac:dyDescent="0.25">
      <c r="A34" s="207">
        <v>31</v>
      </c>
      <c r="B34" s="208">
        <v>42629</v>
      </c>
      <c r="C34" s="209">
        <v>9</v>
      </c>
      <c r="D34" s="210">
        <v>32</v>
      </c>
      <c r="E34" s="211" t="str">
        <f t="shared" si="65"/>
        <v>Office/Outpatient Visit Est</v>
      </c>
      <c r="F34" s="212" t="str">
        <f t="shared" si="66"/>
        <v>Professional Services: Obstetric Care (Bundled)</v>
      </c>
      <c r="G34" s="213" t="str">
        <f t="shared" si="67"/>
        <v>Not Covered</v>
      </c>
      <c r="H34" s="214">
        <f t="shared" si="68"/>
        <v>0</v>
      </c>
      <c r="I34" s="217">
        <f t="shared" si="69"/>
        <v>0</v>
      </c>
      <c r="J34" s="251">
        <f t="shared" si="70"/>
        <v>0</v>
      </c>
      <c r="K34" s="214" t="b">
        <f t="shared" si="71"/>
        <v>0</v>
      </c>
      <c r="L34" s="218" t="str">
        <f t="shared" si="72"/>
        <v>No</v>
      </c>
      <c r="M34" s="217" t="str">
        <f t="shared" si="73"/>
        <v>.</v>
      </c>
      <c r="N34" s="215" t="str">
        <f>IFERROR(IF(AND(L34="Yes",ISNUMBER(M34)),MAX(0,M34-SUMIFS(BU$3:BU33,L$3:L33,"Yes")),IF(OR(L34="No",M34="None"),"N/A","ERR")),"ERR")</f>
        <v>N/A</v>
      </c>
      <c r="O34" s="251" t="b">
        <f t="shared" si="46"/>
        <v>0</v>
      </c>
      <c r="P34" s="251" t="str">
        <f>IF(O34,BENEFIT_PARAMETERS!$C$76,"N/A")</f>
        <v>N/A</v>
      </c>
      <c r="Q34" s="288" t="str">
        <f>IF(P34="Yes", BENEFIT_PARAMETERS!$D$76,"N/A")</f>
        <v>N/A</v>
      </c>
      <c r="R34" s="253" t="str">
        <f t="shared" si="9"/>
        <v>N/A</v>
      </c>
      <c r="S34" s="217">
        <f t="shared" si="47"/>
        <v>0</v>
      </c>
      <c r="T34" s="215">
        <f t="shared" si="74"/>
        <v>0</v>
      </c>
      <c r="U34" s="214" t="b">
        <f t="shared" si="48"/>
        <v>0</v>
      </c>
      <c r="V34" s="251" t="str">
        <f>IF(O34,BENEFIT_PARAMETERS!$C$77,"N/A")</f>
        <v>N/A</v>
      </c>
      <c r="W34" s="288" t="str">
        <f>IF(V34="Yes", BENEFIT_PARAMETERS!$D$77,"N/A")</f>
        <v>N/A</v>
      </c>
      <c r="X34" s="253" t="str">
        <f>IF(O34,COUNTIF(Z$3:Z33,"&gt;0"),"N/A")</f>
        <v>N/A</v>
      </c>
      <c r="Y34" s="217" t="str">
        <f t="shared" si="75"/>
        <v>N/A</v>
      </c>
      <c r="Z34" s="293" t="str">
        <f t="shared" si="49"/>
        <v>N/A</v>
      </c>
      <c r="AA34" s="293">
        <f t="shared" si="50"/>
        <v>0</v>
      </c>
      <c r="AB34" s="293" t="str">
        <f t="shared" si="76"/>
        <v>N/A</v>
      </c>
      <c r="AC34" s="215">
        <f t="shared" si="51"/>
        <v>0</v>
      </c>
      <c r="AD34" s="214" t="b">
        <f t="shared" si="77"/>
        <v>0</v>
      </c>
      <c r="AE34" s="209" t="str">
        <f t="shared" si="78"/>
        <v>.</v>
      </c>
      <c r="AF34" s="216">
        <f t="shared" si="79"/>
        <v>0</v>
      </c>
      <c r="AG34" s="217" t="str">
        <f t="shared" si="80"/>
        <v>N/A</v>
      </c>
      <c r="AH34" s="217" t="b">
        <f t="shared" si="81"/>
        <v>0</v>
      </c>
      <c r="AI34" s="209" t="str">
        <f t="shared" si="82"/>
        <v>.</v>
      </c>
      <c r="AJ34" s="216">
        <f t="shared" si="83"/>
        <v>5</v>
      </c>
      <c r="AK34" s="217" t="str">
        <f t="shared" si="84"/>
        <v>N/A</v>
      </c>
      <c r="AL34" s="217">
        <f t="shared" si="52"/>
        <v>0</v>
      </c>
      <c r="AM34" s="215">
        <f t="shared" si="53"/>
        <v>0</v>
      </c>
      <c r="AN34" s="219" t="b">
        <f t="shared" si="85"/>
        <v>0</v>
      </c>
      <c r="AO34" s="217" t="str">
        <f t="shared" si="86"/>
        <v>N/A</v>
      </c>
      <c r="AP34" s="217" t="str">
        <f>IF(AND(ISNUMBER(AO34),AN34=TRUE),MAX(0,AO34-SUMIFS($AM$3:$AM33,AN$3:AN33,TRUE)),IF(AND(AN34=TRUE,ISNUMBER(AO34)=FALSE),"ERR","N/A"))</f>
        <v>N/A</v>
      </c>
      <c r="AQ34" s="215" t="str">
        <f t="shared" si="87"/>
        <v>N/A</v>
      </c>
      <c r="AR34" s="219" t="b">
        <f t="shared" si="88"/>
        <v>0</v>
      </c>
      <c r="AS34" s="217" t="str">
        <f t="shared" si="89"/>
        <v>N/A</v>
      </c>
      <c r="AT34" s="217" t="str">
        <f>IF(AND(AR34=TRUE,ISNUMBER(AS34)),MAX(0,AS34-SUMIFS($AM$3:$AM33,AR$3:AR33,TRUE)),IF(AND(AR34=TRUE,ISNUMBER(AS34)=FALSE),"ERR","N/A"))</f>
        <v>N/A</v>
      </c>
      <c r="AU34" s="215" t="str">
        <f t="shared" si="90"/>
        <v>N/A</v>
      </c>
      <c r="AV34" s="219" t="b">
        <f t="shared" si="91"/>
        <v>0</v>
      </c>
      <c r="AW34" s="217" t="str">
        <f t="shared" si="92"/>
        <v>N/A</v>
      </c>
      <c r="AX34" s="217" t="str">
        <f>IF(AND(AV34=TRUE,ISNUMBER(AW34)),MAX(0,AW34-SUMIFS($AM$3:$AM33,AV$3:AV33,TRUE)),IF(AND(AV34=TRUE,ISNUMBER(AW34)=FALSE),"ERR","N/A"))</f>
        <v>N/A</v>
      </c>
      <c r="AY34" s="215" t="str">
        <f t="shared" si="93"/>
        <v>N/A</v>
      </c>
      <c r="AZ34" s="219" t="b">
        <f t="shared" si="94"/>
        <v>0</v>
      </c>
      <c r="BA34" s="217" t="str">
        <f t="shared" si="95"/>
        <v>N/A</v>
      </c>
      <c r="BB34" s="217" t="str">
        <f>IF(AND(AZ34=TRUE,ISNUMBER(BA34)),MAX(0,BA34-SUMIFS($AM$3:$AM33,AZ$3:AZ33,TRUE)),IF(AND(AZ34=TRUE,ISNUMBER(BA34)=FALSE),"ERR","N/A"))</f>
        <v>N/A</v>
      </c>
      <c r="BC34" s="215" t="str">
        <f t="shared" si="96"/>
        <v>N/A</v>
      </c>
      <c r="BD34" s="219" t="b">
        <f t="shared" si="97"/>
        <v>0</v>
      </c>
      <c r="BE34" s="217" t="str">
        <f t="shared" si="98"/>
        <v>N/A</v>
      </c>
      <c r="BF34" s="217" t="str">
        <f>IF(AND(BD34=TRUE,ISNUMBER(BE34)=TRUE),MAX(0,BE34-SUMIFS(AM$3:AM33,BD$3:BD33,TRUE,F$3:F33,F34)),IF(AND(BD34=TRUE,ISNUMBER(BE34)=FALSE),"ERR","N/A"))</f>
        <v>N/A</v>
      </c>
      <c r="BG34" s="215" t="str">
        <f t="shared" si="99"/>
        <v>N/A</v>
      </c>
      <c r="BH34" s="214">
        <f t="shared" si="36"/>
        <v>0</v>
      </c>
      <c r="BI34" s="215">
        <f t="shared" si="54"/>
        <v>0</v>
      </c>
      <c r="BJ34" s="214" t="str">
        <f t="shared" si="55"/>
        <v>N/A</v>
      </c>
      <c r="BK34" s="217">
        <f t="shared" si="100"/>
        <v>0</v>
      </c>
      <c r="BL34" s="220" t="b">
        <f t="shared" si="101"/>
        <v>0</v>
      </c>
      <c r="BM34" s="217" t="str">
        <f t="shared" si="102"/>
        <v>N/A</v>
      </c>
      <c r="BN34" s="217" t="str">
        <f t="shared" si="56"/>
        <v>N/A</v>
      </c>
      <c r="BO34" s="220" t="b">
        <f t="shared" si="103"/>
        <v>0</v>
      </c>
      <c r="BP34" s="244" t="str">
        <f t="shared" si="104"/>
        <v>N/A</v>
      </c>
      <c r="BQ34" s="217" t="str">
        <f t="shared" si="57"/>
        <v>N/A</v>
      </c>
      <c r="BR34" s="215">
        <f t="shared" si="58"/>
        <v>0</v>
      </c>
      <c r="BS34" s="214" t="str">
        <f t="shared" si="59"/>
        <v>N/A</v>
      </c>
      <c r="BT34" s="217">
        <f t="shared" si="60"/>
        <v>0</v>
      </c>
      <c r="BU34" s="215">
        <f t="shared" si="61"/>
        <v>0</v>
      </c>
      <c r="BV34" s="214">
        <f t="shared" si="62"/>
        <v>0</v>
      </c>
      <c r="BW34" s="217">
        <f t="shared" si="105"/>
        <v>0</v>
      </c>
      <c r="BX34" s="217">
        <f t="shared" si="106"/>
        <v>0</v>
      </c>
      <c r="BY34" s="217">
        <f t="shared" si="63"/>
        <v>0</v>
      </c>
      <c r="BZ34" s="217">
        <f t="shared" si="44"/>
        <v>0</v>
      </c>
      <c r="CA34" s="217">
        <f t="shared" si="64"/>
        <v>0</v>
      </c>
      <c r="CB34" s="213" t="b">
        <f t="shared" si="107"/>
        <v>1</v>
      </c>
    </row>
    <row r="35" spans="1:80" x14ac:dyDescent="0.25">
      <c r="A35" s="207">
        <v>32</v>
      </c>
      <c r="B35" s="208">
        <v>42629</v>
      </c>
      <c r="C35" s="209">
        <v>9</v>
      </c>
      <c r="D35" s="210">
        <v>41</v>
      </c>
      <c r="E35" s="211" t="str">
        <f t="shared" si="65"/>
        <v>Ultrasound of pregnant uterus, 1 or more fetus(es)</v>
      </c>
      <c r="F35" s="212" t="str">
        <f t="shared" si="66"/>
        <v>Diagnostic Services: Radiology</v>
      </c>
      <c r="G35" s="213" t="str">
        <f t="shared" si="67"/>
        <v>Not Covered</v>
      </c>
      <c r="H35" s="214">
        <f t="shared" si="68"/>
        <v>133.68</v>
      </c>
      <c r="I35" s="217">
        <f t="shared" si="69"/>
        <v>133.68</v>
      </c>
      <c r="J35" s="251">
        <f t="shared" si="70"/>
        <v>0</v>
      </c>
      <c r="K35" s="214" t="b">
        <f t="shared" si="71"/>
        <v>0</v>
      </c>
      <c r="L35" s="218" t="str">
        <f t="shared" si="72"/>
        <v>No</v>
      </c>
      <c r="M35" s="217" t="str">
        <f t="shared" si="73"/>
        <v>.</v>
      </c>
      <c r="N35" s="215" t="str">
        <f>IFERROR(IF(AND(L35="Yes",ISNUMBER(M35)),MAX(0,M35-SUMIFS(BU$3:BU34,L$3:L34,"Yes")),IF(OR(L35="No",M35="None"),"N/A","ERR")),"ERR")</f>
        <v>N/A</v>
      </c>
      <c r="O35" s="251" t="b">
        <f t="shared" si="46"/>
        <v>0</v>
      </c>
      <c r="P35" s="251" t="str">
        <f>IF(O35,BENEFIT_PARAMETERS!$C$76,"N/A")</f>
        <v>N/A</v>
      </c>
      <c r="Q35" s="288" t="str">
        <f>IF(P35="Yes", BENEFIT_PARAMETERS!$D$76,"N/A")</f>
        <v>N/A</v>
      </c>
      <c r="R35" s="253" t="str">
        <f t="shared" si="9"/>
        <v>N/A</v>
      </c>
      <c r="S35" s="217">
        <f t="shared" si="47"/>
        <v>0</v>
      </c>
      <c r="T35" s="215">
        <f t="shared" si="74"/>
        <v>0</v>
      </c>
      <c r="U35" s="214" t="b">
        <f t="shared" si="48"/>
        <v>0</v>
      </c>
      <c r="V35" s="251" t="str">
        <f>IF(O35,BENEFIT_PARAMETERS!$C$77,"N/A")</f>
        <v>N/A</v>
      </c>
      <c r="W35" s="288" t="str">
        <f>IF(V35="Yes", BENEFIT_PARAMETERS!$D$77,"N/A")</f>
        <v>N/A</v>
      </c>
      <c r="X35" s="253" t="str">
        <f>IF(O35,COUNTIF(Z$3:Z34,"&gt;0"),"N/A")</f>
        <v>N/A</v>
      </c>
      <c r="Y35" s="217" t="str">
        <f t="shared" si="75"/>
        <v>N/A</v>
      </c>
      <c r="Z35" s="293" t="str">
        <f t="shared" si="49"/>
        <v>N/A</v>
      </c>
      <c r="AA35" s="293">
        <f t="shared" si="50"/>
        <v>0</v>
      </c>
      <c r="AB35" s="293" t="str">
        <f t="shared" si="76"/>
        <v>N/A</v>
      </c>
      <c r="AC35" s="215">
        <f t="shared" si="51"/>
        <v>0</v>
      </c>
      <c r="AD35" s="214" t="b">
        <f t="shared" si="77"/>
        <v>0</v>
      </c>
      <c r="AE35" s="209" t="str">
        <f t="shared" si="78"/>
        <v>.</v>
      </c>
      <c r="AF35" s="216">
        <f t="shared" si="79"/>
        <v>0</v>
      </c>
      <c r="AG35" s="217" t="str">
        <f t="shared" si="80"/>
        <v>N/A</v>
      </c>
      <c r="AH35" s="217" t="b">
        <f t="shared" si="81"/>
        <v>0</v>
      </c>
      <c r="AI35" s="209" t="str">
        <f t="shared" si="82"/>
        <v>.</v>
      </c>
      <c r="AJ35" s="216">
        <f t="shared" si="83"/>
        <v>0</v>
      </c>
      <c r="AK35" s="217" t="str">
        <f t="shared" si="84"/>
        <v>N/A</v>
      </c>
      <c r="AL35" s="217">
        <f t="shared" si="52"/>
        <v>0</v>
      </c>
      <c r="AM35" s="215">
        <f t="shared" si="53"/>
        <v>0</v>
      </c>
      <c r="AN35" s="219" t="b">
        <f t="shared" si="85"/>
        <v>0</v>
      </c>
      <c r="AO35" s="217" t="str">
        <f t="shared" si="86"/>
        <v>N/A</v>
      </c>
      <c r="AP35" s="217" t="str">
        <f>IF(AND(ISNUMBER(AO35),AN35=TRUE),MAX(0,AO35-SUMIFS($AM$3:$AM34,AN$3:AN34,TRUE)),IF(AND(AN35=TRUE,ISNUMBER(AO35)=FALSE),"ERR","N/A"))</f>
        <v>N/A</v>
      </c>
      <c r="AQ35" s="215" t="str">
        <f t="shared" si="87"/>
        <v>N/A</v>
      </c>
      <c r="AR35" s="219" t="b">
        <f t="shared" si="88"/>
        <v>0</v>
      </c>
      <c r="AS35" s="217" t="str">
        <f t="shared" si="89"/>
        <v>N/A</v>
      </c>
      <c r="AT35" s="217" t="str">
        <f>IF(AND(AR35=TRUE,ISNUMBER(AS35)),MAX(0,AS35-SUMIFS($AM$3:$AM34,AR$3:AR34,TRUE)),IF(AND(AR35=TRUE,ISNUMBER(AS35)=FALSE),"ERR","N/A"))</f>
        <v>N/A</v>
      </c>
      <c r="AU35" s="215" t="str">
        <f t="shared" si="90"/>
        <v>N/A</v>
      </c>
      <c r="AV35" s="219" t="b">
        <f t="shared" si="91"/>
        <v>0</v>
      </c>
      <c r="AW35" s="217" t="str">
        <f t="shared" si="92"/>
        <v>N/A</v>
      </c>
      <c r="AX35" s="217" t="str">
        <f>IF(AND(AV35=TRUE,ISNUMBER(AW35)),MAX(0,AW35-SUMIFS($AM$3:$AM34,AV$3:AV34,TRUE)),IF(AND(AV35=TRUE,ISNUMBER(AW35)=FALSE),"ERR","N/A"))</f>
        <v>N/A</v>
      </c>
      <c r="AY35" s="215" t="str">
        <f t="shared" si="93"/>
        <v>N/A</v>
      </c>
      <c r="AZ35" s="219" t="b">
        <f t="shared" si="94"/>
        <v>0</v>
      </c>
      <c r="BA35" s="217" t="str">
        <f t="shared" si="95"/>
        <v>N/A</v>
      </c>
      <c r="BB35" s="217" t="str">
        <f>IF(AND(AZ35=TRUE,ISNUMBER(BA35)),MAX(0,BA35-SUMIFS($AM$3:$AM34,AZ$3:AZ34,TRUE)),IF(AND(AZ35=TRUE,ISNUMBER(BA35)=FALSE),"ERR","N/A"))</f>
        <v>N/A</v>
      </c>
      <c r="BC35" s="215" t="str">
        <f t="shared" si="96"/>
        <v>N/A</v>
      </c>
      <c r="BD35" s="219" t="b">
        <f t="shared" si="97"/>
        <v>0</v>
      </c>
      <c r="BE35" s="217" t="str">
        <f t="shared" si="98"/>
        <v>N/A</v>
      </c>
      <c r="BF35" s="217" t="str">
        <f>IF(AND(BD35=TRUE,ISNUMBER(BE35)=TRUE),MAX(0,BE35-SUMIFS(AM$3:AM34,BD$3:BD34,TRUE,F$3:F34,F35)),IF(AND(BD35=TRUE,ISNUMBER(BE35)=FALSE),"ERR","N/A"))</f>
        <v>N/A</v>
      </c>
      <c r="BG35" s="215" t="str">
        <f t="shared" si="99"/>
        <v>N/A</v>
      </c>
      <c r="BH35" s="214">
        <f t="shared" si="36"/>
        <v>0</v>
      </c>
      <c r="BI35" s="215">
        <f t="shared" si="54"/>
        <v>0</v>
      </c>
      <c r="BJ35" s="214" t="str">
        <f t="shared" si="55"/>
        <v>N/A</v>
      </c>
      <c r="BK35" s="217">
        <f t="shared" si="100"/>
        <v>0</v>
      </c>
      <c r="BL35" s="220" t="b">
        <f t="shared" si="101"/>
        <v>0</v>
      </c>
      <c r="BM35" s="217" t="str">
        <f t="shared" si="102"/>
        <v>N/A</v>
      </c>
      <c r="BN35" s="217" t="str">
        <f t="shared" si="56"/>
        <v>N/A</v>
      </c>
      <c r="BO35" s="220" t="b">
        <f t="shared" si="103"/>
        <v>0</v>
      </c>
      <c r="BP35" s="244" t="str">
        <f t="shared" si="104"/>
        <v>N/A</v>
      </c>
      <c r="BQ35" s="217" t="str">
        <f t="shared" si="57"/>
        <v>N/A</v>
      </c>
      <c r="BR35" s="215">
        <f t="shared" si="58"/>
        <v>0</v>
      </c>
      <c r="BS35" s="214" t="str">
        <f t="shared" si="59"/>
        <v>N/A</v>
      </c>
      <c r="BT35" s="217">
        <f t="shared" si="60"/>
        <v>0</v>
      </c>
      <c r="BU35" s="215">
        <f t="shared" si="61"/>
        <v>0</v>
      </c>
      <c r="BV35" s="214">
        <f t="shared" si="62"/>
        <v>0</v>
      </c>
      <c r="BW35" s="217">
        <f t="shared" si="105"/>
        <v>133.68</v>
      </c>
      <c r="BX35" s="217">
        <f t="shared" si="106"/>
        <v>0</v>
      </c>
      <c r="BY35" s="217">
        <f t="shared" si="63"/>
        <v>0</v>
      </c>
      <c r="BZ35" s="217">
        <f t="shared" si="44"/>
        <v>0</v>
      </c>
      <c r="CA35" s="217">
        <f t="shared" si="64"/>
        <v>0</v>
      </c>
      <c r="CB35" s="213" t="b">
        <f t="shared" si="107"/>
        <v>1</v>
      </c>
    </row>
    <row r="36" spans="1:80" x14ac:dyDescent="0.25">
      <c r="A36" s="207">
        <v>33</v>
      </c>
      <c r="B36" s="208">
        <v>42643</v>
      </c>
      <c r="C36" s="209">
        <v>9</v>
      </c>
      <c r="D36" s="210">
        <v>32</v>
      </c>
      <c r="E36" s="211" t="str">
        <f t="shared" si="65"/>
        <v>Office/Outpatient Visit Est</v>
      </c>
      <c r="F36" s="212" t="str">
        <f t="shared" si="66"/>
        <v>Professional Services: Obstetric Care (Bundled)</v>
      </c>
      <c r="G36" s="213" t="str">
        <f t="shared" si="67"/>
        <v>Not Covered</v>
      </c>
      <c r="H36" s="214">
        <f t="shared" si="68"/>
        <v>0</v>
      </c>
      <c r="I36" s="217">
        <f t="shared" si="69"/>
        <v>0</v>
      </c>
      <c r="J36" s="251">
        <f t="shared" si="70"/>
        <v>0</v>
      </c>
      <c r="K36" s="214" t="b">
        <f t="shared" si="71"/>
        <v>0</v>
      </c>
      <c r="L36" s="218" t="str">
        <f t="shared" si="72"/>
        <v>No</v>
      </c>
      <c r="M36" s="217" t="str">
        <f t="shared" si="73"/>
        <v>.</v>
      </c>
      <c r="N36" s="215" t="str">
        <f>IFERROR(IF(AND(L36="Yes",ISNUMBER(M36)),MAX(0,M36-SUMIFS(BU$3:BU35,L$3:L35,"Yes")),IF(OR(L36="No",M36="None"),"N/A","ERR")),"ERR")</f>
        <v>N/A</v>
      </c>
      <c r="O36" s="251" t="b">
        <f t="shared" si="46"/>
        <v>0</v>
      </c>
      <c r="P36" s="251" t="str">
        <f>IF(O36,BENEFIT_PARAMETERS!$C$76,"N/A")</f>
        <v>N/A</v>
      </c>
      <c r="Q36" s="288" t="str">
        <f>IF(P36="Yes", BENEFIT_PARAMETERS!$D$76,"N/A")</f>
        <v>N/A</v>
      </c>
      <c r="R36" s="253" t="str">
        <f t="shared" ref="R36:R50" si="108">IF(O36,COUNTIFS(BenefitCategory,"Professional Services: Primary Care",ClaimNumber,"&lt;"&amp;A36),"N/A")</f>
        <v>N/A</v>
      </c>
      <c r="S36" s="217">
        <f t="shared" si="47"/>
        <v>0</v>
      </c>
      <c r="T36" s="215">
        <f t="shared" si="74"/>
        <v>0</v>
      </c>
      <c r="U36" s="214" t="b">
        <f t="shared" si="48"/>
        <v>0</v>
      </c>
      <c r="V36" s="251" t="str">
        <f>IF(O36,BENEFIT_PARAMETERS!$C$77,"N/A")</f>
        <v>N/A</v>
      </c>
      <c r="W36" s="288" t="str">
        <f>IF(V36="Yes", BENEFIT_PARAMETERS!$D$77,"N/A")</f>
        <v>N/A</v>
      </c>
      <c r="X36" s="253" t="str">
        <f>IF(O36,COUNTIF(Z$3:Z35,"&gt;0"),"N/A")</f>
        <v>N/A</v>
      </c>
      <c r="Y36" s="217" t="str">
        <f t="shared" si="75"/>
        <v>N/A</v>
      </c>
      <c r="Z36" s="293" t="str">
        <f t="shared" si="49"/>
        <v>N/A</v>
      </c>
      <c r="AA36" s="293">
        <f t="shared" si="50"/>
        <v>0</v>
      </c>
      <c r="AB36" s="293" t="str">
        <f t="shared" si="76"/>
        <v>N/A</v>
      </c>
      <c r="AC36" s="215">
        <f t="shared" si="51"/>
        <v>0</v>
      </c>
      <c r="AD36" s="214" t="b">
        <f t="shared" si="77"/>
        <v>0</v>
      </c>
      <c r="AE36" s="209" t="str">
        <f t="shared" si="78"/>
        <v>.</v>
      </c>
      <c r="AF36" s="216">
        <f t="shared" si="79"/>
        <v>1</v>
      </c>
      <c r="AG36" s="217" t="str">
        <f t="shared" si="80"/>
        <v>N/A</v>
      </c>
      <c r="AH36" s="217" t="b">
        <f t="shared" si="81"/>
        <v>0</v>
      </c>
      <c r="AI36" s="209" t="str">
        <f t="shared" si="82"/>
        <v>.</v>
      </c>
      <c r="AJ36" s="216">
        <f t="shared" si="83"/>
        <v>6</v>
      </c>
      <c r="AK36" s="217" t="str">
        <f t="shared" si="84"/>
        <v>N/A</v>
      </c>
      <c r="AL36" s="217">
        <f t="shared" si="52"/>
        <v>0</v>
      </c>
      <c r="AM36" s="215">
        <f t="shared" si="53"/>
        <v>0</v>
      </c>
      <c r="AN36" s="219" t="b">
        <f t="shared" si="85"/>
        <v>0</v>
      </c>
      <c r="AO36" s="217" t="str">
        <f t="shared" si="86"/>
        <v>N/A</v>
      </c>
      <c r="AP36" s="217" t="str">
        <f>IF(AND(ISNUMBER(AO36),AN36=TRUE),MAX(0,AO36-SUMIFS($AM$3:$AM35,AN$3:AN35,TRUE)),IF(AND(AN36=TRUE,ISNUMBER(AO36)=FALSE),"ERR","N/A"))</f>
        <v>N/A</v>
      </c>
      <c r="AQ36" s="215" t="str">
        <f t="shared" si="87"/>
        <v>N/A</v>
      </c>
      <c r="AR36" s="219" t="b">
        <f t="shared" si="88"/>
        <v>0</v>
      </c>
      <c r="AS36" s="217" t="str">
        <f t="shared" si="89"/>
        <v>N/A</v>
      </c>
      <c r="AT36" s="217" t="str">
        <f>IF(AND(AR36=TRUE,ISNUMBER(AS36)),MAX(0,AS36-SUMIFS($AM$3:$AM35,AR$3:AR35,TRUE)),IF(AND(AR36=TRUE,ISNUMBER(AS36)=FALSE),"ERR","N/A"))</f>
        <v>N/A</v>
      </c>
      <c r="AU36" s="215" t="str">
        <f t="shared" si="90"/>
        <v>N/A</v>
      </c>
      <c r="AV36" s="219" t="b">
        <f t="shared" si="91"/>
        <v>0</v>
      </c>
      <c r="AW36" s="217" t="str">
        <f t="shared" si="92"/>
        <v>N/A</v>
      </c>
      <c r="AX36" s="217" t="str">
        <f>IF(AND(AV36=TRUE,ISNUMBER(AW36)),MAX(0,AW36-SUMIFS($AM$3:$AM35,AV$3:AV35,TRUE)),IF(AND(AV36=TRUE,ISNUMBER(AW36)=FALSE),"ERR","N/A"))</f>
        <v>N/A</v>
      </c>
      <c r="AY36" s="215" t="str">
        <f t="shared" si="93"/>
        <v>N/A</v>
      </c>
      <c r="AZ36" s="219" t="b">
        <f t="shared" si="94"/>
        <v>0</v>
      </c>
      <c r="BA36" s="217" t="str">
        <f t="shared" si="95"/>
        <v>N/A</v>
      </c>
      <c r="BB36" s="217" t="str">
        <f>IF(AND(AZ36=TRUE,ISNUMBER(BA36)),MAX(0,BA36-SUMIFS($AM$3:$AM35,AZ$3:AZ35,TRUE)),IF(AND(AZ36=TRUE,ISNUMBER(BA36)=FALSE),"ERR","N/A"))</f>
        <v>N/A</v>
      </c>
      <c r="BC36" s="215" t="str">
        <f t="shared" si="96"/>
        <v>N/A</v>
      </c>
      <c r="BD36" s="219" t="b">
        <f t="shared" si="97"/>
        <v>0</v>
      </c>
      <c r="BE36" s="217" t="str">
        <f t="shared" si="98"/>
        <v>N/A</v>
      </c>
      <c r="BF36" s="217" t="str">
        <f>IF(AND(BD36=TRUE,ISNUMBER(BE36)=TRUE),MAX(0,BE36-SUMIFS(AM$3:AM35,BD$3:BD35,TRUE,F$3:F35,F36)),IF(AND(BD36=TRUE,ISNUMBER(BE36)=FALSE),"ERR","N/A"))</f>
        <v>N/A</v>
      </c>
      <c r="BG36" s="215" t="str">
        <f t="shared" si="99"/>
        <v>N/A</v>
      </c>
      <c r="BH36" s="214">
        <f t="shared" si="36"/>
        <v>0</v>
      </c>
      <c r="BI36" s="215">
        <f t="shared" si="54"/>
        <v>0</v>
      </c>
      <c r="BJ36" s="214" t="str">
        <f t="shared" si="55"/>
        <v>N/A</v>
      </c>
      <c r="BK36" s="217">
        <f t="shared" si="100"/>
        <v>0</v>
      </c>
      <c r="BL36" s="220" t="b">
        <f t="shared" si="101"/>
        <v>0</v>
      </c>
      <c r="BM36" s="217" t="str">
        <f t="shared" si="102"/>
        <v>N/A</v>
      </c>
      <c r="BN36" s="217" t="str">
        <f t="shared" si="56"/>
        <v>N/A</v>
      </c>
      <c r="BO36" s="220" t="b">
        <f t="shared" si="103"/>
        <v>0</v>
      </c>
      <c r="BP36" s="244" t="str">
        <f t="shared" si="104"/>
        <v>N/A</v>
      </c>
      <c r="BQ36" s="217" t="str">
        <f t="shared" si="57"/>
        <v>N/A</v>
      </c>
      <c r="BR36" s="215">
        <f t="shared" si="58"/>
        <v>0</v>
      </c>
      <c r="BS36" s="214" t="str">
        <f t="shared" si="59"/>
        <v>N/A</v>
      </c>
      <c r="BT36" s="217">
        <f t="shared" si="60"/>
        <v>0</v>
      </c>
      <c r="BU36" s="215">
        <f t="shared" si="61"/>
        <v>0</v>
      </c>
      <c r="BV36" s="214">
        <f t="shared" si="62"/>
        <v>0</v>
      </c>
      <c r="BW36" s="217">
        <f t="shared" si="105"/>
        <v>0</v>
      </c>
      <c r="BX36" s="217">
        <f t="shared" si="106"/>
        <v>0</v>
      </c>
      <c r="BY36" s="217">
        <f t="shared" si="63"/>
        <v>0</v>
      </c>
      <c r="BZ36" s="217">
        <f t="shared" si="44"/>
        <v>0</v>
      </c>
      <c r="CA36" s="217">
        <f t="shared" si="64"/>
        <v>0</v>
      </c>
      <c r="CB36" s="213" t="b">
        <f t="shared" si="107"/>
        <v>1</v>
      </c>
    </row>
    <row r="37" spans="1:80" x14ac:dyDescent="0.25">
      <c r="A37" s="207">
        <v>34</v>
      </c>
      <c r="B37" s="208">
        <v>42647</v>
      </c>
      <c r="C37" s="209">
        <v>10</v>
      </c>
      <c r="D37" s="210">
        <v>8</v>
      </c>
      <c r="E37" s="211" t="str">
        <f t="shared" si="65"/>
        <v>Prenatal Vitamins (OTC - Bottle of 100) [1 pill daily; 30 pills/month]</v>
      </c>
      <c r="F37" s="212" t="str">
        <f t="shared" si="66"/>
        <v>Over-the-counter Drugs</v>
      </c>
      <c r="G37" s="213" t="str">
        <f t="shared" si="67"/>
        <v>Not Covered</v>
      </c>
      <c r="H37" s="214">
        <f t="shared" ref="H37:H46" si="109">VLOOKUP(D37,MaternityFeeSchedule,7,FALSE)</f>
        <v>11.48</v>
      </c>
      <c r="I37" s="217">
        <f t="shared" ref="I37:I46" si="110">IF(G37="Not Covered",H37,0)</f>
        <v>11.48</v>
      </c>
      <c r="J37" s="251">
        <f t="shared" ref="J37:J46" si="111">H37-I37</f>
        <v>0</v>
      </c>
      <c r="K37" s="214" t="b">
        <f t="shared" ref="K37:K46" si="112">VLOOKUP(F37,nrCoverageTable,COLUMN(nrOOPLimitValid),FALSE)</f>
        <v>0</v>
      </c>
      <c r="L37" s="218" t="str">
        <f t="shared" ref="L37:L46" si="113">IF(K37,VLOOKUP(F37,BenefitDesignTable,COLUMN(BenefitOOPLimitApplies),FALSE),"No")</f>
        <v>No</v>
      </c>
      <c r="M37" s="217" t="str">
        <f t="shared" ref="M37:M46" si="114">VLOOKUP(F37,BenefitDesignTable,COLUMN(OPLimit),FALSE)</f>
        <v>.</v>
      </c>
      <c r="N37" s="215" t="str">
        <f>IFERROR(IF(AND(L37="Yes",ISNUMBER(M37)),MAX(0,M37-SUMIFS(BU$3:BU36,L$3:L36,"Yes")),IF(OR(L37="No",M37="None"),"N/A","ERR")),"ERR")</f>
        <v>N/A</v>
      </c>
      <c r="O37" s="251" t="b">
        <f t="shared" si="46"/>
        <v>0</v>
      </c>
      <c r="P37" s="251" t="str">
        <f>IF(O37,BENEFIT_PARAMETERS!$C$76,"N/A")</f>
        <v>N/A</v>
      </c>
      <c r="Q37" s="288" t="str">
        <f>IF(P37="Yes", BENEFIT_PARAMETERS!$D$76,"N/A")</f>
        <v>N/A</v>
      </c>
      <c r="R37" s="253" t="str">
        <f t="shared" si="108"/>
        <v>N/A</v>
      </c>
      <c r="S37" s="217">
        <f t="shared" ref="S37:S46" si="115">IF(P37="Yes",IF(R37&lt;Q37,MIN(J37,N37),0),0)</f>
        <v>0</v>
      </c>
      <c r="T37" s="215">
        <f t="shared" ref="T37:T46" si="116">J37-S37</f>
        <v>0</v>
      </c>
      <c r="U37" s="214" t="b">
        <f t="shared" si="48"/>
        <v>0</v>
      </c>
      <c r="V37" s="251" t="str">
        <f>IF(O37,BENEFIT_PARAMETERS!$C$77,"N/A")</f>
        <v>N/A</v>
      </c>
      <c r="W37" s="288" t="str">
        <f>IF(V37="Yes", BENEFIT_PARAMETERS!$D$77,"N/A")</f>
        <v>N/A</v>
      </c>
      <c r="X37" s="253" t="str">
        <f>IF(O37,COUNTIF(Z$3:Z36,"&gt;0"),"N/A")</f>
        <v>N/A</v>
      </c>
      <c r="Y37" s="217" t="str">
        <f t="shared" ref="Y37:Y46" si="117">IF(V37="Yes",VLOOKUP("Professional Services: Primary Care",BenefitDesignTable,COLUMN(BenefitCopay),FALSE),"N/A")</f>
        <v>N/A</v>
      </c>
      <c r="Z37" s="293" t="str">
        <f t="shared" ref="Z37:Z46" si="118">IF(AND(V37="Yes",U37=TRUE,X37&lt;W37), MIN(Y37,T37,N37),"N/A")</f>
        <v>N/A</v>
      </c>
      <c r="AA37" s="293">
        <f t="shared" ref="AA37:AA46" si="119">IF(Z37="N/A",0,T37-Z37)</f>
        <v>0</v>
      </c>
      <c r="AB37" s="293" t="str">
        <f t="shared" ref="AB37:AB46" si="120">IF(L37="Yes",IF(Z37="N/A",N37,N37-Z37),"N/A")</f>
        <v>N/A</v>
      </c>
      <c r="AC37" s="215">
        <f t="shared" ref="AC37:AC46" si="121">IF(Z37="N/A",T37,0)</f>
        <v>0</v>
      </c>
      <c r="AD37" s="214" t="b">
        <f t="shared" ref="AD37:AD46" si="122">VLOOKUP(F37,nrCoverageTable,COLUMN(nrMonthlyLimitValid),FALSE)</f>
        <v>0</v>
      </c>
      <c r="AE37" s="209" t="str">
        <f t="shared" ref="AE37:AE46" si="123">IF(AD37,VLOOKUP(F37,BenefitDesignTable,COLUMN(BenefitLimithMonth),FALSE),".")</f>
        <v>.</v>
      </c>
      <c r="AF37" s="216">
        <f t="shared" ref="AF37:AF46" si="124">COUNTIFS(ServiceCode,D37,ClaimMonth,C37,ClaimNumber,"&lt;"&amp;A37)</f>
        <v>0</v>
      </c>
      <c r="AG37" s="217" t="str">
        <f t="shared" ref="AG37:AG46" si="125">IF(AD37,IF(OR(AE37="None",ISNUMBER(AE37)),IF(AF37&gt;=AE37,H37,0),"ERR"),"N/A")</f>
        <v>N/A</v>
      </c>
      <c r="AH37" s="217" t="b">
        <f t="shared" ref="AH37:AH46" si="126">VLOOKUP(F37,nrCoverageTable,COLUMN(nrAnnualLimitValid),FALSE)</f>
        <v>0</v>
      </c>
      <c r="AI37" s="209" t="str">
        <f t="shared" ref="AI37:AI46" si="127">IF(AH37,VLOOKUP(F37,BenefitDesignTable,COLUMN(BenefitLimitAnnual),FALSE),".")</f>
        <v>.</v>
      </c>
      <c r="AJ37" s="216">
        <f t="shared" ref="AJ37:AJ46" si="128">COUNTIFS(ServiceCode,D37,ClaimNumber,"&lt;"&amp;A37)</f>
        <v>3</v>
      </c>
      <c r="AK37" s="217" t="str">
        <f t="shared" ref="AK37:AK46" si="129">IF(AH37,IF(OR(AI37="None",ISNUMBER(AI37)),IF(AJ37&gt;=AI37,H37,0),"ERR"),"N/A")</f>
        <v>N/A</v>
      </c>
      <c r="AL37" s="217">
        <f t="shared" ref="AL37:AL46" si="130">IF(OR(AG37="ERR",AK37="ERR"),"ERR",MAX(AG37,AK37))</f>
        <v>0</v>
      </c>
      <c r="AM37" s="215">
        <f t="shared" ref="AM37:AM46" si="131">IFERROR(AC37-AL37,"ERR")</f>
        <v>0</v>
      </c>
      <c r="AN37" s="219" t="b">
        <f t="shared" ref="AN37:AN46" si="132">VLOOKUP(F37,nrCoverageTable,COLUMN(nrUsesPlanDeduct),FALSE)</f>
        <v>0</v>
      </c>
      <c r="AO37" s="217" t="str">
        <f t="shared" ref="AO37:AO46" si="133">IF(AN37,VLOOKUP(F37,BenefitDesignTable,COLUMN(PlanDeductible),FALSE),"N/A")</f>
        <v>N/A</v>
      </c>
      <c r="AP37" s="217" t="str">
        <f>IF(AND(ISNUMBER(AO37),AN37=TRUE),MAX(0,AO37-SUMIFS($AM$3:$AM36,AN$3:AN36,TRUE)),IF(AND(AN37=TRUE,ISNUMBER(AO37)=FALSE),"ERR","N/A"))</f>
        <v>N/A</v>
      </c>
      <c r="AQ37" s="215" t="str">
        <f t="shared" ref="AQ37:AQ46" si="134">IF(ISNUMBER(AP37),MIN($AM37,AP37),"N/A")</f>
        <v>N/A</v>
      </c>
      <c r="AR37" s="219" t="b">
        <f t="shared" ref="AR37:AR46" si="135">VLOOKUP(F37,nrCoverageTable,COLUMN(nrUsesRxDeduct),FALSE)</f>
        <v>0</v>
      </c>
      <c r="AS37" s="217" t="str">
        <f t="shared" ref="AS37:AS46" si="136">IF(AR37,VLOOKUP(F37,BenefitDesignTable,COLUMN(RxDeductible),FALSE),"N/A")</f>
        <v>N/A</v>
      </c>
      <c r="AT37" s="217" t="str">
        <f>IF(AND(AR37=TRUE,ISNUMBER(AS37)),MAX(0,AS37-SUMIFS($AM$3:$AM36,AR$3:AR36,TRUE)),IF(AND(AR37=TRUE,ISNUMBER(AS37)=FALSE),"ERR","N/A"))</f>
        <v>N/A</v>
      </c>
      <c r="AU37" s="215" t="str">
        <f t="shared" ref="AU37:AU46" si="137">IF(ISNUMBER(AT37),MIN($AM37,AT37),"N/A")</f>
        <v>N/A</v>
      </c>
      <c r="AV37" s="219" t="b">
        <f t="shared" ref="AV37:AV46" si="138">VLOOKUP(F37,nrCoverageTable,COLUMN(nrUsesDeductC),FALSE)</f>
        <v>0</v>
      </c>
      <c r="AW37" s="217" t="str">
        <f t="shared" ref="AW37:AW46" si="139">IF(AV37,VLOOKUP(F37,BenefitDesignTable,COLUMN(OptDeductibleC),FALSE),"N/A")</f>
        <v>N/A</v>
      </c>
      <c r="AX37" s="217" t="str">
        <f>IF(AND(AV37=TRUE,ISNUMBER(AW37)),MAX(0,AW37-SUMIFS($AM$3:$AM36,AV$3:AV36,TRUE)),IF(AND(AV37=TRUE,ISNUMBER(AW37)=FALSE),"ERR","N/A"))</f>
        <v>N/A</v>
      </c>
      <c r="AY37" s="215" t="str">
        <f t="shared" ref="AY37:AY46" si="140">IF(ISNUMBER(AX37),MIN($AM37,AX37),"N/A")</f>
        <v>N/A</v>
      </c>
      <c r="AZ37" s="219" t="b">
        <f t="shared" ref="AZ37:AZ46" si="141">VLOOKUP(F37,nrCoverageTable,COLUMN(nrUsesDeductD),FALSE)</f>
        <v>0</v>
      </c>
      <c r="BA37" s="217" t="str">
        <f t="shared" ref="BA37:BA46" si="142">IF(AZ37,VLOOKUP(F37,BenefitDesignTable,COLUMN(OptDeductibleD),FALSE),"N/A")</f>
        <v>N/A</v>
      </c>
      <c r="BB37" s="217" t="str">
        <f>IF(AND(AZ37=TRUE,ISNUMBER(BA37)),MAX(0,BA37-SUMIFS($AM$3:$AM36,AZ$3:AZ36,TRUE)),IF(AND(AZ37=TRUE,ISNUMBER(BA37)=FALSE),"ERR","N/A"))</f>
        <v>N/A</v>
      </c>
      <c r="BC37" s="215" t="str">
        <f t="shared" ref="BC37:BC46" si="143">IF(ISNUMBER(BB37),MIN($AM37,BB37),"N/A")</f>
        <v>N/A</v>
      </c>
      <c r="BD37" s="219" t="b">
        <f t="shared" ref="BD37:BD46" si="144">VLOOKUP(F37,nrCoverageTable,COLUMN(nrUsesBenDeduct),FALSE)</f>
        <v>0</v>
      </c>
      <c r="BE37" s="217" t="str">
        <f t="shared" ref="BE37:BE46" si="145">IF(BD37,VLOOKUP(F37,BenefitDesignTable,COLUMN(BenefitDeductible),FALSE),"N/A")</f>
        <v>N/A</v>
      </c>
      <c r="BF37" s="217" t="str">
        <f>IF(AND(BD37=TRUE,ISNUMBER(BE37)=TRUE),MAX(0,BE37-SUMIFS(AM$3:AM36,BD$3:BD36,TRUE,F$3:F36,F37)),IF(AND(BD37=TRUE,ISNUMBER(BE37)=FALSE),"ERR","N/A"))</f>
        <v>N/A</v>
      </c>
      <c r="BG37" s="215" t="str">
        <f t="shared" ref="BG37:BG46" si="146">IF(ISNUMBER(BF37),MIN($AM37,BF37),"N/A")</f>
        <v>N/A</v>
      </c>
      <c r="BH37" s="214">
        <f t="shared" ref="BH37:BH46" si="147">SUM(AQ37,AU37,AY37,BC37,BG37)</f>
        <v>0</v>
      </c>
      <c r="BI37" s="215">
        <f t="shared" ref="BI37:BI46" si="148">IF(OR(AB37="ERR",BH37="ERR"),"ERR",MIN(BH37,AB37))</f>
        <v>0</v>
      </c>
      <c r="BJ37" s="214" t="str">
        <f t="shared" si="55"/>
        <v>N/A</v>
      </c>
      <c r="BK37" s="217">
        <f t="shared" ref="BK37:BK46" si="149">IF(OR(BI37="ERR",AM37="ERR"),"ERR",MAX(0,AM37-BI37))</f>
        <v>0</v>
      </c>
      <c r="BL37" s="220" t="b">
        <f t="shared" ref="BL37:BL46" si="150">VLOOKUP(F37,nrCoverageTable,COLUMN(nrUsesCopay),FALSE)</f>
        <v>0</v>
      </c>
      <c r="BM37" s="217" t="str">
        <f t="shared" ref="BM37:BM46" si="151">IF(BL37,VLOOKUP(F37,BenefitDesignTable,COLUMN(BenefitCopay),FALSE),"N/A")</f>
        <v>N/A</v>
      </c>
      <c r="BN37" s="217" t="str">
        <f t="shared" ref="BN37:BN46" si="152">IF(BK37="ERR","ERR",IF(AND(BL37=TRUE,ISNUMBER(BM37)),MIN(BK37,BM37,BJ37),IF(AND(BL37=TRUE,ISNUMBER(BM37)=FALSE),"ERR","N/A")))</f>
        <v>N/A</v>
      </c>
      <c r="BO37" s="220" t="b">
        <f t="shared" ref="BO37:BO46" si="153">VLOOKUP(F37,nrCoverageTable,COLUMN(nrUsesCoins),FALSE)</f>
        <v>0</v>
      </c>
      <c r="BP37" s="244" t="str">
        <f t="shared" ref="BP37:BP46" si="154">IF(BO37,VLOOKUP(F37,BenefitDesignTable,COLUMN(BenefitCoins),FALSE),"N/A")</f>
        <v>N/A</v>
      </c>
      <c r="BQ37" s="217" t="str">
        <f t="shared" ref="BQ37:BQ46" si="155">IF(BK37="ERR","ERR",IF(AND(BO37=TRUE,ISNUMBER(BP37)=TRUE),MIN(BJ37,BK37*BP37),IF(AND(BO37=TRUE,ISNUMBER(BP37)=FALSE),"ERR","N/A")))</f>
        <v>N/A</v>
      </c>
      <c r="BR37" s="215">
        <f t="shared" ref="BR37:BR46" si="156">IF(OR(BJ37="ERR",BN37="ERR",BQ37="ERR"),"ERR",MIN(BJ37,SUM(BN37,BQ37)))</f>
        <v>0</v>
      </c>
      <c r="BS37" s="214" t="str">
        <f t="shared" si="59"/>
        <v>N/A</v>
      </c>
      <c r="BT37" s="217">
        <f t="shared" ref="BT37:BT46" si="157">IF(OR(BK37="ERR",BR37="ERR"),"ERR",MAX(BK37-BR37,0))</f>
        <v>0</v>
      </c>
      <c r="BU37" s="215">
        <f t="shared" si="61"/>
        <v>0</v>
      </c>
      <c r="BV37" s="214">
        <f t="shared" si="62"/>
        <v>0</v>
      </c>
      <c r="BW37" s="217">
        <f t="shared" ref="BW37:BW46" si="158">I37</f>
        <v>11.48</v>
      </c>
      <c r="BX37" s="217">
        <f t="shared" ref="BX37:BX46" si="159">IF(OR(AG37="ERR",AK37="ERR"),"ERR",SUM(AG37,AK37))</f>
        <v>0</v>
      </c>
      <c r="BY37" s="217">
        <f t="shared" ref="BY37:BY46" si="160">BI37</f>
        <v>0</v>
      </c>
      <c r="BZ37" s="217">
        <f t="shared" ref="BZ37:BZ46" si="161">IF(V37="Yes",IF(Z37="N/A",0,Z37),0)+IF(BL37,BN37,0)</f>
        <v>0</v>
      </c>
      <c r="CA37" s="217">
        <f t="shared" ref="CA37:CA46" si="162">IF(BO37,BQ37,0)</f>
        <v>0</v>
      </c>
      <c r="CB37" s="213" t="b">
        <f t="shared" ref="CB37:CB46" si="163">SUM(BV37:CA37)=H37</f>
        <v>1</v>
      </c>
    </row>
    <row r="38" spans="1:80" x14ac:dyDescent="0.25">
      <c r="A38" s="207">
        <v>35</v>
      </c>
      <c r="B38" s="208">
        <v>42657</v>
      </c>
      <c r="C38" s="209">
        <v>10</v>
      </c>
      <c r="D38" s="210">
        <v>32</v>
      </c>
      <c r="E38" s="211" t="str">
        <f t="shared" si="65"/>
        <v>Office/Outpatient Visit Est</v>
      </c>
      <c r="F38" s="212" t="str">
        <f t="shared" si="66"/>
        <v>Professional Services: Obstetric Care (Bundled)</v>
      </c>
      <c r="G38" s="213" t="str">
        <f t="shared" si="67"/>
        <v>Not Covered</v>
      </c>
      <c r="H38" s="214">
        <f t="shared" si="109"/>
        <v>0</v>
      </c>
      <c r="I38" s="217">
        <f t="shared" si="110"/>
        <v>0</v>
      </c>
      <c r="J38" s="251">
        <f t="shared" si="111"/>
        <v>0</v>
      </c>
      <c r="K38" s="214" t="b">
        <f t="shared" si="112"/>
        <v>0</v>
      </c>
      <c r="L38" s="218" t="str">
        <f t="shared" si="113"/>
        <v>No</v>
      </c>
      <c r="M38" s="217" t="str">
        <f t="shared" si="114"/>
        <v>.</v>
      </c>
      <c r="N38" s="215" t="str">
        <f>IFERROR(IF(AND(L38="Yes",ISNUMBER(M38)),MAX(0,M38-SUMIFS(BU$3:BU37,L$3:L37,"Yes")),IF(OR(L38="No",M38="None"),"N/A","ERR")),"ERR")</f>
        <v>N/A</v>
      </c>
      <c r="O38" s="251" t="b">
        <f t="shared" si="46"/>
        <v>0</v>
      </c>
      <c r="P38" s="251" t="str">
        <f>IF(O38,BENEFIT_PARAMETERS!$C$76,"N/A")</f>
        <v>N/A</v>
      </c>
      <c r="Q38" s="288" t="str">
        <f>IF(P38="Yes", BENEFIT_PARAMETERS!$D$76,"N/A")</f>
        <v>N/A</v>
      </c>
      <c r="R38" s="253" t="str">
        <f t="shared" si="108"/>
        <v>N/A</v>
      </c>
      <c r="S38" s="217">
        <f t="shared" si="115"/>
        <v>0</v>
      </c>
      <c r="T38" s="215">
        <f t="shared" si="116"/>
        <v>0</v>
      </c>
      <c r="U38" s="214" t="b">
        <f t="shared" si="48"/>
        <v>0</v>
      </c>
      <c r="V38" s="251" t="str">
        <f>IF(O38,BENEFIT_PARAMETERS!$C$77,"N/A")</f>
        <v>N/A</v>
      </c>
      <c r="W38" s="288" t="str">
        <f>IF(V38="Yes", BENEFIT_PARAMETERS!$D$77,"N/A")</f>
        <v>N/A</v>
      </c>
      <c r="X38" s="253" t="str">
        <f>IF(O38,COUNTIF(Z$3:Z37,"&gt;0"),"N/A")</f>
        <v>N/A</v>
      </c>
      <c r="Y38" s="217" t="str">
        <f t="shared" si="117"/>
        <v>N/A</v>
      </c>
      <c r="Z38" s="293" t="str">
        <f t="shared" si="118"/>
        <v>N/A</v>
      </c>
      <c r="AA38" s="293">
        <f t="shared" si="119"/>
        <v>0</v>
      </c>
      <c r="AB38" s="293" t="str">
        <f t="shared" si="120"/>
        <v>N/A</v>
      </c>
      <c r="AC38" s="215">
        <f t="shared" si="121"/>
        <v>0</v>
      </c>
      <c r="AD38" s="214" t="b">
        <f t="shared" si="122"/>
        <v>0</v>
      </c>
      <c r="AE38" s="209" t="str">
        <f t="shared" si="123"/>
        <v>.</v>
      </c>
      <c r="AF38" s="216">
        <f t="shared" si="124"/>
        <v>0</v>
      </c>
      <c r="AG38" s="217" t="str">
        <f t="shared" si="125"/>
        <v>N/A</v>
      </c>
      <c r="AH38" s="217" t="b">
        <f t="shared" si="126"/>
        <v>0</v>
      </c>
      <c r="AI38" s="209" t="str">
        <f t="shared" si="127"/>
        <v>.</v>
      </c>
      <c r="AJ38" s="216">
        <f t="shared" si="128"/>
        <v>7</v>
      </c>
      <c r="AK38" s="217" t="str">
        <f t="shared" si="129"/>
        <v>N/A</v>
      </c>
      <c r="AL38" s="217">
        <f t="shared" si="130"/>
        <v>0</v>
      </c>
      <c r="AM38" s="215">
        <f t="shared" si="131"/>
        <v>0</v>
      </c>
      <c r="AN38" s="219" t="b">
        <f t="shared" si="132"/>
        <v>0</v>
      </c>
      <c r="AO38" s="217" t="str">
        <f t="shared" si="133"/>
        <v>N/A</v>
      </c>
      <c r="AP38" s="217" t="str">
        <f>IF(AND(ISNUMBER(AO38),AN38=TRUE),MAX(0,AO38-SUMIFS($AM$3:$AM37,AN$3:AN37,TRUE)),IF(AND(AN38=TRUE,ISNUMBER(AO38)=FALSE),"ERR","N/A"))</f>
        <v>N/A</v>
      </c>
      <c r="AQ38" s="215" t="str">
        <f t="shared" si="134"/>
        <v>N/A</v>
      </c>
      <c r="AR38" s="219" t="b">
        <f t="shared" si="135"/>
        <v>0</v>
      </c>
      <c r="AS38" s="217" t="str">
        <f t="shared" si="136"/>
        <v>N/A</v>
      </c>
      <c r="AT38" s="217" t="str">
        <f>IF(AND(AR38=TRUE,ISNUMBER(AS38)),MAX(0,AS38-SUMIFS($AM$3:$AM37,AR$3:AR37,TRUE)),IF(AND(AR38=TRUE,ISNUMBER(AS38)=FALSE),"ERR","N/A"))</f>
        <v>N/A</v>
      </c>
      <c r="AU38" s="215" t="str">
        <f t="shared" si="137"/>
        <v>N/A</v>
      </c>
      <c r="AV38" s="219" t="b">
        <f t="shared" si="138"/>
        <v>0</v>
      </c>
      <c r="AW38" s="217" t="str">
        <f t="shared" si="139"/>
        <v>N/A</v>
      </c>
      <c r="AX38" s="217" t="str">
        <f>IF(AND(AV38=TRUE,ISNUMBER(AW38)),MAX(0,AW38-SUMIFS($AM$3:$AM37,AV$3:AV37,TRUE)),IF(AND(AV38=TRUE,ISNUMBER(AW38)=FALSE),"ERR","N/A"))</f>
        <v>N/A</v>
      </c>
      <c r="AY38" s="215" t="str">
        <f t="shared" si="140"/>
        <v>N/A</v>
      </c>
      <c r="AZ38" s="219" t="b">
        <f t="shared" si="141"/>
        <v>0</v>
      </c>
      <c r="BA38" s="217" t="str">
        <f t="shared" si="142"/>
        <v>N/A</v>
      </c>
      <c r="BB38" s="217" t="str">
        <f>IF(AND(AZ38=TRUE,ISNUMBER(BA38)),MAX(0,BA38-SUMIFS($AM$3:$AM37,AZ$3:AZ37,TRUE)),IF(AND(AZ38=TRUE,ISNUMBER(BA38)=FALSE),"ERR","N/A"))</f>
        <v>N/A</v>
      </c>
      <c r="BC38" s="215" t="str">
        <f t="shared" si="143"/>
        <v>N/A</v>
      </c>
      <c r="BD38" s="219" t="b">
        <f t="shared" si="144"/>
        <v>0</v>
      </c>
      <c r="BE38" s="217" t="str">
        <f t="shared" si="145"/>
        <v>N/A</v>
      </c>
      <c r="BF38" s="217" t="str">
        <f>IF(AND(BD38=TRUE,ISNUMBER(BE38)=TRUE),MAX(0,BE38-SUMIFS(AM$3:AM37,BD$3:BD37,TRUE,F$3:F37,F38)),IF(AND(BD38=TRUE,ISNUMBER(BE38)=FALSE),"ERR","N/A"))</f>
        <v>N/A</v>
      </c>
      <c r="BG38" s="215" t="str">
        <f t="shared" si="146"/>
        <v>N/A</v>
      </c>
      <c r="BH38" s="214">
        <f t="shared" si="147"/>
        <v>0</v>
      </c>
      <c r="BI38" s="215">
        <f t="shared" si="148"/>
        <v>0</v>
      </c>
      <c r="BJ38" s="214" t="str">
        <f t="shared" si="55"/>
        <v>N/A</v>
      </c>
      <c r="BK38" s="217">
        <f t="shared" si="149"/>
        <v>0</v>
      </c>
      <c r="BL38" s="220" t="b">
        <f t="shared" si="150"/>
        <v>0</v>
      </c>
      <c r="BM38" s="217" t="str">
        <f t="shared" si="151"/>
        <v>N/A</v>
      </c>
      <c r="BN38" s="217" t="str">
        <f t="shared" si="152"/>
        <v>N/A</v>
      </c>
      <c r="BO38" s="220" t="b">
        <f t="shared" si="153"/>
        <v>0</v>
      </c>
      <c r="BP38" s="244" t="str">
        <f t="shared" si="154"/>
        <v>N/A</v>
      </c>
      <c r="BQ38" s="217" t="str">
        <f t="shared" si="155"/>
        <v>N/A</v>
      </c>
      <c r="BR38" s="215">
        <f t="shared" si="156"/>
        <v>0</v>
      </c>
      <c r="BS38" s="214" t="str">
        <f t="shared" si="59"/>
        <v>N/A</v>
      </c>
      <c r="BT38" s="217">
        <f t="shared" si="157"/>
        <v>0</v>
      </c>
      <c r="BU38" s="215">
        <f t="shared" si="61"/>
        <v>0</v>
      </c>
      <c r="BV38" s="214">
        <f t="shared" si="62"/>
        <v>0</v>
      </c>
      <c r="BW38" s="217">
        <f t="shared" si="158"/>
        <v>0</v>
      </c>
      <c r="BX38" s="217">
        <f t="shared" si="159"/>
        <v>0</v>
      </c>
      <c r="BY38" s="217">
        <f t="shared" si="160"/>
        <v>0</v>
      </c>
      <c r="BZ38" s="217">
        <f t="shared" si="161"/>
        <v>0</v>
      </c>
      <c r="CA38" s="217">
        <f t="shared" si="162"/>
        <v>0</v>
      </c>
      <c r="CB38" s="213" t="b">
        <f t="shared" si="163"/>
        <v>1</v>
      </c>
    </row>
    <row r="39" spans="1:80" x14ac:dyDescent="0.25">
      <c r="A39" s="207">
        <v>36</v>
      </c>
      <c r="B39" s="208">
        <v>42671</v>
      </c>
      <c r="C39" s="209">
        <v>10</v>
      </c>
      <c r="D39" s="210">
        <v>29</v>
      </c>
      <c r="E39" s="211" t="str">
        <f t="shared" si="65"/>
        <v>Strep B DNA Amp Probe</v>
      </c>
      <c r="F39" s="212" t="str">
        <f t="shared" si="66"/>
        <v>Diagnostic Services: Laboratory</v>
      </c>
      <c r="G39" s="213" t="str">
        <f t="shared" si="67"/>
        <v>Not Covered</v>
      </c>
      <c r="H39" s="214">
        <f t="shared" si="109"/>
        <v>61.22</v>
      </c>
      <c r="I39" s="217">
        <f t="shared" si="110"/>
        <v>61.22</v>
      </c>
      <c r="J39" s="251">
        <f t="shared" si="111"/>
        <v>0</v>
      </c>
      <c r="K39" s="214" t="b">
        <f t="shared" si="112"/>
        <v>0</v>
      </c>
      <c r="L39" s="218" t="str">
        <f t="shared" si="113"/>
        <v>No</v>
      </c>
      <c r="M39" s="217" t="str">
        <f t="shared" si="114"/>
        <v>.</v>
      </c>
      <c r="N39" s="215" t="str">
        <f>IFERROR(IF(AND(L39="Yes",ISNUMBER(M39)),MAX(0,M39-SUMIFS(BU$3:BU38,L$3:L38,"Yes")),IF(OR(L39="No",M39="None"),"N/A","ERR")),"ERR")</f>
        <v>N/A</v>
      </c>
      <c r="O39" s="251" t="b">
        <f t="shared" si="46"/>
        <v>0</v>
      </c>
      <c r="P39" s="251" t="str">
        <f>IF(O39,BENEFIT_PARAMETERS!$C$76,"N/A")</f>
        <v>N/A</v>
      </c>
      <c r="Q39" s="288" t="str">
        <f>IF(P39="Yes", BENEFIT_PARAMETERS!$D$76,"N/A")</f>
        <v>N/A</v>
      </c>
      <c r="R39" s="253" t="str">
        <f t="shared" si="108"/>
        <v>N/A</v>
      </c>
      <c r="S39" s="217">
        <f t="shared" si="115"/>
        <v>0</v>
      </c>
      <c r="T39" s="215">
        <f t="shared" si="116"/>
        <v>0</v>
      </c>
      <c r="U39" s="214" t="b">
        <f t="shared" si="48"/>
        <v>0</v>
      </c>
      <c r="V39" s="251" t="str">
        <f>IF(O39,BENEFIT_PARAMETERS!$C$77,"N/A")</f>
        <v>N/A</v>
      </c>
      <c r="W39" s="288" t="str">
        <f>IF(V39="Yes", BENEFIT_PARAMETERS!$D$77,"N/A")</f>
        <v>N/A</v>
      </c>
      <c r="X39" s="253" t="str">
        <f>IF(O39,COUNTIF(Z$3:Z38,"&gt;0"),"N/A")</f>
        <v>N/A</v>
      </c>
      <c r="Y39" s="217" t="str">
        <f t="shared" si="117"/>
        <v>N/A</v>
      </c>
      <c r="Z39" s="293" t="str">
        <f t="shared" si="118"/>
        <v>N/A</v>
      </c>
      <c r="AA39" s="293">
        <f t="shared" si="119"/>
        <v>0</v>
      </c>
      <c r="AB39" s="293" t="str">
        <f t="shared" si="120"/>
        <v>N/A</v>
      </c>
      <c r="AC39" s="215">
        <f t="shared" si="121"/>
        <v>0</v>
      </c>
      <c r="AD39" s="214" t="b">
        <f t="shared" si="122"/>
        <v>0</v>
      </c>
      <c r="AE39" s="209" t="str">
        <f t="shared" si="123"/>
        <v>.</v>
      </c>
      <c r="AF39" s="216">
        <f t="shared" si="124"/>
        <v>0</v>
      </c>
      <c r="AG39" s="217" t="str">
        <f t="shared" si="125"/>
        <v>N/A</v>
      </c>
      <c r="AH39" s="217" t="b">
        <f t="shared" si="126"/>
        <v>0</v>
      </c>
      <c r="AI39" s="209" t="str">
        <f t="shared" si="127"/>
        <v>.</v>
      </c>
      <c r="AJ39" s="216">
        <f t="shared" si="128"/>
        <v>0</v>
      </c>
      <c r="AK39" s="217" t="str">
        <f t="shared" si="129"/>
        <v>N/A</v>
      </c>
      <c r="AL39" s="217">
        <f t="shared" si="130"/>
        <v>0</v>
      </c>
      <c r="AM39" s="215">
        <f t="shared" si="131"/>
        <v>0</v>
      </c>
      <c r="AN39" s="219" t="b">
        <f t="shared" si="132"/>
        <v>0</v>
      </c>
      <c r="AO39" s="217" t="str">
        <f t="shared" si="133"/>
        <v>N/A</v>
      </c>
      <c r="AP39" s="217" t="str">
        <f>IF(AND(ISNUMBER(AO39),AN39=TRUE),MAX(0,AO39-SUMIFS($AM$3:$AM38,AN$3:AN38,TRUE)),IF(AND(AN39=TRUE,ISNUMBER(AO39)=FALSE),"ERR","N/A"))</f>
        <v>N/A</v>
      </c>
      <c r="AQ39" s="215" t="str">
        <f t="shared" si="134"/>
        <v>N/A</v>
      </c>
      <c r="AR39" s="219" t="b">
        <f t="shared" si="135"/>
        <v>0</v>
      </c>
      <c r="AS39" s="217" t="str">
        <f t="shared" si="136"/>
        <v>N/A</v>
      </c>
      <c r="AT39" s="217" t="str">
        <f>IF(AND(AR39=TRUE,ISNUMBER(AS39)),MAX(0,AS39-SUMIFS($AM$3:$AM38,AR$3:AR38,TRUE)),IF(AND(AR39=TRUE,ISNUMBER(AS39)=FALSE),"ERR","N/A"))</f>
        <v>N/A</v>
      </c>
      <c r="AU39" s="215" t="str">
        <f t="shared" si="137"/>
        <v>N/A</v>
      </c>
      <c r="AV39" s="219" t="b">
        <f t="shared" si="138"/>
        <v>0</v>
      </c>
      <c r="AW39" s="217" t="str">
        <f t="shared" si="139"/>
        <v>N/A</v>
      </c>
      <c r="AX39" s="217" t="str">
        <f>IF(AND(AV39=TRUE,ISNUMBER(AW39)),MAX(0,AW39-SUMIFS($AM$3:$AM38,AV$3:AV38,TRUE)),IF(AND(AV39=TRUE,ISNUMBER(AW39)=FALSE),"ERR","N/A"))</f>
        <v>N/A</v>
      </c>
      <c r="AY39" s="215" t="str">
        <f t="shared" si="140"/>
        <v>N/A</v>
      </c>
      <c r="AZ39" s="219" t="b">
        <f t="shared" si="141"/>
        <v>0</v>
      </c>
      <c r="BA39" s="217" t="str">
        <f t="shared" si="142"/>
        <v>N/A</v>
      </c>
      <c r="BB39" s="217" t="str">
        <f>IF(AND(AZ39=TRUE,ISNUMBER(BA39)),MAX(0,BA39-SUMIFS($AM$3:$AM38,AZ$3:AZ38,TRUE)),IF(AND(AZ39=TRUE,ISNUMBER(BA39)=FALSE),"ERR","N/A"))</f>
        <v>N/A</v>
      </c>
      <c r="BC39" s="215" t="str">
        <f t="shared" si="143"/>
        <v>N/A</v>
      </c>
      <c r="BD39" s="219" t="b">
        <f t="shared" si="144"/>
        <v>0</v>
      </c>
      <c r="BE39" s="217" t="str">
        <f t="shared" si="145"/>
        <v>N/A</v>
      </c>
      <c r="BF39" s="217" t="str">
        <f>IF(AND(BD39=TRUE,ISNUMBER(BE39)=TRUE),MAX(0,BE39-SUMIFS(AM$3:AM38,BD$3:BD38,TRUE,F$3:F38,F39)),IF(AND(BD39=TRUE,ISNUMBER(BE39)=FALSE),"ERR","N/A"))</f>
        <v>N/A</v>
      </c>
      <c r="BG39" s="215" t="str">
        <f t="shared" si="146"/>
        <v>N/A</v>
      </c>
      <c r="BH39" s="214">
        <f t="shared" si="147"/>
        <v>0</v>
      </c>
      <c r="BI39" s="215">
        <f t="shared" si="148"/>
        <v>0</v>
      </c>
      <c r="BJ39" s="214" t="str">
        <f t="shared" si="55"/>
        <v>N/A</v>
      </c>
      <c r="BK39" s="217">
        <f t="shared" si="149"/>
        <v>0</v>
      </c>
      <c r="BL39" s="220" t="b">
        <f t="shared" si="150"/>
        <v>0</v>
      </c>
      <c r="BM39" s="217" t="str">
        <f t="shared" si="151"/>
        <v>N/A</v>
      </c>
      <c r="BN39" s="217" t="str">
        <f t="shared" si="152"/>
        <v>N/A</v>
      </c>
      <c r="BO39" s="220" t="b">
        <f t="shared" si="153"/>
        <v>0</v>
      </c>
      <c r="BP39" s="244" t="str">
        <f t="shared" si="154"/>
        <v>N/A</v>
      </c>
      <c r="BQ39" s="217" t="str">
        <f t="shared" si="155"/>
        <v>N/A</v>
      </c>
      <c r="BR39" s="215">
        <f t="shared" si="156"/>
        <v>0</v>
      </c>
      <c r="BS39" s="214" t="str">
        <f t="shared" si="59"/>
        <v>N/A</v>
      </c>
      <c r="BT39" s="217">
        <f t="shared" si="157"/>
        <v>0</v>
      </c>
      <c r="BU39" s="215">
        <f t="shared" si="61"/>
        <v>0</v>
      </c>
      <c r="BV39" s="214">
        <f t="shared" si="62"/>
        <v>0</v>
      </c>
      <c r="BW39" s="217">
        <f t="shared" si="158"/>
        <v>61.22</v>
      </c>
      <c r="BX39" s="217">
        <f t="shared" si="159"/>
        <v>0</v>
      </c>
      <c r="BY39" s="217">
        <f t="shared" si="160"/>
        <v>0</v>
      </c>
      <c r="BZ39" s="217">
        <f t="shared" si="161"/>
        <v>0</v>
      </c>
      <c r="CA39" s="217">
        <f t="shared" si="162"/>
        <v>0</v>
      </c>
      <c r="CB39" s="213" t="b">
        <f t="shared" si="163"/>
        <v>1</v>
      </c>
    </row>
    <row r="40" spans="1:80" x14ac:dyDescent="0.25">
      <c r="A40" s="207">
        <v>37</v>
      </c>
      <c r="B40" s="208">
        <v>42671</v>
      </c>
      <c r="C40" s="209">
        <v>10</v>
      </c>
      <c r="D40" s="210">
        <v>32</v>
      </c>
      <c r="E40" s="211" t="str">
        <f t="shared" si="65"/>
        <v>Office/Outpatient Visit Est</v>
      </c>
      <c r="F40" s="212" t="str">
        <f t="shared" si="66"/>
        <v>Professional Services: Obstetric Care (Bundled)</v>
      </c>
      <c r="G40" s="213" t="str">
        <f t="shared" si="67"/>
        <v>Not Covered</v>
      </c>
      <c r="H40" s="214">
        <f t="shared" si="109"/>
        <v>0</v>
      </c>
      <c r="I40" s="217">
        <f t="shared" si="110"/>
        <v>0</v>
      </c>
      <c r="J40" s="251">
        <f t="shared" si="111"/>
        <v>0</v>
      </c>
      <c r="K40" s="214" t="b">
        <f t="shared" si="112"/>
        <v>0</v>
      </c>
      <c r="L40" s="218" t="str">
        <f t="shared" si="113"/>
        <v>No</v>
      </c>
      <c r="M40" s="217" t="str">
        <f t="shared" si="114"/>
        <v>.</v>
      </c>
      <c r="N40" s="215" t="str">
        <f>IFERROR(IF(AND(L40="Yes",ISNUMBER(M40)),MAX(0,M40-SUMIFS(BU$3:BU39,L$3:L39,"Yes")),IF(OR(L40="No",M40="None"),"N/A","ERR")),"ERR")</f>
        <v>N/A</v>
      </c>
      <c r="O40" s="251" t="b">
        <f t="shared" si="46"/>
        <v>0</v>
      </c>
      <c r="P40" s="251" t="str">
        <f>IF(O40,BENEFIT_PARAMETERS!$C$76,"N/A")</f>
        <v>N/A</v>
      </c>
      <c r="Q40" s="288" t="str">
        <f>IF(P40="Yes", BENEFIT_PARAMETERS!$D$76,"N/A")</f>
        <v>N/A</v>
      </c>
      <c r="R40" s="253" t="str">
        <f t="shared" si="108"/>
        <v>N/A</v>
      </c>
      <c r="S40" s="217">
        <f t="shared" si="115"/>
        <v>0</v>
      </c>
      <c r="T40" s="215">
        <f t="shared" si="116"/>
        <v>0</v>
      </c>
      <c r="U40" s="214" t="b">
        <f t="shared" si="48"/>
        <v>0</v>
      </c>
      <c r="V40" s="251" t="str">
        <f>IF(O40,BENEFIT_PARAMETERS!$C$77,"N/A")</f>
        <v>N/A</v>
      </c>
      <c r="W40" s="288" t="str">
        <f>IF(V40="Yes", BENEFIT_PARAMETERS!$D$77,"N/A")</f>
        <v>N/A</v>
      </c>
      <c r="X40" s="253" t="str">
        <f>IF(O40,COUNTIF(Z$3:Z39,"&gt;0"),"N/A")</f>
        <v>N/A</v>
      </c>
      <c r="Y40" s="217" t="str">
        <f t="shared" si="117"/>
        <v>N/A</v>
      </c>
      <c r="Z40" s="293" t="str">
        <f t="shared" si="118"/>
        <v>N/A</v>
      </c>
      <c r="AA40" s="293">
        <f t="shared" si="119"/>
        <v>0</v>
      </c>
      <c r="AB40" s="293" t="str">
        <f t="shared" si="120"/>
        <v>N/A</v>
      </c>
      <c r="AC40" s="215">
        <f t="shared" si="121"/>
        <v>0</v>
      </c>
      <c r="AD40" s="214" t="b">
        <f t="shared" si="122"/>
        <v>0</v>
      </c>
      <c r="AE40" s="209" t="str">
        <f t="shared" si="123"/>
        <v>.</v>
      </c>
      <c r="AF40" s="216">
        <f t="shared" si="124"/>
        <v>1</v>
      </c>
      <c r="AG40" s="217" t="str">
        <f t="shared" si="125"/>
        <v>N/A</v>
      </c>
      <c r="AH40" s="217" t="b">
        <f t="shared" si="126"/>
        <v>0</v>
      </c>
      <c r="AI40" s="209" t="str">
        <f t="shared" si="127"/>
        <v>.</v>
      </c>
      <c r="AJ40" s="216">
        <f t="shared" si="128"/>
        <v>8</v>
      </c>
      <c r="AK40" s="217" t="str">
        <f t="shared" si="129"/>
        <v>N/A</v>
      </c>
      <c r="AL40" s="217">
        <f t="shared" si="130"/>
        <v>0</v>
      </c>
      <c r="AM40" s="215">
        <f t="shared" si="131"/>
        <v>0</v>
      </c>
      <c r="AN40" s="219" t="b">
        <f t="shared" si="132"/>
        <v>0</v>
      </c>
      <c r="AO40" s="217" t="str">
        <f t="shared" si="133"/>
        <v>N/A</v>
      </c>
      <c r="AP40" s="217" t="str">
        <f>IF(AND(ISNUMBER(AO40),AN40=TRUE),MAX(0,AO40-SUMIFS($AM$3:$AM39,AN$3:AN39,TRUE)),IF(AND(AN40=TRUE,ISNUMBER(AO40)=FALSE),"ERR","N/A"))</f>
        <v>N/A</v>
      </c>
      <c r="AQ40" s="215" t="str">
        <f t="shared" si="134"/>
        <v>N/A</v>
      </c>
      <c r="AR40" s="219" t="b">
        <f t="shared" si="135"/>
        <v>0</v>
      </c>
      <c r="AS40" s="217" t="str">
        <f t="shared" si="136"/>
        <v>N/A</v>
      </c>
      <c r="AT40" s="217" t="str">
        <f>IF(AND(AR40=TRUE,ISNUMBER(AS40)),MAX(0,AS40-SUMIFS($AM$3:$AM39,AR$3:AR39,TRUE)),IF(AND(AR40=TRUE,ISNUMBER(AS40)=FALSE),"ERR","N/A"))</f>
        <v>N/A</v>
      </c>
      <c r="AU40" s="215" t="str">
        <f t="shared" si="137"/>
        <v>N/A</v>
      </c>
      <c r="AV40" s="219" t="b">
        <f t="shared" si="138"/>
        <v>0</v>
      </c>
      <c r="AW40" s="217" t="str">
        <f t="shared" si="139"/>
        <v>N/A</v>
      </c>
      <c r="AX40" s="217" t="str">
        <f>IF(AND(AV40=TRUE,ISNUMBER(AW40)),MAX(0,AW40-SUMIFS($AM$3:$AM39,AV$3:AV39,TRUE)),IF(AND(AV40=TRUE,ISNUMBER(AW40)=FALSE),"ERR","N/A"))</f>
        <v>N/A</v>
      </c>
      <c r="AY40" s="215" t="str">
        <f t="shared" si="140"/>
        <v>N/A</v>
      </c>
      <c r="AZ40" s="219" t="b">
        <f t="shared" si="141"/>
        <v>0</v>
      </c>
      <c r="BA40" s="217" t="str">
        <f t="shared" si="142"/>
        <v>N/A</v>
      </c>
      <c r="BB40" s="217" t="str">
        <f>IF(AND(AZ40=TRUE,ISNUMBER(BA40)),MAX(0,BA40-SUMIFS($AM$3:$AM39,AZ$3:AZ39,TRUE)),IF(AND(AZ40=TRUE,ISNUMBER(BA40)=FALSE),"ERR","N/A"))</f>
        <v>N/A</v>
      </c>
      <c r="BC40" s="215" t="str">
        <f t="shared" si="143"/>
        <v>N/A</v>
      </c>
      <c r="BD40" s="219" t="b">
        <f t="shared" si="144"/>
        <v>0</v>
      </c>
      <c r="BE40" s="217" t="str">
        <f t="shared" si="145"/>
        <v>N/A</v>
      </c>
      <c r="BF40" s="217" t="str">
        <f>IF(AND(BD40=TRUE,ISNUMBER(BE40)=TRUE),MAX(0,BE40-SUMIFS(AM$3:AM39,BD$3:BD39,TRUE,F$3:F39,F40)),IF(AND(BD40=TRUE,ISNUMBER(BE40)=FALSE),"ERR","N/A"))</f>
        <v>N/A</v>
      </c>
      <c r="BG40" s="215" t="str">
        <f t="shared" si="146"/>
        <v>N/A</v>
      </c>
      <c r="BH40" s="214">
        <f t="shared" si="147"/>
        <v>0</v>
      </c>
      <c r="BI40" s="215">
        <f t="shared" si="148"/>
        <v>0</v>
      </c>
      <c r="BJ40" s="214" t="str">
        <f t="shared" si="55"/>
        <v>N/A</v>
      </c>
      <c r="BK40" s="217">
        <f t="shared" si="149"/>
        <v>0</v>
      </c>
      <c r="BL40" s="220" t="b">
        <f t="shared" si="150"/>
        <v>0</v>
      </c>
      <c r="BM40" s="217" t="str">
        <f t="shared" si="151"/>
        <v>N/A</v>
      </c>
      <c r="BN40" s="217" t="str">
        <f t="shared" si="152"/>
        <v>N/A</v>
      </c>
      <c r="BO40" s="220" t="b">
        <f t="shared" si="153"/>
        <v>0</v>
      </c>
      <c r="BP40" s="244" t="str">
        <f t="shared" si="154"/>
        <v>N/A</v>
      </c>
      <c r="BQ40" s="217" t="str">
        <f t="shared" si="155"/>
        <v>N/A</v>
      </c>
      <c r="BR40" s="215">
        <f t="shared" si="156"/>
        <v>0</v>
      </c>
      <c r="BS40" s="214" t="str">
        <f t="shared" si="59"/>
        <v>N/A</v>
      </c>
      <c r="BT40" s="217">
        <f t="shared" si="157"/>
        <v>0</v>
      </c>
      <c r="BU40" s="215">
        <f t="shared" si="61"/>
        <v>0</v>
      </c>
      <c r="BV40" s="214">
        <f t="shared" si="62"/>
        <v>0</v>
      </c>
      <c r="BW40" s="217">
        <f t="shared" si="158"/>
        <v>0</v>
      </c>
      <c r="BX40" s="217">
        <f t="shared" si="159"/>
        <v>0</v>
      </c>
      <c r="BY40" s="217">
        <f t="shared" si="160"/>
        <v>0</v>
      </c>
      <c r="BZ40" s="217">
        <f t="shared" si="161"/>
        <v>0</v>
      </c>
      <c r="CA40" s="217">
        <f t="shared" si="162"/>
        <v>0</v>
      </c>
      <c r="CB40" s="213" t="b">
        <f t="shared" si="163"/>
        <v>1</v>
      </c>
    </row>
    <row r="41" spans="1:80" x14ac:dyDescent="0.25">
      <c r="A41" s="207">
        <v>38</v>
      </c>
      <c r="B41" s="208">
        <v>42671</v>
      </c>
      <c r="C41" s="209">
        <v>10</v>
      </c>
      <c r="D41" s="210">
        <v>10</v>
      </c>
      <c r="E41" s="211" t="str">
        <f t="shared" si="65"/>
        <v xml:space="preserve"> Immunization Admin</v>
      </c>
      <c r="F41" s="212" t="str">
        <f t="shared" si="66"/>
        <v>Preventive Services &amp; Vaccines</v>
      </c>
      <c r="G41" s="213" t="str">
        <f t="shared" si="67"/>
        <v>Not Covered</v>
      </c>
      <c r="H41" s="214">
        <f t="shared" si="109"/>
        <v>28.56</v>
      </c>
      <c r="I41" s="217">
        <f t="shared" si="110"/>
        <v>28.56</v>
      </c>
      <c r="J41" s="251">
        <f t="shared" si="111"/>
        <v>0</v>
      </c>
      <c r="K41" s="214" t="b">
        <f t="shared" si="112"/>
        <v>0</v>
      </c>
      <c r="L41" s="218" t="str">
        <f t="shared" si="113"/>
        <v>No</v>
      </c>
      <c r="M41" s="217" t="str">
        <f t="shared" si="114"/>
        <v>.</v>
      </c>
      <c r="N41" s="215" t="str">
        <f>IFERROR(IF(AND(L41="Yes",ISNUMBER(M41)),MAX(0,M41-SUMIFS(BU$3:BU40,L$3:L40,"Yes")),IF(OR(L41="No",M41="None"),"N/A","ERR")),"ERR")</f>
        <v>N/A</v>
      </c>
      <c r="O41" s="251" t="b">
        <f t="shared" si="46"/>
        <v>0</v>
      </c>
      <c r="P41" s="251" t="str">
        <f>IF(O41,BENEFIT_PARAMETERS!$C$76,"N/A")</f>
        <v>N/A</v>
      </c>
      <c r="Q41" s="288" t="str">
        <f>IF(P41="Yes", BENEFIT_PARAMETERS!$D$76,"N/A")</f>
        <v>N/A</v>
      </c>
      <c r="R41" s="253" t="str">
        <f t="shared" si="108"/>
        <v>N/A</v>
      </c>
      <c r="S41" s="217">
        <f t="shared" si="115"/>
        <v>0</v>
      </c>
      <c r="T41" s="215">
        <f t="shared" si="116"/>
        <v>0</v>
      </c>
      <c r="U41" s="214" t="b">
        <f t="shared" si="48"/>
        <v>0</v>
      </c>
      <c r="V41" s="251" t="str">
        <f>IF(O41,BENEFIT_PARAMETERS!$C$77,"N/A")</f>
        <v>N/A</v>
      </c>
      <c r="W41" s="288" t="str">
        <f>IF(V41="Yes", BENEFIT_PARAMETERS!$D$77,"N/A")</f>
        <v>N/A</v>
      </c>
      <c r="X41" s="253" t="str">
        <f>IF(O41,COUNTIF(Z$3:Z40,"&gt;0"),"N/A")</f>
        <v>N/A</v>
      </c>
      <c r="Y41" s="217" t="str">
        <f t="shared" si="117"/>
        <v>N/A</v>
      </c>
      <c r="Z41" s="293" t="str">
        <f t="shared" si="118"/>
        <v>N/A</v>
      </c>
      <c r="AA41" s="293">
        <f t="shared" si="119"/>
        <v>0</v>
      </c>
      <c r="AB41" s="293" t="str">
        <f t="shared" si="120"/>
        <v>N/A</v>
      </c>
      <c r="AC41" s="215">
        <f t="shared" si="121"/>
        <v>0</v>
      </c>
      <c r="AD41" s="214" t="b">
        <f t="shared" si="122"/>
        <v>0</v>
      </c>
      <c r="AE41" s="209" t="str">
        <f t="shared" si="123"/>
        <v>.</v>
      </c>
      <c r="AF41" s="216">
        <f t="shared" si="124"/>
        <v>0</v>
      </c>
      <c r="AG41" s="217" t="str">
        <f t="shared" si="125"/>
        <v>N/A</v>
      </c>
      <c r="AH41" s="217" t="b">
        <f t="shared" si="126"/>
        <v>0</v>
      </c>
      <c r="AI41" s="209" t="str">
        <f t="shared" si="127"/>
        <v>.</v>
      </c>
      <c r="AJ41" s="216">
        <f t="shared" si="128"/>
        <v>0</v>
      </c>
      <c r="AK41" s="217" t="str">
        <f t="shared" si="129"/>
        <v>N/A</v>
      </c>
      <c r="AL41" s="217">
        <f t="shared" si="130"/>
        <v>0</v>
      </c>
      <c r="AM41" s="215">
        <f t="shared" si="131"/>
        <v>0</v>
      </c>
      <c r="AN41" s="219" t="b">
        <f t="shared" si="132"/>
        <v>0</v>
      </c>
      <c r="AO41" s="217" t="str">
        <f t="shared" si="133"/>
        <v>N/A</v>
      </c>
      <c r="AP41" s="217" t="str">
        <f>IF(AND(ISNUMBER(AO41),AN41=TRUE),MAX(0,AO41-SUMIFS($AM$3:$AM40,AN$3:AN40,TRUE)),IF(AND(AN41=TRUE,ISNUMBER(AO41)=FALSE),"ERR","N/A"))</f>
        <v>N/A</v>
      </c>
      <c r="AQ41" s="215" t="str">
        <f t="shared" si="134"/>
        <v>N/A</v>
      </c>
      <c r="AR41" s="219" t="b">
        <f t="shared" si="135"/>
        <v>0</v>
      </c>
      <c r="AS41" s="217" t="str">
        <f t="shared" si="136"/>
        <v>N/A</v>
      </c>
      <c r="AT41" s="217" t="str">
        <f>IF(AND(AR41=TRUE,ISNUMBER(AS41)),MAX(0,AS41-SUMIFS($AM$3:$AM40,AR$3:AR40,TRUE)),IF(AND(AR41=TRUE,ISNUMBER(AS41)=FALSE),"ERR","N/A"))</f>
        <v>N/A</v>
      </c>
      <c r="AU41" s="215" t="str">
        <f t="shared" si="137"/>
        <v>N/A</v>
      </c>
      <c r="AV41" s="219" t="b">
        <f t="shared" si="138"/>
        <v>0</v>
      </c>
      <c r="AW41" s="217" t="str">
        <f t="shared" si="139"/>
        <v>N/A</v>
      </c>
      <c r="AX41" s="217" t="str">
        <f>IF(AND(AV41=TRUE,ISNUMBER(AW41)),MAX(0,AW41-SUMIFS($AM$3:$AM40,AV$3:AV40,TRUE)),IF(AND(AV41=TRUE,ISNUMBER(AW41)=FALSE),"ERR","N/A"))</f>
        <v>N/A</v>
      </c>
      <c r="AY41" s="215" t="str">
        <f t="shared" si="140"/>
        <v>N/A</v>
      </c>
      <c r="AZ41" s="219" t="b">
        <f t="shared" si="141"/>
        <v>0</v>
      </c>
      <c r="BA41" s="217" t="str">
        <f t="shared" si="142"/>
        <v>N/A</v>
      </c>
      <c r="BB41" s="217" t="str">
        <f>IF(AND(AZ41=TRUE,ISNUMBER(BA41)),MAX(0,BA41-SUMIFS($AM$3:$AM40,AZ$3:AZ40,TRUE)),IF(AND(AZ41=TRUE,ISNUMBER(BA41)=FALSE),"ERR","N/A"))</f>
        <v>N/A</v>
      </c>
      <c r="BC41" s="215" t="str">
        <f t="shared" si="143"/>
        <v>N/A</v>
      </c>
      <c r="BD41" s="219" t="b">
        <f t="shared" si="144"/>
        <v>0</v>
      </c>
      <c r="BE41" s="217" t="str">
        <f t="shared" si="145"/>
        <v>N/A</v>
      </c>
      <c r="BF41" s="217" t="str">
        <f>IF(AND(BD41=TRUE,ISNUMBER(BE41)=TRUE),MAX(0,BE41-SUMIFS(AM$3:AM40,BD$3:BD40,TRUE,F$3:F40,F41)),IF(AND(BD41=TRUE,ISNUMBER(BE41)=FALSE),"ERR","N/A"))</f>
        <v>N/A</v>
      </c>
      <c r="BG41" s="215" t="str">
        <f t="shared" si="146"/>
        <v>N/A</v>
      </c>
      <c r="BH41" s="214">
        <f t="shared" si="147"/>
        <v>0</v>
      </c>
      <c r="BI41" s="215">
        <f t="shared" si="148"/>
        <v>0</v>
      </c>
      <c r="BJ41" s="214" t="str">
        <f t="shared" si="55"/>
        <v>N/A</v>
      </c>
      <c r="BK41" s="217">
        <f t="shared" si="149"/>
        <v>0</v>
      </c>
      <c r="BL41" s="220" t="b">
        <f t="shared" si="150"/>
        <v>0</v>
      </c>
      <c r="BM41" s="217" t="str">
        <f t="shared" si="151"/>
        <v>N/A</v>
      </c>
      <c r="BN41" s="217" t="str">
        <f t="shared" si="152"/>
        <v>N/A</v>
      </c>
      <c r="BO41" s="220" t="b">
        <f t="shared" si="153"/>
        <v>0</v>
      </c>
      <c r="BP41" s="244" t="str">
        <f t="shared" si="154"/>
        <v>N/A</v>
      </c>
      <c r="BQ41" s="217" t="str">
        <f t="shared" si="155"/>
        <v>N/A</v>
      </c>
      <c r="BR41" s="215">
        <f t="shared" si="156"/>
        <v>0</v>
      </c>
      <c r="BS41" s="214" t="str">
        <f t="shared" si="59"/>
        <v>N/A</v>
      </c>
      <c r="BT41" s="217">
        <f t="shared" si="157"/>
        <v>0</v>
      </c>
      <c r="BU41" s="215">
        <f t="shared" si="61"/>
        <v>0</v>
      </c>
      <c r="BV41" s="214">
        <f t="shared" si="62"/>
        <v>0</v>
      </c>
      <c r="BW41" s="217">
        <f t="shared" si="158"/>
        <v>28.56</v>
      </c>
      <c r="BX41" s="217">
        <f t="shared" si="159"/>
        <v>0</v>
      </c>
      <c r="BY41" s="217">
        <f t="shared" si="160"/>
        <v>0</v>
      </c>
      <c r="BZ41" s="217">
        <f t="shared" si="161"/>
        <v>0</v>
      </c>
      <c r="CA41" s="217">
        <f t="shared" si="162"/>
        <v>0</v>
      </c>
      <c r="CB41" s="213" t="b">
        <f t="shared" si="163"/>
        <v>1</v>
      </c>
    </row>
    <row r="42" spans="1:80" x14ac:dyDescent="0.25">
      <c r="A42" s="207">
        <v>39</v>
      </c>
      <c r="B42" s="208">
        <v>42671</v>
      </c>
      <c r="C42" s="209">
        <v>10</v>
      </c>
      <c r="D42" s="210">
        <v>11</v>
      </c>
      <c r="E42" s="211" t="str">
        <f t="shared" si="65"/>
        <v>Flu Vaccine N0 Preserv 3 &amp; &gt;</v>
      </c>
      <c r="F42" s="212" t="str">
        <f t="shared" si="66"/>
        <v>Preventive Services &amp; Vaccines</v>
      </c>
      <c r="G42" s="213" t="str">
        <f t="shared" si="67"/>
        <v>Not Covered</v>
      </c>
      <c r="H42" s="214">
        <f t="shared" si="109"/>
        <v>20.2</v>
      </c>
      <c r="I42" s="217">
        <f t="shared" si="110"/>
        <v>20.2</v>
      </c>
      <c r="J42" s="251">
        <f t="shared" si="111"/>
        <v>0</v>
      </c>
      <c r="K42" s="214" t="b">
        <f t="shared" si="112"/>
        <v>0</v>
      </c>
      <c r="L42" s="218" t="str">
        <f t="shared" si="113"/>
        <v>No</v>
      </c>
      <c r="M42" s="217" t="str">
        <f t="shared" si="114"/>
        <v>.</v>
      </c>
      <c r="N42" s="215" t="str">
        <f>IFERROR(IF(AND(L42="Yes",ISNUMBER(M42)),MAX(0,M42-SUMIFS(BU$3:BU41,L$3:L41,"Yes")),IF(OR(L42="No",M42="None"),"N/A","ERR")),"ERR")</f>
        <v>N/A</v>
      </c>
      <c r="O42" s="251" t="b">
        <f t="shared" si="46"/>
        <v>0</v>
      </c>
      <c r="P42" s="251" t="str">
        <f>IF(O42,BENEFIT_PARAMETERS!$C$76,"N/A")</f>
        <v>N/A</v>
      </c>
      <c r="Q42" s="288" t="str">
        <f>IF(P42="Yes", BENEFIT_PARAMETERS!$D$76,"N/A")</f>
        <v>N/A</v>
      </c>
      <c r="R42" s="253" t="str">
        <f t="shared" si="108"/>
        <v>N/A</v>
      </c>
      <c r="S42" s="217">
        <f t="shared" si="115"/>
        <v>0</v>
      </c>
      <c r="T42" s="215">
        <f t="shared" si="116"/>
        <v>0</v>
      </c>
      <c r="U42" s="214" t="b">
        <f t="shared" si="48"/>
        <v>0</v>
      </c>
      <c r="V42" s="251" t="str">
        <f>IF(O42,BENEFIT_PARAMETERS!$C$77,"N/A")</f>
        <v>N/A</v>
      </c>
      <c r="W42" s="288" t="str">
        <f>IF(V42="Yes", BENEFIT_PARAMETERS!$D$77,"N/A")</f>
        <v>N/A</v>
      </c>
      <c r="X42" s="253" t="str">
        <f>IF(O42,COUNTIF(Z$3:Z41,"&gt;0"),"N/A")</f>
        <v>N/A</v>
      </c>
      <c r="Y42" s="217" t="str">
        <f t="shared" si="117"/>
        <v>N/A</v>
      </c>
      <c r="Z42" s="293" t="str">
        <f t="shared" si="118"/>
        <v>N/A</v>
      </c>
      <c r="AA42" s="293">
        <f t="shared" si="119"/>
        <v>0</v>
      </c>
      <c r="AB42" s="293" t="str">
        <f t="shared" si="120"/>
        <v>N/A</v>
      </c>
      <c r="AC42" s="215">
        <f t="shared" si="121"/>
        <v>0</v>
      </c>
      <c r="AD42" s="214" t="b">
        <f t="shared" si="122"/>
        <v>0</v>
      </c>
      <c r="AE42" s="209" t="str">
        <f t="shared" si="123"/>
        <v>.</v>
      </c>
      <c r="AF42" s="216">
        <f t="shared" si="124"/>
        <v>0</v>
      </c>
      <c r="AG42" s="217" t="str">
        <f t="shared" si="125"/>
        <v>N/A</v>
      </c>
      <c r="AH42" s="217" t="b">
        <f t="shared" si="126"/>
        <v>0</v>
      </c>
      <c r="AI42" s="209" t="str">
        <f t="shared" si="127"/>
        <v>.</v>
      </c>
      <c r="AJ42" s="216">
        <f t="shared" si="128"/>
        <v>0</v>
      </c>
      <c r="AK42" s="217" t="str">
        <f t="shared" si="129"/>
        <v>N/A</v>
      </c>
      <c r="AL42" s="217">
        <f t="shared" si="130"/>
        <v>0</v>
      </c>
      <c r="AM42" s="215">
        <f t="shared" si="131"/>
        <v>0</v>
      </c>
      <c r="AN42" s="219" t="b">
        <f t="shared" si="132"/>
        <v>0</v>
      </c>
      <c r="AO42" s="217" t="str">
        <f t="shared" si="133"/>
        <v>N/A</v>
      </c>
      <c r="AP42" s="217" t="str">
        <f>IF(AND(ISNUMBER(AO42),AN42=TRUE),MAX(0,AO42-SUMIFS($AM$3:$AM41,AN$3:AN41,TRUE)),IF(AND(AN42=TRUE,ISNUMBER(AO42)=FALSE),"ERR","N/A"))</f>
        <v>N/A</v>
      </c>
      <c r="AQ42" s="215" t="str">
        <f t="shared" si="134"/>
        <v>N/A</v>
      </c>
      <c r="AR42" s="219" t="b">
        <f t="shared" si="135"/>
        <v>0</v>
      </c>
      <c r="AS42" s="217" t="str">
        <f t="shared" si="136"/>
        <v>N/A</v>
      </c>
      <c r="AT42" s="217" t="str">
        <f>IF(AND(AR42=TRUE,ISNUMBER(AS42)),MAX(0,AS42-SUMIFS($AM$3:$AM41,AR$3:AR41,TRUE)),IF(AND(AR42=TRUE,ISNUMBER(AS42)=FALSE),"ERR","N/A"))</f>
        <v>N/A</v>
      </c>
      <c r="AU42" s="215" t="str">
        <f t="shared" si="137"/>
        <v>N/A</v>
      </c>
      <c r="AV42" s="219" t="b">
        <f t="shared" si="138"/>
        <v>0</v>
      </c>
      <c r="AW42" s="217" t="str">
        <f t="shared" si="139"/>
        <v>N/A</v>
      </c>
      <c r="AX42" s="217" t="str">
        <f>IF(AND(AV42=TRUE,ISNUMBER(AW42)),MAX(0,AW42-SUMIFS($AM$3:$AM41,AV$3:AV41,TRUE)),IF(AND(AV42=TRUE,ISNUMBER(AW42)=FALSE),"ERR","N/A"))</f>
        <v>N/A</v>
      </c>
      <c r="AY42" s="215" t="str">
        <f t="shared" si="140"/>
        <v>N/A</v>
      </c>
      <c r="AZ42" s="219" t="b">
        <f t="shared" si="141"/>
        <v>0</v>
      </c>
      <c r="BA42" s="217" t="str">
        <f t="shared" si="142"/>
        <v>N/A</v>
      </c>
      <c r="BB42" s="217" t="str">
        <f>IF(AND(AZ42=TRUE,ISNUMBER(BA42)),MAX(0,BA42-SUMIFS($AM$3:$AM41,AZ$3:AZ41,TRUE)),IF(AND(AZ42=TRUE,ISNUMBER(BA42)=FALSE),"ERR","N/A"))</f>
        <v>N/A</v>
      </c>
      <c r="BC42" s="215" t="str">
        <f t="shared" si="143"/>
        <v>N/A</v>
      </c>
      <c r="BD42" s="219" t="b">
        <f t="shared" si="144"/>
        <v>0</v>
      </c>
      <c r="BE42" s="217" t="str">
        <f t="shared" si="145"/>
        <v>N/A</v>
      </c>
      <c r="BF42" s="217" t="str">
        <f>IF(AND(BD42=TRUE,ISNUMBER(BE42)=TRUE),MAX(0,BE42-SUMIFS(AM$3:AM41,BD$3:BD41,TRUE,F$3:F41,F42)),IF(AND(BD42=TRUE,ISNUMBER(BE42)=FALSE),"ERR","N/A"))</f>
        <v>N/A</v>
      </c>
      <c r="BG42" s="215" t="str">
        <f t="shared" si="146"/>
        <v>N/A</v>
      </c>
      <c r="BH42" s="214">
        <f t="shared" si="147"/>
        <v>0</v>
      </c>
      <c r="BI42" s="215">
        <f t="shared" si="148"/>
        <v>0</v>
      </c>
      <c r="BJ42" s="214" t="str">
        <f t="shared" si="55"/>
        <v>N/A</v>
      </c>
      <c r="BK42" s="217">
        <f t="shared" si="149"/>
        <v>0</v>
      </c>
      <c r="BL42" s="220" t="b">
        <f t="shared" si="150"/>
        <v>0</v>
      </c>
      <c r="BM42" s="217" t="str">
        <f t="shared" si="151"/>
        <v>N/A</v>
      </c>
      <c r="BN42" s="217" t="str">
        <f t="shared" si="152"/>
        <v>N/A</v>
      </c>
      <c r="BO42" s="220" t="b">
        <f t="shared" si="153"/>
        <v>0</v>
      </c>
      <c r="BP42" s="244" t="str">
        <f t="shared" si="154"/>
        <v>N/A</v>
      </c>
      <c r="BQ42" s="217" t="str">
        <f t="shared" si="155"/>
        <v>N/A</v>
      </c>
      <c r="BR42" s="215">
        <f t="shared" si="156"/>
        <v>0</v>
      </c>
      <c r="BS42" s="214" t="str">
        <f t="shared" si="59"/>
        <v>N/A</v>
      </c>
      <c r="BT42" s="217">
        <f t="shared" si="157"/>
        <v>0</v>
      </c>
      <c r="BU42" s="215">
        <f t="shared" si="61"/>
        <v>0</v>
      </c>
      <c r="BV42" s="214">
        <f t="shared" si="62"/>
        <v>0</v>
      </c>
      <c r="BW42" s="217">
        <f t="shared" si="158"/>
        <v>20.2</v>
      </c>
      <c r="BX42" s="217">
        <f t="shared" si="159"/>
        <v>0</v>
      </c>
      <c r="BY42" s="217">
        <f t="shared" si="160"/>
        <v>0</v>
      </c>
      <c r="BZ42" s="217">
        <f t="shared" si="161"/>
        <v>0</v>
      </c>
      <c r="CA42" s="217">
        <f t="shared" si="162"/>
        <v>0</v>
      </c>
      <c r="CB42" s="213" t="b">
        <f t="shared" si="163"/>
        <v>1</v>
      </c>
    </row>
    <row r="43" spans="1:80" x14ac:dyDescent="0.25">
      <c r="A43" s="207">
        <v>40</v>
      </c>
      <c r="B43" s="208">
        <v>42685</v>
      </c>
      <c r="C43" s="209">
        <v>11</v>
      </c>
      <c r="D43" s="210">
        <v>32</v>
      </c>
      <c r="E43" s="211" t="str">
        <f t="shared" si="65"/>
        <v>Office/Outpatient Visit Est</v>
      </c>
      <c r="F43" s="212" t="str">
        <f t="shared" si="66"/>
        <v>Professional Services: Obstetric Care (Bundled)</v>
      </c>
      <c r="G43" s="213" t="str">
        <f t="shared" si="67"/>
        <v>Not Covered</v>
      </c>
      <c r="H43" s="214">
        <f t="shared" si="109"/>
        <v>0</v>
      </c>
      <c r="I43" s="217">
        <f t="shared" si="110"/>
        <v>0</v>
      </c>
      <c r="J43" s="251">
        <f t="shared" si="111"/>
        <v>0</v>
      </c>
      <c r="K43" s="214" t="b">
        <f t="shared" si="112"/>
        <v>0</v>
      </c>
      <c r="L43" s="218" t="str">
        <f t="shared" si="113"/>
        <v>No</v>
      </c>
      <c r="M43" s="217" t="str">
        <f t="shared" si="114"/>
        <v>.</v>
      </c>
      <c r="N43" s="215" t="str">
        <f>IFERROR(IF(AND(L43="Yes",ISNUMBER(M43)),MAX(0,M43-SUMIFS(BU$3:BU42,L$3:L42,"Yes")),IF(OR(L43="No",M43="None"),"N/A","ERR")),"ERR")</f>
        <v>N/A</v>
      </c>
      <c r="O43" s="251" t="b">
        <f t="shared" si="46"/>
        <v>0</v>
      </c>
      <c r="P43" s="251" t="str">
        <f>IF(O43,BENEFIT_PARAMETERS!$C$76,"N/A")</f>
        <v>N/A</v>
      </c>
      <c r="Q43" s="288" t="str">
        <f>IF(P43="Yes", BENEFIT_PARAMETERS!$D$76,"N/A")</f>
        <v>N/A</v>
      </c>
      <c r="R43" s="253" t="str">
        <f t="shared" si="108"/>
        <v>N/A</v>
      </c>
      <c r="S43" s="217">
        <f t="shared" si="115"/>
        <v>0</v>
      </c>
      <c r="T43" s="215">
        <f t="shared" si="116"/>
        <v>0</v>
      </c>
      <c r="U43" s="214" t="b">
        <f t="shared" si="48"/>
        <v>0</v>
      </c>
      <c r="V43" s="251" t="str">
        <f>IF(O43,BENEFIT_PARAMETERS!$C$77,"N/A")</f>
        <v>N/A</v>
      </c>
      <c r="W43" s="288" t="str">
        <f>IF(V43="Yes", BENEFIT_PARAMETERS!$D$77,"N/A")</f>
        <v>N/A</v>
      </c>
      <c r="X43" s="253" t="str">
        <f>IF(O43,COUNTIF(Z$3:Z42,"&gt;0"),"N/A")</f>
        <v>N/A</v>
      </c>
      <c r="Y43" s="217" t="str">
        <f t="shared" si="117"/>
        <v>N/A</v>
      </c>
      <c r="Z43" s="293" t="str">
        <f t="shared" si="118"/>
        <v>N/A</v>
      </c>
      <c r="AA43" s="293">
        <f t="shared" si="119"/>
        <v>0</v>
      </c>
      <c r="AB43" s="293" t="str">
        <f t="shared" si="120"/>
        <v>N/A</v>
      </c>
      <c r="AC43" s="215">
        <f t="shared" si="121"/>
        <v>0</v>
      </c>
      <c r="AD43" s="214" t="b">
        <f t="shared" si="122"/>
        <v>0</v>
      </c>
      <c r="AE43" s="209" t="str">
        <f t="shared" si="123"/>
        <v>.</v>
      </c>
      <c r="AF43" s="216">
        <f t="shared" si="124"/>
        <v>0</v>
      </c>
      <c r="AG43" s="217" t="str">
        <f t="shared" si="125"/>
        <v>N/A</v>
      </c>
      <c r="AH43" s="217" t="b">
        <f t="shared" si="126"/>
        <v>0</v>
      </c>
      <c r="AI43" s="209" t="str">
        <f t="shared" si="127"/>
        <v>.</v>
      </c>
      <c r="AJ43" s="216">
        <f t="shared" si="128"/>
        <v>9</v>
      </c>
      <c r="AK43" s="217" t="str">
        <f t="shared" si="129"/>
        <v>N/A</v>
      </c>
      <c r="AL43" s="217">
        <f t="shared" si="130"/>
        <v>0</v>
      </c>
      <c r="AM43" s="215">
        <f t="shared" si="131"/>
        <v>0</v>
      </c>
      <c r="AN43" s="219" t="b">
        <f t="shared" si="132"/>
        <v>0</v>
      </c>
      <c r="AO43" s="217" t="str">
        <f t="shared" si="133"/>
        <v>N/A</v>
      </c>
      <c r="AP43" s="217" t="str">
        <f>IF(AND(ISNUMBER(AO43),AN43=TRUE),MAX(0,AO43-SUMIFS($AM$3:$AM42,AN$3:AN42,TRUE)),IF(AND(AN43=TRUE,ISNUMBER(AO43)=FALSE),"ERR","N/A"))</f>
        <v>N/A</v>
      </c>
      <c r="AQ43" s="215" t="str">
        <f t="shared" si="134"/>
        <v>N/A</v>
      </c>
      <c r="AR43" s="219" t="b">
        <f t="shared" si="135"/>
        <v>0</v>
      </c>
      <c r="AS43" s="217" t="str">
        <f t="shared" si="136"/>
        <v>N/A</v>
      </c>
      <c r="AT43" s="217" t="str">
        <f>IF(AND(AR43=TRUE,ISNUMBER(AS43)),MAX(0,AS43-SUMIFS($AM$3:$AM42,AR$3:AR42,TRUE)),IF(AND(AR43=TRUE,ISNUMBER(AS43)=FALSE),"ERR","N/A"))</f>
        <v>N/A</v>
      </c>
      <c r="AU43" s="215" t="str">
        <f t="shared" si="137"/>
        <v>N/A</v>
      </c>
      <c r="AV43" s="219" t="b">
        <f t="shared" si="138"/>
        <v>0</v>
      </c>
      <c r="AW43" s="217" t="str">
        <f t="shared" si="139"/>
        <v>N/A</v>
      </c>
      <c r="AX43" s="217" t="str">
        <f>IF(AND(AV43=TRUE,ISNUMBER(AW43)),MAX(0,AW43-SUMIFS($AM$3:$AM42,AV$3:AV42,TRUE)),IF(AND(AV43=TRUE,ISNUMBER(AW43)=FALSE),"ERR","N/A"))</f>
        <v>N/A</v>
      </c>
      <c r="AY43" s="215" t="str">
        <f t="shared" si="140"/>
        <v>N/A</v>
      </c>
      <c r="AZ43" s="219" t="b">
        <f t="shared" si="141"/>
        <v>0</v>
      </c>
      <c r="BA43" s="217" t="str">
        <f t="shared" si="142"/>
        <v>N/A</v>
      </c>
      <c r="BB43" s="217" t="str">
        <f>IF(AND(AZ43=TRUE,ISNUMBER(BA43)),MAX(0,BA43-SUMIFS($AM$3:$AM42,AZ$3:AZ42,TRUE)),IF(AND(AZ43=TRUE,ISNUMBER(BA43)=FALSE),"ERR","N/A"))</f>
        <v>N/A</v>
      </c>
      <c r="BC43" s="215" t="str">
        <f t="shared" si="143"/>
        <v>N/A</v>
      </c>
      <c r="BD43" s="219" t="b">
        <f t="shared" si="144"/>
        <v>0</v>
      </c>
      <c r="BE43" s="217" t="str">
        <f t="shared" si="145"/>
        <v>N/A</v>
      </c>
      <c r="BF43" s="217" t="str">
        <f>IF(AND(BD43=TRUE,ISNUMBER(BE43)=TRUE),MAX(0,BE43-SUMIFS(AM$3:AM42,BD$3:BD42,TRUE,F$3:F42,F43)),IF(AND(BD43=TRUE,ISNUMBER(BE43)=FALSE),"ERR","N/A"))</f>
        <v>N/A</v>
      </c>
      <c r="BG43" s="215" t="str">
        <f t="shared" si="146"/>
        <v>N/A</v>
      </c>
      <c r="BH43" s="214">
        <f t="shared" si="147"/>
        <v>0</v>
      </c>
      <c r="BI43" s="215">
        <f t="shared" si="148"/>
        <v>0</v>
      </c>
      <c r="BJ43" s="214" t="str">
        <f t="shared" si="55"/>
        <v>N/A</v>
      </c>
      <c r="BK43" s="217">
        <f t="shared" si="149"/>
        <v>0</v>
      </c>
      <c r="BL43" s="220" t="b">
        <f t="shared" si="150"/>
        <v>0</v>
      </c>
      <c r="BM43" s="217" t="str">
        <f t="shared" si="151"/>
        <v>N/A</v>
      </c>
      <c r="BN43" s="217" t="str">
        <f t="shared" si="152"/>
        <v>N/A</v>
      </c>
      <c r="BO43" s="220" t="b">
        <f t="shared" si="153"/>
        <v>0</v>
      </c>
      <c r="BP43" s="244" t="str">
        <f t="shared" si="154"/>
        <v>N/A</v>
      </c>
      <c r="BQ43" s="217" t="str">
        <f t="shared" si="155"/>
        <v>N/A</v>
      </c>
      <c r="BR43" s="215">
        <f t="shared" si="156"/>
        <v>0</v>
      </c>
      <c r="BS43" s="214" t="str">
        <f t="shared" si="59"/>
        <v>N/A</v>
      </c>
      <c r="BT43" s="217">
        <f t="shared" si="157"/>
        <v>0</v>
      </c>
      <c r="BU43" s="215">
        <f t="shared" si="61"/>
        <v>0</v>
      </c>
      <c r="BV43" s="214">
        <f t="shared" si="62"/>
        <v>0</v>
      </c>
      <c r="BW43" s="217">
        <f t="shared" si="158"/>
        <v>0</v>
      </c>
      <c r="BX43" s="217">
        <f t="shared" si="159"/>
        <v>0</v>
      </c>
      <c r="BY43" s="217">
        <f t="shared" si="160"/>
        <v>0</v>
      </c>
      <c r="BZ43" s="217">
        <f t="shared" si="161"/>
        <v>0</v>
      </c>
      <c r="CA43" s="217">
        <f t="shared" si="162"/>
        <v>0</v>
      </c>
      <c r="CB43" s="213" t="b">
        <f t="shared" si="163"/>
        <v>1</v>
      </c>
    </row>
    <row r="44" spans="1:80" x14ac:dyDescent="0.25">
      <c r="A44" s="207">
        <v>41</v>
      </c>
      <c r="B44" s="208">
        <v>42692</v>
      </c>
      <c r="C44" s="209">
        <v>11</v>
      </c>
      <c r="D44" s="210">
        <v>32</v>
      </c>
      <c r="E44" s="211" t="str">
        <f t="shared" si="65"/>
        <v>Office/Outpatient Visit Est</v>
      </c>
      <c r="F44" s="212" t="str">
        <f t="shared" si="66"/>
        <v>Professional Services: Obstetric Care (Bundled)</v>
      </c>
      <c r="G44" s="213" t="str">
        <f t="shared" si="67"/>
        <v>Not Covered</v>
      </c>
      <c r="H44" s="214">
        <f t="shared" si="109"/>
        <v>0</v>
      </c>
      <c r="I44" s="217">
        <f t="shared" si="110"/>
        <v>0</v>
      </c>
      <c r="J44" s="251">
        <f t="shared" si="111"/>
        <v>0</v>
      </c>
      <c r="K44" s="214" t="b">
        <f t="shared" si="112"/>
        <v>0</v>
      </c>
      <c r="L44" s="218" t="str">
        <f t="shared" si="113"/>
        <v>No</v>
      </c>
      <c r="M44" s="217" t="str">
        <f t="shared" si="114"/>
        <v>.</v>
      </c>
      <c r="N44" s="215" t="str">
        <f>IFERROR(IF(AND(L44="Yes",ISNUMBER(M44)),MAX(0,M44-SUMIFS(BU$3:BU43,L$3:L43,"Yes")),IF(OR(L44="No",M44="None"),"N/A","ERR")),"ERR")</f>
        <v>N/A</v>
      </c>
      <c r="O44" s="251" t="b">
        <f t="shared" si="46"/>
        <v>0</v>
      </c>
      <c r="P44" s="251" t="str">
        <f>IF(O44,BENEFIT_PARAMETERS!$C$76,"N/A")</f>
        <v>N/A</v>
      </c>
      <c r="Q44" s="288" t="str">
        <f>IF(P44="Yes", BENEFIT_PARAMETERS!$D$76,"N/A")</f>
        <v>N/A</v>
      </c>
      <c r="R44" s="253" t="str">
        <f t="shared" si="108"/>
        <v>N/A</v>
      </c>
      <c r="S44" s="217">
        <f t="shared" si="115"/>
        <v>0</v>
      </c>
      <c r="T44" s="215">
        <f t="shared" si="116"/>
        <v>0</v>
      </c>
      <c r="U44" s="214" t="b">
        <f t="shared" si="48"/>
        <v>0</v>
      </c>
      <c r="V44" s="251" t="str">
        <f>IF(O44,BENEFIT_PARAMETERS!$C$77,"N/A")</f>
        <v>N/A</v>
      </c>
      <c r="W44" s="288" t="str">
        <f>IF(V44="Yes", BENEFIT_PARAMETERS!$D$77,"N/A")</f>
        <v>N/A</v>
      </c>
      <c r="X44" s="253" t="str">
        <f>IF(O44,COUNTIF(Z$3:Z43,"&gt;0"),"N/A")</f>
        <v>N/A</v>
      </c>
      <c r="Y44" s="217" t="str">
        <f t="shared" si="117"/>
        <v>N/A</v>
      </c>
      <c r="Z44" s="293" t="str">
        <f t="shared" si="118"/>
        <v>N/A</v>
      </c>
      <c r="AA44" s="293">
        <f t="shared" si="119"/>
        <v>0</v>
      </c>
      <c r="AB44" s="293" t="str">
        <f t="shared" si="120"/>
        <v>N/A</v>
      </c>
      <c r="AC44" s="215">
        <f t="shared" si="121"/>
        <v>0</v>
      </c>
      <c r="AD44" s="214" t="b">
        <f t="shared" si="122"/>
        <v>0</v>
      </c>
      <c r="AE44" s="209" t="str">
        <f t="shared" si="123"/>
        <v>.</v>
      </c>
      <c r="AF44" s="216">
        <f t="shared" si="124"/>
        <v>1</v>
      </c>
      <c r="AG44" s="217" t="str">
        <f t="shared" si="125"/>
        <v>N/A</v>
      </c>
      <c r="AH44" s="217" t="b">
        <f t="shared" si="126"/>
        <v>0</v>
      </c>
      <c r="AI44" s="209" t="str">
        <f t="shared" si="127"/>
        <v>.</v>
      </c>
      <c r="AJ44" s="216">
        <f t="shared" si="128"/>
        <v>10</v>
      </c>
      <c r="AK44" s="217" t="str">
        <f t="shared" si="129"/>
        <v>N/A</v>
      </c>
      <c r="AL44" s="217">
        <f t="shared" si="130"/>
        <v>0</v>
      </c>
      <c r="AM44" s="215">
        <f t="shared" si="131"/>
        <v>0</v>
      </c>
      <c r="AN44" s="219" t="b">
        <f t="shared" si="132"/>
        <v>0</v>
      </c>
      <c r="AO44" s="217" t="str">
        <f t="shared" si="133"/>
        <v>N/A</v>
      </c>
      <c r="AP44" s="217" t="str">
        <f>IF(AND(ISNUMBER(AO44),AN44=TRUE),MAX(0,AO44-SUMIFS($AM$3:$AM43,AN$3:AN43,TRUE)),IF(AND(AN44=TRUE,ISNUMBER(AO44)=FALSE),"ERR","N/A"))</f>
        <v>N/A</v>
      </c>
      <c r="AQ44" s="215" t="str">
        <f t="shared" si="134"/>
        <v>N/A</v>
      </c>
      <c r="AR44" s="219" t="b">
        <f t="shared" si="135"/>
        <v>0</v>
      </c>
      <c r="AS44" s="217" t="str">
        <f t="shared" si="136"/>
        <v>N/A</v>
      </c>
      <c r="AT44" s="217" t="str">
        <f>IF(AND(AR44=TRUE,ISNUMBER(AS44)),MAX(0,AS44-SUMIFS($AM$3:$AM43,AR$3:AR43,TRUE)),IF(AND(AR44=TRUE,ISNUMBER(AS44)=FALSE),"ERR","N/A"))</f>
        <v>N/A</v>
      </c>
      <c r="AU44" s="215" t="str">
        <f t="shared" si="137"/>
        <v>N/A</v>
      </c>
      <c r="AV44" s="219" t="b">
        <f t="shared" si="138"/>
        <v>0</v>
      </c>
      <c r="AW44" s="217" t="str">
        <f t="shared" si="139"/>
        <v>N/A</v>
      </c>
      <c r="AX44" s="217" t="str">
        <f>IF(AND(AV44=TRUE,ISNUMBER(AW44)),MAX(0,AW44-SUMIFS($AM$3:$AM43,AV$3:AV43,TRUE)),IF(AND(AV44=TRUE,ISNUMBER(AW44)=FALSE),"ERR","N/A"))</f>
        <v>N/A</v>
      </c>
      <c r="AY44" s="215" t="str">
        <f t="shared" si="140"/>
        <v>N/A</v>
      </c>
      <c r="AZ44" s="219" t="b">
        <f t="shared" si="141"/>
        <v>0</v>
      </c>
      <c r="BA44" s="217" t="str">
        <f t="shared" si="142"/>
        <v>N/A</v>
      </c>
      <c r="BB44" s="217" t="str">
        <f>IF(AND(AZ44=TRUE,ISNUMBER(BA44)),MAX(0,BA44-SUMIFS($AM$3:$AM43,AZ$3:AZ43,TRUE)),IF(AND(AZ44=TRUE,ISNUMBER(BA44)=FALSE),"ERR","N/A"))</f>
        <v>N/A</v>
      </c>
      <c r="BC44" s="215" t="str">
        <f t="shared" si="143"/>
        <v>N/A</v>
      </c>
      <c r="BD44" s="219" t="b">
        <f t="shared" si="144"/>
        <v>0</v>
      </c>
      <c r="BE44" s="217" t="str">
        <f t="shared" si="145"/>
        <v>N/A</v>
      </c>
      <c r="BF44" s="217" t="str">
        <f>IF(AND(BD44=TRUE,ISNUMBER(BE44)=TRUE),MAX(0,BE44-SUMIFS(AM$3:AM43,BD$3:BD43,TRUE,F$3:F43,F44)),IF(AND(BD44=TRUE,ISNUMBER(BE44)=FALSE),"ERR","N/A"))</f>
        <v>N/A</v>
      </c>
      <c r="BG44" s="215" t="str">
        <f t="shared" si="146"/>
        <v>N/A</v>
      </c>
      <c r="BH44" s="214">
        <f t="shared" si="147"/>
        <v>0</v>
      </c>
      <c r="BI44" s="215">
        <f t="shared" si="148"/>
        <v>0</v>
      </c>
      <c r="BJ44" s="214" t="str">
        <f t="shared" si="55"/>
        <v>N/A</v>
      </c>
      <c r="BK44" s="217">
        <f t="shared" si="149"/>
        <v>0</v>
      </c>
      <c r="BL44" s="220" t="b">
        <f t="shared" si="150"/>
        <v>0</v>
      </c>
      <c r="BM44" s="217" t="str">
        <f t="shared" si="151"/>
        <v>N/A</v>
      </c>
      <c r="BN44" s="217" t="str">
        <f t="shared" si="152"/>
        <v>N/A</v>
      </c>
      <c r="BO44" s="220" t="b">
        <f t="shared" si="153"/>
        <v>0</v>
      </c>
      <c r="BP44" s="244" t="str">
        <f t="shared" si="154"/>
        <v>N/A</v>
      </c>
      <c r="BQ44" s="217" t="str">
        <f t="shared" si="155"/>
        <v>N/A</v>
      </c>
      <c r="BR44" s="215">
        <f t="shared" si="156"/>
        <v>0</v>
      </c>
      <c r="BS44" s="214" t="str">
        <f t="shared" si="59"/>
        <v>N/A</v>
      </c>
      <c r="BT44" s="217">
        <f t="shared" si="157"/>
        <v>0</v>
      </c>
      <c r="BU44" s="215">
        <f t="shared" si="61"/>
        <v>0</v>
      </c>
      <c r="BV44" s="214">
        <f t="shared" si="62"/>
        <v>0</v>
      </c>
      <c r="BW44" s="217">
        <f t="shared" si="158"/>
        <v>0</v>
      </c>
      <c r="BX44" s="217">
        <f t="shared" si="159"/>
        <v>0</v>
      </c>
      <c r="BY44" s="217">
        <f t="shared" si="160"/>
        <v>0</v>
      </c>
      <c r="BZ44" s="217">
        <f t="shared" si="161"/>
        <v>0</v>
      </c>
      <c r="CA44" s="217">
        <f t="shared" si="162"/>
        <v>0</v>
      </c>
      <c r="CB44" s="213" t="b">
        <f t="shared" si="163"/>
        <v>1</v>
      </c>
    </row>
    <row r="45" spans="1:80" x14ac:dyDescent="0.25">
      <c r="A45" s="207">
        <v>42</v>
      </c>
      <c r="B45" s="208">
        <v>42699</v>
      </c>
      <c r="C45" s="209">
        <v>11</v>
      </c>
      <c r="D45" s="210">
        <v>32</v>
      </c>
      <c r="E45" s="211" t="str">
        <f t="shared" si="65"/>
        <v>Office/Outpatient Visit Est</v>
      </c>
      <c r="F45" s="212" t="str">
        <f t="shared" si="66"/>
        <v>Professional Services: Obstetric Care (Bundled)</v>
      </c>
      <c r="G45" s="213" t="str">
        <f t="shared" si="67"/>
        <v>Not Covered</v>
      </c>
      <c r="H45" s="214">
        <f t="shared" si="109"/>
        <v>0</v>
      </c>
      <c r="I45" s="217">
        <f t="shared" si="110"/>
        <v>0</v>
      </c>
      <c r="J45" s="251">
        <f t="shared" si="111"/>
        <v>0</v>
      </c>
      <c r="K45" s="214" t="b">
        <f t="shared" si="112"/>
        <v>0</v>
      </c>
      <c r="L45" s="218" t="str">
        <f t="shared" si="113"/>
        <v>No</v>
      </c>
      <c r="M45" s="217" t="str">
        <f t="shared" si="114"/>
        <v>.</v>
      </c>
      <c r="N45" s="215" t="str">
        <f>IFERROR(IF(AND(L45="Yes",ISNUMBER(M45)),MAX(0,M45-SUMIFS(BU$3:BU44,L$3:L44,"Yes")),IF(OR(L45="No",M45="None"),"N/A","ERR")),"ERR")</f>
        <v>N/A</v>
      </c>
      <c r="O45" s="251" t="b">
        <f t="shared" si="46"/>
        <v>0</v>
      </c>
      <c r="P45" s="251" t="str">
        <f>IF(O45,BENEFIT_PARAMETERS!$C$76,"N/A")</f>
        <v>N/A</v>
      </c>
      <c r="Q45" s="288" t="str">
        <f>IF(P45="Yes", BENEFIT_PARAMETERS!$D$76,"N/A")</f>
        <v>N/A</v>
      </c>
      <c r="R45" s="253" t="str">
        <f t="shared" si="108"/>
        <v>N/A</v>
      </c>
      <c r="S45" s="217">
        <f t="shared" si="115"/>
        <v>0</v>
      </c>
      <c r="T45" s="215">
        <f t="shared" si="116"/>
        <v>0</v>
      </c>
      <c r="U45" s="214" t="b">
        <f t="shared" si="48"/>
        <v>0</v>
      </c>
      <c r="V45" s="251" t="str">
        <f>IF(O45,BENEFIT_PARAMETERS!$C$77,"N/A")</f>
        <v>N/A</v>
      </c>
      <c r="W45" s="288" t="str">
        <f>IF(V45="Yes", BENEFIT_PARAMETERS!$D$77,"N/A")</f>
        <v>N/A</v>
      </c>
      <c r="X45" s="253" t="str">
        <f>IF(O45,COUNTIF(Z$3:Z44,"&gt;0"),"N/A")</f>
        <v>N/A</v>
      </c>
      <c r="Y45" s="217" t="str">
        <f t="shared" si="117"/>
        <v>N/A</v>
      </c>
      <c r="Z45" s="293" t="str">
        <f t="shared" si="118"/>
        <v>N/A</v>
      </c>
      <c r="AA45" s="293">
        <f t="shared" si="119"/>
        <v>0</v>
      </c>
      <c r="AB45" s="293" t="str">
        <f t="shared" si="120"/>
        <v>N/A</v>
      </c>
      <c r="AC45" s="215">
        <f t="shared" si="121"/>
        <v>0</v>
      </c>
      <c r="AD45" s="214" t="b">
        <f t="shared" si="122"/>
        <v>0</v>
      </c>
      <c r="AE45" s="209" t="str">
        <f t="shared" si="123"/>
        <v>.</v>
      </c>
      <c r="AF45" s="216">
        <f t="shared" si="124"/>
        <v>2</v>
      </c>
      <c r="AG45" s="217" t="str">
        <f t="shared" si="125"/>
        <v>N/A</v>
      </c>
      <c r="AH45" s="217" t="b">
        <f t="shared" si="126"/>
        <v>0</v>
      </c>
      <c r="AI45" s="209" t="str">
        <f t="shared" si="127"/>
        <v>.</v>
      </c>
      <c r="AJ45" s="216">
        <f t="shared" si="128"/>
        <v>11</v>
      </c>
      <c r="AK45" s="217" t="str">
        <f t="shared" si="129"/>
        <v>N/A</v>
      </c>
      <c r="AL45" s="217">
        <f t="shared" si="130"/>
        <v>0</v>
      </c>
      <c r="AM45" s="215">
        <f t="shared" si="131"/>
        <v>0</v>
      </c>
      <c r="AN45" s="219" t="b">
        <f t="shared" si="132"/>
        <v>0</v>
      </c>
      <c r="AO45" s="217" t="str">
        <f t="shared" si="133"/>
        <v>N/A</v>
      </c>
      <c r="AP45" s="217" t="str">
        <f>IF(AND(ISNUMBER(AO45),AN45=TRUE),MAX(0,AO45-SUMIFS($AM$3:$AM44,AN$3:AN44,TRUE)),IF(AND(AN45=TRUE,ISNUMBER(AO45)=FALSE),"ERR","N/A"))</f>
        <v>N/A</v>
      </c>
      <c r="AQ45" s="215" t="str">
        <f t="shared" si="134"/>
        <v>N/A</v>
      </c>
      <c r="AR45" s="219" t="b">
        <f t="shared" si="135"/>
        <v>0</v>
      </c>
      <c r="AS45" s="217" t="str">
        <f t="shared" si="136"/>
        <v>N/A</v>
      </c>
      <c r="AT45" s="217" t="str">
        <f>IF(AND(AR45=TRUE,ISNUMBER(AS45)),MAX(0,AS45-SUMIFS($AM$3:$AM44,AR$3:AR44,TRUE)),IF(AND(AR45=TRUE,ISNUMBER(AS45)=FALSE),"ERR","N/A"))</f>
        <v>N/A</v>
      </c>
      <c r="AU45" s="215" t="str">
        <f t="shared" si="137"/>
        <v>N/A</v>
      </c>
      <c r="AV45" s="219" t="b">
        <f t="shared" si="138"/>
        <v>0</v>
      </c>
      <c r="AW45" s="217" t="str">
        <f t="shared" si="139"/>
        <v>N/A</v>
      </c>
      <c r="AX45" s="217" t="str">
        <f>IF(AND(AV45=TRUE,ISNUMBER(AW45)),MAX(0,AW45-SUMIFS($AM$3:$AM44,AV$3:AV44,TRUE)),IF(AND(AV45=TRUE,ISNUMBER(AW45)=FALSE),"ERR","N/A"))</f>
        <v>N/A</v>
      </c>
      <c r="AY45" s="215" t="str">
        <f t="shared" si="140"/>
        <v>N/A</v>
      </c>
      <c r="AZ45" s="219" t="b">
        <f t="shared" si="141"/>
        <v>0</v>
      </c>
      <c r="BA45" s="217" t="str">
        <f t="shared" si="142"/>
        <v>N/A</v>
      </c>
      <c r="BB45" s="217" t="str">
        <f>IF(AND(AZ45=TRUE,ISNUMBER(BA45)),MAX(0,BA45-SUMIFS($AM$3:$AM44,AZ$3:AZ44,TRUE)),IF(AND(AZ45=TRUE,ISNUMBER(BA45)=FALSE),"ERR","N/A"))</f>
        <v>N/A</v>
      </c>
      <c r="BC45" s="215" t="str">
        <f t="shared" si="143"/>
        <v>N/A</v>
      </c>
      <c r="BD45" s="219" t="b">
        <f t="shared" si="144"/>
        <v>0</v>
      </c>
      <c r="BE45" s="217" t="str">
        <f t="shared" si="145"/>
        <v>N/A</v>
      </c>
      <c r="BF45" s="217" t="str">
        <f>IF(AND(BD45=TRUE,ISNUMBER(BE45)=TRUE),MAX(0,BE45-SUMIFS(AM$3:AM44,BD$3:BD44,TRUE,F$3:F44,F45)),IF(AND(BD45=TRUE,ISNUMBER(BE45)=FALSE),"ERR","N/A"))</f>
        <v>N/A</v>
      </c>
      <c r="BG45" s="215" t="str">
        <f t="shared" si="146"/>
        <v>N/A</v>
      </c>
      <c r="BH45" s="214">
        <f t="shared" si="147"/>
        <v>0</v>
      </c>
      <c r="BI45" s="215">
        <f t="shared" si="148"/>
        <v>0</v>
      </c>
      <c r="BJ45" s="214" t="str">
        <f t="shared" si="55"/>
        <v>N/A</v>
      </c>
      <c r="BK45" s="217">
        <f t="shared" si="149"/>
        <v>0</v>
      </c>
      <c r="BL45" s="220" t="b">
        <f t="shared" si="150"/>
        <v>0</v>
      </c>
      <c r="BM45" s="217" t="str">
        <f t="shared" si="151"/>
        <v>N/A</v>
      </c>
      <c r="BN45" s="217" t="str">
        <f t="shared" si="152"/>
        <v>N/A</v>
      </c>
      <c r="BO45" s="220" t="b">
        <f t="shared" si="153"/>
        <v>0</v>
      </c>
      <c r="BP45" s="244" t="str">
        <f t="shared" si="154"/>
        <v>N/A</v>
      </c>
      <c r="BQ45" s="217" t="str">
        <f t="shared" si="155"/>
        <v>N/A</v>
      </c>
      <c r="BR45" s="215">
        <f t="shared" si="156"/>
        <v>0</v>
      </c>
      <c r="BS45" s="214" t="str">
        <f t="shared" si="59"/>
        <v>N/A</v>
      </c>
      <c r="BT45" s="217">
        <f t="shared" si="157"/>
        <v>0</v>
      </c>
      <c r="BU45" s="215">
        <f t="shared" si="61"/>
        <v>0</v>
      </c>
      <c r="BV45" s="214">
        <f t="shared" si="62"/>
        <v>0</v>
      </c>
      <c r="BW45" s="217">
        <f t="shared" si="158"/>
        <v>0</v>
      </c>
      <c r="BX45" s="217">
        <f t="shared" si="159"/>
        <v>0</v>
      </c>
      <c r="BY45" s="217">
        <f t="shared" si="160"/>
        <v>0</v>
      </c>
      <c r="BZ45" s="217">
        <f t="shared" si="161"/>
        <v>0</v>
      </c>
      <c r="CA45" s="217">
        <f t="shared" si="162"/>
        <v>0</v>
      </c>
      <c r="CB45" s="213" t="b">
        <f t="shared" si="163"/>
        <v>1</v>
      </c>
    </row>
    <row r="46" spans="1:80" x14ac:dyDescent="0.25">
      <c r="A46" s="207">
        <v>43</v>
      </c>
      <c r="B46" s="208">
        <v>42706</v>
      </c>
      <c r="C46" s="209">
        <v>12</v>
      </c>
      <c r="D46" s="210">
        <v>32</v>
      </c>
      <c r="E46" s="211" t="str">
        <f t="shared" si="65"/>
        <v>Office/Outpatient Visit Est</v>
      </c>
      <c r="F46" s="212" t="str">
        <f t="shared" si="66"/>
        <v>Professional Services: Obstetric Care (Bundled)</v>
      </c>
      <c r="G46" s="213" t="str">
        <f t="shared" si="67"/>
        <v>Not Covered</v>
      </c>
      <c r="H46" s="214">
        <f t="shared" si="109"/>
        <v>0</v>
      </c>
      <c r="I46" s="217">
        <f t="shared" si="110"/>
        <v>0</v>
      </c>
      <c r="J46" s="251">
        <f t="shared" si="111"/>
        <v>0</v>
      </c>
      <c r="K46" s="214" t="b">
        <f t="shared" si="112"/>
        <v>0</v>
      </c>
      <c r="L46" s="218" t="str">
        <f t="shared" si="113"/>
        <v>No</v>
      </c>
      <c r="M46" s="217" t="str">
        <f t="shared" si="114"/>
        <v>.</v>
      </c>
      <c r="N46" s="215" t="str">
        <f>IFERROR(IF(AND(L46="Yes",ISNUMBER(M46)),MAX(0,M46-SUMIFS(BU$3:BU45,L$3:L45,"Yes")),IF(OR(L46="No",M46="None"),"N/A","ERR")),"ERR")</f>
        <v>N/A</v>
      </c>
      <c r="O46" s="251" t="b">
        <f t="shared" si="46"/>
        <v>0</v>
      </c>
      <c r="P46" s="251" t="str">
        <f>IF(O46,BENEFIT_PARAMETERS!$C$76,"N/A")</f>
        <v>N/A</v>
      </c>
      <c r="Q46" s="288" t="str">
        <f>IF(P46="Yes", BENEFIT_PARAMETERS!$D$76,"N/A")</f>
        <v>N/A</v>
      </c>
      <c r="R46" s="253" t="str">
        <f t="shared" si="108"/>
        <v>N/A</v>
      </c>
      <c r="S46" s="217">
        <f t="shared" si="115"/>
        <v>0</v>
      </c>
      <c r="T46" s="215">
        <f t="shared" si="116"/>
        <v>0</v>
      </c>
      <c r="U46" s="214" t="b">
        <f t="shared" si="48"/>
        <v>0</v>
      </c>
      <c r="V46" s="251" t="str">
        <f>IF(O46,BENEFIT_PARAMETERS!$C$77,"N/A")</f>
        <v>N/A</v>
      </c>
      <c r="W46" s="288" t="str">
        <f>IF(V46="Yes", BENEFIT_PARAMETERS!$D$77,"N/A")</f>
        <v>N/A</v>
      </c>
      <c r="X46" s="253" t="str">
        <f>IF(O46,COUNTIF(Z$3:Z45,"&gt;0"),"N/A")</f>
        <v>N/A</v>
      </c>
      <c r="Y46" s="217" t="str">
        <f t="shared" si="117"/>
        <v>N/A</v>
      </c>
      <c r="Z46" s="293" t="str">
        <f t="shared" si="118"/>
        <v>N/A</v>
      </c>
      <c r="AA46" s="293">
        <f t="shared" si="119"/>
        <v>0</v>
      </c>
      <c r="AB46" s="293" t="str">
        <f t="shared" si="120"/>
        <v>N/A</v>
      </c>
      <c r="AC46" s="215">
        <f t="shared" si="121"/>
        <v>0</v>
      </c>
      <c r="AD46" s="214" t="b">
        <f t="shared" si="122"/>
        <v>0</v>
      </c>
      <c r="AE46" s="209" t="str">
        <f t="shared" si="123"/>
        <v>.</v>
      </c>
      <c r="AF46" s="216">
        <f t="shared" si="124"/>
        <v>0</v>
      </c>
      <c r="AG46" s="217" t="str">
        <f t="shared" si="125"/>
        <v>N/A</v>
      </c>
      <c r="AH46" s="217" t="b">
        <f t="shared" si="126"/>
        <v>0</v>
      </c>
      <c r="AI46" s="209" t="str">
        <f t="shared" si="127"/>
        <v>.</v>
      </c>
      <c r="AJ46" s="216">
        <f t="shared" si="128"/>
        <v>12</v>
      </c>
      <c r="AK46" s="217" t="str">
        <f t="shared" si="129"/>
        <v>N/A</v>
      </c>
      <c r="AL46" s="217">
        <f t="shared" si="130"/>
        <v>0</v>
      </c>
      <c r="AM46" s="215">
        <f t="shared" si="131"/>
        <v>0</v>
      </c>
      <c r="AN46" s="219" t="b">
        <f t="shared" si="132"/>
        <v>0</v>
      </c>
      <c r="AO46" s="217" t="str">
        <f t="shared" si="133"/>
        <v>N/A</v>
      </c>
      <c r="AP46" s="217" t="str">
        <f>IF(AND(ISNUMBER(AO46),AN46=TRUE),MAX(0,AO46-SUMIFS($AM$3:$AM45,AN$3:AN45,TRUE)),IF(AND(AN46=TRUE,ISNUMBER(AO46)=FALSE),"ERR","N/A"))</f>
        <v>N/A</v>
      </c>
      <c r="AQ46" s="215" t="str">
        <f t="shared" si="134"/>
        <v>N/A</v>
      </c>
      <c r="AR46" s="219" t="b">
        <f t="shared" si="135"/>
        <v>0</v>
      </c>
      <c r="AS46" s="217" t="str">
        <f t="shared" si="136"/>
        <v>N/A</v>
      </c>
      <c r="AT46" s="217" t="str">
        <f>IF(AND(AR46=TRUE,ISNUMBER(AS46)),MAX(0,AS46-SUMIFS($AM$3:$AM45,AR$3:AR45,TRUE)),IF(AND(AR46=TRUE,ISNUMBER(AS46)=FALSE),"ERR","N/A"))</f>
        <v>N/A</v>
      </c>
      <c r="AU46" s="215" t="str">
        <f t="shared" si="137"/>
        <v>N/A</v>
      </c>
      <c r="AV46" s="219" t="b">
        <f t="shared" si="138"/>
        <v>0</v>
      </c>
      <c r="AW46" s="217" t="str">
        <f t="shared" si="139"/>
        <v>N/A</v>
      </c>
      <c r="AX46" s="217" t="str">
        <f>IF(AND(AV46=TRUE,ISNUMBER(AW46)),MAX(0,AW46-SUMIFS($AM$3:$AM45,AV$3:AV45,TRUE)),IF(AND(AV46=TRUE,ISNUMBER(AW46)=FALSE),"ERR","N/A"))</f>
        <v>N/A</v>
      </c>
      <c r="AY46" s="215" t="str">
        <f t="shared" si="140"/>
        <v>N/A</v>
      </c>
      <c r="AZ46" s="219" t="b">
        <f t="shared" si="141"/>
        <v>0</v>
      </c>
      <c r="BA46" s="217" t="str">
        <f t="shared" si="142"/>
        <v>N/A</v>
      </c>
      <c r="BB46" s="217" t="str">
        <f>IF(AND(AZ46=TRUE,ISNUMBER(BA46)),MAX(0,BA46-SUMIFS($AM$3:$AM45,AZ$3:AZ45,TRUE)),IF(AND(AZ46=TRUE,ISNUMBER(BA46)=FALSE),"ERR","N/A"))</f>
        <v>N/A</v>
      </c>
      <c r="BC46" s="215" t="str">
        <f t="shared" si="143"/>
        <v>N/A</v>
      </c>
      <c r="BD46" s="219" t="b">
        <f t="shared" si="144"/>
        <v>0</v>
      </c>
      <c r="BE46" s="217" t="str">
        <f t="shared" si="145"/>
        <v>N/A</v>
      </c>
      <c r="BF46" s="217" t="str">
        <f>IF(AND(BD46=TRUE,ISNUMBER(BE46)=TRUE),MAX(0,BE46-SUMIFS(AM$3:AM45,BD$3:BD45,TRUE,F$3:F45,F46)),IF(AND(BD46=TRUE,ISNUMBER(BE46)=FALSE),"ERR","N/A"))</f>
        <v>N/A</v>
      </c>
      <c r="BG46" s="215" t="str">
        <f t="shared" si="146"/>
        <v>N/A</v>
      </c>
      <c r="BH46" s="214">
        <f t="shared" si="147"/>
        <v>0</v>
      </c>
      <c r="BI46" s="215">
        <f t="shared" si="148"/>
        <v>0</v>
      </c>
      <c r="BJ46" s="214" t="str">
        <f t="shared" si="55"/>
        <v>N/A</v>
      </c>
      <c r="BK46" s="217">
        <f t="shared" si="149"/>
        <v>0</v>
      </c>
      <c r="BL46" s="220" t="b">
        <f t="shared" si="150"/>
        <v>0</v>
      </c>
      <c r="BM46" s="217" t="str">
        <f t="shared" si="151"/>
        <v>N/A</v>
      </c>
      <c r="BN46" s="217" t="str">
        <f t="shared" si="152"/>
        <v>N/A</v>
      </c>
      <c r="BO46" s="220" t="b">
        <f t="shared" si="153"/>
        <v>0</v>
      </c>
      <c r="BP46" s="244" t="str">
        <f t="shared" si="154"/>
        <v>N/A</v>
      </c>
      <c r="BQ46" s="217" t="str">
        <f t="shared" si="155"/>
        <v>N/A</v>
      </c>
      <c r="BR46" s="215">
        <f t="shared" si="156"/>
        <v>0</v>
      </c>
      <c r="BS46" s="214" t="str">
        <f t="shared" si="59"/>
        <v>N/A</v>
      </c>
      <c r="BT46" s="217">
        <f t="shared" si="157"/>
        <v>0</v>
      </c>
      <c r="BU46" s="215">
        <f t="shared" si="61"/>
        <v>0</v>
      </c>
      <c r="BV46" s="214">
        <f t="shared" si="62"/>
        <v>0</v>
      </c>
      <c r="BW46" s="217">
        <f t="shared" si="158"/>
        <v>0</v>
      </c>
      <c r="BX46" s="217">
        <f t="shared" si="159"/>
        <v>0</v>
      </c>
      <c r="BY46" s="217">
        <f t="shared" si="160"/>
        <v>0</v>
      </c>
      <c r="BZ46" s="217">
        <f t="shared" si="161"/>
        <v>0</v>
      </c>
      <c r="CA46" s="217">
        <f t="shared" si="162"/>
        <v>0</v>
      </c>
      <c r="CB46" s="213" t="b">
        <f t="shared" si="163"/>
        <v>1</v>
      </c>
    </row>
    <row r="47" spans="1:80" x14ac:dyDescent="0.25">
      <c r="A47" s="207">
        <v>44</v>
      </c>
      <c r="B47" s="208">
        <v>42713</v>
      </c>
      <c r="C47" s="209">
        <v>12</v>
      </c>
      <c r="D47" s="210">
        <v>5</v>
      </c>
      <c r="E47" s="211" t="str">
        <f t="shared" si="65"/>
        <v>Anesth/analg vag delivery</v>
      </c>
      <c r="F47" s="212" t="str">
        <f t="shared" si="66"/>
        <v>Professional Services: Inpatient</v>
      </c>
      <c r="G47" s="213" t="str">
        <f t="shared" si="67"/>
        <v>Not Covered</v>
      </c>
      <c r="H47" s="214">
        <f t="shared" ref="H47:H50" si="164">VLOOKUP(D47,MaternityFeeSchedule,7,FALSE)</f>
        <v>1399.34</v>
      </c>
      <c r="I47" s="217">
        <f t="shared" ref="I47:I50" si="165">IF(G47="Not Covered",H47,0)</f>
        <v>1399.34</v>
      </c>
      <c r="J47" s="251">
        <f t="shared" ref="J47:J50" si="166">H47-I47</f>
        <v>0</v>
      </c>
      <c r="K47" s="214" t="b">
        <f t="shared" ref="K47:K50" si="167">VLOOKUP(F47,nrCoverageTable,COLUMN(nrOOPLimitValid),FALSE)</f>
        <v>0</v>
      </c>
      <c r="L47" s="218" t="str">
        <f t="shared" ref="L47:L50" si="168">IF(K47,VLOOKUP(F47,BenefitDesignTable,COLUMN(BenefitOOPLimitApplies),FALSE),"No")</f>
        <v>No</v>
      </c>
      <c r="M47" s="217" t="str">
        <f t="shared" ref="M47:M50" si="169">VLOOKUP(F47,BenefitDesignTable,COLUMN(OPLimit),FALSE)</f>
        <v>.</v>
      </c>
      <c r="N47" s="215" t="str">
        <f>IFERROR(IF(AND(L47="Yes",ISNUMBER(M47)),MAX(0,M47-SUMIFS(BU$3:BU46,L$3:L46,"Yes")),IF(OR(L47="No",M47="None"),"N/A","ERR")),"ERR")</f>
        <v>N/A</v>
      </c>
      <c r="O47" s="251" t="b">
        <f t="shared" si="46"/>
        <v>0</v>
      </c>
      <c r="P47" s="251" t="str">
        <f>IF(O47,BENEFIT_PARAMETERS!$C$76,"N/A")</f>
        <v>N/A</v>
      </c>
      <c r="Q47" s="288" t="str">
        <f>IF(P47="Yes", BENEFIT_PARAMETERS!$D$76,"N/A")</f>
        <v>N/A</v>
      </c>
      <c r="R47" s="253" t="str">
        <f t="shared" si="108"/>
        <v>N/A</v>
      </c>
      <c r="S47" s="217">
        <f t="shared" ref="S47:S50" si="170">IF(P47="Yes",IF(R47&lt;Q47,MIN(J47,N47),0),0)</f>
        <v>0</v>
      </c>
      <c r="T47" s="215">
        <f t="shared" ref="T47:T50" si="171">J47-S47</f>
        <v>0</v>
      </c>
      <c r="U47" s="214" t="b">
        <f t="shared" si="48"/>
        <v>0</v>
      </c>
      <c r="V47" s="251" t="str">
        <f>IF(O47,BENEFIT_PARAMETERS!$C$77,"N/A")</f>
        <v>N/A</v>
      </c>
      <c r="W47" s="288" t="str">
        <f>IF(V47="Yes", BENEFIT_PARAMETERS!$D$77,"N/A")</f>
        <v>N/A</v>
      </c>
      <c r="X47" s="253" t="str">
        <f>IF(O47,COUNTIF(Z$3:Z46,"&gt;0"),"N/A")</f>
        <v>N/A</v>
      </c>
      <c r="Y47" s="217" t="str">
        <f t="shared" ref="Y47:Y50" si="172">IF(V47="Yes",VLOOKUP("Professional Services: Primary Care",BenefitDesignTable,COLUMN(BenefitCopay),FALSE),"N/A")</f>
        <v>N/A</v>
      </c>
      <c r="Z47" s="293" t="str">
        <f t="shared" ref="Z47:Z50" si="173">IF(AND(V47="Yes",U47=TRUE,X47&lt;W47), MIN(Y47,T47,N47),"N/A")</f>
        <v>N/A</v>
      </c>
      <c r="AA47" s="293">
        <f t="shared" ref="AA47:AA50" si="174">IF(Z47="N/A",0,T47-Z47)</f>
        <v>0</v>
      </c>
      <c r="AB47" s="293" t="str">
        <f t="shared" ref="AB47:AB50" si="175">IF(L47="Yes",IF(Z47="N/A",N47,N47-Z47),"N/A")</f>
        <v>N/A</v>
      </c>
      <c r="AC47" s="215">
        <f t="shared" ref="AC47:AC50" si="176">IF(Z47="N/A",T47,0)</f>
        <v>0</v>
      </c>
      <c r="AD47" s="214" t="b">
        <f t="shared" ref="AD47:AD50" si="177">VLOOKUP(F47,nrCoverageTable,COLUMN(nrMonthlyLimitValid),FALSE)</f>
        <v>0</v>
      </c>
      <c r="AE47" s="209" t="str">
        <f t="shared" ref="AE47:AE50" si="178">IF(AD47,VLOOKUP(F47,BenefitDesignTable,COLUMN(BenefitLimithMonth),FALSE),".")</f>
        <v>.</v>
      </c>
      <c r="AF47" s="216">
        <f t="shared" ref="AF47:AF50" si="179">COUNTIFS(ServiceCode,D47,ClaimMonth,C47,ClaimNumber,"&lt;"&amp;A47)</f>
        <v>0</v>
      </c>
      <c r="AG47" s="217" t="str">
        <f t="shared" ref="AG47:AG50" si="180">IF(AD47,IF(OR(AE47="None",ISNUMBER(AE47)),IF(AF47&gt;=AE47,H47,0),"ERR"),"N/A")</f>
        <v>N/A</v>
      </c>
      <c r="AH47" s="217" t="b">
        <f t="shared" ref="AH47:AH50" si="181">VLOOKUP(F47,nrCoverageTable,COLUMN(nrAnnualLimitValid),FALSE)</f>
        <v>0</v>
      </c>
      <c r="AI47" s="209" t="str">
        <f t="shared" ref="AI47:AI50" si="182">IF(AH47,VLOOKUP(F47,BenefitDesignTable,COLUMN(BenefitLimitAnnual),FALSE),".")</f>
        <v>.</v>
      </c>
      <c r="AJ47" s="216">
        <f t="shared" ref="AJ47:AJ50" si="183">COUNTIFS(ServiceCode,D47,ClaimNumber,"&lt;"&amp;A47)</f>
        <v>0</v>
      </c>
      <c r="AK47" s="217" t="str">
        <f t="shared" ref="AK47:AK50" si="184">IF(AH47,IF(OR(AI47="None",ISNUMBER(AI47)),IF(AJ47&gt;=AI47,H47,0),"ERR"),"N/A")</f>
        <v>N/A</v>
      </c>
      <c r="AL47" s="217">
        <f t="shared" ref="AL47:AL50" si="185">IF(OR(AG47="ERR",AK47="ERR"),"ERR",MAX(AG47,AK47))</f>
        <v>0</v>
      </c>
      <c r="AM47" s="215">
        <f t="shared" ref="AM47:AM50" si="186">IFERROR(AC47-AL47,"ERR")</f>
        <v>0</v>
      </c>
      <c r="AN47" s="219" t="b">
        <f t="shared" ref="AN47:AN50" si="187">VLOOKUP(F47,nrCoverageTable,COLUMN(nrUsesPlanDeduct),FALSE)</f>
        <v>0</v>
      </c>
      <c r="AO47" s="217" t="str">
        <f t="shared" ref="AO47:AO50" si="188">IF(AN47,VLOOKUP(F47,BenefitDesignTable,COLUMN(PlanDeductible),FALSE),"N/A")</f>
        <v>N/A</v>
      </c>
      <c r="AP47" s="217" t="str">
        <f>IF(AND(ISNUMBER(AO47),AN47=TRUE),MAX(0,AO47-SUMIFS($AM$3:$AM46,AN$3:AN46,TRUE)),IF(AND(AN47=TRUE,ISNUMBER(AO47)=FALSE),"ERR","N/A"))</f>
        <v>N/A</v>
      </c>
      <c r="AQ47" s="215" t="str">
        <f t="shared" ref="AQ47:AQ50" si="189">IF(ISNUMBER(AP47),MIN($AM47,AP47),"N/A")</f>
        <v>N/A</v>
      </c>
      <c r="AR47" s="219" t="b">
        <f t="shared" ref="AR47:AR50" si="190">VLOOKUP(F47,nrCoverageTable,COLUMN(nrUsesRxDeduct),FALSE)</f>
        <v>0</v>
      </c>
      <c r="AS47" s="217" t="str">
        <f t="shared" ref="AS47:AS50" si="191">IF(AR47,VLOOKUP(F47,BenefitDesignTable,COLUMN(RxDeductible),FALSE),"N/A")</f>
        <v>N/A</v>
      </c>
      <c r="AT47" s="217" t="str">
        <f>IF(AND(AR47=TRUE,ISNUMBER(AS47)),MAX(0,AS47-SUMIFS($AM$3:$AM46,AR$3:AR46,TRUE)),IF(AND(AR47=TRUE,ISNUMBER(AS47)=FALSE),"ERR","N/A"))</f>
        <v>N/A</v>
      </c>
      <c r="AU47" s="215" t="str">
        <f t="shared" ref="AU47:AU50" si="192">IF(ISNUMBER(AT47),MIN($AM47,AT47),"N/A")</f>
        <v>N/A</v>
      </c>
      <c r="AV47" s="219" t="b">
        <f t="shared" ref="AV47:AV50" si="193">VLOOKUP(F47,nrCoverageTable,COLUMN(nrUsesDeductC),FALSE)</f>
        <v>0</v>
      </c>
      <c r="AW47" s="217" t="str">
        <f t="shared" ref="AW47:AW50" si="194">IF(AV47,VLOOKUP(F47,BenefitDesignTable,COLUMN(OptDeductibleC),FALSE),"N/A")</f>
        <v>N/A</v>
      </c>
      <c r="AX47" s="217" t="str">
        <f>IF(AND(AV47=TRUE,ISNUMBER(AW47)),MAX(0,AW47-SUMIFS($AM$3:$AM46,AV$3:AV46,TRUE)),IF(AND(AV47=TRUE,ISNUMBER(AW47)=FALSE),"ERR","N/A"))</f>
        <v>N/A</v>
      </c>
      <c r="AY47" s="215" t="str">
        <f t="shared" ref="AY47:AY50" si="195">IF(ISNUMBER(AX47),MIN($AM47,AX47),"N/A")</f>
        <v>N/A</v>
      </c>
      <c r="AZ47" s="219" t="b">
        <f t="shared" ref="AZ47:AZ50" si="196">VLOOKUP(F47,nrCoverageTable,COLUMN(nrUsesDeductD),FALSE)</f>
        <v>0</v>
      </c>
      <c r="BA47" s="217" t="str">
        <f t="shared" ref="BA47:BA50" si="197">IF(AZ47,VLOOKUP(F47,BenefitDesignTable,COLUMN(OptDeductibleD),FALSE),"N/A")</f>
        <v>N/A</v>
      </c>
      <c r="BB47" s="217" t="str">
        <f>IF(AND(AZ47=TRUE,ISNUMBER(BA47)),MAX(0,BA47-SUMIFS($AM$3:$AM46,AZ$3:AZ46,TRUE)),IF(AND(AZ47=TRUE,ISNUMBER(BA47)=FALSE),"ERR","N/A"))</f>
        <v>N/A</v>
      </c>
      <c r="BC47" s="215" t="str">
        <f t="shared" ref="BC47:BC50" si="198">IF(ISNUMBER(BB47),MIN($AM47,BB47),"N/A")</f>
        <v>N/A</v>
      </c>
      <c r="BD47" s="219" t="b">
        <f t="shared" ref="BD47:BD50" si="199">VLOOKUP(F47,nrCoverageTable,COLUMN(nrUsesBenDeduct),FALSE)</f>
        <v>0</v>
      </c>
      <c r="BE47" s="217" t="str">
        <f t="shared" ref="BE47:BE50" si="200">IF(BD47,VLOOKUP(F47,BenefitDesignTable,COLUMN(BenefitDeductible),FALSE),"N/A")</f>
        <v>N/A</v>
      </c>
      <c r="BF47" s="217" t="str">
        <f>IF(AND(BD47=TRUE,ISNUMBER(BE47)=TRUE),MAX(0,BE47-SUMIFS(AM$3:AM46,BD$3:BD46,TRUE,F$3:F46,F47)),IF(AND(BD47=TRUE,ISNUMBER(BE47)=FALSE),"ERR","N/A"))</f>
        <v>N/A</v>
      </c>
      <c r="BG47" s="215" t="str">
        <f t="shared" ref="BG47:BG50" si="201">IF(ISNUMBER(BF47),MIN($AM47,BF47),"N/A")</f>
        <v>N/A</v>
      </c>
      <c r="BH47" s="214">
        <f t="shared" ref="BH47:BH50" si="202">SUM(AQ47,AU47,AY47,BC47,BG47)</f>
        <v>0</v>
      </c>
      <c r="BI47" s="215">
        <f t="shared" ref="BI47:BI50" si="203">IF(OR(AB47="ERR",BH47="ERR"),"ERR",MIN(BH47,AB47))</f>
        <v>0</v>
      </c>
      <c r="BJ47" s="214" t="str">
        <f t="shared" ref="BJ47:BJ50" si="204">IF(AND(L47="Yes",ISNUMBER(M47)),IF(OR(BI47="ERR",AB47="ERR"),"ERR",MAX($AB47-BI47,0)),"N/A")</f>
        <v>N/A</v>
      </c>
      <c r="BK47" s="217">
        <f t="shared" ref="BK47:BK50" si="205">IF(OR(BI47="ERR",AM47="ERR"),"ERR",MAX(0,AM47-BI47))</f>
        <v>0</v>
      </c>
      <c r="BL47" s="220" t="b">
        <f t="shared" ref="BL47:BL50" si="206">VLOOKUP(F47,nrCoverageTable,COLUMN(nrUsesCopay),FALSE)</f>
        <v>0</v>
      </c>
      <c r="BM47" s="217" t="str">
        <f t="shared" ref="BM47:BM50" si="207">IF(BL47,VLOOKUP(F47,BenefitDesignTable,COLUMN(BenefitCopay),FALSE),"N/A")</f>
        <v>N/A</v>
      </c>
      <c r="BN47" s="217" t="str">
        <f t="shared" ref="BN47:BN50" si="208">IF(BK47="ERR","ERR",IF(AND(BL47=TRUE,ISNUMBER(BM47)),MIN(BK47,BM47,BJ47),IF(AND(BL47=TRUE,ISNUMBER(BM47)=FALSE),"ERR","N/A")))</f>
        <v>N/A</v>
      </c>
      <c r="BO47" s="220" t="b">
        <f t="shared" ref="BO47:BO50" si="209">VLOOKUP(F47,nrCoverageTable,COLUMN(nrUsesCoins),FALSE)</f>
        <v>0</v>
      </c>
      <c r="BP47" s="244" t="str">
        <f t="shared" ref="BP47:BP50" si="210">IF(BO47,VLOOKUP(F47,BenefitDesignTable,COLUMN(BenefitCoins),FALSE),"N/A")</f>
        <v>N/A</v>
      </c>
      <c r="BQ47" s="217" t="str">
        <f t="shared" ref="BQ47:BQ50" si="211">IF(BK47="ERR","ERR",IF(AND(BO47=TRUE,ISNUMBER(BP47)=TRUE),MIN(BJ47,BK47*BP47),IF(AND(BO47=TRUE,ISNUMBER(BP47)=FALSE),"ERR","N/A")))</f>
        <v>N/A</v>
      </c>
      <c r="BR47" s="215">
        <f t="shared" ref="BR47:BR50" si="212">IF(OR(BJ47="ERR",BN47="ERR",BQ47="ERR"),"ERR",MIN(BJ47,SUM(BN47,BQ47)))</f>
        <v>0</v>
      </c>
      <c r="BS47" s="214" t="str">
        <f t="shared" ref="BS47:BS50" si="213">IF(AND(L47="Yes",ISNUMBER(M47)),IF(OR(BJ47="ERR",BR47="ERR"),"ERR",MAX(BJ47-BR47,0)),"N/A")</f>
        <v>N/A</v>
      </c>
      <c r="BT47" s="217">
        <f t="shared" ref="BT47:BT50" si="214">IF(OR(BK47="ERR",BR47="ERR"),"ERR",MAX(BK47-BR47,0))</f>
        <v>0</v>
      </c>
      <c r="BU47" s="215">
        <f t="shared" si="61"/>
        <v>0</v>
      </c>
      <c r="BV47" s="214">
        <f t="shared" si="62"/>
        <v>0</v>
      </c>
      <c r="BW47" s="217">
        <f t="shared" ref="BW47:BW50" si="215">I47</f>
        <v>1399.34</v>
      </c>
      <c r="BX47" s="217">
        <f t="shared" ref="BX47:BX50" si="216">IF(OR(AG47="ERR",AK47="ERR"),"ERR",SUM(AG47,AK47))</f>
        <v>0</v>
      </c>
      <c r="BY47" s="217">
        <f t="shared" ref="BY47:BY50" si="217">BI47</f>
        <v>0</v>
      </c>
      <c r="BZ47" s="217">
        <f t="shared" ref="BZ47:BZ50" si="218">IF(V47="Yes",IF(Z47="N/A",0,Z47),0)+IF(BL47,BN47,0)</f>
        <v>0</v>
      </c>
      <c r="CA47" s="217">
        <f t="shared" ref="CA47:CA50" si="219">IF(BO47,BQ47,0)</f>
        <v>0</v>
      </c>
      <c r="CB47" s="213" t="b">
        <f t="shared" ref="CB47:CB50" si="220">SUM(BV47:CA47)=H47</f>
        <v>1</v>
      </c>
    </row>
    <row r="48" spans="1:80" x14ac:dyDescent="0.25">
      <c r="A48" s="207">
        <v>45</v>
      </c>
      <c r="B48" s="208">
        <v>42713</v>
      </c>
      <c r="C48" s="209">
        <v>12</v>
      </c>
      <c r="D48" s="210">
        <v>34</v>
      </c>
      <c r="E48" s="211" t="str">
        <f t="shared" si="65"/>
        <v>Vaginal delivery w/o complicating diagnoses</v>
      </c>
      <c r="F48" s="212" t="str">
        <f t="shared" si="66"/>
        <v>Inpatient Hospital Care (Facility)</v>
      </c>
      <c r="G48" s="213" t="str">
        <f t="shared" si="67"/>
        <v>Not Covered</v>
      </c>
      <c r="H48" s="214">
        <f t="shared" si="164"/>
        <v>7060.58</v>
      </c>
      <c r="I48" s="217">
        <f t="shared" si="165"/>
        <v>7060.58</v>
      </c>
      <c r="J48" s="251">
        <f t="shared" si="166"/>
        <v>0</v>
      </c>
      <c r="K48" s="214" t="b">
        <f t="shared" si="167"/>
        <v>0</v>
      </c>
      <c r="L48" s="218" t="str">
        <f t="shared" si="168"/>
        <v>No</v>
      </c>
      <c r="M48" s="217" t="str">
        <f t="shared" si="169"/>
        <v>.</v>
      </c>
      <c r="N48" s="215" t="str">
        <f>IFERROR(IF(AND(L48="Yes",ISNUMBER(M48)),MAX(0,M48-SUMIFS(BU$3:BU47,L$3:L47,"Yes")),IF(OR(L48="No",M48="None"),"N/A","ERR")),"ERR")</f>
        <v>N/A</v>
      </c>
      <c r="O48" s="251" t="b">
        <f t="shared" si="46"/>
        <v>0</v>
      </c>
      <c r="P48" s="251" t="str">
        <f>IF(O48,BENEFIT_PARAMETERS!$C$76,"N/A")</f>
        <v>N/A</v>
      </c>
      <c r="Q48" s="288" t="str">
        <f>IF(P48="Yes", BENEFIT_PARAMETERS!$D$76,"N/A")</f>
        <v>N/A</v>
      </c>
      <c r="R48" s="253" t="str">
        <f t="shared" si="108"/>
        <v>N/A</v>
      </c>
      <c r="S48" s="217">
        <f t="shared" si="170"/>
        <v>0</v>
      </c>
      <c r="T48" s="215">
        <f t="shared" si="171"/>
        <v>0</v>
      </c>
      <c r="U48" s="214" t="b">
        <f t="shared" si="48"/>
        <v>0</v>
      </c>
      <c r="V48" s="251" t="str">
        <f>IF(O48,BENEFIT_PARAMETERS!$C$77,"N/A")</f>
        <v>N/A</v>
      </c>
      <c r="W48" s="288" t="str">
        <f>IF(V48="Yes", BENEFIT_PARAMETERS!$D$77,"N/A")</f>
        <v>N/A</v>
      </c>
      <c r="X48" s="253" t="str">
        <f>IF(O48,COUNTIF(Z$3:Z47,"&gt;0"),"N/A")</f>
        <v>N/A</v>
      </c>
      <c r="Y48" s="217" t="str">
        <f t="shared" si="172"/>
        <v>N/A</v>
      </c>
      <c r="Z48" s="293" t="str">
        <f t="shared" si="173"/>
        <v>N/A</v>
      </c>
      <c r="AA48" s="293">
        <f t="shared" si="174"/>
        <v>0</v>
      </c>
      <c r="AB48" s="293" t="str">
        <f t="shared" si="175"/>
        <v>N/A</v>
      </c>
      <c r="AC48" s="215">
        <f t="shared" si="176"/>
        <v>0</v>
      </c>
      <c r="AD48" s="214" t="b">
        <f t="shared" si="177"/>
        <v>0</v>
      </c>
      <c r="AE48" s="209" t="str">
        <f t="shared" si="178"/>
        <v>.</v>
      </c>
      <c r="AF48" s="216">
        <f t="shared" si="179"/>
        <v>0</v>
      </c>
      <c r="AG48" s="217" t="str">
        <f t="shared" si="180"/>
        <v>N/A</v>
      </c>
      <c r="AH48" s="217" t="b">
        <f t="shared" si="181"/>
        <v>0</v>
      </c>
      <c r="AI48" s="209" t="str">
        <f t="shared" si="182"/>
        <v>.</v>
      </c>
      <c r="AJ48" s="216">
        <f t="shared" si="183"/>
        <v>0</v>
      </c>
      <c r="AK48" s="217" t="str">
        <f t="shared" si="184"/>
        <v>N/A</v>
      </c>
      <c r="AL48" s="217">
        <f t="shared" si="185"/>
        <v>0</v>
      </c>
      <c r="AM48" s="215">
        <f t="shared" si="186"/>
        <v>0</v>
      </c>
      <c r="AN48" s="219" t="b">
        <f t="shared" si="187"/>
        <v>0</v>
      </c>
      <c r="AO48" s="217" t="str">
        <f t="shared" si="188"/>
        <v>N/A</v>
      </c>
      <c r="AP48" s="217" t="str">
        <f>IF(AND(ISNUMBER(AO48),AN48=TRUE),MAX(0,AO48-SUMIFS($AM$3:$AM47,AN$3:AN47,TRUE)),IF(AND(AN48=TRUE,ISNUMBER(AO48)=FALSE),"ERR","N/A"))</f>
        <v>N/A</v>
      </c>
      <c r="AQ48" s="215" t="str">
        <f t="shared" si="189"/>
        <v>N/A</v>
      </c>
      <c r="AR48" s="219" t="b">
        <f t="shared" si="190"/>
        <v>0</v>
      </c>
      <c r="AS48" s="217" t="str">
        <f t="shared" si="191"/>
        <v>N/A</v>
      </c>
      <c r="AT48" s="217" t="str">
        <f>IF(AND(AR48=TRUE,ISNUMBER(AS48)),MAX(0,AS48-SUMIFS($AM$3:$AM47,AR$3:AR47,TRUE)),IF(AND(AR48=TRUE,ISNUMBER(AS48)=FALSE),"ERR","N/A"))</f>
        <v>N/A</v>
      </c>
      <c r="AU48" s="215" t="str">
        <f t="shared" si="192"/>
        <v>N/A</v>
      </c>
      <c r="AV48" s="219" t="b">
        <f t="shared" si="193"/>
        <v>0</v>
      </c>
      <c r="AW48" s="217" t="str">
        <f t="shared" si="194"/>
        <v>N/A</v>
      </c>
      <c r="AX48" s="217" t="str">
        <f>IF(AND(AV48=TRUE,ISNUMBER(AW48)),MAX(0,AW48-SUMIFS($AM$3:$AM47,AV$3:AV47,TRUE)),IF(AND(AV48=TRUE,ISNUMBER(AW48)=FALSE),"ERR","N/A"))</f>
        <v>N/A</v>
      </c>
      <c r="AY48" s="215" t="str">
        <f t="shared" si="195"/>
        <v>N/A</v>
      </c>
      <c r="AZ48" s="219" t="b">
        <f t="shared" si="196"/>
        <v>0</v>
      </c>
      <c r="BA48" s="217" t="str">
        <f t="shared" si="197"/>
        <v>N/A</v>
      </c>
      <c r="BB48" s="217" t="str">
        <f>IF(AND(AZ48=TRUE,ISNUMBER(BA48)),MAX(0,BA48-SUMIFS($AM$3:$AM47,AZ$3:AZ47,TRUE)),IF(AND(AZ48=TRUE,ISNUMBER(BA48)=FALSE),"ERR","N/A"))</f>
        <v>N/A</v>
      </c>
      <c r="BC48" s="215" t="str">
        <f t="shared" si="198"/>
        <v>N/A</v>
      </c>
      <c r="BD48" s="219" t="b">
        <f t="shared" si="199"/>
        <v>0</v>
      </c>
      <c r="BE48" s="217" t="str">
        <f t="shared" si="200"/>
        <v>N/A</v>
      </c>
      <c r="BF48" s="217" t="str">
        <f>IF(AND(BD48=TRUE,ISNUMBER(BE48)=TRUE),MAX(0,BE48-SUMIFS(AM$3:AM47,BD$3:BD47,TRUE,F$3:F47,F48)),IF(AND(BD48=TRUE,ISNUMBER(BE48)=FALSE),"ERR","N/A"))</f>
        <v>N/A</v>
      </c>
      <c r="BG48" s="215" t="str">
        <f t="shared" si="201"/>
        <v>N/A</v>
      </c>
      <c r="BH48" s="214">
        <f t="shared" si="202"/>
        <v>0</v>
      </c>
      <c r="BI48" s="215">
        <f t="shared" si="203"/>
        <v>0</v>
      </c>
      <c r="BJ48" s="214" t="str">
        <f t="shared" si="204"/>
        <v>N/A</v>
      </c>
      <c r="BK48" s="217">
        <f t="shared" si="205"/>
        <v>0</v>
      </c>
      <c r="BL48" s="220" t="b">
        <f t="shared" si="206"/>
        <v>0</v>
      </c>
      <c r="BM48" s="217" t="str">
        <f t="shared" si="207"/>
        <v>N/A</v>
      </c>
      <c r="BN48" s="217" t="str">
        <f t="shared" si="208"/>
        <v>N/A</v>
      </c>
      <c r="BO48" s="220" t="b">
        <f t="shared" si="209"/>
        <v>0</v>
      </c>
      <c r="BP48" s="244" t="str">
        <f t="shared" si="210"/>
        <v>N/A</v>
      </c>
      <c r="BQ48" s="217" t="str">
        <f t="shared" si="211"/>
        <v>N/A</v>
      </c>
      <c r="BR48" s="215">
        <f t="shared" si="212"/>
        <v>0</v>
      </c>
      <c r="BS48" s="214" t="str">
        <f t="shared" si="213"/>
        <v>N/A</v>
      </c>
      <c r="BT48" s="217">
        <f t="shared" si="214"/>
        <v>0</v>
      </c>
      <c r="BU48" s="215">
        <f t="shared" si="61"/>
        <v>0</v>
      </c>
      <c r="BV48" s="214">
        <f t="shared" si="62"/>
        <v>0</v>
      </c>
      <c r="BW48" s="217">
        <f t="shared" si="215"/>
        <v>7060.58</v>
      </c>
      <c r="BX48" s="217">
        <f t="shared" si="216"/>
        <v>0</v>
      </c>
      <c r="BY48" s="217">
        <f t="shared" si="217"/>
        <v>0</v>
      </c>
      <c r="BZ48" s="217">
        <f t="shared" si="218"/>
        <v>0</v>
      </c>
      <c r="CA48" s="217">
        <f t="shared" si="219"/>
        <v>0</v>
      </c>
      <c r="CB48" s="213" t="b">
        <f t="shared" si="220"/>
        <v>1</v>
      </c>
    </row>
    <row r="49" spans="1:80" x14ac:dyDescent="0.25">
      <c r="A49" s="207">
        <v>46</v>
      </c>
      <c r="B49" s="208">
        <v>42713</v>
      </c>
      <c r="C49" s="209">
        <v>12</v>
      </c>
      <c r="D49" s="210">
        <v>32</v>
      </c>
      <c r="E49" s="211" t="str">
        <f t="shared" si="65"/>
        <v>Office/Outpatient Visit Est</v>
      </c>
      <c r="F49" s="212" t="str">
        <f t="shared" si="66"/>
        <v>Professional Services: Obstetric Care (Bundled)</v>
      </c>
      <c r="G49" s="213" t="str">
        <f t="shared" si="67"/>
        <v>Not Covered</v>
      </c>
      <c r="H49" s="214">
        <f t="shared" si="164"/>
        <v>0</v>
      </c>
      <c r="I49" s="217">
        <f t="shared" si="165"/>
        <v>0</v>
      </c>
      <c r="J49" s="251">
        <f t="shared" si="166"/>
        <v>0</v>
      </c>
      <c r="K49" s="214" t="b">
        <f t="shared" si="167"/>
        <v>0</v>
      </c>
      <c r="L49" s="218" t="str">
        <f t="shared" si="168"/>
        <v>No</v>
      </c>
      <c r="M49" s="217" t="str">
        <f t="shared" si="169"/>
        <v>.</v>
      </c>
      <c r="N49" s="215" t="str">
        <f>IFERROR(IF(AND(L49="Yes",ISNUMBER(M49)),MAX(0,M49-SUMIFS(BU$3:BU48,L$3:L48,"Yes")),IF(OR(L49="No",M49="None"),"N/A","ERR")),"ERR")</f>
        <v>N/A</v>
      </c>
      <c r="O49" s="251" t="b">
        <f t="shared" si="46"/>
        <v>0</v>
      </c>
      <c r="P49" s="251" t="str">
        <f>IF(O49,BENEFIT_PARAMETERS!$C$76,"N/A")</f>
        <v>N/A</v>
      </c>
      <c r="Q49" s="288" t="str">
        <f>IF(P49="Yes", BENEFIT_PARAMETERS!$D$76,"N/A")</f>
        <v>N/A</v>
      </c>
      <c r="R49" s="253" t="str">
        <f t="shared" si="108"/>
        <v>N/A</v>
      </c>
      <c r="S49" s="217">
        <f t="shared" si="170"/>
        <v>0</v>
      </c>
      <c r="T49" s="215">
        <f t="shared" si="171"/>
        <v>0</v>
      </c>
      <c r="U49" s="214" t="b">
        <f t="shared" si="48"/>
        <v>0</v>
      </c>
      <c r="V49" s="251" t="str">
        <f>IF(O49,BENEFIT_PARAMETERS!$C$77,"N/A")</f>
        <v>N/A</v>
      </c>
      <c r="W49" s="288" t="str">
        <f>IF(V49="Yes", BENEFIT_PARAMETERS!$D$77,"N/A")</f>
        <v>N/A</v>
      </c>
      <c r="X49" s="253" t="str">
        <f>IF(O49,COUNTIF(Z$3:Z48,"&gt;0"),"N/A")</f>
        <v>N/A</v>
      </c>
      <c r="Y49" s="217" t="str">
        <f t="shared" si="172"/>
        <v>N/A</v>
      </c>
      <c r="Z49" s="293" t="str">
        <f t="shared" si="173"/>
        <v>N/A</v>
      </c>
      <c r="AA49" s="293">
        <f t="shared" si="174"/>
        <v>0</v>
      </c>
      <c r="AB49" s="293" t="str">
        <f t="shared" si="175"/>
        <v>N/A</v>
      </c>
      <c r="AC49" s="215">
        <f t="shared" si="176"/>
        <v>0</v>
      </c>
      <c r="AD49" s="214" t="b">
        <f t="shared" si="177"/>
        <v>0</v>
      </c>
      <c r="AE49" s="209" t="str">
        <f t="shared" si="178"/>
        <v>.</v>
      </c>
      <c r="AF49" s="216">
        <f t="shared" si="179"/>
        <v>1</v>
      </c>
      <c r="AG49" s="217" t="str">
        <f t="shared" si="180"/>
        <v>N/A</v>
      </c>
      <c r="AH49" s="217" t="b">
        <f t="shared" si="181"/>
        <v>0</v>
      </c>
      <c r="AI49" s="209" t="str">
        <f t="shared" si="182"/>
        <v>.</v>
      </c>
      <c r="AJ49" s="216">
        <f t="shared" si="183"/>
        <v>13</v>
      </c>
      <c r="AK49" s="217" t="str">
        <f t="shared" si="184"/>
        <v>N/A</v>
      </c>
      <c r="AL49" s="217">
        <f t="shared" si="185"/>
        <v>0</v>
      </c>
      <c r="AM49" s="215">
        <f t="shared" si="186"/>
        <v>0</v>
      </c>
      <c r="AN49" s="219" t="b">
        <f t="shared" si="187"/>
        <v>0</v>
      </c>
      <c r="AO49" s="217" t="str">
        <f t="shared" si="188"/>
        <v>N/A</v>
      </c>
      <c r="AP49" s="217" t="str">
        <f>IF(AND(ISNUMBER(AO49),AN49=TRUE),MAX(0,AO49-SUMIFS($AM$3:$AM48,AN$3:AN48,TRUE)),IF(AND(AN49=TRUE,ISNUMBER(AO49)=FALSE),"ERR","N/A"))</f>
        <v>N/A</v>
      </c>
      <c r="AQ49" s="215" t="str">
        <f t="shared" si="189"/>
        <v>N/A</v>
      </c>
      <c r="AR49" s="219" t="b">
        <f t="shared" si="190"/>
        <v>0</v>
      </c>
      <c r="AS49" s="217" t="str">
        <f t="shared" si="191"/>
        <v>N/A</v>
      </c>
      <c r="AT49" s="217" t="str">
        <f>IF(AND(AR49=TRUE,ISNUMBER(AS49)),MAX(0,AS49-SUMIFS($AM$3:$AM48,AR$3:AR48,TRUE)),IF(AND(AR49=TRUE,ISNUMBER(AS49)=FALSE),"ERR","N/A"))</f>
        <v>N/A</v>
      </c>
      <c r="AU49" s="215" t="str">
        <f t="shared" si="192"/>
        <v>N/A</v>
      </c>
      <c r="AV49" s="219" t="b">
        <f t="shared" si="193"/>
        <v>0</v>
      </c>
      <c r="AW49" s="217" t="str">
        <f t="shared" si="194"/>
        <v>N/A</v>
      </c>
      <c r="AX49" s="217" t="str">
        <f>IF(AND(AV49=TRUE,ISNUMBER(AW49)),MAX(0,AW49-SUMIFS($AM$3:$AM48,AV$3:AV48,TRUE)),IF(AND(AV49=TRUE,ISNUMBER(AW49)=FALSE),"ERR","N/A"))</f>
        <v>N/A</v>
      </c>
      <c r="AY49" s="215" t="str">
        <f t="shared" si="195"/>
        <v>N/A</v>
      </c>
      <c r="AZ49" s="219" t="b">
        <f t="shared" si="196"/>
        <v>0</v>
      </c>
      <c r="BA49" s="217" t="str">
        <f t="shared" si="197"/>
        <v>N/A</v>
      </c>
      <c r="BB49" s="217" t="str">
        <f>IF(AND(AZ49=TRUE,ISNUMBER(BA49)),MAX(0,BA49-SUMIFS($AM$3:$AM48,AZ$3:AZ48,TRUE)),IF(AND(AZ49=TRUE,ISNUMBER(BA49)=FALSE),"ERR","N/A"))</f>
        <v>N/A</v>
      </c>
      <c r="BC49" s="215" t="str">
        <f t="shared" si="198"/>
        <v>N/A</v>
      </c>
      <c r="BD49" s="219" t="b">
        <f t="shared" si="199"/>
        <v>0</v>
      </c>
      <c r="BE49" s="217" t="str">
        <f t="shared" si="200"/>
        <v>N/A</v>
      </c>
      <c r="BF49" s="217" t="str">
        <f>IF(AND(BD49=TRUE,ISNUMBER(BE49)=TRUE),MAX(0,BE49-SUMIFS(AM$3:AM48,BD$3:BD48,TRUE,F$3:F48,F49)),IF(AND(BD49=TRUE,ISNUMBER(BE49)=FALSE),"ERR","N/A"))</f>
        <v>N/A</v>
      </c>
      <c r="BG49" s="215" t="str">
        <f t="shared" si="201"/>
        <v>N/A</v>
      </c>
      <c r="BH49" s="214">
        <f t="shared" si="202"/>
        <v>0</v>
      </c>
      <c r="BI49" s="215">
        <f t="shared" si="203"/>
        <v>0</v>
      </c>
      <c r="BJ49" s="214" t="str">
        <f t="shared" si="204"/>
        <v>N/A</v>
      </c>
      <c r="BK49" s="217">
        <f t="shared" si="205"/>
        <v>0</v>
      </c>
      <c r="BL49" s="220" t="b">
        <f t="shared" si="206"/>
        <v>0</v>
      </c>
      <c r="BM49" s="217" t="str">
        <f t="shared" si="207"/>
        <v>N/A</v>
      </c>
      <c r="BN49" s="217" t="str">
        <f t="shared" si="208"/>
        <v>N/A</v>
      </c>
      <c r="BO49" s="220" t="b">
        <f t="shared" si="209"/>
        <v>0</v>
      </c>
      <c r="BP49" s="244" t="str">
        <f t="shared" si="210"/>
        <v>N/A</v>
      </c>
      <c r="BQ49" s="217" t="str">
        <f t="shared" si="211"/>
        <v>N/A</v>
      </c>
      <c r="BR49" s="215">
        <f t="shared" si="212"/>
        <v>0</v>
      </c>
      <c r="BS49" s="214" t="str">
        <f t="shared" si="213"/>
        <v>N/A</v>
      </c>
      <c r="BT49" s="217">
        <f t="shared" si="214"/>
        <v>0</v>
      </c>
      <c r="BU49" s="215">
        <f t="shared" si="61"/>
        <v>0</v>
      </c>
      <c r="BV49" s="214">
        <f t="shared" si="62"/>
        <v>0</v>
      </c>
      <c r="BW49" s="217">
        <f t="shared" si="215"/>
        <v>0</v>
      </c>
      <c r="BX49" s="217">
        <f t="shared" si="216"/>
        <v>0</v>
      </c>
      <c r="BY49" s="217">
        <f t="shared" si="217"/>
        <v>0</v>
      </c>
      <c r="BZ49" s="217">
        <f t="shared" si="218"/>
        <v>0</v>
      </c>
      <c r="CA49" s="217">
        <f t="shared" si="219"/>
        <v>0</v>
      </c>
      <c r="CB49" s="213" t="b">
        <f t="shared" si="220"/>
        <v>1</v>
      </c>
    </row>
    <row r="50" spans="1:80" x14ac:dyDescent="0.25">
      <c r="A50" s="207">
        <v>47</v>
      </c>
      <c r="B50" s="208">
        <v>42715</v>
      </c>
      <c r="C50" s="209">
        <v>12</v>
      </c>
      <c r="D50" s="210">
        <v>7</v>
      </c>
      <c r="E50" s="211" t="str">
        <f t="shared" si="65"/>
        <v>Polyethylene Glycol 3350 [1 dose / 17 GM daily]</v>
      </c>
      <c r="F50" s="212" t="str">
        <f t="shared" si="66"/>
        <v>Over-the-counter Drugs</v>
      </c>
      <c r="G50" s="213" t="str">
        <f t="shared" si="67"/>
        <v>Not Covered</v>
      </c>
      <c r="H50" s="214">
        <f t="shared" si="164"/>
        <v>15.1</v>
      </c>
      <c r="I50" s="217">
        <f t="shared" si="165"/>
        <v>15.1</v>
      </c>
      <c r="J50" s="251">
        <f t="shared" si="166"/>
        <v>0</v>
      </c>
      <c r="K50" s="214" t="b">
        <f t="shared" si="167"/>
        <v>0</v>
      </c>
      <c r="L50" s="218" t="str">
        <f t="shared" si="168"/>
        <v>No</v>
      </c>
      <c r="M50" s="217" t="str">
        <f t="shared" si="169"/>
        <v>.</v>
      </c>
      <c r="N50" s="215" t="str">
        <f>IFERROR(IF(AND(L50="Yes",ISNUMBER(M50)),MAX(0,M50-SUMIFS(BU$3:BU49,L$3:L49,"Yes")),IF(OR(L50="No",M50="None"),"N/A","ERR")),"ERR")</f>
        <v>N/A</v>
      </c>
      <c r="O50" s="251" t="b">
        <f t="shared" si="46"/>
        <v>0</v>
      </c>
      <c r="P50" s="251" t="str">
        <f>IF(O50,BENEFIT_PARAMETERS!$C$76,"N/A")</f>
        <v>N/A</v>
      </c>
      <c r="Q50" s="288" t="str">
        <f>IF(P50="Yes", BENEFIT_PARAMETERS!$D$76,"N/A")</f>
        <v>N/A</v>
      </c>
      <c r="R50" s="253" t="str">
        <f t="shared" si="108"/>
        <v>N/A</v>
      </c>
      <c r="S50" s="217">
        <f t="shared" si="170"/>
        <v>0</v>
      </c>
      <c r="T50" s="215">
        <f t="shared" si="171"/>
        <v>0</v>
      </c>
      <c r="U50" s="214" t="b">
        <f t="shared" si="48"/>
        <v>0</v>
      </c>
      <c r="V50" s="251" t="str">
        <f>IF(O50,BENEFIT_PARAMETERS!$C$77,"N/A")</f>
        <v>N/A</v>
      </c>
      <c r="W50" s="288" t="str">
        <f>IF(V50="Yes", BENEFIT_PARAMETERS!$D$77,"N/A")</f>
        <v>N/A</v>
      </c>
      <c r="X50" s="253" t="str">
        <f>IF(O50,COUNTIF(Z$3:Z49,"&gt;0"),"N/A")</f>
        <v>N/A</v>
      </c>
      <c r="Y50" s="217" t="str">
        <f t="shared" si="172"/>
        <v>N/A</v>
      </c>
      <c r="Z50" s="293" t="str">
        <f t="shared" si="173"/>
        <v>N/A</v>
      </c>
      <c r="AA50" s="293">
        <f t="shared" si="174"/>
        <v>0</v>
      </c>
      <c r="AB50" s="293" t="str">
        <f t="shared" si="175"/>
        <v>N/A</v>
      </c>
      <c r="AC50" s="215">
        <f t="shared" si="176"/>
        <v>0</v>
      </c>
      <c r="AD50" s="214" t="b">
        <f t="shared" si="177"/>
        <v>0</v>
      </c>
      <c r="AE50" s="209" t="str">
        <f t="shared" si="178"/>
        <v>.</v>
      </c>
      <c r="AF50" s="216">
        <f t="shared" si="179"/>
        <v>0</v>
      </c>
      <c r="AG50" s="217" t="str">
        <f t="shared" si="180"/>
        <v>N/A</v>
      </c>
      <c r="AH50" s="217" t="b">
        <f t="shared" si="181"/>
        <v>0</v>
      </c>
      <c r="AI50" s="209" t="str">
        <f t="shared" si="182"/>
        <v>.</v>
      </c>
      <c r="AJ50" s="216">
        <f t="shared" si="183"/>
        <v>0</v>
      </c>
      <c r="AK50" s="217" t="str">
        <f t="shared" si="184"/>
        <v>N/A</v>
      </c>
      <c r="AL50" s="217">
        <f t="shared" si="185"/>
        <v>0</v>
      </c>
      <c r="AM50" s="215">
        <f t="shared" si="186"/>
        <v>0</v>
      </c>
      <c r="AN50" s="219" t="b">
        <f t="shared" si="187"/>
        <v>0</v>
      </c>
      <c r="AO50" s="217" t="str">
        <f t="shared" si="188"/>
        <v>N/A</v>
      </c>
      <c r="AP50" s="217" t="str">
        <f>IF(AND(ISNUMBER(AO50),AN50=TRUE),MAX(0,AO50-SUMIFS($AM$3:$AM49,AN$3:AN49,TRUE)),IF(AND(AN50=TRUE,ISNUMBER(AO50)=FALSE),"ERR","N/A"))</f>
        <v>N/A</v>
      </c>
      <c r="AQ50" s="215" t="str">
        <f t="shared" si="189"/>
        <v>N/A</v>
      </c>
      <c r="AR50" s="219" t="b">
        <f t="shared" si="190"/>
        <v>0</v>
      </c>
      <c r="AS50" s="217" t="str">
        <f t="shared" si="191"/>
        <v>N/A</v>
      </c>
      <c r="AT50" s="217" t="str">
        <f>IF(AND(AR50=TRUE,ISNUMBER(AS50)),MAX(0,AS50-SUMIFS($AM$3:$AM49,AR$3:AR49,TRUE)),IF(AND(AR50=TRUE,ISNUMBER(AS50)=FALSE),"ERR","N/A"))</f>
        <v>N/A</v>
      </c>
      <c r="AU50" s="215" t="str">
        <f t="shared" si="192"/>
        <v>N/A</v>
      </c>
      <c r="AV50" s="219" t="b">
        <f t="shared" si="193"/>
        <v>0</v>
      </c>
      <c r="AW50" s="217" t="str">
        <f t="shared" si="194"/>
        <v>N/A</v>
      </c>
      <c r="AX50" s="217" t="str">
        <f>IF(AND(AV50=TRUE,ISNUMBER(AW50)),MAX(0,AW50-SUMIFS($AM$3:$AM49,AV$3:AV49,TRUE)),IF(AND(AV50=TRUE,ISNUMBER(AW50)=FALSE),"ERR","N/A"))</f>
        <v>N/A</v>
      </c>
      <c r="AY50" s="215" t="str">
        <f t="shared" si="195"/>
        <v>N/A</v>
      </c>
      <c r="AZ50" s="219" t="b">
        <f t="shared" si="196"/>
        <v>0</v>
      </c>
      <c r="BA50" s="217" t="str">
        <f t="shared" si="197"/>
        <v>N/A</v>
      </c>
      <c r="BB50" s="217" t="str">
        <f>IF(AND(AZ50=TRUE,ISNUMBER(BA50)),MAX(0,BA50-SUMIFS($AM$3:$AM49,AZ$3:AZ49,TRUE)),IF(AND(AZ50=TRUE,ISNUMBER(BA50)=FALSE),"ERR","N/A"))</f>
        <v>N/A</v>
      </c>
      <c r="BC50" s="215" t="str">
        <f t="shared" si="198"/>
        <v>N/A</v>
      </c>
      <c r="BD50" s="219" t="b">
        <f t="shared" si="199"/>
        <v>0</v>
      </c>
      <c r="BE50" s="217" t="str">
        <f t="shared" si="200"/>
        <v>N/A</v>
      </c>
      <c r="BF50" s="217" t="str">
        <f>IF(AND(BD50=TRUE,ISNUMBER(BE50)=TRUE),MAX(0,BE50-SUMIFS(AM$3:AM49,BD$3:BD49,TRUE,F$3:F49,F50)),IF(AND(BD50=TRUE,ISNUMBER(BE50)=FALSE),"ERR","N/A"))</f>
        <v>N/A</v>
      </c>
      <c r="BG50" s="215" t="str">
        <f t="shared" si="201"/>
        <v>N/A</v>
      </c>
      <c r="BH50" s="214">
        <f t="shared" si="202"/>
        <v>0</v>
      </c>
      <c r="BI50" s="215">
        <f t="shared" si="203"/>
        <v>0</v>
      </c>
      <c r="BJ50" s="214" t="str">
        <f t="shared" si="204"/>
        <v>N/A</v>
      </c>
      <c r="BK50" s="217">
        <f t="shared" si="205"/>
        <v>0</v>
      </c>
      <c r="BL50" s="220" t="b">
        <f t="shared" si="206"/>
        <v>0</v>
      </c>
      <c r="BM50" s="217" t="str">
        <f t="shared" si="207"/>
        <v>N/A</v>
      </c>
      <c r="BN50" s="217" t="str">
        <f t="shared" si="208"/>
        <v>N/A</v>
      </c>
      <c r="BO50" s="220" t="b">
        <f t="shared" si="209"/>
        <v>0</v>
      </c>
      <c r="BP50" s="244" t="str">
        <f t="shared" si="210"/>
        <v>N/A</v>
      </c>
      <c r="BQ50" s="217" t="str">
        <f t="shared" si="211"/>
        <v>N/A</v>
      </c>
      <c r="BR50" s="215">
        <f t="shared" si="212"/>
        <v>0</v>
      </c>
      <c r="BS50" s="214" t="str">
        <f t="shared" si="213"/>
        <v>N/A</v>
      </c>
      <c r="BT50" s="217">
        <f t="shared" si="214"/>
        <v>0</v>
      </c>
      <c r="BU50" s="215">
        <f t="shared" si="61"/>
        <v>0</v>
      </c>
      <c r="BV50" s="214">
        <f t="shared" si="62"/>
        <v>0</v>
      </c>
      <c r="BW50" s="217">
        <f t="shared" si="215"/>
        <v>15.1</v>
      </c>
      <c r="BX50" s="217">
        <f t="shared" si="216"/>
        <v>0</v>
      </c>
      <c r="BY50" s="217">
        <f t="shared" si="217"/>
        <v>0</v>
      </c>
      <c r="BZ50" s="217">
        <f t="shared" si="218"/>
        <v>0</v>
      </c>
      <c r="CA50" s="217">
        <f t="shared" si="219"/>
        <v>0</v>
      </c>
      <c r="CB50" s="213" t="b">
        <f t="shared" si="220"/>
        <v>1</v>
      </c>
    </row>
    <row r="51" spans="1:80" x14ac:dyDescent="0.25">
      <c r="A51" s="207">
        <v>48</v>
      </c>
      <c r="B51" s="208">
        <v>42715</v>
      </c>
      <c r="C51" s="209">
        <v>12</v>
      </c>
      <c r="D51" s="210">
        <v>2</v>
      </c>
      <c r="E51" s="211" t="str">
        <f t="shared" si="65"/>
        <v>Ibuprofen 800mg (Rx) [1 pill Q8H PRN; 30 pills]</v>
      </c>
      <c r="F51" s="212" t="str">
        <f t="shared" si="66"/>
        <v>Prescription Drugs: Generic</v>
      </c>
      <c r="G51" s="213" t="str">
        <f t="shared" si="67"/>
        <v>Not Covered</v>
      </c>
      <c r="H51" s="214">
        <f t="shared" ref="H51:H53" si="221">VLOOKUP(D51,MaternityFeeSchedule,7,FALSE)</f>
        <v>3.77</v>
      </c>
      <c r="I51" s="217">
        <f t="shared" ref="I51:I53" si="222">IF(G51="Not Covered",H51,0)</f>
        <v>3.77</v>
      </c>
      <c r="J51" s="251">
        <f t="shared" ref="J51:J53" si="223">H51-I51</f>
        <v>0</v>
      </c>
      <c r="K51" s="214" t="b">
        <f t="shared" ref="K51:K53" si="224">VLOOKUP(F51,nrCoverageTable,COLUMN(nrOOPLimitValid),FALSE)</f>
        <v>0</v>
      </c>
      <c r="L51" s="218" t="str">
        <f t="shared" ref="L51:L53" si="225">IF(K51,VLOOKUP(F51,BenefitDesignTable,COLUMN(BenefitOOPLimitApplies),FALSE),"No")</f>
        <v>No</v>
      </c>
      <c r="M51" s="217" t="str">
        <f t="shared" ref="M51:M53" si="226">VLOOKUP(F51,BenefitDesignTable,COLUMN(OPLimit),FALSE)</f>
        <v>.</v>
      </c>
      <c r="N51" s="215" t="str">
        <f>IFERROR(IF(AND(L51="Yes",ISNUMBER(M51)),MAX(0,M51-SUMIFS(BU$3:BU50,L$3:L50,"Yes")),IF(OR(L51="No",M51="None"),"N/A","ERR")),"ERR")</f>
        <v>N/A</v>
      </c>
      <c r="O51" s="251" t="b">
        <f t="shared" ref="O51:O53" si="227">IF(F51="Professional Services: Primary Care",TRUE, FALSE)</f>
        <v>0</v>
      </c>
      <c r="P51" s="251" t="str">
        <f>IF(O51,BENEFIT_PARAMETERS!$C$76,"N/A")</f>
        <v>N/A</v>
      </c>
      <c r="Q51" s="288" t="str">
        <f>IF(P51="Yes", BENEFIT_PARAMETERS!$D$76,"N/A")</f>
        <v>N/A</v>
      </c>
      <c r="R51" s="253" t="str">
        <f t="shared" ref="R51:R53" si="228">IF(O51,COUNTIFS(BenefitCategory,"Professional Services: Primary Care",ClaimNumber,"&lt;"&amp;A51),"N/A")</f>
        <v>N/A</v>
      </c>
      <c r="S51" s="217">
        <f t="shared" ref="S51:S53" si="229">IF(P51="Yes",IF(R51&lt;Q51,MIN(J51,N51),0),0)</f>
        <v>0</v>
      </c>
      <c r="T51" s="215">
        <f t="shared" ref="T51:T53" si="230">J51-S51</f>
        <v>0</v>
      </c>
      <c r="U51" s="214" t="b">
        <f t="shared" ref="U51:U53" si="231">IF(F51="Professional Services: Primary Care",TRUE, FALSE)</f>
        <v>0</v>
      </c>
      <c r="V51" s="251" t="str">
        <f>IF(O51,BENEFIT_PARAMETERS!$C$77,"N/A")</f>
        <v>N/A</v>
      </c>
      <c r="W51" s="288" t="str">
        <f>IF(V51="Yes", BENEFIT_PARAMETERS!$D$77,"N/A")</f>
        <v>N/A</v>
      </c>
      <c r="X51" s="253" t="str">
        <f>IF(O51,COUNTIF(Z$3:Z50,"&gt;0"),"N/A")</f>
        <v>N/A</v>
      </c>
      <c r="Y51" s="217" t="str">
        <f t="shared" ref="Y51:Y53" si="232">IF(V51="Yes",VLOOKUP("Professional Services: Primary Care",BenefitDesignTable,COLUMN(BenefitCopay),FALSE),"N/A")</f>
        <v>N/A</v>
      </c>
      <c r="Z51" s="293" t="str">
        <f t="shared" ref="Z51:Z53" si="233">IF(AND(V51="Yes",U51=TRUE,X51&lt;W51), MIN(Y51,T51,N51),"N/A")</f>
        <v>N/A</v>
      </c>
      <c r="AA51" s="293">
        <f t="shared" ref="AA51:AA53" si="234">IF(Z51="N/A",0,T51-Z51)</f>
        <v>0</v>
      </c>
      <c r="AB51" s="293" t="str">
        <f t="shared" ref="AB51:AB53" si="235">IF(L51="Yes",IF(Z51="N/A",N51,N51-Z51),"N/A")</f>
        <v>N/A</v>
      </c>
      <c r="AC51" s="215">
        <f t="shared" ref="AC51:AC53" si="236">IF(Z51="N/A",T51,0)</f>
        <v>0</v>
      </c>
      <c r="AD51" s="214" t="b">
        <f t="shared" ref="AD51:AD53" si="237">VLOOKUP(F51,nrCoverageTable,COLUMN(nrMonthlyLimitValid),FALSE)</f>
        <v>0</v>
      </c>
      <c r="AE51" s="209" t="str">
        <f t="shared" ref="AE51:AE53" si="238">IF(AD51,VLOOKUP(F51,BenefitDesignTable,COLUMN(BenefitLimithMonth),FALSE),".")</f>
        <v>.</v>
      </c>
      <c r="AF51" s="216">
        <f t="shared" ref="AF51:AF53" si="239">COUNTIFS(ServiceCode,D51,ClaimMonth,C51,ClaimNumber,"&lt;"&amp;A51)</f>
        <v>0</v>
      </c>
      <c r="AG51" s="217" t="str">
        <f t="shared" ref="AG51:AG53" si="240">IF(AD51,IF(OR(AE51="None",ISNUMBER(AE51)),IF(AF51&gt;=AE51,H51,0),"ERR"),"N/A")</f>
        <v>N/A</v>
      </c>
      <c r="AH51" s="217" t="b">
        <f t="shared" ref="AH51:AH53" si="241">VLOOKUP(F51,nrCoverageTable,COLUMN(nrAnnualLimitValid),FALSE)</f>
        <v>0</v>
      </c>
      <c r="AI51" s="209" t="str">
        <f t="shared" ref="AI51:AI53" si="242">IF(AH51,VLOOKUP(F51,BenefitDesignTable,COLUMN(BenefitLimitAnnual),FALSE),".")</f>
        <v>.</v>
      </c>
      <c r="AJ51" s="216">
        <f t="shared" ref="AJ51:AJ53" si="243">COUNTIFS(ServiceCode,D51,ClaimNumber,"&lt;"&amp;A51)</f>
        <v>0</v>
      </c>
      <c r="AK51" s="217" t="str">
        <f t="shared" ref="AK51:AK53" si="244">IF(AH51,IF(OR(AI51="None",ISNUMBER(AI51)),IF(AJ51&gt;=AI51,H51,0),"ERR"),"N/A")</f>
        <v>N/A</v>
      </c>
      <c r="AL51" s="217">
        <f t="shared" ref="AL51:AL53" si="245">IF(OR(AG51="ERR",AK51="ERR"),"ERR",MAX(AG51,AK51))</f>
        <v>0</v>
      </c>
      <c r="AM51" s="215">
        <f t="shared" ref="AM51:AM53" si="246">IFERROR(AC51-AL51,"ERR")</f>
        <v>0</v>
      </c>
      <c r="AN51" s="219" t="b">
        <f t="shared" ref="AN51:AN53" si="247">VLOOKUP(F51,nrCoverageTable,COLUMN(nrUsesPlanDeduct),FALSE)</f>
        <v>0</v>
      </c>
      <c r="AO51" s="217" t="str">
        <f t="shared" ref="AO51:AO53" si="248">IF(AN51,VLOOKUP(F51,BenefitDesignTable,COLUMN(PlanDeductible),FALSE),"N/A")</f>
        <v>N/A</v>
      </c>
      <c r="AP51" s="217" t="str">
        <f>IF(AND(ISNUMBER(AO51),AN51=TRUE),MAX(0,AO51-SUMIFS($AM$3:$AM50,AN$3:AN50,TRUE)),IF(AND(AN51=TRUE,ISNUMBER(AO51)=FALSE),"ERR","N/A"))</f>
        <v>N/A</v>
      </c>
      <c r="AQ51" s="215" t="str">
        <f t="shared" ref="AQ51:AQ53" si="249">IF(ISNUMBER(AP51),MIN($AM51,AP51),"N/A")</f>
        <v>N/A</v>
      </c>
      <c r="AR51" s="219" t="b">
        <f t="shared" ref="AR51:AR53" si="250">VLOOKUP(F51,nrCoverageTable,COLUMN(nrUsesRxDeduct),FALSE)</f>
        <v>0</v>
      </c>
      <c r="AS51" s="217" t="str">
        <f t="shared" ref="AS51:AS53" si="251">IF(AR51,VLOOKUP(F51,BenefitDesignTable,COLUMN(RxDeductible),FALSE),"N/A")</f>
        <v>N/A</v>
      </c>
      <c r="AT51" s="217" t="str">
        <f>IF(AND(AR51=TRUE,ISNUMBER(AS51)),MAX(0,AS51-SUMIFS($AM$3:$AM50,AR$3:AR50,TRUE)),IF(AND(AR51=TRUE,ISNUMBER(AS51)=FALSE),"ERR","N/A"))</f>
        <v>N/A</v>
      </c>
      <c r="AU51" s="215" t="str">
        <f t="shared" ref="AU51:AU53" si="252">IF(ISNUMBER(AT51),MIN($AM51,AT51),"N/A")</f>
        <v>N/A</v>
      </c>
      <c r="AV51" s="219" t="b">
        <f t="shared" ref="AV51:AV53" si="253">VLOOKUP(F51,nrCoverageTable,COLUMN(nrUsesDeductC),FALSE)</f>
        <v>0</v>
      </c>
      <c r="AW51" s="217" t="str">
        <f t="shared" ref="AW51:AW53" si="254">IF(AV51,VLOOKUP(F51,BenefitDesignTable,COLUMN(OptDeductibleC),FALSE),"N/A")</f>
        <v>N/A</v>
      </c>
      <c r="AX51" s="217" t="str">
        <f>IF(AND(AV51=TRUE,ISNUMBER(AW51)),MAX(0,AW51-SUMIFS($AM$3:$AM50,AV$3:AV50,TRUE)),IF(AND(AV51=TRUE,ISNUMBER(AW51)=FALSE),"ERR","N/A"))</f>
        <v>N/A</v>
      </c>
      <c r="AY51" s="215" t="str">
        <f t="shared" ref="AY51:AY53" si="255">IF(ISNUMBER(AX51),MIN($AM51,AX51),"N/A")</f>
        <v>N/A</v>
      </c>
      <c r="AZ51" s="219" t="b">
        <f t="shared" ref="AZ51:AZ53" si="256">VLOOKUP(F51,nrCoverageTable,COLUMN(nrUsesDeductD),FALSE)</f>
        <v>0</v>
      </c>
      <c r="BA51" s="217" t="str">
        <f t="shared" ref="BA51:BA53" si="257">IF(AZ51,VLOOKUP(F51,BenefitDesignTable,COLUMN(OptDeductibleD),FALSE),"N/A")</f>
        <v>N/A</v>
      </c>
      <c r="BB51" s="217" t="str">
        <f>IF(AND(AZ51=TRUE,ISNUMBER(BA51)),MAX(0,BA51-SUMIFS($AM$3:$AM50,AZ$3:AZ50,TRUE)),IF(AND(AZ51=TRUE,ISNUMBER(BA51)=FALSE),"ERR","N/A"))</f>
        <v>N/A</v>
      </c>
      <c r="BC51" s="215" t="str">
        <f t="shared" ref="BC51:BC53" si="258">IF(ISNUMBER(BB51),MIN($AM51,BB51),"N/A")</f>
        <v>N/A</v>
      </c>
      <c r="BD51" s="219" t="b">
        <f t="shared" ref="BD51:BD53" si="259">VLOOKUP(F51,nrCoverageTable,COLUMN(nrUsesBenDeduct),FALSE)</f>
        <v>0</v>
      </c>
      <c r="BE51" s="217" t="str">
        <f t="shared" ref="BE51:BE53" si="260">IF(BD51,VLOOKUP(F51,BenefitDesignTable,COLUMN(BenefitDeductible),FALSE),"N/A")</f>
        <v>N/A</v>
      </c>
      <c r="BF51" s="217" t="str">
        <f>IF(AND(BD51=TRUE,ISNUMBER(BE51)=TRUE),MAX(0,BE51-SUMIFS(AM$3:AM50,BD$3:BD50,TRUE,F$3:F50,F51)),IF(AND(BD51=TRUE,ISNUMBER(BE51)=FALSE),"ERR","N/A"))</f>
        <v>N/A</v>
      </c>
      <c r="BG51" s="215" t="str">
        <f t="shared" ref="BG51:BG53" si="261">IF(ISNUMBER(BF51),MIN($AM51,BF51),"N/A")</f>
        <v>N/A</v>
      </c>
      <c r="BH51" s="214">
        <f t="shared" ref="BH51:BH53" si="262">SUM(AQ51,AU51,AY51,BC51,BG51)</f>
        <v>0</v>
      </c>
      <c r="BI51" s="215">
        <f t="shared" ref="BI51:BI53" si="263">IF(OR(AB51="ERR",BH51="ERR"),"ERR",MIN(BH51,AB51))</f>
        <v>0</v>
      </c>
      <c r="BJ51" s="214" t="str">
        <f t="shared" ref="BJ51:BJ53" si="264">IF(AND(L51="Yes",ISNUMBER(M51)),IF(OR(BI51="ERR",AB51="ERR"),"ERR",MAX($AB51-BI51,0)),"N/A")</f>
        <v>N/A</v>
      </c>
      <c r="BK51" s="217">
        <f t="shared" ref="BK51:BK53" si="265">IF(OR(BI51="ERR",AM51="ERR"),"ERR",MAX(0,AM51-BI51))</f>
        <v>0</v>
      </c>
      <c r="BL51" s="220" t="b">
        <f t="shared" ref="BL51:BL53" si="266">VLOOKUP(F51,nrCoverageTable,COLUMN(nrUsesCopay),FALSE)</f>
        <v>0</v>
      </c>
      <c r="BM51" s="217" t="str">
        <f t="shared" ref="BM51:BM53" si="267">IF(BL51,VLOOKUP(F51,BenefitDesignTable,COLUMN(BenefitCopay),FALSE),"N/A")</f>
        <v>N/A</v>
      </c>
      <c r="BN51" s="217" t="str">
        <f t="shared" ref="BN51:BN53" si="268">IF(BK51="ERR","ERR",IF(AND(BL51=TRUE,ISNUMBER(BM51)),MIN(BK51,BM51,BJ51),IF(AND(BL51=TRUE,ISNUMBER(BM51)=FALSE),"ERR","N/A")))</f>
        <v>N/A</v>
      </c>
      <c r="BO51" s="220" t="b">
        <f t="shared" ref="BO51:BO53" si="269">VLOOKUP(F51,nrCoverageTable,COLUMN(nrUsesCoins),FALSE)</f>
        <v>0</v>
      </c>
      <c r="BP51" s="244" t="str">
        <f t="shared" ref="BP51:BP53" si="270">IF(BO51,VLOOKUP(F51,BenefitDesignTable,COLUMN(BenefitCoins),FALSE),"N/A")</f>
        <v>N/A</v>
      </c>
      <c r="BQ51" s="217" t="str">
        <f t="shared" ref="BQ51:BQ53" si="271">IF(BK51="ERR","ERR",IF(AND(BO51=TRUE,ISNUMBER(BP51)=TRUE),MIN(BJ51,BK51*BP51),IF(AND(BO51=TRUE,ISNUMBER(BP51)=FALSE),"ERR","N/A")))</f>
        <v>N/A</v>
      </c>
      <c r="BR51" s="215">
        <f t="shared" ref="BR51:BR53" si="272">IF(OR(BJ51="ERR",BN51="ERR",BQ51="ERR"),"ERR",MIN(BJ51,SUM(BN51,BQ51)))</f>
        <v>0</v>
      </c>
      <c r="BS51" s="214" t="str">
        <f t="shared" ref="BS51:BS53" si="273">IF(AND(L51="Yes",ISNUMBER(M51)),IF(OR(BJ51="ERR",BR51="ERR"),"ERR",MAX(BJ51-BR51,0)),"N/A")</f>
        <v>N/A</v>
      </c>
      <c r="BT51" s="217">
        <f t="shared" ref="BT51:BT53" si="274">IF(OR(BK51="ERR",BR51="ERR"),"ERR",MAX(BK51-BR51,0))</f>
        <v>0</v>
      </c>
      <c r="BU51" s="215">
        <f t="shared" si="61"/>
        <v>0</v>
      </c>
      <c r="BV51" s="214">
        <f t="shared" si="62"/>
        <v>0</v>
      </c>
      <c r="BW51" s="217">
        <f t="shared" ref="BW51:BW53" si="275">I51</f>
        <v>3.77</v>
      </c>
      <c r="BX51" s="217">
        <f t="shared" ref="BX51:BX53" si="276">IF(OR(AG51="ERR",AK51="ERR"),"ERR",SUM(AG51,AK51))</f>
        <v>0</v>
      </c>
      <c r="BY51" s="217">
        <f t="shared" ref="BY51:BY53" si="277">BI51</f>
        <v>0</v>
      </c>
      <c r="BZ51" s="217">
        <f t="shared" ref="BZ51:BZ53" si="278">IF(V51="Yes",IF(Z51="N/A",0,Z51),0)+IF(BL51,BN51,0)</f>
        <v>0</v>
      </c>
      <c r="CA51" s="217">
        <f t="shared" ref="CA51:CA53" si="279">IF(BO51,BQ51,0)</f>
        <v>0</v>
      </c>
      <c r="CB51" s="213" t="b">
        <f t="shared" ref="CB51:CB53" si="280">SUM(BV51:CA51)=H51</f>
        <v>1</v>
      </c>
    </row>
    <row r="52" spans="1:80" x14ac:dyDescent="0.25">
      <c r="A52" s="207">
        <v>49</v>
      </c>
      <c r="B52" s="208">
        <v>42715</v>
      </c>
      <c r="C52" s="209">
        <v>12</v>
      </c>
      <c r="D52" s="210">
        <v>1</v>
      </c>
      <c r="E52" s="211" t="str">
        <f t="shared" si="65"/>
        <v>Oxycodone/APAP 5mg/325mg (Rx) [1 pill Q6H PRN;  30 pills]</v>
      </c>
      <c r="F52" s="212" t="str">
        <f t="shared" si="66"/>
        <v>Prescription Drugs: Generic</v>
      </c>
      <c r="G52" s="213" t="str">
        <f t="shared" si="67"/>
        <v>Not Covered</v>
      </c>
      <c r="H52" s="214">
        <f t="shared" si="221"/>
        <v>6.8</v>
      </c>
      <c r="I52" s="217">
        <f t="shared" si="222"/>
        <v>6.8</v>
      </c>
      <c r="J52" s="251">
        <f t="shared" si="223"/>
        <v>0</v>
      </c>
      <c r="K52" s="214" t="b">
        <f t="shared" si="224"/>
        <v>0</v>
      </c>
      <c r="L52" s="218" t="str">
        <f t="shared" si="225"/>
        <v>No</v>
      </c>
      <c r="M52" s="217" t="str">
        <f t="shared" si="226"/>
        <v>.</v>
      </c>
      <c r="N52" s="215" t="str">
        <f>IFERROR(IF(AND(L52="Yes",ISNUMBER(M52)),MAX(0,M52-SUMIFS(BU$3:BU51,L$3:L51,"Yes")),IF(OR(L52="No",M52="None"),"N/A","ERR")),"ERR")</f>
        <v>N/A</v>
      </c>
      <c r="O52" s="251" t="b">
        <f t="shared" si="227"/>
        <v>0</v>
      </c>
      <c r="P52" s="251" t="str">
        <f>IF(O52,BENEFIT_PARAMETERS!$C$76,"N/A")</f>
        <v>N/A</v>
      </c>
      <c r="Q52" s="288" t="str">
        <f>IF(P52="Yes", BENEFIT_PARAMETERS!$D$76,"N/A")</f>
        <v>N/A</v>
      </c>
      <c r="R52" s="253" t="str">
        <f t="shared" si="228"/>
        <v>N/A</v>
      </c>
      <c r="S52" s="217">
        <f t="shared" si="229"/>
        <v>0</v>
      </c>
      <c r="T52" s="215">
        <f t="shared" si="230"/>
        <v>0</v>
      </c>
      <c r="U52" s="214" t="b">
        <f t="shared" si="231"/>
        <v>0</v>
      </c>
      <c r="V52" s="251" t="str">
        <f>IF(O52,BENEFIT_PARAMETERS!$C$77,"N/A")</f>
        <v>N/A</v>
      </c>
      <c r="W52" s="288" t="str">
        <f>IF(V52="Yes", BENEFIT_PARAMETERS!$D$77,"N/A")</f>
        <v>N/A</v>
      </c>
      <c r="X52" s="253" t="str">
        <f>IF(O52,COUNTIF(Z$3:Z51,"&gt;0"),"N/A")</f>
        <v>N/A</v>
      </c>
      <c r="Y52" s="217" t="str">
        <f t="shared" si="232"/>
        <v>N/A</v>
      </c>
      <c r="Z52" s="293" t="str">
        <f t="shared" si="233"/>
        <v>N/A</v>
      </c>
      <c r="AA52" s="293">
        <f t="shared" si="234"/>
        <v>0</v>
      </c>
      <c r="AB52" s="293" t="str">
        <f t="shared" si="235"/>
        <v>N/A</v>
      </c>
      <c r="AC52" s="215">
        <f t="shared" si="236"/>
        <v>0</v>
      </c>
      <c r="AD52" s="214" t="b">
        <f t="shared" si="237"/>
        <v>0</v>
      </c>
      <c r="AE52" s="209" t="str">
        <f t="shared" si="238"/>
        <v>.</v>
      </c>
      <c r="AF52" s="216">
        <f t="shared" si="239"/>
        <v>0</v>
      </c>
      <c r="AG52" s="217" t="str">
        <f t="shared" si="240"/>
        <v>N/A</v>
      </c>
      <c r="AH52" s="217" t="b">
        <f t="shared" si="241"/>
        <v>0</v>
      </c>
      <c r="AI52" s="209" t="str">
        <f t="shared" si="242"/>
        <v>.</v>
      </c>
      <c r="AJ52" s="216">
        <f t="shared" si="243"/>
        <v>0</v>
      </c>
      <c r="AK52" s="217" t="str">
        <f t="shared" si="244"/>
        <v>N/A</v>
      </c>
      <c r="AL52" s="217">
        <f t="shared" si="245"/>
        <v>0</v>
      </c>
      <c r="AM52" s="215">
        <f t="shared" si="246"/>
        <v>0</v>
      </c>
      <c r="AN52" s="219" t="b">
        <f t="shared" si="247"/>
        <v>0</v>
      </c>
      <c r="AO52" s="217" t="str">
        <f t="shared" si="248"/>
        <v>N/A</v>
      </c>
      <c r="AP52" s="217" t="str">
        <f>IF(AND(ISNUMBER(AO52),AN52=TRUE),MAX(0,AO52-SUMIFS($AM$3:$AM51,AN$3:AN51,TRUE)),IF(AND(AN52=TRUE,ISNUMBER(AO52)=FALSE),"ERR","N/A"))</f>
        <v>N/A</v>
      </c>
      <c r="AQ52" s="215" t="str">
        <f t="shared" si="249"/>
        <v>N/A</v>
      </c>
      <c r="AR52" s="219" t="b">
        <f t="shared" si="250"/>
        <v>0</v>
      </c>
      <c r="AS52" s="217" t="str">
        <f t="shared" si="251"/>
        <v>N/A</v>
      </c>
      <c r="AT52" s="217" t="str">
        <f>IF(AND(AR52=TRUE,ISNUMBER(AS52)),MAX(0,AS52-SUMIFS($AM$3:$AM51,AR$3:AR51,TRUE)),IF(AND(AR52=TRUE,ISNUMBER(AS52)=FALSE),"ERR","N/A"))</f>
        <v>N/A</v>
      </c>
      <c r="AU52" s="215" t="str">
        <f t="shared" si="252"/>
        <v>N/A</v>
      </c>
      <c r="AV52" s="219" t="b">
        <f t="shared" si="253"/>
        <v>0</v>
      </c>
      <c r="AW52" s="217" t="str">
        <f t="shared" si="254"/>
        <v>N/A</v>
      </c>
      <c r="AX52" s="217" t="str">
        <f>IF(AND(AV52=TRUE,ISNUMBER(AW52)),MAX(0,AW52-SUMIFS($AM$3:$AM51,AV$3:AV51,TRUE)),IF(AND(AV52=TRUE,ISNUMBER(AW52)=FALSE),"ERR","N/A"))</f>
        <v>N/A</v>
      </c>
      <c r="AY52" s="215" t="str">
        <f t="shared" si="255"/>
        <v>N/A</v>
      </c>
      <c r="AZ52" s="219" t="b">
        <f t="shared" si="256"/>
        <v>0</v>
      </c>
      <c r="BA52" s="217" t="str">
        <f t="shared" si="257"/>
        <v>N/A</v>
      </c>
      <c r="BB52" s="217" t="str">
        <f>IF(AND(AZ52=TRUE,ISNUMBER(BA52)),MAX(0,BA52-SUMIFS($AM$3:$AM51,AZ$3:AZ51,TRUE)),IF(AND(AZ52=TRUE,ISNUMBER(BA52)=FALSE),"ERR","N/A"))</f>
        <v>N/A</v>
      </c>
      <c r="BC52" s="215" t="str">
        <f t="shared" si="258"/>
        <v>N/A</v>
      </c>
      <c r="BD52" s="219" t="b">
        <f t="shared" si="259"/>
        <v>0</v>
      </c>
      <c r="BE52" s="217" t="str">
        <f t="shared" si="260"/>
        <v>N/A</v>
      </c>
      <c r="BF52" s="217" t="str">
        <f>IF(AND(BD52=TRUE,ISNUMBER(BE52)=TRUE),MAX(0,BE52-SUMIFS(AM$3:AM51,BD$3:BD51,TRUE,F$3:F51,F52)),IF(AND(BD52=TRUE,ISNUMBER(BE52)=FALSE),"ERR","N/A"))</f>
        <v>N/A</v>
      </c>
      <c r="BG52" s="215" t="str">
        <f t="shared" si="261"/>
        <v>N/A</v>
      </c>
      <c r="BH52" s="214">
        <f t="shared" si="262"/>
        <v>0</v>
      </c>
      <c r="BI52" s="215">
        <f t="shared" si="263"/>
        <v>0</v>
      </c>
      <c r="BJ52" s="214" t="str">
        <f t="shared" si="264"/>
        <v>N/A</v>
      </c>
      <c r="BK52" s="217">
        <f t="shared" si="265"/>
        <v>0</v>
      </c>
      <c r="BL52" s="220" t="b">
        <f t="shared" si="266"/>
        <v>0</v>
      </c>
      <c r="BM52" s="217" t="str">
        <f t="shared" si="267"/>
        <v>N/A</v>
      </c>
      <c r="BN52" s="217" t="str">
        <f t="shared" si="268"/>
        <v>N/A</v>
      </c>
      <c r="BO52" s="220" t="b">
        <f t="shared" si="269"/>
        <v>0</v>
      </c>
      <c r="BP52" s="244" t="str">
        <f t="shared" si="270"/>
        <v>N/A</v>
      </c>
      <c r="BQ52" s="217" t="str">
        <f t="shared" si="271"/>
        <v>N/A</v>
      </c>
      <c r="BR52" s="215">
        <f t="shared" si="272"/>
        <v>0</v>
      </c>
      <c r="BS52" s="214" t="str">
        <f t="shared" si="273"/>
        <v>N/A</v>
      </c>
      <c r="BT52" s="217">
        <f t="shared" si="274"/>
        <v>0</v>
      </c>
      <c r="BU52" s="215">
        <f t="shared" si="61"/>
        <v>0</v>
      </c>
      <c r="BV52" s="214">
        <f t="shared" si="62"/>
        <v>0</v>
      </c>
      <c r="BW52" s="217">
        <f t="shared" si="275"/>
        <v>6.8</v>
      </c>
      <c r="BX52" s="217">
        <f t="shared" si="276"/>
        <v>0</v>
      </c>
      <c r="BY52" s="217">
        <f t="shared" si="277"/>
        <v>0</v>
      </c>
      <c r="BZ52" s="217">
        <f t="shared" si="278"/>
        <v>0</v>
      </c>
      <c r="CA52" s="217">
        <f t="shared" si="279"/>
        <v>0</v>
      </c>
      <c r="CB52" s="213" t="b">
        <f t="shared" si="280"/>
        <v>1</v>
      </c>
    </row>
    <row r="53" spans="1:80" ht="15.75" thickBot="1" x14ac:dyDescent="0.3">
      <c r="A53" s="221">
        <v>50</v>
      </c>
      <c r="B53" s="222">
        <v>42727</v>
      </c>
      <c r="C53" s="223">
        <v>12</v>
      </c>
      <c r="D53" s="224">
        <v>33</v>
      </c>
      <c r="E53" s="225" t="str">
        <f t="shared" si="65"/>
        <v>Office/Outpatient Visit Est</v>
      </c>
      <c r="F53" s="226" t="str">
        <f t="shared" si="66"/>
        <v>Professional Services: Obstetric Care (Bundled)</v>
      </c>
      <c r="G53" s="227" t="str">
        <f t="shared" si="67"/>
        <v>Not Covered</v>
      </c>
      <c r="H53" s="228">
        <f t="shared" si="221"/>
        <v>0</v>
      </c>
      <c r="I53" s="231">
        <f t="shared" si="222"/>
        <v>0</v>
      </c>
      <c r="J53" s="252">
        <f t="shared" si="223"/>
        <v>0</v>
      </c>
      <c r="K53" s="228" t="b">
        <f t="shared" si="224"/>
        <v>0</v>
      </c>
      <c r="L53" s="232" t="str">
        <f t="shared" si="225"/>
        <v>No</v>
      </c>
      <c r="M53" s="231" t="str">
        <f t="shared" si="226"/>
        <v>.</v>
      </c>
      <c r="N53" s="229" t="str">
        <f>IFERROR(IF(AND(L53="Yes",ISNUMBER(M53)),MAX(0,M53-SUMIFS(BU$3:BU52,L$3:L52,"Yes")),IF(OR(L53="No",M53="None"),"N/A","ERR")),"ERR")</f>
        <v>N/A</v>
      </c>
      <c r="O53" s="252" t="b">
        <f t="shared" si="227"/>
        <v>0</v>
      </c>
      <c r="P53" s="252" t="str">
        <f>IF(O53,BENEFIT_PARAMETERS!$C$76,"N/A")</f>
        <v>N/A</v>
      </c>
      <c r="Q53" s="289" t="str">
        <f>IF(P53="Yes", BENEFIT_PARAMETERS!$D$76,"N/A")</f>
        <v>N/A</v>
      </c>
      <c r="R53" s="254" t="str">
        <f t="shared" si="228"/>
        <v>N/A</v>
      </c>
      <c r="S53" s="231">
        <f t="shared" si="229"/>
        <v>0</v>
      </c>
      <c r="T53" s="229">
        <f t="shared" si="230"/>
        <v>0</v>
      </c>
      <c r="U53" s="228" t="b">
        <f t="shared" si="231"/>
        <v>0</v>
      </c>
      <c r="V53" s="252" t="str">
        <f>IF(O53,BENEFIT_PARAMETERS!$C$77,"N/A")</f>
        <v>N/A</v>
      </c>
      <c r="W53" s="289" t="str">
        <f>IF(V53="Yes", BENEFIT_PARAMETERS!$D$77,"N/A")</f>
        <v>N/A</v>
      </c>
      <c r="X53" s="254" t="str">
        <f>IF(O53,COUNTIF(Z$3:Z52,"&gt;0"),"N/A")</f>
        <v>N/A</v>
      </c>
      <c r="Y53" s="231" t="str">
        <f t="shared" si="232"/>
        <v>N/A</v>
      </c>
      <c r="Z53" s="294" t="str">
        <f t="shared" si="233"/>
        <v>N/A</v>
      </c>
      <c r="AA53" s="294">
        <f t="shared" si="234"/>
        <v>0</v>
      </c>
      <c r="AB53" s="294" t="str">
        <f t="shared" si="235"/>
        <v>N/A</v>
      </c>
      <c r="AC53" s="229">
        <f t="shared" si="236"/>
        <v>0</v>
      </c>
      <c r="AD53" s="228" t="b">
        <f t="shared" si="237"/>
        <v>0</v>
      </c>
      <c r="AE53" s="223" t="str">
        <f t="shared" si="238"/>
        <v>.</v>
      </c>
      <c r="AF53" s="230">
        <f t="shared" si="239"/>
        <v>0</v>
      </c>
      <c r="AG53" s="231" t="str">
        <f t="shared" si="240"/>
        <v>N/A</v>
      </c>
      <c r="AH53" s="231" t="b">
        <f t="shared" si="241"/>
        <v>0</v>
      </c>
      <c r="AI53" s="223" t="str">
        <f t="shared" si="242"/>
        <v>.</v>
      </c>
      <c r="AJ53" s="230">
        <f t="shared" si="243"/>
        <v>0</v>
      </c>
      <c r="AK53" s="231" t="str">
        <f t="shared" si="244"/>
        <v>N/A</v>
      </c>
      <c r="AL53" s="231">
        <f t="shared" si="245"/>
        <v>0</v>
      </c>
      <c r="AM53" s="229">
        <f t="shared" si="246"/>
        <v>0</v>
      </c>
      <c r="AN53" s="233" t="b">
        <f t="shared" si="247"/>
        <v>0</v>
      </c>
      <c r="AO53" s="231" t="str">
        <f t="shared" si="248"/>
        <v>N/A</v>
      </c>
      <c r="AP53" s="231" t="str">
        <f>IF(AND(ISNUMBER(AO53),AN53=TRUE),MAX(0,AO53-SUMIFS($AM$3:$AM52,AN$3:AN52,TRUE)),IF(AND(AN53=TRUE,ISNUMBER(AO53)=FALSE),"ERR","N/A"))</f>
        <v>N/A</v>
      </c>
      <c r="AQ53" s="229" t="str">
        <f t="shared" si="249"/>
        <v>N/A</v>
      </c>
      <c r="AR53" s="233" t="b">
        <f t="shared" si="250"/>
        <v>0</v>
      </c>
      <c r="AS53" s="231" t="str">
        <f t="shared" si="251"/>
        <v>N/A</v>
      </c>
      <c r="AT53" s="231" t="str">
        <f>IF(AND(AR53=TRUE,ISNUMBER(AS53)),MAX(0,AS53-SUMIFS($AM$3:$AM52,AR$3:AR52,TRUE)),IF(AND(AR53=TRUE,ISNUMBER(AS53)=FALSE),"ERR","N/A"))</f>
        <v>N/A</v>
      </c>
      <c r="AU53" s="229" t="str">
        <f t="shared" si="252"/>
        <v>N/A</v>
      </c>
      <c r="AV53" s="233" t="b">
        <f t="shared" si="253"/>
        <v>0</v>
      </c>
      <c r="AW53" s="231" t="str">
        <f t="shared" si="254"/>
        <v>N/A</v>
      </c>
      <c r="AX53" s="231" t="str">
        <f>IF(AND(AV53=TRUE,ISNUMBER(AW53)),MAX(0,AW53-SUMIFS($AM$3:$AM52,AV$3:AV52,TRUE)),IF(AND(AV53=TRUE,ISNUMBER(AW53)=FALSE),"ERR","N/A"))</f>
        <v>N/A</v>
      </c>
      <c r="AY53" s="229" t="str">
        <f t="shared" si="255"/>
        <v>N/A</v>
      </c>
      <c r="AZ53" s="233" t="b">
        <f t="shared" si="256"/>
        <v>0</v>
      </c>
      <c r="BA53" s="231" t="str">
        <f t="shared" si="257"/>
        <v>N/A</v>
      </c>
      <c r="BB53" s="231" t="str">
        <f>IF(AND(AZ53=TRUE,ISNUMBER(BA53)),MAX(0,BA53-SUMIFS($AM$3:$AM52,AZ$3:AZ52,TRUE)),IF(AND(AZ53=TRUE,ISNUMBER(BA53)=FALSE),"ERR","N/A"))</f>
        <v>N/A</v>
      </c>
      <c r="BC53" s="229" t="str">
        <f t="shared" si="258"/>
        <v>N/A</v>
      </c>
      <c r="BD53" s="233" t="b">
        <f t="shared" si="259"/>
        <v>0</v>
      </c>
      <c r="BE53" s="231" t="str">
        <f t="shared" si="260"/>
        <v>N/A</v>
      </c>
      <c r="BF53" s="231" t="str">
        <f>IF(AND(BD53=TRUE,ISNUMBER(BE53)=TRUE),MAX(0,BE53-SUMIFS(AM$3:AM52,BD$3:BD52,TRUE,F$3:F52,F53)),IF(AND(BD53=TRUE,ISNUMBER(BE53)=FALSE),"ERR","N/A"))</f>
        <v>N/A</v>
      </c>
      <c r="BG53" s="229" t="str">
        <f t="shared" si="261"/>
        <v>N/A</v>
      </c>
      <c r="BH53" s="228">
        <f t="shared" si="262"/>
        <v>0</v>
      </c>
      <c r="BI53" s="229">
        <f t="shared" si="263"/>
        <v>0</v>
      </c>
      <c r="BJ53" s="228" t="str">
        <f t="shared" si="264"/>
        <v>N/A</v>
      </c>
      <c r="BK53" s="231">
        <f t="shared" si="265"/>
        <v>0</v>
      </c>
      <c r="BL53" s="234" t="b">
        <f t="shared" si="266"/>
        <v>0</v>
      </c>
      <c r="BM53" s="231" t="str">
        <f t="shared" si="267"/>
        <v>N/A</v>
      </c>
      <c r="BN53" s="231" t="str">
        <f t="shared" si="268"/>
        <v>N/A</v>
      </c>
      <c r="BO53" s="234" t="b">
        <f t="shared" si="269"/>
        <v>0</v>
      </c>
      <c r="BP53" s="245" t="str">
        <f t="shared" si="270"/>
        <v>N/A</v>
      </c>
      <c r="BQ53" s="231" t="str">
        <f t="shared" si="271"/>
        <v>N/A</v>
      </c>
      <c r="BR53" s="229">
        <f t="shared" si="272"/>
        <v>0</v>
      </c>
      <c r="BS53" s="228" t="str">
        <f t="shared" si="273"/>
        <v>N/A</v>
      </c>
      <c r="BT53" s="231">
        <f t="shared" si="274"/>
        <v>0</v>
      </c>
      <c r="BU53" s="229">
        <f t="shared" si="61"/>
        <v>0</v>
      </c>
      <c r="BV53" s="228">
        <f t="shared" si="62"/>
        <v>0</v>
      </c>
      <c r="BW53" s="231">
        <f t="shared" si="275"/>
        <v>0</v>
      </c>
      <c r="BX53" s="231">
        <f t="shared" si="276"/>
        <v>0</v>
      </c>
      <c r="BY53" s="231">
        <f t="shared" si="277"/>
        <v>0</v>
      </c>
      <c r="BZ53" s="231">
        <f t="shared" si="278"/>
        <v>0</v>
      </c>
      <c r="CA53" s="231">
        <f t="shared" si="279"/>
        <v>0</v>
      </c>
      <c r="CB53" s="227" t="b">
        <f t="shared" si="280"/>
        <v>1</v>
      </c>
    </row>
    <row r="54" spans="1:80" x14ac:dyDescent="0.25">
      <c r="C54" s="185"/>
      <c r="H54" s="192"/>
      <c r="I54" s="192"/>
      <c r="J54" s="192"/>
      <c r="K54" s="192"/>
      <c r="O54" s="192"/>
      <c r="P54" s="192"/>
      <c r="Q54" s="192"/>
      <c r="R54" s="192"/>
      <c r="S54" s="192"/>
      <c r="T54" s="192"/>
      <c r="U54" s="192"/>
      <c r="V54" s="192"/>
      <c r="W54" s="192"/>
      <c r="X54" s="192"/>
      <c r="Y54" s="192"/>
      <c r="Z54" s="192"/>
      <c r="AA54" s="192"/>
      <c r="AB54" s="192"/>
      <c r="AC54" s="192"/>
      <c r="AD54" s="192"/>
      <c r="AM54" s="192"/>
    </row>
    <row r="55" spans="1:80" x14ac:dyDescent="0.25">
      <c r="C55" s="185"/>
      <c r="H55" s="192"/>
      <c r="I55" s="192"/>
      <c r="J55" s="192"/>
      <c r="K55" s="192"/>
      <c r="O55" s="192"/>
      <c r="P55" s="192"/>
      <c r="Q55" s="192"/>
      <c r="R55" s="192"/>
      <c r="S55" s="192"/>
      <c r="T55" s="192"/>
      <c r="U55" s="192"/>
      <c r="V55" s="192"/>
      <c r="W55" s="192"/>
      <c r="X55" s="192"/>
      <c r="Y55" s="192"/>
      <c r="Z55" s="192"/>
      <c r="AA55" s="192"/>
      <c r="AB55" s="192"/>
      <c r="AC55" s="192"/>
      <c r="AD55" s="192"/>
      <c r="AM55" s="192"/>
    </row>
    <row r="56" spans="1:80" x14ac:dyDescent="0.25">
      <c r="C56" s="185"/>
      <c r="H56" s="192"/>
      <c r="I56" s="192"/>
      <c r="J56" s="192"/>
      <c r="K56" s="192"/>
      <c r="O56" s="192"/>
      <c r="P56" s="192"/>
      <c r="Q56" s="192"/>
      <c r="R56" s="192"/>
      <c r="S56" s="192"/>
      <c r="T56" s="192"/>
      <c r="U56" s="192"/>
      <c r="V56" s="192"/>
      <c r="W56" s="192"/>
      <c r="X56" s="192"/>
      <c r="Y56" s="192"/>
      <c r="Z56" s="192"/>
      <c r="AA56" s="192"/>
      <c r="AB56" s="192"/>
      <c r="AC56" s="192"/>
      <c r="AD56" s="192"/>
      <c r="AM56" s="192"/>
    </row>
    <row r="57" spans="1:80" x14ac:dyDescent="0.25">
      <c r="C57" s="185"/>
      <c r="H57" s="192"/>
      <c r="I57" s="192"/>
      <c r="J57" s="192"/>
      <c r="K57" s="192"/>
      <c r="O57" s="192"/>
      <c r="P57" s="192"/>
      <c r="Q57" s="192"/>
      <c r="R57" s="192"/>
      <c r="S57" s="192"/>
      <c r="T57" s="192"/>
      <c r="U57" s="192"/>
      <c r="V57" s="192"/>
      <c r="W57" s="192"/>
      <c r="X57" s="192"/>
      <c r="Y57" s="192"/>
      <c r="Z57" s="192"/>
      <c r="AA57" s="192"/>
      <c r="AB57" s="192"/>
      <c r="AC57" s="192"/>
      <c r="AD57" s="192"/>
      <c r="AM57" s="192"/>
    </row>
    <row r="58" spans="1:80" x14ac:dyDescent="0.25">
      <c r="C58" s="185"/>
      <c r="H58" s="192"/>
      <c r="I58" s="192"/>
      <c r="J58" s="192"/>
      <c r="K58" s="192"/>
      <c r="O58" s="192"/>
      <c r="P58" s="192"/>
      <c r="Q58" s="192"/>
      <c r="R58" s="192"/>
      <c r="S58" s="192"/>
      <c r="T58" s="192"/>
      <c r="U58" s="192"/>
      <c r="V58" s="192"/>
      <c r="W58" s="192"/>
      <c r="X58" s="192"/>
      <c r="Y58" s="192"/>
      <c r="Z58" s="192"/>
      <c r="AA58" s="192"/>
      <c r="AB58" s="192"/>
      <c r="AC58" s="192"/>
      <c r="AD58" s="192"/>
      <c r="AM58" s="192"/>
    </row>
    <row r="59" spans="1:80" x14ac:dyDescent="0.25">
      <c r="C59" s="185"/>
      <c r="H59" s="192"/>
      <c r="I59" s="192"/>
      <c r="J59" s="192"/>
      <c r="K59" s="192"/>
      <c r="O59" s="192"/>
      <c r="P59" s="192"/>
      <c r="Q59" s="192"/>
      <c r="R59" s="192"/>
      <c r="S59" s="192"/>
      <c r="T59" s="192"/>
      <c r="U59" s="192"/>
      <c r="V59" s="192"/>
      <c r="W59" s="192"/>
      <c r="X59" s="192"/>
      <c r="Y59" s="192"/>
      <c r="Z59" s="192"/>
      <c r="AA59" s="192"/>
      <c r="AB59" s="192"/>
      <c r="AC59" s="192"/>
      <c r="AD59" s="192"/>
      <c r="AM59" s="192"/>
    </row>
    <row r="60" spans="1:80" x14ac:dyDescent="0.25">
      <c r="C60" s="185"/>
      <c r="H60" s="192"/>
      <c r="I60" s="192"/>
      <c r="J60" s="192"/>
      <c r="K60" s="192"/>
      <c r="O60" s="192"/>
      <c r="P60" s="192"/>
      <c r="Q60" s="192"/>
      <c r="R60" s="192"/>
      <c r="S60" s="192"/>
      <c r="T60" s="192"/>
      <c r="U60" s="192"/>
      <c r="V60" s="192"/>
      <c r="W60" s="192"/>
      <c r="X60" s="192"/>
      <c r="Y60" s="192"/>
      <c r="Z60" s="192"/>
      <c r="AA60" s="192"/>
      <c r="AB60" s="192"/>
      <c r="AC60" s="192"/>
      <c r="AD60" s="192"/>
      <c r="AM60" s="192"/>
    </row>
    <row r="61" spans="1:80" x14ac:dyDescent="0.25">
      <c r="C61" s="185"/>
      <c r="H61" s="192"/>
      <c r="I61" s="192"/>
      <c r="J61" s="192"/>
      <c r="K61" s="192"/>
      <c r="O61" s="192"/>
      <c r="P61" s="192"/>
      <c r="Q61" s="192"/>
      <c r="R61" s="192"/>
      <c r="S61" s="192"/>
      <c r="T61" s="192"/>
      <c r="U61" s="192"/>
      <c r="V61" s="192"/>
      <c r="W61" s="192"/>
      <c r="X61" s="192"/>
      <c r="Y61" s="192"/>
      <c r="Z61" s="192"/>
      <c r="AA61" s="192"/>
      <c r="AB61" s="192"/>
      <c r="AC61" s="192"/>
      <c r="AD61" s="192"/>
      <c r="AM61" s="192"/>
    </row>
    <row r="62" spans="1:80" x14ac:dyDescent="0.25">
      <c r="C62" s="185"/>
      <c r="H62" s="192"/>
      <c r="I62" s="192"/>
      <c r="J62" s="192"/>
      <c r="K62" s="192"/>
      <c r="O62" s="192"/>
      <c r="P62" s="192"/>
      <c r="Q62" s="192"/>
      <c r="R62" s="192"/>
      <c r="S62" s="192"/>
      <c r="T62" s="192"/>
      <c r="U62" s="192"/>
      <c r="V62" s="192"/>
      <c r="W62" s="192"/>
      <c r="X62" s="192"/>
      <c r="Y62" s="192"/>
      <c r="Z62" s="192"/>
      <c r="AA62" s="192"/>
      <c r="AB62" s="192"/>
      <c r="AC62" s="192"/>
      <c r="AD62" s="192"/>
      <c r="AM62" s="192"/>
    </row>
    <row r="63" spans="1:80" x14ac:dyDescent="0.25">
      <c r="C63" s="185"/>
      <c r="H63" s="192"/>
      <c r="I63" s="192"/>
      <c r="J63" s="192"/>
      <c r="K63" s="192"/>
      <c r="O63" s="192"/>
      <c r="P63" s="192"/>
      <c r="Q63" s="192"/>
      <c r="R63" s="192"/>
      <c r="S63" s="192"/>
      <c r="T63" s="192"/>
      <c r="U63" s="192"/>
      <c r="V63" s="192"/>
      <c r="W63" s="192"/>
      <c r="X63" s="192"/>
      <c r="Y63" s="192"/>
      <c r="Z63" s="192"/>
      <c r="AA63" s="192"/>
      <c r="AB63" s="192"/>
      <c r="AC63" s="192"/>
      <c r="AD63" s="192"/>
      <c r="AM63" s="192"/>
    </row>
    <row r="64" spans="1:80" x14ac:dyDescent="0.25">
      <c r="C64" s="185"/>
      <c r="H64" s="192"/>
      <c r="I64" s="192"/>
      <c r="J64" s="192"/>
      <c r="K64" s="192"/>
      <c r="O64" s="192"/>
      <c r="P64" s="192"/>
      <c r="Q64" s="192"/>
      <c r="R64" s="192"/>
      <c r="S64" s="192"/>
      <c r="T64" s="192"/>
      <c r="U64" s="192"/>
      <c r="V64" s="192"/>
      <c r="W64" s="192"/>
      <c r="X64" s="192"/>
      <c r="Y64" s="192"/>
      <c r="Z64" s="192"/>
      <c r="AA64" s="192"/>
      <c r="AB64" s="192"/>
      <c r="AC64" s="192"/>
      <c r="AD64" s="192"/>
      <c r="AM64" s="192"/>
    </row>
    <row r="65" spans="1:79" x14ac:dyDescent="0.25">
      <c r="A65" s="183"/>
      <c r="B65" s="183"/>
      <c r="C65" s="185"/>
      <c r="H65" s="192"/>
      <c r="I65" s="192"/>
      <c r="J65" s="192"/>
      <c r="K65" s="192"/>
      <c r="O65" s="192"/>
      <c r="P65" s="192"/>
      <c r="Q65" s="192"/>
      <c r="R65" s="192"/>
      <c r="S65" s="192"/>
      <c r="T65" s="192"/>
      <c r="U65" s="192"/>
      <c r="V65" s="192"/>
      <c r="W65" s="192"/>
      <c r="X65" s="192"/>
      <c r="Y65" s="192"/>
      <c r="Z65" s="192"/>
      <c r="AA65" s="192"/>
      <c r="AB65" s="192"/>
      <c r="AC65" s="192"/>
      <c r="AD65" s="192"/>
      <c r="AM65" s="192"/>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3"/>
      <c r="BR65" s="183"/>
      <c r="BS65" s="183"/>
      <c r="BT65" s="183"/>
      <c r="BU65" s="183"/>
      <c r="BV65" s="183"/>
      <c r="BW65" s="183"/>
      <c r="BX65" s="183"/>
      <c r="BY65" s="183"/>
      <c r="BZ65" s="183"/>
      <c r="CA65" s="183"/>
    </row>
    <row r="66" spans="1:79" x14ac:dyDescent="0.25">
      <c r="A66" s="183"/>
      <c r="B66" s="183"/>
      <c r="C66" s="185"/>
      <c r="H66" s="192"/>
      <c r="I66" s="192"/>
      <c r="J66" s="192"/>
      <c r="K66" s="192"/>
      <c r="O66" s="192"/>
      <c r="P66" s="192"/>
      <c r="Q66" s="192"/>
      <c r="R66" s="192"/>
      <c r="S66" s="192"/>
      <c r="T66" s="192"/>
      <c r="U66" s="192"/>
      <c r="V66" s="192"/>
      <c r="W66" s="192"/>
      <c r="X66" s="192"/>
      <c r="Y66" s="192"/>
      <c r="Z66" s="192"/>
      <c r="AA66" s="192"/>
      <c r="AB66" s="192"/>
      <c r="AC66" s="192"/>
      <c r="AD66" s="192"/>
      <c r="AM66" s="192"/>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3"/>
      <c r="BR66" s="183"/>
      <c r="BS66" s="183"/>
      <c r="BT66" s="183"/>
      <c r="BU66" s="183"/>
      <c r="BV66" s="183"/>
      <c r="BW66" s="183"/>
      <c r="BX66" s="183"/>
      <c r="BY66" s="183"/>
      <c r="BZ66" s="183"/>
      <c r="CA66" s="183"/>
    </row>
    <row r="67" spans="1:79" x14ac:dyDescent="0.25">
      <c r="A67" s="183"/>
      <c r="B67" s="183"/>
      <c r="C67" s="185"/>
      <c r="H67" s="192"/>
      <c r="I67" s="192"/>
      <c r="J67" s="192"/>
      <c r="K67" s="192"/>
      <c r="O67" s="192"/>
      <c r="P67" s="192"/>
      <c r="Q67" s="192"/>
      <c r="R67" s="192"/>
      <c r="S67" s="192"/>
      <c r="T67" s="192"/>
      <c r="U67" s="192"/>
      <c r="V67" s="192"/>
      <c r="W67" s="192"/>
      <c r="X67" s="192"/>
      <c r="Y67" s="192"/>
      <c r="Z67" s="192"/>
      <c r="AA67" s="192"/>
      <c r="AB67" s="192"/>
      <c r="AC67" s="192"/>
      <c r="AD67" s="192"/>
      <c r="AM67" s="192"/>
      <c r="AN67" s="183"/>
      <c r="AO67" s="183"/>
      <c r="AP67" s="183"/>
      <c r="AQ67" s="183"/>
      <c r="AR67" s="183"/>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3"/>
      <c r="BX67" s="183"/>
      <c r="BY67" s="183"/>
      <c r="BZ67" s="183"/>
      <c r="CA67" s="183"/>
    </row>
    <row r="68" spans="1:79" x14ac:dyDescent="0.25">
      <c r="A68" s="183"/>
      <c r="B68" s="183"/>
      <c r="C68" s="185"/>
      <c r="H68" s="192"/>
      <c r="I68" s="192"/>
      <c r="J68" s="192"/>
      <c r="K68" s="192"/>
      <c r="O68" s="192"/>
      <c r="P68" s="192"/>
      <c r="Q68" s="192"/>
      <c r="R68" s="192"/>
      <c r="S68" s="192"/>
      <c r="T68" s="192"/>
      <c r="U68" s="192"/>
      <c r="V68" s="192"/>
      <c r="W68" s="192"/>
      <c r="X68" s="192"/>
      <c r="Y68" s="192"/>
      <c r="Z68" s="192"/>
      <c r="AA68" s="192"/>
      <c r="AB68" s="192"/>
      <c r="AC68" s="192"/>
      <c r="AD68" s="192"/>
      <c r="AM68" s="192"/>
      <c r="AN68" s="183"/>
      <c r="AO68" s="183"/>
      <c r="AP68" s="183"/>
      <c r="AQ68" s="183"/>
      <c r="AR68" s="183"/>
      <c r="AS68" s="183"/>
      <c r="AT68" s="183"/>
      <c r="AU68" s="183"/>
      <c r="AV68" s="183"/>
      <c r="AW68" s="183"/>
      <c r="AX68" s="183"/>
      <c r="AY68" s="183"/>
      <c r="AZ68" s="183"/>
      <c r="BA68" s="183"/>
      <c r="BB68" s="183"/>
      <c r="BC68" s="183"/>
      <c r="BD68" s="183"/>
      <c r="BE68" s="183"/>
      <c r="BF68" s="183"/>
      <c r="BG68" s="183"/>
      <c r="BH68" s="183"/>
      <c r="BI68" s="183"/>
      <c r="BJ68" s="183"/>
      <c r="BK68" s="183"/>
      <c r="BL68" s="183"/>
      <c r="BM68" s="183"/>
      <c r="BN68" s="183"/>
      <c r="BO68" s="183"/>
      <c r="BP68" s="183"/>
      <c r="BQ68" s="183"/>
      <c r="BR68" s="183"/>
      <c r="BS68" s="183"/>
      <c r="BT68" s="183"/>
      <c r="BU68" s="183"/>
      <c r="BV68" s="183"/>
      <c r="BW68" s="183"/>
      <c r="BX68" s="183"/>
      <c r="BY68" s="183"/>
      <c r="BZ68" s="183"/>
      <c r="CA68" s="183"/>
    </row>
    <row r="69" spans="1:79" x14ac:dyDescent="0.25">
      <c r="A69" s="183"/>
      <c r="B69" s="183"/>
      <c r="C69" s="185"/>
      <c r="H69" s="192"/>
      <c r="I69" s="192"/>
      <c r="J69" s="192"/>
      <c r="K69" s="192"/>
      <c r="O69" s="192"/>
      <c r="P69" s="192"/>
      <c r="Q69" s="192"/>
      <c r="R69" s="192"/>
      <c r="S69" s="192"/>
      <c r="T69" s="192"/>
      <c r="U69" s="192"/>
      <c r="V69" s="192"/>
      <c r="W69" s="192"/>
      <c r="X69" s="192"/>
      <c r="Y69" s="192"/>
      <c r="Z69" s="192"/>
      <c r="AA69" s="192"/>
      <c r="AB69" s="192"/>
      <c r="AC69" s="192"/>
      <c r="AD69" s="192"/>
      <c r="AM69" s="192"/>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c r="BS69" s="183"/>
      <c r="BT69" s="183"/>
      <c r="BU69" s="183"/>
      <c r="BV69" s="183"/>
      <c r="BW69" s="183"/>
      <c r="BX69" s="183"/>
      <c r="BY69" s="183"/>
      <c r="BZ69" s="183"/>
      <c r="CA69" s="183"/>
    </row>
    <row r="70" spans="1:79" x14ac:dyDescent="0.25">
      <c r="A70" s="183"/>
      <c r="B70" s="183"/>
      <c r="C70" s="185"/>
      <c r="H70" s="192"/>
      <c r="I70" s="192"/>
      <c r="J70" s="192"/>
      <c r="K70" s="192"/>
      <c r="O70" s="192"/>
      <c r="P70" s="192"/>
      <c r="Q70" s="192"/>
      <c r="R70" s="192"/>
      <c r="S70" s="192"/>
      <c r="T70" s="192"/>
      <c r="U70" s="192"/>
      <c r="V70" s="192"/>
      <c r="W70" s="192"/>
      <c r="X70" s="192"/>
      <c r="Y70" s="192"/>
      <c r="Z70" s="192"/>
      <c r="AA70" s="192"/>
      <c r="AB70" s="192"/>
      <c r="AC70" s="192"/>
      <c r="AD70" s="192"/>
      <c r="AM70" s="192"/>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3"/>
      <c r="BX70" s="183"/>
      <c r="BY70" s="183"/>
      <c r="BZ70" s="183"/>
      <c r="CA70" s="183"/>
    </row>
    <row r="71" spans="1:79" x14ac:dyDescent="0.25">
      <c r="A71" s="183"/>
      <c r="B71" s="183"/>
      <c r="C71" s="185"/>
      <c r="H71" s="192"/>
      <c r="I71" s="192"/>
      <c r="J71" s="192"/>
      <c r="K71" s="192"/>
      <c r="O71" s="192"/>
      <c r="P71" s="192"/>
      <c r="Q71" s="192"/>
      <c r="R71" s="192"/>
      <c r="S71" s="192"/>
      <c r="T71" s="192"/>
      <c r="U71" s="192"/>
      <c r="V71" s="192"/>
      <c r="W71" s="192"/>
      <c r="X71" s="192"/>
      <c r="Y71" s="192"/>
      <c r="Z71" s="192"/>
      <c r="AA71" s="192"/>
      <c r="AB71" s="192"/>
      <c r="AC71" s="192"/>
      <c r="AD71" s="192"/>
      <c r="AM71" s="192"/>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3"/>
      <c r="BR71" s="183"/>
      <c r="BS71" s="183"/>
      <c r="BT71" s="183"/>
      <c r="BU71" s="183"/>
      <c r="BV71" s="183"/>
      <c r="BW71" s="183"/>
      <c r="BX71" s="183"/>
      <c r="BY71" s="183"/>
      <c r="BZ71" s="183"/>
      <c r="CA71" s="183"/>
    </row>
    <row r="72" spans="1:79" x14ac:dyDescent="0.25">
      <c r="A72" s="183"/>
      <c r="B72" s="183"/>
      <c r="C72" s="185"/>
      <c r="H72" s="192"/>
      <c r="I72" s="192"/>
      <c r="J72" s="192"/>
      <c r="K72" s="192"/>
      <c r="O72" s="192"/>
      <c r="P72" s="192"/>
      <c r="Q72" s="192"/>
      <c r="R72" s="192"/>
      <c r="S72" s="192"/>
      <c r="T72" s="192"/>
      <c r="U72" s="192"/>
      <c r="V72" s="192"/>
      <c r="W72" s="192"/>
      <c r="X72" s="192"/>
      <c r="Y72" s="192"/>
      <c r="Z72" s="192"/>
      <c r="AA72" s="192"/>
      <c r="AB72" s="192"/>
      <c r="AC72" s="192"/>
      <c r="AD72" s="192"/>
      <c r="AM72" s="192"/>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3"/>
      <c r="BX72" s="183"/>
      <c r="BY72" s="183"/>
      <c r="BZ72" s="183"/>
      <c r="CA72" s="183"/>
    </row>
    <row r="73" spans="1:79" x14ac:dyDescent="0.25">
      <c r="A73" s="183"/>
      <c r="B73" s="183"/>
      <c r="C73" s="185"/>
      <c r="H73" s="192"/>
      <c r="I73" s="192"/>
      <c r="J73" s="192"/>
      <c r="K73" s="192"/>
      <c r="O73" s="192"/>
      <c r="P73" s="192"/>
      <c r="Q73" s="192"/>
      <c r="R73" s="192"/>
      <c r="S73" s="192"/>
      <c r="T73" s="192"/>
      <c r="U73" s="192"/>
      <c r="V73" s="192"/>
      <c r="W73" s="192"/>
      <c r="X73" s="192"/>
      <c r="Y73" s="192"/>
      <c r="Z73" s="192"/>
      <c r="AA73" s="192"/>
      <c r="AB73" s="192"/>
      <c r="AC73" s="192"/>
      <c r="AD73" s="192"/>
      <c r="AM73" s="192"/>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3"/>
      <c r="BX73" s="183"/>
      <c r="BY73" s="183"/>
      <c r="BZ73" s="183"/>
      <c r="CA73" s="183"/>
    </row>
    <row r="74" spans="1:79" x14ac:dyDescent="0.25">
      <c r="A74" s="183"/>
      <c r="B74" s="183"/>
      <c r="C74" s="185"/>
      <c r="H74" s="192"/>
      <c r="I74" s="192"/>
      <c r="J74" s="192"/>
      <c r="K74" s="192"/>
      <c r="O74" s="192"/>
      <c r="P74" s="192"/>
      <c r="Q74" s="192"/>
      <c r="R74" s="192"/>
      <c r="S74" s="192"/>
      <c r="T74" s="192"/>
      <c r="U74" s="192"/>
      <c r="V74" s="192"/>
      <c r="W74" s="192"/>
      <c r="X74" s="192"/>
      <c r="Y74" s="192"/>
      <c r="Z74" s="192"/>
      <c r="AA74" s="192"/>
      <c r="AB74" s="192"/>
      <c r="AC74" s="192"/>
      <c r="AD74" s="192"/>
      <c r="AM74" s="192"/>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3"/>
      <c r="BQ74" s="183"/>
      <c r="BR74" s="183"/>
      <c r="BS74" s="183"/>
      <c r="BT74" s="183"/>
      <c r="BU74" s="183"/>
      <c r="BV74" s="183"/>
      <c r="BW74" s="183"/>
      <c r="BX74" s="183"/>
      <c r="BY74" s="183"/>
      <c r="BZ74" s="183"/>
      <c r="CA74" s="183"/>
    </row>
    <row r="75" spans="1:79" x14ac:dyDescent="0.25">
      <c r="A75" s="183"/>
      <c r="B75" s="183"/>
      <c r="C75" s="185"/>
      <c r="H75" s="192"/>
      <c r="I75" s="192"/>
      <c r="J75" s="192"/>
      <c r="K75" s="192"/>
      <c r="O75" s="192"/>
      <c r="P75" s="192"/>
      <c r="Q75" s="192"/>
      <c r="R75" s="192"/>
      <c r="S75" s="192"/>
      <c r="T75" s="192"/>
      <c r="U75" s="192"/>
      <c r="V75" s="192"/>
      <c r="W75" s="192"/>
      <c r="X75" s="192"/>
      <c r="Y75" s="192"/>
      <c r="Z75" s="192"/>
      <c r="AA75" s="192"/>
      <c r="AB75" s="192"/>
      <c r="AC75" s="192"/>
      <c r="AD75" s="192"/>
      <c r="AM75" s="192"/>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3"/>
      <c r="BX75" s="183"/>
      <c r="BY75" s="183"/>
      <c r="BZ75" s="183"/>
      <c r="CA75" s="183"/>
    </row>
    <row r="76" spans="1:79" x14ac:dyDescent="0.25">
      <c r="A76" s="183"/>
      <c r="B76" s="183"/>
      <c r="C76" s="185"/>
      <c r="H76" s="192"/>
      <c r="I76" s="192"/>
      <c r="J76" s="192"/>
      <c r="K76" s="192"/>
      <c r="O76" s="192"/>
      <c r="P76" s="192"/>
      <c r="Q76" s="192"/>
      <c r="R76" s="192"/>
      <c r="S76" s="192"/>
      <c r="T76" s="192"/>
      <c r="U76" s="192"/>
      <c r="V76" s="192"/>
      <c r="W76" s="192"/>
      <c r="X76" s="192"/>
      <c r="Y76" s="192"/>
      <c r="Z76" s="192"/>
      <c r="AA76" s="192"/>
      <c r="AB76" s="192"/>
      <c r="AC76" s="192"/>
      <c r="AD76" s="192"/>
      <c r="AM76" s="192"/>
      <c r="AN76" s="183"/>
      <c r="AO76" s="183"/>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3"/>
      <c r="BX76" s="183"/>
      <c r="BY76" s="183"/>
      <c r="BZ76" s="183"/>
      <c r="CA76" s="183"/>
    </row>
    <row r="77" spans="1:79" x14ac:dyDescent="0.25">
      <c r="A77" s="183"/>
      <c r="B77" s="183"/>
      <c r="C77" s="185"/>
      <c r="H77" s="192"/>
      <c r="I77" s="192"/>
      <c r="J77" s="192"/>
      <c r="K77" s="192"/>
      <c r="O77" s="192"/>
      <c r="P77" s="192"/>
      <c r="Q77" s="192"/>
      <c r="R77" s="192"/>
      <c r="S77" s="192"/>
      <c r="T77" s="192"/>
      <c r="U77" s="192"/>
      <c r="V77" s="192"/>
      <c r="W77" s="192"/>
      <c r="X77" s="192"/>
      <c r="Y77" s="192"/>
      <c r="Z77" s="192"/>
      <c r="AA77" s="192"/>
      <c r="AB77" s="192"/>
      <c r="AC77" s="192"/>
      <c r="AD77" s="192"/>
      <c r="AM77" s="192"/>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3"/>
      <c r="BX77" s="183"/>
      <c r="BY77" s="183"/>
      <c r="BZ77" s="183"/>
      <c r="CA77" s="183"/>
    </row>
    <row r="78" spans="1:79" x14ac:dyDescent="0.25">
      <c r="A78" s="183"/>
      <c r="B78" s="183"/>
      <c r="AE78" s="183"/>
      <c r="AI78" s="183"/>
      <c r="AN78" s="183"/>
      <c r="AO78" s="183"/>
      <c r="AP78" s="183"/>
      <c r="AQ78" s="183"/>
      <c r="AR78" s="183"/>
      <c r="AS78" s="183"/>
      <c r="AT78" s="183"/>
      <c r="AU78" s="183"/>
      <c r="AV78" s="183"/>
      <c r="AW78" s="183"/>
      <c r="AX78" s="183"/>
      <c r="AY78" s="183"/>
      <c r="AZ78" s="183"/>
      <c r="BA78" s="183"/>
      <c r="BB78" s="183"/>
      <c r="BC78" s="183"/>
      <c r="BD78" s="183"/>
      <c r="BE78" s="183"/>
      <c r="BF78" s="183"/>
      <c r="BG78" s="183"/>
      <c r="BH78" s="183"/>
      <c r="BI78" s="183"/>
      <c r="BJ78" s="183"/>
      <c r="BK78" s="183"/>
      <c r="BL78" s="183"/>
      <c r="BM78" s="183"/>
      <c r="BN78" s="183"/>
      <c r="BO78" s="183"/>
      <c r="BP78" s="183"/>
      <c r="BQ78" s="183"/>
      <c r="BR78" s="183"/>
      <c r="BS78" s="183"/>
      <c r="BT78" s="183"/>
      <c r="BU78" s="183"/>
      <c r="BV78" s="183"/>
      <c r="BW78" s="183"/>
      <c r="BX78" s="183"/>
      <c r="BY78" s="183"/>
      <c r="BZ78" s="183"/>
      <c r="CA78" s="183"/>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imeline_Diabetes"/>
  <dimension ref="A1:CC125"/>
  <sheetViews>
    <sheetView zoomScale="85" zoomScaleNormal="85" workbookViewId="0">
      <pane xSplit="7" ySplit="3" topLeftCell="H4" activePane="bottomRight" state="frozen"/>
      <selection activeCell="O7" sqref="O7"/>
      <selection pane="topRight" activeCell="O7" sqref="O7"/>
      <selection pane="bottomLeft" activeCell="O7" sqref="O7"/>
      <selection pane="bottomRight" activeCell="H4" sqref="H4"/>
    </sheetView>
  </sheetViews>
  <sheetFormatPr defaultRowHeight="15" x14ac:dyDescent="0.25"/>
  <cols>
    <col min="1" max="1" width="8.7109375" style="179" customWidth="1"/>
    <col min="2" max="2" width="12.7109375" style="180" customWidth="1"/>
    <col min="3" max="3" width="9.7109375" style="180" customWidth="1"/>
    <col min="4" max="4" width="12.7109375" style="181" customWidth="1"/>
    <col min="5" max="5" width="25.7109375" style="182" customWidth="1"/>
    <col min="6" max="6" width="45.28515625" style="183" bestFit="1" customWidth="1"/>
    <col min="7" max="7" width="25.7109375" style="183" customWidth="1"/>
    <col min="8" max="9" width="12.7109375" style="184" customWidth="1"/>
    <col min="10" max="10" width="17.85546875" style="184" customWidth="1"/>
    <col min="11" max="11" width="12.7109375" style="184" customWidth="1"/>
    <col min="12" max="12" width="12.7109375" style="187" customWidth="1"/>
    <col min="13" max="13" width="12.7109375" style="188" customWidth="1"/>
    <col min="14" max="14" width="16.5703125" style="188" customWidth="1"/>
    <col min="15" max="17" width="17.85546875" style="184" customWidth="1"/>
    <col min="18" max="19" width="16.42578125" style="184" customWidth="1"/>
    <col min="20" max="20" width="12.7109375" style="184" customWidth="1"/>
    <col min="21" max="21" width="17.85546875" style="184" customWidth="1"/>
    <col min="22" max="22" width="20.85546875" style="184" customWidth="1"/>
    <col min="23" max="23" width="17.85546875" style="184" customWidth="1"/>
    <col min="24" max="28" width="16.42578125" style="184" customWidth="1"/>
    <col min="29" max="29" width="15.7109375" style="184" customWidth="1"/>
    <col min="30" max="30" width="12.7109375" style="184" customWidth="1"/>
    <col min="31" max="31" width="12.7109375" style="185" customWidth="1"/>
    <col min="32" max="32" width="12.7109375" style="186" customWidth="1"/>
    <col min="33" max="34" width="12.7109375" style="184" customWidth="1"/>
    <col min="35" max="35" width="12.7109375" style="185" customWidth="1"/>
    <col min="36" max="36" width="12.7109375" style="186" customWidth="1"/>
    <col min="37" max="39" width="12.7109375" style="184" customWidth="1"/>
    <col min="40" max="41" width="12.7109375" style="185" customWidth="1"/>
    <col min="42" max="42" width="15.42578125" style="184" customWidth="1"/>
    <col min="43" max="43" width="19.7109375" style="184" customWidth="1"/>
    <col min="44" max="45" width="12.7109375" style="185" customWidth="1"/>
    <col min="46" max="46" width="18.42578125" style="184" customWidth="1"/>
    <col min="47" max="47" width="12.7109375" style="184" customWidth="1"/>
    <col min="48" max="49" width="12.7109375" style="185" customWidth="1"/>
    <col min="50" max="50" width="17.85546875" style="184" customWidth="1"/>
    <col min="51" max="51" width="12.7109375" style="184" customWidth="1"/>
    <col min="52" max="53" width="12.7109375" style="185" customWidth="1"/>
    <col min="54" max="55" width="12.7109375" style="184" customWidth="1"/>
    <col min="56" max="57" width="12.7109375" style="185" customWidth="1"/>
    <col min="58" max="58" width="17.28515625" style="184" customWidth="1"/>
    <col min="59" max="59" width="12.7109375" style="184" customWidth="1"/>
    <col min="60" max="60" width="12.7109375" style="189" customWidth="1"/>
    <col min="61" max="61" width="15" style="189" customWidth="1"/>
    <col min="62" max="62" width="12.7109375" style="189" customWidth="1"/>
    <col min="63" max="67" width="12.7109375" style="184" customWidth="1"/>
    <col min="68" max="68" width="12.7109375" style="240" customWidth="1"/>
    <col min="69" max="73" width="12.7109375" style="184" customWidth="1"/>
    <col min="74" max="74" width="12.7109375" style="190" customWidth="1"/>
    <col min="75" max="79" width="12.7109375" style="191" customWidth="1"/>
    <col min="80" max="80" width="12.7109375" style="183" customWidth="1"/>
    <col min="81" max="16384" width="9.140625" style="183"/>
  </cols>
  <sheetData>
    <row r="1" spans="1:81" ht="15.75" thickBot="1" x14ac:dyDescent="0.3">
      <c r="I1" s="239"/>
      <c r="J1" s="239"/>
      <c r="O1" s="239"/>
      <c r="P1" s="239"/>
      <c r="Q1" s="239"/>
      <c r="R1" s="239"/>
      <c r="S1" s="239"/>
      <c r="T1" s="239"/>
      <c r="U1" s="239"/>
      <c r="V1" s="239"/>
      <c r="W1" s="239"/>
      <c r="X1" s="239"/>
      <c r="Y1" s="239"/>
      <c r="Z1" s="239"/>
      <c r="AA1" s="239"/>
      <c r="AB1" s="239"/>
      <c r="AC1" s="239"/>
      <c r="CB1" s="183" t="b">
        <f>COUNTIF(CB4:CB100,FALSE)=0</f>
        <v>1</v>
      </c>
    </row>
    <row r="2" spans="1:81" ht="15.75" thickBot="1" x14ac:dyDescent="0.3">
      <c r="H2" s="164" t="s">
        <v>363</v>
      </c>
      <c r="I2" s="165"/>
      <c r="J2" s="164"/>
      <c r="K2" s="170" t="s">
        <v>364</v>
      </c>
      <c r="L2" s="167"/>
      <c r="M2" s="169"/>
      <c r="N2" s="165"/>
      <c r="O2" s="172" t="s">
        <v>365</v>
      </c>
      <c r="P2" s="172"/>
      <c r="Q2" s="172"/>
      <c r="R2" s="169"/>
      <c r="S2" s="169"/>
      <c r="T2" s="165"/>
      <c r="U2" s="164" t="s">
        <v>366</v>
      </c>
      <c r="V2" s="172"/>
      <c r="W2" s="172"/>
      <c r="X2" s="169"/>
      <c r="Y2" s="169"/>
      <c r="Z2" s="169"/>
      <c r="AA2" s="169"/>
      <c r="AB2" s="169"/>
      <c r="AC2" s="165"/>
      <c r="AD2" s="166" t="s">
        <v>367</v>
      </c>
      <c r="AE2" s="167"/>
      <c r="AF2" s="168"/>
      <c r="AG2" s="169"/>
      <c r="AH2" s="169"/>
      <c r="AI2" s="167"/>
      <c r="AJ2" s="168"/>
      <c r="AK2" s="169"/>
      <c r="AL2" s="169"/>
      <c r="AM2" s="165"/>
      <c r="AN2" s="170" t="s">
        <v>368</v>
      </c>
      <c r="AO2" s="171"/>
      <c r="AP2" s="169"/>
      <c r="AQ2" s="165"/>
      <c r="AR2" s="170" t="s">
        <v>369</v>
      </c>
      <c r="AS2" s="171"/>
      <c r="AT2" s="172"/>
      <c r="AU2" s="173"/>
      <c r="AV2" s="170" t="s">
        <v>370</v>
      </c>
      <c r="AW2" s="171"/>
      <c r="AX2" s="169"/>
      <c r="AY2" s="165"/>
      <c r="AZ2" s="170" t="s">
        <v>371</v>
      </c>
      <c r="BA2" s="171"/>
      <c r="BB2" s="169"/>
      <c r="BC2" s="165"/>
      <c r="BD2" s="170" t="s">
        <v>372</v>
      </c>
      <c r="BE2" s="167"/>
      <c r="BF2" s="169"/>
      <c r="BG2" s="165"/>
      <c r="BH2" s="174" t="s">
        <v>373</v>
      </c>
      <c r="BI2" s="175"/>
      <c r="BJ2" s="164" t="s">
        <v>374</v>
      </c>
      <c r="BK2" s="172"/>
      <c r="BL2" s="172"/>
      <c r="BM2" s="172"/>
      <c r="BN2" s="172"/>
      <c r="BO2" s="172"/>
      <c r="BP2" s="241"/>
      <c r="BQ2" s="172"/>
      <c r="BR2" s="173"/>
      <c r="BS2" s="164" t="s">
        <v>375</v>
      </c>
      <c r="BT2" s="172"/>
      <c r="BU2" s="173"/>
      <c r="BV2" s="176" t="s">
        <v>376</v>
      </c>
      <c r="BW2" s="177"/>
      <c r="BX2" s="177"/>
      <c r="BY2" s="177"/>
      <c r="BZ2" s="177"/>
      <c r="CA2" s="177"/>
      <c r="CB2" s="178"/>
    </row>
    <row r="3" spans="1:81" ht="90.75" thickBot="1" x14ac:dyDescent="0.3">
      <c r="A3" s="149" t="s">
        <v>9</v>
      </c>
      <c r="B3" s="150" t="s">
        <v>7</v>
      </c>
      <c r="C3" s="150" t="s">
        <v>20</v>
      </c>
      <c r="D3" s="151" t="s">
        <v>18</v>
      </c>
      <c r="E3" s="151" t="s">
        <v>136</v>
      </c>
      <c r="F3" s="152" t="s">
        <v>6</v>
      </c>
      <c r="G3" s="153" t="s">
        <v>15</v>
      </c>
      <c r="H3" s="154" t="s">
        <v>5</v>
      </c>
      <c r="I3" s="157" t="s">
        <v>265</v>
      </c>
      <c r="J3" s="249" t="s">
        <v>304</v>
      </c>
      <c r="K3" s="154" t="s">
        <v>290</v>
      </c>
      <c r="L3" s="151" t="s">
        <v>217</v>
      </c>
      <c r="M3" s="157" t="s">
        <v>261</v>
      </c>
      <c r="N3" s="155" t="s">
        <v>269</v>
      </c>
      <c r="O3" s="249" t="s">
        <v>306</v>
      </c>
      <c r="P3" s="249" t="s">
        <v>259</v>
      </c>
      <c r="Q3" s="249" t="s">
        <v>308</v>
      </c>
      <c r="R3" s="157" t="s">
        <v>303</v>
      </c>
      <c r="S3" s="157" t="s">
        <v>305</v>
      </c>
      <c r="T3" s="155" t="s">
        <v>304</v>
      </c>
      <c r="U3" s="154" t="s">
        <v>306</v>
      </c>
      <c r="V3" s="249" t="s">
        <v>310</v>
      </c>
      <c r="W3" s="249" t="s">
        <v>308</v>
      </c>
      <c r="X3" s="157" t="s">
        <v>313</v>
      </c>
      <c r="Y3" s="157" t="s">
        <v>299</v>
      </c>
      <c r="Z3" s="291" t="s">
        <v>380</v>
      </c>
      <c r="AA3" s="291" t="s">
        <v>314</v>
      </c>
      <c r="AB3" s="291" t="s">
        <v>262</v>
      </c>
      <c r="AC3" s="155" t="s">
        <v>304</v>
      </c>
      <c r="AD3" s="154" t="s">
        <v>287</v>
      </c>
      <c r="AE3" s="151" t="s">
        <v>22</v>
      </c>
      <c r="AF3" s="156" t="s">
        <v>21</v>
      </c>
      <c r="AG3" s="157" t="s">
        <v>289</v>
      </c>
      <c r="AH3" s="157" t="s">
        <v>288</v>
      </c>
      <c r="AI3" s="151" t="s">
        <v>23</v>
      </c>
      <c r="AJ3" s="156" t="s">
        <v>19</v>
      </c>
      <c r="AK3" s="157" t="s">
        <v>266</v>
      </c>
      <c r="AL3" s="157" t="s">
        <v>312</v>
      </c>
      <c r="AM3" s="155" t="s">
        <v>12</v>
      </c>
      <c r="AN3" s="158" t="s">
        <v>291</v>
      </c>
      <c r="AO3" s="159" t="s">
        <v>40</v>
      </c>
      <c r="AP3" s="157" t="s">
        <v>271</v>
      </c>
      <c r="AQ3" s="155" t="s">
        <v>200</v>
      </c>
      <c r="AR3" s="158" t="s">
        <v>292</v>
      </c>
      <c r="AS3" s="159" t="s">
        <v>144</v>
      </c>
      <c r="AT3" s="157" t="s">
        <v>270</v>
      </c>
      <c r="AU3" s="155" t="s">
        <v>201</v>
      </c>
      <c r="AV3" s="158" t="s">
        <v>293</v>
      </c>
      <c r="AW3" s="151" t="s">
        <v>205</v>
      </c>
      <c r="AX3" s="157" t="s">
        <v>272</v>
      </c>
      <c r="AY3" s="155" t="s">
        <v>214</v>
      </c>
      <c r="AZ3" s="158" t="s">
        <v>294</v>
      </c>
      <c r="BA3" s="151" t="s">
        <v>204</v>
      </c>
      <c r="BB3" s="157" t="s">
        <v>274</v>
      </c>
      <c r="BC3" s="155" t="s">
        <v>215</v>
      </c>
      <c r="BD3" s="158" t="s">
        <v>295</v>
      </c>
      <c r="BE3" s="151" t="s">
        <v>3</v>
      </c>
      <c r="BF3" s="157" t="s">
        <v>275</v>
      </c>
      <c r="BG3" s="155" t="s">
        <v>202</v>
      </c>
      <c r="BH3" s="160" t="s">
        <v>216</v>
      </c>
      <c r="BI3" s="161" t="s">
        <v>263</v>
      </c>
      <c r="BJ3" s="160" t="s">
        <v>262</v>
      </c>
      <c r="BK3" s="157" t="s">
        <v>137</v>
      </c>
      <c r="BL3" s="157" t="s">
        <v>297</v>
      </c>
      <c r="BM3" s="157" t="s">
        <v>299</v>
      </c>
      <c r="BN3" s="157" t="s">
        <v>296</v>
      </c>
      <c r="BO3" s="157" t="s">
        <v>298</v>
      </c>
      <c r="BP3" s="242" t="s">
        <v>300</v>
      </c>
      <c r="BQ3" s="157" t="s">
        <v>302</v>
      </c>
      <c r="BR3" s="161" t="s">
        <v>264</v>
      </c>
      <c r="BS3" s="160" t="s">
        <v>262</v>
      </c>
      <c r="BT3" s="157" t="s">
        <v>260</v>
      </c>
      <c r="BU3" s="155" t="s">
        <v>301</v>
      </c>
      <c r="BV3" s="162" t="s">
        <v>227</v>
      </c>
      <c r="BW3" s="163" t="s">
        <v>265</v>
      </c>
      <c r="BX3" s="163" t="s">
        <v>218</v>
      </c>
      <c r="BY3" s="163" t="s">
        <v>25</v>
      </c>
      <c r="BZ3" s="163" t="s">
        <v>26</v>
      </c>
      <c r="CA3" s="163" t="s">
        <v>27</v>
      </c>
      <c r="CB3" s="153" t="s">
        <v>219</v>
      </c>
    </row>
    <row r="4" spans="1:81" x14ac:dyDescent="0.25">
      <c r="A4" s="193">
        <v>1</v>
      </c>
      <c r="B4" s="194">
        <v>42372</v>
      </c>
      <c r="C4" s="195">
        <v>1</v>
      </c>
      <c r="D4" s="196">
        <v>14</v>
      </c>
      <c r="E4" s="197" t="str">
        <f t="shared" ref="E4:E25" si="0">VLOOKUP(ServiceCode,DiabetesFeeSchedule,6,FALSE)</f>
        <v>BD Ultrafine Insulin Syringes / 30G/ 0.5cc  [usage = 30 syringes per month]</v>
      </c>
      <c r="F4" s="198" t="str">
        <f>VLOOKUP(D4,DiabetesFeeSchedule,5,FALSE)</f>
        <v>Medical Supplies</v>
      </c>
      <c r="G4" s="199" t="str">
        <f>VLOOKUP(F4,BenefitDesignTable,COLUMN(BenefitCostSharing),FALSE)</f>
        <v>Not Covered</v>
      </c>
      <c r="H4" s="200">
        <f t="shared" ref="H4:H25" si="1">VLOOKUP(D4,DiabetesFeeSchedule,7,FALSE)</f>
        <v>20.62</v>
      </c>
      <c r="I4" s="203">
        <f t="shared" ref="I4:I25" si="2">IF(G4="Not Covered",H4,0)</f>
        <v>20.62</v>
      </c>
      <c r="J4" s="295">
        <f t="shared" ref="J4:J25" si="3">H4-I4</f>
        <v>0</v>
      </c>
      <c r="K4" s="200" t="b">
        <f t="shared" ref="K4:K25" si="4">VLOOKUP(F4,nrCoverageTable,COLUMN(nrOOPLimitValid),FALSE)</f>
        <v>0</v>
      </c>
      <c r="L4" s="204" t="str">
        <f t="shared" ref="L4:L25" si="5">IF(K4,VLOOKUP(F4,BenefitDesignTable,COLUMN(BenefitOOPLimitApplies),FALSE),"No")</f>
        <v>No</v>
      </c>
      <c r="M4" s="203" t="str">
        <f t="shared" ref="M4:M25" si="6">VLOOKUP(F4,BenefitDesignTable,COLUMN(OPLimit),FALSE)</f>
        <v>.</v>
      </c>
      <c r="N4" s="201" t="str">
        <f>IFERROR(IF(AND(L4="Yes",ISNUMBER(M4)),MAX(0,M4-SUMIFS(BU$3:BU3,L$3:L3,"Yes")),IF(OR(L4="No",M4="None"),"N/A","ERR")),"ERR")</f>
        <v>N/A</v>
      </c>
      <c r="O4" s="250" t="b">
        <f>IF(F4="Professional Services: Primary Care",TRUE, FALSE)</f>
        <v>0</v>
      </c>
      <c r="P4" s="250" t="str">
        <f>IF(O4,BENEFIT_PARAMETERS!$C$76,"N/A")</f>
        <v>N/A</v>
      </c>
      <c r="Q4" s="287" t="str">
        <f>IF(P4="Yes", BENEFIT_PARAMETERS!$D$76,"N/A")</f>
        <v>N/A</v>
      </c>
      <c r="R4" s="253" t="str">
        <f t="shared" ref="R4:R35" si="7">IF(O4,COUNTIFS(BenefitCategory,"Professional Services: Primary Care",ClaimNumber,"&lt;"&amp;A4),"N/A")</f>
        <v>N/A</v>
      </c>
      <c r="S4" s="203">
        <f>IF(P4="Yes",IF(R4&lt;Q4,MIN(J4,N4),0),0)</f>
        <v>0</v>
      </c>
      <c r="T4" s="290">
        <f t="shared" ref="T4:T25" si="8">J4-S4</f>
        <v>0</v>
      </c>
      <c r="U4" s="200" t="b">
        <f>IF(F4="Professional Services: Primary Care",TRUE, FALSE)</f>
        <v>0</v>
      </c>
      <c r="V4" s="250" t="str">
        <f>IF(O4,BENEFIT_PARAMETERS!$C$77,"N/A")</f>
        <v>N/A</v>
      </c>
      <c r="W4" s="287" t="str">
        <f>IF(V4="Yes", BENEFIT_PARAMETERS!$D$77,"N/A")</f>
        <v>N/A</v>
      </c>
      <c r="X4" s="253" t="str">
        <f>IF(O4,COUNTIF(Z$3:Z3,"&gt;0"),"N/A")</f>
        <v>N/A</v>
      </c>
      <c r="Y4" s="203" t="str">
        <f t="shared" ref="Y4:Y25" si="9">IF(V4="Yes",VLOOKUP("Professional Services: Primary Care",BenefitDesignTable,COLUMN(BenefitCopay),FALSE),"N/A")</f>
        <v>N/A</v>
      </c>
      <c r="Z4" s="292" t="str">
        <f>IF(AND(V4="Yes",U4=TRUE,X4&lt;W4), MIN(Y4,T4,N4),"N/A")</f>
        <v>N/A</v>
      </c>
      <c r="AA4" s="292">
        <f>IF(Z4="N/A",0,T4-Z4)</f>
        <v>0</v>
      </c>
      <c r="AB4" s="293" t="str">
        <f t="shared" ref="AB4:AB25" si="10">IF(L4="Yes",IF(Z4="N/A",N4,N4-Z4),"N/A")</f>
        <v>N/A</v>
      </c>
      <c r="AC4" s="290">
        <f>IF(Z4="N/A",T4,0)</f>
        <v>0</v>
      </c>
      <c r="AD4" s="200" t="b">
        <f t="shared" ref="AD4:AD25" si="11">VLOOKUP(F4,nrCoverageTable,COLUMN(nrMonthlyLimitValid),FALSE)</f>
        <v>0</v>
      </c>
      <c r="AE4" s="195" t="str">
        <f t="shared" ref="AE4:AE25" si="12">IF(AD4,VLOOKUP(F4,BenefitDesignTable,COLUMN(BenefitLimithMonth),FALSE),".")</f>
        <v>.</v>
      </c>
      <c r="AF4" s="202">
        <f t="shared" ref="AF4:AF25" si="13">COUNTIFS(ServiceCode,D4,ClaimMonth,C4,ClaimNumber,"&lt;"&amp;A4)</f>
        <v>0</v>
      </c>
      <c r="AG4" s="203" t="str">
        <f t="shared" ref="AG4:AG25" si="14">IF(AD4,IF(OR(AE4="None",ISNUMBER(AE4)),IF(AF4&gt;=AE4,H4,0),"ERR"),"N/A")</f>
        <v>N/A</v>
      </c>
      <c r="AH4" s="203" t="b">
        <f t="shared" ref="AH4:AH25" si="15">VLOOKUP(F4,nrCoverageTable,COLUMN(nrAnnualLimitValid),FALSE)</f>
        <v>0</v>
      </c>
      <c r="AI4" s="195" t="str">
        <f t="shared" ref="AI4:AI25" si="16">IF(AH4,VLOOKUP(F4,BenefitDesignTable,COLUMN(BenefitLimitAnnual),FALSE),".")</f>
        <v>.</v>
      </c>
      <c r="AJ4" s="202">
        <f t="shared" ref="AJ4:AJ25" si="17">COUNTIFS(ServiceCode,D4,ClaimNumber,"&lt;"&amp;A4)</f>
        <v>0</v>
      </c>
      <c r="AK4" s="203" t="str">
        <f t="shared" ref="AK4:AK25" si="18">IF(AH4,IF(OR(AI4="None",ISNUMBER(AI4)),IF(AJ4&gt;=AI4,H4,0),"ERR"),"N/A")</f>
        <v>N/A</v>
      </c>
      <c r="AL4" s="203">
        <f>IF(OR(AG4="ERR",AK4="ERR"),"ERR",MAX(AG4,AK4))</f>
        <v>0</v>
      </c>
      <c r="AM4" s="201">
        <f>IFERROR(AC4-AL4,"ERR")</f>
        <v>0</v>
      </c>
      <c r="AN4" s="205" t="b">
        <f t="shared" ref="AN4:AN25" si="19">VLOOKUP(F4,nrCoverageTable,COLUMN(nrUsesPlanDeduct),FALSE)</f>
        <v>0</v>
      </c>
      <c r="AO4" s="203" t="str">
        <f t="shared" ref="AO4:AO25" si="20">IF(AN4,VLOOKUP(F4,BenefitDesignTable,COLUMN(PlanDeductible),FALSE),"N/A")</f>
        <v>N/A</v>
      </c>
      <c r="AP4" s="203" t="str">
        <f>IF(AND(ISNUMBER(AO4),AN4=TRUE),MAX(0,AO4-SUMIFS($AM$3:$AM3,AN$3:AN3,TRUE)),IF(AND(AN4=TRUE,ISNUMBER(AO4)=FALSE),"ERR","N/A"))</f>
        <v>N/A</v>
      </c>
      <c r="AQ4" s="201" t="str">
        <f t="shared" ref="AQ4:AQ25" si="21">IF(ISNUMBER(AP4),MIN($AM4,AP4),"N/A")</f>
        <v>N/A</v>
      </c>
      <c r="AR4" s="205" t="b">
        <f t="shared" ref="AR4:AR25" si="22">VLOOKUP(F4,nrCoverageTable,COLUMN(nrUsesRxDeduct),FALSE)</f>
        <v>0</v>
      </c>
      <c r="AS4" s="203" t="str">
        <f t="shared" ref="AS4:AS25" si="23">IF(AR4,VLOOKUP(F4,BenefitDesignTable,COLUMN(RxDeductible),FALSE),"N/A")</f>
        <v>N/A</v>
      </c>
      <c r="AT4" s="203" t="str">
        <f>IF(AND(AR4=TRUE,ISNUMBER(AS4)),MAX(0,AS4-SUMIFS($AM$3:$AM3,AR$3:AR3,TRUE)),IF(AND(AR4=TRUE,ISNUMBER(AS4)=FALSE),"ERR","N/A"))</f>
        <v>N/A</v>
      </c>
      <c r="AU4" s="201" t="str">
        <f t="shared" ref="AU4:AU25" si="24">IF(ISNUMBER(AT4),MIN($AM4,AT4),"N/A")</f>
        <v>N/A</v>
      </c>
      <c r="AV4" s="205" t="b">
        <f t="shared" ref="AV4:AV25" si="25">VLOOKUP(F4,nrCoverageTable,COLUMN(nrUsesDeductC),FALSE)</f>
        <v>0</v>
      </c>
      <c r="AW4" s="203" t="str">
        <f t="shared" ref="AW4:AW25" si="26">IF(AV4,VLOOKUP(F4,BenefitDesignTable,COLUMN(OptDeductibleC),FALSE),"N/A")</f>
        <v>N/A</v>
      </c>
      <c r="AX4" s="203" t="str">
        <f>IF(AND(AV4=TRUE,ISNUMBER(AW4)),MAX(0,AW4-SUMIFS($AM$3:$AM3,AV$3:AV3,TRUE)),IF(AND(AV4=TRUE,ISNUMBER(AW4)=FALSE),"ERR","N/A"))</f>
        <v>N/A</v>
      </c>
      <c r="AY4" s="201" t="str">
        <f t="shared" ref="AY4:AY25" si="27">IF(ISNUMBER(AX4),MIN($AM4,AX4),"N/A")</f>
        <v>N/A</v>
      </c>
      <c r="AZ4" s="205" t="b">
        <f t="shared" ref="AZ4:AZ25" si="28">VLOOKUP(F4,nrCoverageTable,COLUMN(nrUsesDeductD),FALSE)</f>
        <v>0</v>
      </c>
      <c r="BA4" s="203" t="str">
        <f t="shared" ref="BA4:BA25" si="29">IF(AZ4,VLOOKUP(F4,BenefitDesignTable,COLUMN(OptDeductibleD),FALSE),"N/A")</f>
        <v>N/A</v>
      </c>
      <c r="BB4" s="203" t="str">
        <f>IF(AND(AZ4=TRUE,ISNUMBER(BA4)),MAX(0,BA4-SUMIFS($AM$3:$AM3,AZ$3:AZ3,TRUE)),IF(AND(AZ4=TRUE,ISNUMBER(BA4)=FALSE),"ERR","N/A"))</f>
        <v>N/A</v>
      </c>
      <c r="BC4" s="201" t="str">
        <f t="shared" ref="BC4:BC25" si="30">IF(ISNUMBER(BB4),MIN($AM4,BB4),"N/A")</f>
        <v>N/A</v>
      </c>
      <c r="BD4" s="205" t="b">
        <f t="shared" ref="BD4:BD25" si="31">VLOOKUP(F4,nrCoverageTable,COLUMN(nrUsesBenDeduct),FALSE)</f>
        <v>0</v>
      </c>
      <c r="BE4" s="203" t="str">
        <f t="shared" ref="BE4:BE25" si="32">IF(BD4,VLOOKUP(F4,BenefitDesignTable,COLUMN(BenefitDeductible),FALSE),"N/A")</f>
        <v>N/A</v>
      </c>
      <c r="BF4" s="203" t="str">
        <f>IF(AND(BD4=TRUE,ISNUMBER(BE4)=TRUE),MAX(0,BE4-SUMIFS(AM$3:AM3,BD$3:BD3,TRUE,F$3:F3,F4)),IF(AND(BD4=TRUE,ISNUMBER(BE4)=FALSE),"ERR","N/A"))</f>
        <v>N/A</v>
      </c>
      <c r="BG4" s="201" t="str">
        <f t="shared" ref="BG4:BG25" si="33">IF(ISNUMBER(BF4),MIN($AM4,BF4),"N/A")</f>
        <v>N/A</v>
      </c>
      <c r="BH4" s="200">
        <f t="shared" ref="BH4:BH25" si="34">SUM(AQ4,AU4,AY4,BC4,BG4)</f>
        <v>0</v>
      </c>
      <c r="BI4" s="201">
        <f>IF(OR(AB4="ERR",BH4="ERR"),"ERR",MIN(BH4,AB4))</f>
        <v>0</v>
      </c>
      <c r="BJ4" s="200" t="str">
        <f>IF(AND(L4="Yes",ISNUMBER(M4)),IF(OR(BI4="ERR",AB4="ERR"),"ERR",MAX($AB4-BI4,0)),"N/A")</f>
        <v>N/A</v>
      </c>
      <c r="BK4" s="203">
        <f t="shared" ref="BK4:BK25" si="35">IF(OR(BI4="ERR",AM4="ERR"),"ERR",MAX(0,AM4-BI4))</f>
        <v>0</v>
      </c>
      <c r="BL4" s="206" t="b">
        <f t="shared" ref="BL4:BL25" si="36">VLOOKUP(F4,nrCoverageTable,COLUMN(nrUsesCopay),FALSE)</f>
        <v>0</v>
      </c>
      <c r="BM4" s="203" t="str">
        <f t="shared" ref="BM4:BM25" si="37">IF(BL4,VLOOKUP(F4,BenefitDesignTable,COLUMN(BenefitCopay),FALSE),"N/A")</f>
        <v>N/A</v>
      </c>
      <c r="BN4" s="203" t="str">
        <f>IF(BK4="ERR","ERR",IF(AND(BL4=TRUE,ISNUMBER(BM4)),MIN(BK4,BM4,BJ4),IF(AND(BL4=TRUE,ISNUMBER(BM4)=FALSE),"ERR","N/A")))</f>
        <v>N/A</v>
      </c>
      <c r="BO4" s="206" t="b">
        <f t="shared" ref="BO4:BO25" si="38">VLOOKUP(F4,nrCoverageTable,COLUMN(nrUsesCoins),FALSE)</f>
        <v>0</v>
      </c>
      <c r="BP4" s="243" t="str">
        <f t="shared" ref="BP4:BP25" si="39">IF(BO4,VLOOKUP(F4,BenefitDesignTable,COLUMN(BenefitCoins),FALSE),"N/A")</f>
        <v>N/A</v>
      </c>
      <c r="BQ4" s="203" t="str">
        <f>IF(BK4="ERR","ERR",IF(AND(BO4=TRUE,ISNUMBER(BP4)=TRUE),MIN(BJ4,BK4*BP4),IF(AND(BO4=TRUE,ISNUMBER(BP4)=FALSE),"ERR","N/A")))</f>
        <v>N/A</v>
      </c>
      <c r="BR4" s="201">
        <f>IF(OR(BJ4="ERR",BN4="ERR",BQ4="ERR"),"ERR",MIN(BJ4,SUM(BN4,BQ4)))</f>
        <v>0</v>
      </c>
      <c r="BS4" s="200" t="str">
        <f>IF(AND(L4="Yes",ISNUMBER(M4)),IF(OR(BJ4="ERR",BR4="ERR"),"ERR",MAX(BJ4-BR4,0)),"N/A")</f>
        <v>N/A</v>
      </c>
      <c r="BT4" s="203">
        <f>IF(OR(BK4="ERR",BR4="ERR"),"ERR",MAX(BK4-BR4,0))</f>
        <v>0</v>
      </c>
      <c r="BU4" s="201">
        <f>IF(OR(BI4="ERR",BR4="ERR"),"ERR",SUM(BI4,BR4,Z4))</f>
        <v>0</v>
      </c>
      <c r="BV4" s="200">
        <f>IF(OR(AM4="ERR",BU4="ERR"),"ERR",MAX(S4+AA4+AM4-BI4-BR4,0))</f>
        <v>0</v>
      </c>
      <c r="BW4" s="203">
        <f t="shared" ref="BW4:BW25" si="40">I4</f>
        <v>20.62</v>
      </c>
      <c r="BX4" s="203">
        <f t="shared" ref="BX4:BX25" si="41">IF(OR(AG4="ERR",AK4="ERR"),"ERR",SUM(AG4,AK4))</f>
        <v>0</v>
      </c>
      <c r="BY4" s="203">
        <f>BI4</f>
        <v>0</v>
      </c>
      <c r="BZ4" s="203">
        <f t="shared" ref="BZ4:BZ57" si="42">IF(V4="Yes",IF(Z4="N/A",0,Z4),0)+IF(BL4,BN4,0)</f>
        <v>0</v>
      </c>
      <c r="CA4" s="203">
        <f>IF(BO4,BQ4,0)</f>
        <v>0</v>
      </c>
      <c r="CB4" s="199" t="b">
        <f t="shared" ref="CB4:CB25" si="43">SUM(BV4:CA4)=H4</f>
        <v>1</v>
      </c>
    </row>
    <row r="5" spans="1:81" x14ac:dyDescent="0.25">
      <c r="A5" s="207">
        <v>2</v>
      </c>
      <c r="B5" s="208">
        <v>42372</v>
      </c>
      <c r="C5" s="209">
        <v>1</v>
      </c>
      <c r="D5" s="210">
        <v>5</v>
      </c>
      <c r="E5" s="211" t="str">
        <f t="shared" si="0"/>
        <v>OneTouch Delica Lancets (100 per box)  [usage = 60 lancets per month]</v>
      </c>
      <c r="F5" s="212" t="str">
        <f t="shared" ref="F5:F25" si="44">VLOOKUP(ServiceCode,DiabetesFeeSchedule,5,FALSE)</f>
        <v>Medical Supplies</v>
      </c>
      <c r="G5" s="213" t="str">
        <f t="shared" ref="G5:G25" si="45">VLOOKUP(BenefitCategory,BenefitDesignTable,COLUMN(BenefitCostSharing),FALSE)</f>
        <v>Not Covered</v>
      </c>
      <c r="H5" s="214">
        <f t="shared" si="1"/>
        <v>8.73</v>
      </c>
      <c r="I5" s="217">
        <f t="shared" si="2"/>
        <v>8.73</v>
      </c>
      <c r="J5" s="251">
        <f t="shared" si="3"/>
        <v>0</v>
      </c>
      <c r="K5" s="214" t="b">
        <f t="shared" si="4"/>
        <v>0</v>
      </c>
      <c r="L5" s="218" t="str">
        <f t="shared" si="5"/>
        <v>No</v>
      </c>
      <c r="M5" s="217" t="str">
        <f t="shared" si="6"/>
        <v>.</v>
      </c>
      <c r="N5" s="215" t="str">
        <f>IFERROR(IF(AND(L5="Yes",ISNUMBER(M5)),MAX(0,M5-SUMIFS(BU$3:BU4,L$3:L4,"Yes")),IF(OR(L5="No",M5="None"),"N/A","ERR")),"ERR")</f>
        <v>N/A</v>
      </c>
      <c r="O5" s="251" t="b">
        <f t="shared" ref="O5:O68" si="46">IF(F5="Professional Services: Primary Care",TRUE, FALSE)</f>
        <v>0</v>
      </c>
      <c r="P5" s="251" t="str">
        <f>IF(O5,BENEFIT_PARAMETERS!$C$76,"N/A")</f>
        <v>N/A</v>
      </c>
      <c r="Q5" s="288" t="str">
        <f>IF(P5="Yes", BENEFIT_PARAMETERS!$D$76,"N/A")</f>
        <v>N/A</v>
      </c>
      <c r="R5" s="253" t="str">
        <f t="shared" si="7"/>
        <v>N/A</v>
      </c>
      <c r="S5" s="217">
        <f t="shared" ref="S5:S58" si="47">IF(P5="Yes",IF(R5&lt;Q5,MIN(J5,N5),0),0)</f>
        <v>0</v>
      </c>
      <c r="T5" s="215">
        <f t="shared" si="8"/>
        <v>0</v>
      </c>
      <c r="U5" s="214" t="b">
        <f t="shared" ref="U5:U68" si="48">IF(F5="Professional Services: Primary Care",TRUE, FALSE)</f>
        <v>0</v>
      </c>
      <c r="V5" s="251" t="str">
        <f>IF(O5,BENEFIT_PARAMETERS!$C$77,"N/A")</f>
        <v>N/A</v>
      </c>
      <c r="W5" s="288" t="str">
        <f>IF(V5="Yes", BENEFIT_PARAMETERS!$D$77,"N/A")</f>
        <v>N/A</v>
      </c>
      <c r="X5" s="253" t="str">
        <f>IF(O5,COUNTIF(Z$3:Z4,"&gt;0"),"N/A")</f>
        <v>N/A</v>
      </c>
      <c r="Y5" s="217" t="str">
        <f t="shared" si="9"/>
        <v>N/A</v>
      </c>
      <c r="Z5" s="293" t="str">
        <f t="shared" ref="Z5:Z58" si="49">IF(AND(V5="Yes",U5=TRUE,X5&lt;W5), MIN(Y5,T5,N5),"N/A")</f>
        <v>N/A</v>
      </c>
      <c r="AA5" s="293">
        <f t="shared" ref="AA5:AA58" si="50">IF(Z5="N/A",0,T5-Z5)</f>
        <v>0</v>
      </c>
      <c r="AB5" s="293" t="str">
        <f t="shared" si="10"/>
        <v>N/A</v>
      </c>
      <c r="AC5" s="215">
        <f t="shared" ref="AC5:AC58" si="51">IF(Z5="N/A",T5,0)</f>
        <v>0</v>
      </c>
      <c r="AD5" s="214" t="b">
        <f t="shared" si="11"/>
        <v>0</v>
      </c>
      <c r="AE5" s="209" t="str">
        <f t="shared" si="12"/>
        <v>.</v>
      </c>
      <c r="AF5" s="216">
        <f t="shared" si="13"/>
        <v>0</v>
      </c>
      <c r="AG5" s="217" t="str">
        <f t="shared" si="14"/>
        <v>N/A</v>
      </c>
      <c r="AH5" s="217" t="b">
        <f t="shared" si="15"/>
        <v>0</v>
      </c>
      <c r="AI5" s="209" t="str">
        <f t="shared" si="16"/>
        <v>.</v>
      </c>
      <c r="AJ5" s="216">
        <f t="shared" si="17"/>
        <v>0</v>
      </c>
      <c r="AK5" s="217" t="str">
        <f t="shared" si="18"/>
        <v>N/A</v>
      </c>
      <c r="AL5" s="217">
        <f t="shared" ref="AL5:AL58" si="52">IF(OR(AG5="ERR",AK5="ERR"),"ERR",MAX(AG5,AK5))</f>
        <v>0</v>
      </c>
      <c r="AM5" s="215">
        <f t="shared" ref="AM5:AM58" si="53">IFERROR(AC5-AL5,"ERR")</f>
        <v>0</v>
      </c>
      <c r="AN5" s="219" t="b">
        <f t="shared" si="19"/>
        <v>0</v>
      </c>
      <c r="AO5" s="217" t="str">
        <f t="shared" si="20"/>
        <v>N/A</v>
      </c>
      <c r="AP5" s="217" t="str">
        <f>IF(AND(ISNUMBER(AO5),AN5=TRUE),MAX(0,AO5-SUMIFS($AM$3:$AM4,AN$3:AN4,TRUE)),IF(AND(AN5=TRUE,ISNUMBER(AO5)=FALSE),"ERR","N/A"))</f>
        <v>N/A</v>
      </c>
      <c r="AQ5" s="215" t="str">
        <f t="shared" si="21"/>
        <v>N/A</v>
      </c>
      <c r="AR5" s="219" t="b">
        <f t="shared" si="22"/>
        <v>0</v>
      </c>
      <c r="AS5" s="217" t="str">
        <f t="shared" si="23"/>
        <v>N/A</v>
      </c>
      <c r="AT5" s="217" t="str">
        <f>IF(AND(AR5=TRUE,ISNUMBER(AS5)),MAX(0,AS5-SUMIFS($AM$3:$AM4,AR$3:AR4,TRUE)),IF(AND(AR5=TRUE,ISNUMBER(AS5)=FALSE),"ERR","N/A"))</f>
        <v>N/A</v>
      </c>
      <c r="AU5" s="215" t="str">
        <f t="shared" si="24"/>
        <v>N/A</v>
      </c>
      <c r="AV5" s="219" t="b">
        <f t="shared" si="25"/>
        <v>0</v>
      </c>
      <c r="AW5" s="217" t="str">
        <f t="shared" si="26"/>
        <v>N/A</v>
      </c>
      <c r="AX5" s="217" t="str">
        <f>IF(AND(AV5=TRUE,ISNUMBER(AW5)),MAX(0,AW5-SUMIFS($AM$3:$AM4,AV$3:AV4,TRUE)),IF(AND(AV5=TRUE,ISNUMBER(AW5)=FALSE),"ERR","N/A"))</f>
        <v>N/A</v>
      </c>
      <c r="AY5" s="215" t="str">
        <f t="shared" si="27"/>
        <v>N/A</v>
      </c>
      <c r="AZ5" s="219" t="b">
        <f t="shared" si="28"/>
        <v>0</v>
      </c>
      <c r="BA5" s="217" t="str">
        <f t="shared" si="29"/>
        <v>N/A</v>
      </c>
      <c r="BB5" s="217" t="str">
        <f>IF(AND(AZ5=TRUE,ISNUMBER(BA5)),MAX(0,BA5-SUMIFS($AM$3:$AM4,AZ$3:AZ4,TRUE)),IF(AND(AZ5=TRUE,ISNUMBER(BA5)=FALSE),"ERR","N/A"))</f>
        <v>N/A</v>
      </c>
      <c r="BC5" s="215" t="str">
        <f t="shared" si="30"/>
        <v>N/A</v>
      </c>
      <c r="BD5" s="219" t="b">
        <f t="shared" si="31"/>
        <v>0</v>
      </c>
      <c r="BE5" s="217" t="str">
        <f t="shared" si="32"/>
        <v>N/A</v>
      </c>
      <c r="BF5" s="217" t="str">
        <f>IF(AND(BD5=TRUE,ISNUMBER(BE5)=TRUE),MAX(0,BE5-SUMIFS(AM$3:AM4,BD$3:BD4,TRUE,F$3:F4,F5)),IF(AND(BD5=TRUE,ISNUMBER(BE5)=FALSE),"ERR","N/A"))</f>
        <v>N/A</v>
      </c>
      <c r="BG5" s="215" t="str">
        <f t="shared" si="33"/>
        <v>N/A</v>
      </c>
      <c r="BH5" s="214">
        <f t="shared" si="34"/>
        <v>0</v>
      </c>
      <c r="BI5" s="215">
        <f t="shared" ref="BI5:BI58" si="54">IF(OR(AB5="ERR",BH5="ERR"),"ERR",MIN(BH5,AB5))</f>
        <v>0</v>
      </c>
      <c r="BJ5" s="214" t="str">
        <f t="shared" ref="BJ5:BJ68" si="55">IF(AND(L5="Yes",ISNUMBER(M5)),IF(OR(BI5="ERR",AB5="ERR"),"ERR",MAX($AB5-BI5,0)),"N/A")</f>
        <v>N/A</v>
      </c>
      <c r="BK5" s="217">
        <f t="shared" si="35"/>
        <v>0</v>
      </c>
      <c r="BL5" s="220" t="b">
        <f t="shared" si="36"/>
        <v>0</v>
      </c>
      <c r="BM5" s="217" t="str">
        <f t="shared" si="37"/>
        <v>N/A</v>
      </c>
      <c r="BN5" s="217" t="str">
        <f t="shared" ref="BN5:BN58" si="56">IF(BK5="ERR","ERR",IF(AND(BL5=TRUE,ISNUMBER(BM5)),MIN(BK5,BM5,BJ5),IF(AND(BL5=TRUE,ISNUMBER(BM5)=FALSE),"ERR","N/A")))</f>
        <v>N/A</v>
      </c>
      <c r="BO5" s="220" t="b">
        <f t="shared" si="38"/>
        <v>0</v>
      </c>
      <c r="BP5" s="244" t="str">
        <f t="shared" si="39"/>
        <v>N/A</v>
      </c>
      <c r="BQ5" s="217" t="str">
        <f t="shared" ref="BQ5:BQ58" si="57">IF(BK5="ERR","ERR",IF(AND(BO5=TRUE,ISNUMBER(BP5)=TRUE),MIN(BJ5,BK5*BP5),IF(AND(BO5=TRUE,ISNUMBER(BP5)=FALSE),"ERR","N/A")))</f>
        <v>N/A</v>
      </c>
      <c r="BR5" s="215">
        <f t="shared" ref="BR5:BR58" si="58">IF(OR(BJ5="ERR",BN5="ERR",BQ5="ERR"),"ERR",MIN(BJ5,SUM(BN5,BQ5)))</f>
        <v>0</v>
      </c>
      <c r="BS5" s="214" t="str">
        <f t="shared" ref="BS5:BS68" si="59">IF(AND(L5="Yes",ISNUMBER(M5)),IF(OR(BJ5="ERR",BR5="ERR"),"ERR",MAX(BJ5-BR5,0)),"N/A")</f>
        <v>N/A</v>
      </c>
      <c r="BT5" s="217">
        <f t="shared" ref="BT5:BT58" si="60">IF(OR(BK5="ERR",BR5="ERR"),"ERR",MAX(BK5-BR5,0))</f>
        <v>0</v>
      </c>
      <c r="BU5" s="215">
        <f t="shared" ref="BU5:BU68" si="61">IF(OR(BI5="ERR",BR5="ERR"),"ERR",SUM(BI5,BR5,Z5))</f>
        <v>0</v>
      </c>
      <c r="BV5" s="214">
        <f t="shared" ref="BV5:BV68" si="62">IF(OR(AM5="ERR",BU5="ERR"),"ERR",MAX(S5+AA5+AM5-BI5-BR5,0))</f>
        <v>0</v>
      </c>
      <c r="BW5" s="217">
        <f t="shared" si="40"/>
        <v>8.73</v>
      </c>
      <c r="BX5" s="217">
        <f t="shared" si="41"/>
        <v>0</v>
      </c>
      <c r="BY5" s="217">
        <f t="shared" ref="BY5:BY58" si="63">BI5</f>
        <v>0</v>
      </c>
      <c r="BZ5" s="217">
        <f t="shared" si="42"/>
        <v>0</v>
      </c>
      <c r="CA5" s="217">
        <f t="shared" ref="CA5:CA58" si="64">IF(BO5,BQ5,0)</f>
        <v>0</v>
      </c>
      <c r="CB5" s="213" t="b">
        <f t="shared" si="43"/>
        <v>1</v>
      </c>
    </row>
    <row r="6" spans="1:81" x14ac:dyDescent="0.25">
      <c r="A6" s="207">
        <v>3</v>
      </c>
      <c r="B6" s="208">
        <v>42372</v>
      </c>
      <c r="C6" s="209">
        <v>1</v>
      </c>
      <c r="D6" s="210">
        <v>3</v>
      </c>
      <c r="E6" s="211" t="str">
        <f t="shared" si="0"/>
        <v xml:space="preserve">OneTouch Delica Lancing Device </v>
      </c>
      <c r="F6" s="212" t="str">
        <f t="shared" si="44"/>
        <v>Medical Supplies</v>
      </c>
      <c r="G6" s="213" t="str">
        <f t="shared" si="45"/>
        <v>Not Covered</v>
      </c>
      <c r="H6" s="214">
        <f t="shared" si="1"/>
        <v>14.33</v>
      </c>
      <c r="I6" s="217">
        <f t="shared" si="2"/>
        <v>14.33</v>
      </c>
      <c r="J6" s="251">
        <f t="shared" si="3"/>
        <v>0</v>
      </c>
      <c r="K6" s="214" t="b">
        <f t="shared" si="4"/>
        <v>0</v>
      </c>
      <c r="L6" s="218" t="str">
        <f t="shared" si="5"/>
        <v>No</v>
      </c>
      <c r="M6" s="217" t="str">
        <f t="shared" si="6"/>
        <v>.</v>
      </c>
      <c r="N6" s="215" t="str">
        <f>IFERROR(IF(AND(L6="Yes",ISNUMBER(M6)),MAX(0,M6-SUMIFS(BU$3:BU5,L$3:L5,"Yes")),IF(OR(L6="No",M6="None"),"N/A","ERR")),"ERR")</f>
        <v>N/A</v>
      </c>
      <c r="O6" s="251" t="b">
        <f t="shared" si="46"/>
        <v>0</v>
      </c>
      <c r="P6" s="251" t="str">
        <f>IF(O6,BENEFIT_PARAMETERS!$C$76,"N/A")</f>
        <v>N/A</v>
      </c>
      <c r="Q6" s="288" t="str">
        <f>IF(P6="Yes", BENEFIT_PARAMETERS!$D$76,"N/A")</f>
        <v>N/A</v>
      </c>
      <c r="R6" s="253" t="str">
        <f t="shared" si="7"/>
        <v>N/A</v>
      </c>
      <c r="S6" s="217">
        <f t="shared" si="47"/>
        <v>0</v>
      </c>
      <c r="T6" s="215">
        <f t="shared" si="8"/>
        <v>0</v>
      </c>
      <c r="U6" s="214" t="b">
        <f t="shared" si="48"/>
        <v>0</v>
      </c>
      <c r="V6" s="251" t="str">
        <f>IF(O6,BENEFIT_PARAMETERS!$C$77,"N/A")</f>
        <v>N/A</v>
      </c>
      <c r="W6" s="288" t="str">
        <f>IF(V6="Yes", BENEFIT_PARAMETERS!$D$77,"N/A")</f>
        <v>N/A</v>
      </c>
      <c r="X6" s="253" t="str">
        <f>IF(O6,COUNTIF(Z$3:Z5,"&gt;0"),"N/A")</f>
        <v>N/A</v>
      </c>
      <c r="Y6" s="217" t="str">
        <f t="shared" si="9"/>
        <v>N/A</v>
      </c>
      <c r="Z6" s="293" t="str">
        <f t="shared" si="49"/>
        <v>N/A</v>
      </c>
      <c r="AA6" s="293">
        <f t="shared" si="50"/>
        <v>0</v>
      </c>
      <c r="AB6" s="293" t="str">
        <f t="shared" si="10"/>
        <v>N/A</v>
      </c>
      <c r="AC6" s="215">
        <f t="shared" si="51"/>
        <v>0</v>
      </c>
      <c r="AD6" s="214" t="b">
        <f t="shared" si="11"/>
        <v>0</v>
      </c>
      <c r="AE6" s="209" t="str">
        <f t="shared" si="12"/>
        <v>.</v>
      </c>
      <c r="AF6" s="216">
        <f t="shared" si="13"/>
        <v>0</v>
      </c>
      <c r="AG6" s="217" t="str">
        <f t="shared" si="14"/>
        <v>N/A</v>
      </c>
      <c r="AH6" s="217" t="b">
        <f t="shared" si="15"/>
        <v>0</v>
      </c>
      <c r="AI6" s="209" t="str">
        <f t="shared" si="16"/>
        <v>.</v>
      </c>
      <c r="AJ6" s="216">
        <f t="shared" si="17"/>
        <v>0</v>
      </c>
      <c r="AK6" s="217" t="str">
        <f t="shared" si="18"/>
        <v>N/A</v>
      </c>
      <c r="AL6" s="217">
        <f t="shared" si="52"/>
        <v>0</v>
      </c>
      <c r="AM6" s="215">
        <f t="shared" si="53"/>
        <v>0</v>
      </c>
      <c r="AN6" s="219" t="b">
        <f t="shared" si="19"/>
        <v>0</v>
      </c>
      <c r="AO6" s="217" t="str">
        <f t="shared" si="20"/>
        <v>N/A</v>
      </c>
      <c r="AP6" s="217" t="str">
        <f>IF(AND(ISNUMBER(AO6),AN6=TRUE),MAX(0,AO6-SUMIFS($AM$3:$AM5,AN$3:AN5,TRUE)),IF(AND(AN6=TRUE,ISNUMBER(AO6)=FALSE),"ERR","N/A"))</f>
        <v>N/A</v>
      </c>
      <c r="AQ6" s="215" t="str">
        <f t="shared" si="21"/>
        <v>N/A</v>
      </c>
      <c r="AR6" s="219" t="b">
        <f t="shared" si="22"/>
        <v>0</v>
      </c>
      <c r="AS6" s="217" t="str">
        <f t="shared" si="23"/>
        <v>N/A</v>
      </c>
      <c r="AT6" s="217" t="str">
        <f>IF(AND(AR6=TRUE,ISNUMBER(AS6)),MAX(0,AS6-SUMIFS($AM$3:$AM5,AR$3:AR5,TRUE)),IF(AND(AR6=TRUE,ISNUMBER(AS6)=FALSE),"ERR","N/A"))</f>
        <v>N/A</v>
      </c>
      <c r="AU6" s="215" t="str">
        <f t="shared" si="24"/>
        <v>N/A</v>
      </c>
      <c r="AV6" s="219" t="b">
        <f t="shared" si="25"/>
        <v>0</v>
      </c>
      <c r="AW6" s="217" t="str">
        <f t="shared" si="26"/>
        <v>N/A</v>
      </c>
      <c r="AX6" s="217" t="str">
        <f>IF(AND(AV6=TRUE,ISNUMBER(AW6)),MAX(0,AW6-SUMIFS($AM$3:$AM5,AV$3:AV5,TRUE)),IF(AND(AV6=TRUE,ISNUMBER(AW6)=FALSE),"ERR","N/A"))</f>
        <v>N/A</v>
      </c>
      <c r="AY6" s="215" t="str">
        <f t="shared" si="27"/>
        <v>N/A</v>
      </c>
      <c r="AZ6" s="219" t="b">
        <f t="shared" si="28"/>
        <v>0</v>
      </c>
      <c r="BA6" s="217" t="str">
        <f t="shared" si="29"/>
        <v>N/A</v>
      </c>
      <c r="BB6" s="217" t="str">
        <f>IF(AND(AZ6=TRUE,ISNUMBER(BA6)),MAX(0,BA6-SUMIFS($AM$3:$AM5,AZ$3:AZ5,TRUE)),IF(AND(AZ6=TRUE,ISNUMBER(BA6)=FALSE),"ERR","N/A"))</f>
        <v>N/A</v>
      </c>
      <c r="BC6" s="215" t="str">
        <f t="shared" si="30"/>
        <v>N/A</v>
      </c>
      <c r="BD6" s="219" t="b">
        <f t="shared" si="31"/>
        <v>0</v>
      </c>
      <c r="BE6" s="217" t="str">
        <f t="shared" si="32"/>
        <v>N/A</v>
      </c>
      <c r="BF6" s="217" t="str">
        <f>IF(AND(BD6=TRUE,ISNUMBER(BE6)=TRUE),MAX(0,BE6-SUMIFS(AM$3:AM5,BD$3:BD5,TRUE,F$3:F5,F6)),IF(AND(BD6=TRUE,ISNUMBER(BE6)=FALSE),"ERR","N/A"))</f>
        <v>N/A</v>
      </c>
      <c r="BG6" s="215" t="str">
        <f t="shared" si="33"/>
        <v>N/A</v>
      </c>
      <c r="BH6" s="214">
        <f t="shared" si="34"/>
        <v>0</v>
      </c>
      <c r="BI6" s="215">
        <f t="shared" si="54"/>
        <v>0</v>
      </c>
      <c r="BJ6" s="214" t="str">
        <f t="shared" si="55"/>
        <v>N/A</v>
      </c>
      <c r="BK6" s="217">
        <f t="shared" si="35"/>
        <v>0</v>
      </c>
      <c r="BL6" s="220" t="b">
        <f t="shared" si="36"/>
        <v>0</v>
      </c>
      <c r="BM6" s="217" t="str">
        <f t="shared" si="37"/>
        <v>N/A</v>
      </c>
      <c r="BN6" s="217" t="str">
        <f t="shared" si="56"/>
        <v>N/A</v>
      </c>
      <c r="BO6" s="220" t="b">
        <f t="shared" si="38"/>
        <v>0</v>
      </c>
      <c r="BP6" s="244" t="str">
        <f t="shared" si="39"/>
        <v>N/A</v>
      </c>
      <c r="BQ6" s="217" t="str">
        <f t="shared" si="57"/>
        <v>N/A</v>
      </c>
      <c r="BR6" s="215">
        <f t="shared" si="58"/>
        <v>0</v>
      </c>
      <c r="BS6" s="214" t="str">
        <f t="shared" si="59"/>
        <v>N/A</v>
      </c>
      <c r="BT6" s="217">
        <f t="shared" si="60"/>
        <v>0</v>
      </c>
      <c r="BU6" s="215">
        <f t="shared" si="61"/>
        <v>0</v>
      </c>
      <c r="BV6" s="214">
        <f t="shared" si="62"/>
        <v>0</v>
      </c>
      <c r="BW6" s="217">
        <f t="shared" si="40"/>
        <v>14.33</v>
      </c>
      <c r="BX6" s="217">
        <f t="shared" si="41"/>
        <v>0</v>
      </c>
      <c r="BY6" s="217">
        <f t="shared" si="63"/>
        <v>0</v>
      </c>
      <c r="BZ6" s="217">
        <f t="shared" si="42"/>
        <v>0</v>
      </c>
      <c r="CA6" s="217">
        <f t="shared" si="64"/>
        <v>0</v>
      </c>
      <c r="CB6" s="213" t="b">
        <f t="shared" si="43"/>
        <v>1</v>
      </c>
    </row>
    <row r="7" spans="1:81" x14ac:dyDescent="0.25">
      <c r="A7" s="207">
        <v>4</v>
      </c>
      <c r="B7" s="208">
        <v>42372</v>
      </c>
      <c r="C7" s="209">
        <v>1</v>
      </c>
      <c r="D7" s="210">
        <v>7</v>
      </c>
      <c r="E7" s="211" t="str">
        <f t="shared" si="0"/>
        <v>OneTouch Ultra 2 Blood Glucose Meter Kit</v>
      </c>
      <c r="F7" s="212" t="str">
        <f t="shared" si="44"/>
        <v>Medical Supplies</v>
      </c>
      <c r="G7" s="213" t="str">
        <f t="shared" si="45"/>
        <v>Not Covered</v>
      </c>
      <c r="H7" s="214">
        <f t="shared" si="1"/>
        <v>14.7</v>
      </c>
      <c r="I7" s="217">
        <f t="shared" si="2"/>
        <v>14.7</v>
      </c>
      <c r="J7" s="251">
        <f t="shared" si="3"/>
        <v>0</v>
      </c>
      <c r="K7" s="214" t="b">
        <f t="shared" si="4"/>
        <v>0</v>
      </c>
      <c r="L7" s="218" t="str">
        <f t="shared" si="5"/>
        <v>No</v>
      </c>
      <c r="M7" s="217" t="str">
        <f t="shared" si="6"/>
        <v>.</v>
      </c>
      <c r="N7" s="215" t="str">
        <f>IFERROR(IF(AND(L7="Yes",ISNUMBER(M7)),MAX(0,M7-SUMIFS(BU$3:BU6,L$3:L6,"Yes")),IF(OR(L7="No",M7="None"),"N/A","ERR")),"ERR")</f>
        <v>N/A</v>
      </c>
      <c r="O7" s="251" t="b">
        <f t="shared" si="46"/>
        <v>0</v>
      </c>
      <c r="P7" s="251" t="str">
        <f>IF(O7,BENEFIT_PARAMETERS!$C$76,"N/A")</f>
        <v>N/A</v>
      </c>
      <c r="Q7" s="288" t="str">
        <f>IF(P7="Yes", BENEFIT_PARAMETERS!$D$76,"N/A")</f>
        <v>N/A</v>
      </c>
      <c r="R7" s="253" t="str">
        <f t="shared" si="7"/>
        <v>N/A</v>
      </c>
      <c r="S7" s="217">
        <f t="shared" si="47"/>
        <v>0</v>
      </c>
      <c r="T7" s="215">
        <f t="shared" si="8"/>
        <v>0</v>
      </c>
      <c r="U7" s="214" t="b">
        <f t="shared" si="48"/>
        <v>0</v>
      </c>
      <c r="V7" s="251" t="str">
        <f>IF(O7,BENEFIT_PARAMETERS!$C$77,"N/A")</f>
        <v>N/A</v>
      </c>
      <c r="W7" s="288" t="str">
        <f>IF(V7="Yes", BENEFIT_PARAMETERS!$D$77,"N/A")</f>
        <v>N/A</v>
      </c>
      <c r="X7" s="253" t="str">
        <f>IF(O7,COUNTIF(Z$3:Z6,"&gt;0"),"N/A")</f>
        <v>N/A</v>
      </c>
      <c r="Y7" s="217" t="str">
        <f t="shared" si="9"/>
        <v>N/A</v>
      </c>
      <c r="Z7" s="293" t="str">
        <f t="shared" si="49"/>
        <v>N/A</v>
      </c>
      <c r="AA7" s="293">
        <f t="shared" si="50"/>
        <v>0</v>
      </c>
      <c r="AB7" s="293" t="str">
        <f t="shared" si="10"/>
        <v>N/A</v>
      </c>
      <c r="AC7" s="215">
        <f t="shared" si="51"/>
        <v>0</v>
      </c>
      <c r="AD7" s="214" t="b">
        <f t="shared" si="11"/>
        <v>0</v>
      </c>
      <c r="AE7" s="209" t="str">
        <f t="shared" si="12"/>
        <v>.</v>
      </c>
      <c r="AF7" s="216">
        <f t="shared" si="13"/>
        <v>0</v>
      </c>
      <c r="AG7" s="217" t="str">
        <f t="shared" si="14"/>
        <v>N/A</v>
      </c>
      <c r="AH7" s="217" t="b">
        <f t="shared" si="15"/>
        <v>0</v>
      </c>
      <c r="AI7" s="209" t="str">
        <f t="shared" si="16"/>
        <v>.</v>
      </c>
      <c r="AJ7" s="216">
        <f t="shared" si="17"/>
        <v>0</v>
      </c>
      <c r="AK7" s="217" t="str">
        <f t="shared" si="18"/>
        <v>N/A</v>
      </c>
      <c r="AL7" s="217">
        <f t="shared" si="52"/>
        <v>0</v>
      </c>
      <c r="AM7" s="215">
        <f t="shared" si="53"/>
        <v>0</v>
      </c>
      <c r="AN7" s="219" t="b">
        <f t="shared" si="19"/>
        <v>0</v>
      </c>
      <c r="AO7" s="217" t="str">
        <f t="shared" si="20"/>
        <v>N/A</v>
      </c>
      <c r="AP7" s="217" t="str">
        <f>IF(AND(ISNUMBER(AO7),AN7=TRUE),MAX(0,AO7-SUMIFS($AM$3:$AM6,AN$3:AN6,TRUE)),IF(AND(AN7=TRUE,ISNUMBER(AO7)=FALSE),"ERR","N/A"))</f>
        <v>N/A</v>
      </c>
      <c r="AQ7" s="215" t="str">
        <f t="shared" si="21"/>
        <v>N/A</v>
      </c>
      <c r="AR7" s="219" t="b">
        <f t="shared" si="22"/>
        <v>0</v>
      </c>
      <c r="AS7" s="217" t="str">
        <f t="shared" si="23"/>
        <v>N/A</v>
      </c>
      <c r="AT7" s="217" t="str">
        <f>IF(AND(AR7=TRUE,ISNUMBER(AS7)),MAX(0,AS7-SUMIFS($AM$3:$AM6,AR$3:AR6,TRUE)),IF(AND(AR7=TRUE,ISNUMBER(AS7)=FALSE),"ERR","N/A"))</f>
        <v>N/A</v>
      </c>
      <c r="AU7" s="215" t="str">
        <f t="shared" si="24"/>
        <v>N/A</v>
      </c>
      <c r="AV7" s="219" t="b">
        <f t="shared" si="25"/>
        <v>0</v>
      </c>
      <c r="AW7" s="217" t="str">
        <f t="shared" si="26"/>
        <v>N/A</v>
      </c>
      <c r="AX7" s="217" t="str">
        <f>IF(AND(AV7=TRUE,ISNUMBER(AW7)),MAX(0,AW7-SUMIFS($AM$3:$AM6,AV$3:AV6,TRUE)),IF(AND(AV7=TRUE,ISNUMBER(AW7)=FALSE),"ERR","N/A"))</f>
        <v>N/A</v>
      </c>
      <c r="AY7" s="215" t="str">
        <f t="shared" si="27"/>
        <v>N/A</v>
      </c>
      <c r="AZ7" s="219" t="b">
        <f t="shared" si="28"/>
        <v>0</v>
      </c>
      <c r="BA7" s="217" t="str">
        <f t="shared" si="29"/>
        <v>N/A</v>
      </c>
      <c r="BB7" s="217" t="str">
        <f>IF(AND(AZ7=TRUE,ISNUMBER(BA7)),MAX(0,BA7-SUMIFS($AM$3:$AM6,AZ$3:AZ6,TRUE)),IF(AND(AZ7=TRUE,ISNUMBER(BA7)=FALSE),"ERR","N/A"))</f>
        <v>N/A</v>
      </c>
      <c r="BC7" s="215" t="str">
        <f t="shared" si="30"/>
        <v>N/A</v>
      </c>
      <c r="BD7" s="219" t="b">
        <f t="shared" si="31"/>
        <v>0</v>
      </c>
      <c r="BE7" s="217" t="str">
        <f t="shared" si="32"/>
        <v>N/A</v>
      </c>
      <c r="BF7" s="217" t="str">
        <f>IF(AND(BD7=TRUE,ISNUMBER(BE7)=TRUE),MAX(0,BE7-SUMIFS(AM$3:AM6,BD$3:BD6,TRUE,F$3:F6,F7)),IF(AND(BD7=TRUE,ISNUMBER(BE7)=FALSE),"ERR","N/A"))</f>
        <v>N/A</v>
      </c>
      <c r="BG7" s="215" t="str">
        <f t="shared" si="33"/>
        <v>N/A</v>
      </c>
      <c r="BH7" s="214">
        <f t="shared" si="34"/>
        <v>0</v>
      </c>
      <c r="BI7" s="215">
        <f t="shared" si="54"/>
        <v>0</v>
      </c>
      <c r="BJ7" s="214" t="str">
        <f t="shared" si="55"/>
        <v>N/A</v>
      </c>
      <c r="BK7" s="217">
        <f t="shared" si="35"/>
        <v>0</v>
      </c>
      <c r="BL7" s="220" t="b">
        <f t="shared" si="36"/>
        <v>0</v>
      </c>
      <c r="BM7" s="217" t="str">
        <f t="shared" si="37"/>
        <v>N/A</v>
      </c>
      <c r="BN7" s="217" t="str">
        <f t="shared" si="56"/>
        <v>N/A</v>
      </c>
      <c r="BO7" s="220" t="b">
        <f t="shared" si="38"/>
        <v>0</v>
      </c>
      <c r="BP7" s="244" t="str">
        <f t="shared" si="39"/>
        <v>N/A</v>
      </c>
      <c r="BQ7" s="217" t="str">
        <f t="shared" si="57"/>
        <v>N/A</v>
      </c>
      <c r="BR7" s="215">
        <f t="shared" si="58"/>
        <v>0</v>
      </c>
      <c r="BS7" s="214" t="str">
        <f t="shared" si="59"/>
        <v>N/A</v>
      </c>
      <c r="BT7" s="217">
        <f t="shared" si="60"/>
        <v>0</v>
      </c>
      <c r="BU7" s="215">
        <f t="shared" si="61"/>
        <v>0</v>
      </c>
      <c r="BV7" s="214">
        <f t="shared" si="62"/>
        <v>0</v>
      </c>
      <c r="BW7" s="217">
        <f t="shared" si="40"/>
        <v>14.7</v>
      </c>
      <c r="BX7" s="217">
        <f t="shared" si="41"/>
        <v>0</v>
      </c>
      <c r="BY7" s="217">
        <f t="shared" si="63"/>
        <v>0</v>
      </c>
      <c r="BZ7" s="217">
        <f t="shared" si="42"/>
        <v>0</v>
      </c>
      <c r="CA7" s="217">
        <f t="shared" si="64"/>
        <v>0</v>
      </c>
      <c r="CB7" s="213" t="b">
        <f t="shared" si="43"/>
        <v>1</v>
      </c>
    </row>
    <row r="8" spans="1:81" x14ac:dyDescent="0.25">
      <c r="A8" s="207">
        <v>5</v>
      </c>
      <c r="B8" s="208">
        <v>42372</v>
      </c>
      <c r="C8" s="209">
        <v>1</v>
      </c>
      <c r="D8" s="210">
        <v>4</v>
      </c>
      <c r="E8" s="211" t="str">
        <f t="shared" si="0"/>
        <v xml:space="preserve">OneTouch Ultra Blue Test Strips (Rx - box of 100) [usage = 2 strips/day; 60 per month] </v>
      </c>
      <c r="F8" s="212" t="str">
        <f t="shared" si="44"/>
        <v>Medical Supplies</v>
      </c>
      <c r="G8" s="213" t="str">
        <f t="shared" si="45"/>
        <v>Not Covered</v>
      </c>
      <c r="H8" s="214">
        <f t="shared" si="1"/>
        <v>109.61</v>
      </c>
      <c r="I8" s="217">
        <f t="shared" si="2"/>
        <v>109.61</v>
      </c>
      <c r="J8" s="251">
        <f t="shared" si="3"/>
        <v>0</v>
      </c>
      <c r="K8" s="214" t="b">
        <f t="shared" si="4"/>
        <v>0</v>
      </c>
      <c r="L8" s="218" t="str">
        <f t="shared" si="5"/>
        <v>No</v>
      </c>
      <c r="M8" s="217" t="str">
        <f t="shared" si="6"/>
        <v>.</v>
      </c>
      <c r="N8" s="215" t="str">
        <f>IFERROR(IF(AND(L8="Yes",ISNUMBER(M8)),MAX(0,M8-SUMIFS(BU$3:BU7,L$3:L7,"Yes")),IF(OR(L8="No",M8="None"),"N/A","ERR")),"ERR")</f>
        <v>N/A</v>
      </c>
      <c r="O8" s="251" t="b">
        <f t="shared" si="46"/>
        <v>0</v>
      </c>
      <c r="P8" s="251" t="str">
        <f>IF(O8,BENEFIT_PARAMETERS!$C$76,"N/A")</f>
        <v>N/A</v>
      </c>
      <c r="Q8" s="288" t="str">
        <f>IF(P8="Yes", BENEFIT_PARAMETERS!$D$76,"N/A")</f>
        <v>N/A</v>
      </c>
      <c r="R8" s="253" t="str">
        <f t="shared" si="7"/>
        <v>N/A</v>
      </c>
      <c r="S8" s="217">
        <f t="shared" si="47"/>
        <v>0</v>
      </c>
      <c r="T8" s="215">
        <f t="shared" si="8"/>
        <v>0</v>
      </c>
      <c r="U8" s="214" t="b">
        <f t="shared" si="48"/>
        <v>0</v>
      </c>
      <c r="V8" s="251" t="str">
        <f>IF(O8,BENEFIT_PARAMETERS!$C$77,"N/A")</f>
        <v>N/A</v>
      </c>
      <c r="W8" s="288" t="str">
        <f>IF(V8="Yes", BENEFIT_PARAMETERS!$D$77,"N/A")</f>
        <v>N/A</v>
      </c>
      <c r="X8" s="253" t="str">
        <f>IF(O8,COUNTIF(Z$3:Z7,"&gt;0"),"N/A")</f>
        <v>N/A</v>
      </c>
      <c r="Y8" s="217" t="str">
        <f t="shared" si="9"/>
        <v>N/A</v>
      </c>
      <c r="Z8" s="293" t="str">
        <f t="shared" si="49"/>
        <v>N/A</v>
      </c>
      <c r="AA8" s="293">
        <f t="shared" si="50"/>
        <v>0</v>
      </c>
      <c r="AB8" s="293" t="str">
        <f t="shared" si="10"/>
        <v>N/A</v>
      </c>
      <c r="AC8" s="215">
        <f t="shared" si="51"/>
        <v>0</v>
      </c>
      <c r="AD8" s="214" t="b">
        <f t="shared" si="11"/>
        <v>0</v>
      </c>
      <c r="AE8" s="209" t="str">
        <f t="shared" si="12"/>
        <v>.</v>
      </c>
      <c r="AF8" s="216">
        <f t="shared" si="13"/>
        <v>0</v>
      </c>
      <c r="AG8" s="217" t="str">
        <f t="shared" si="14"/>
        <v>N/A</v>
      </c>
      <c r="AH8" s="217" t="b">
        <f t="shared" si="15"/>
        <v>0</v>
      </c>
      <c r="AI8" s="209" t="str">
        <f t="shared" si="16"/>
        <v>.</v>
      </c>
      <c r="AJ8" s="216">
        <f t="shared" si="17"/>
        <v>0</v>
      </c>
      <c r="AK8" s="217" t="str">
        <f t="shared" si="18"/>
        <v>N/A</v>
      </c>
      <c r="AL8" s="217">
        <f t="shared" si="52"/>
        <v>0</v>
      </c>
      <c r="AM8" s="215">
        <f t="shared" si="53"/>
        <v>0</v>
      </c>
      <c r="AN8" s="219" t="b">
        <f t="shared" si="19"/>
        <v>0</v>
      </c>
      <c r="AO8" s="217" t="str">
        <f t="shared" si="20"/>
        <v>N/A</v>
      </c>
      <c r="AP8" s="217" t="str">
        <f>IF(AND(ISNUMBER(AO8),AN8=TRUE),MAX(0,AO8-SUMIFS($AM$3:$AM7,AN$3:AN7,TRUE)),IF(AND(AN8=TRUE,ISNUMBER(AO8)=FALSE),"ERR","N/A"))</f>
        <v>N/A</v>
      </c>
      <c r="AQ8" s="215" t="str">
        <f t="shared" si="21"/>
        <v>N/A</v>
      </c>
      <c r="AR8" s="219" t="b">
        <f t="shared" si="22"/>
        <v>0</v>
      </c>
      <c r="AS8" s="217" t="str">
        <f t="shared" si="23"/>
        <v>N/A</v>
      </c>
      <c r="AT8" s="217" t="str">
        <f>IF(AND(AR8=TRUE,ISNUMBER(AS8)),MAX(0,AS8-SUMIFS($AM$3:$AM7,AR$3:AR7,TRUE)),IF(AND(AR8=TRUE,ISNUMBER(AS8)=FALSE),"ERR","N/A"))</f>
        <v>N/A</v>
      </c>
      <c r="AU8" s="215" t="str">
        <f t="shared" si="24"/>
        <v>N/A</v>
      </c>
      <c r="AV8" s="219" t="b">
        <f t="shared" si="25"/>
        <v>0</v>
      </c>
      <c r="AW8" s="217" t="str">
        <f t="shared" si="26"/>
        <v>N/A</v>
      </c>
      <c r="AX8" s="217" t="str">
        <f>IF(AND(AV8=TRUE,ISNUMBER(AW8)),MAX(0,AW8-SUMIFS($AM$3:$AM7,AV$3:AV7,TRUE)),IF(AND(AV8=TRUE,ISNUMBER(AW8)=FALSE),"ERR","N/A"))</f>
        <v>N/A</v>
      </c>
      <c r="AY8" s="215" t="str">
        <f t="shared" si="27"/>
        <v>N/A</v>
      </c>
      <c r="AZ8" s="219" t="b">
        <f t="shared" si="28"/>
        <v>0</v>
      </c>
      <c r="BA8" s="217" t="str">
        <f t="shared" si="29"/>
        <v>N/A</v>
      </c>
      <c r="BB8" s="217" t="str">
        <f>IF(AND(AZ8=TRUE,ISNUMBER(BA8)),MAX(0,BA8-SUMIFS($AM$3:$AM7,AZ$3:AZ7,TRUE)),IF(AND(AZ8=TRUE,ISNUMBER(BA8)=FALSE),"ERR","N/A"))</f>
        <v>N/A</v>
      </c>
      <c r="BC8" s="215" t="str">
        <f t="shared" si="30"/>
        <v>N/A</v>
      </c>
      <c r="BD8" s="219" t="b">
        <f t="shared" si="31"/>
        <v>0</v>
      </c>
      <c r="BE8" s="217" t="str">
        <f t="shared" si="32"/>
        <v>N/A</v>
      </c>
      <c r="BF8" s="217" t="str">
        <f>IF(AND(BD8=TRUE,ISNUMBER(BE8)=TRUE),MAX(0,BE8-SUMIFS(AM$3:AM7,BD$3:BD7,TRUE,F$3:F7,F8)),IF(AND(BD8=TRUE,ISNUMBER(BE8)=FALSE),"ERR","N/A"))</f>
        <v>N/A</v>
      </c>
      <c r="BG8" s="215" t="str">
        <f t="shared" si="33"/>
        <v>N/A</v>
      </c>
      <c r="BH8" s="214">
        <f t="shared" si="34"/>
        <v>0</v>
      </c>
      <c r="BI8" s="215">
        <f t="shared" si="54"/>
        <v>0</v>
      </c>
      <c r="BJ8" s="214" t="str">
        <f t="shared" si="55"/>
        <v>N/A</v>
      </c>
      <c r="BK8" s="217">
        <f t="shared" si="35"/>
        <v>0</v>
      </c>
      <c r="BL8" s="220" t="b">
        <f t="shared" si="36"/>
        <v>0</v>
      </c>
      <c r="BM8" s="217" t="str">
        <f t="shared" si="37"/>
        <v>N/A</v>
      </c>
      <c r="BN8" s="217" t="str">
        <f t="shared" si="56"/>
        <v>N/A</v>
      </c>
      <c r="BO8" s="220" t="b">
        <f t="shared" si="38"/>
        <v>0</v>
      </c>
      <c r="BP8" s="244" t="str">
        <f t="shared" si="39"/>
        <v>N/A</v>
      </c>
      <c r="BQ8" s="217" t="str">
        <f t="shared" si="57"/>
        <v>N/A</v>
      </c>
      <c r="BR8" s="215">
        <f t="shared" si="58"/>
        <v>0</v>
      </c>
      <c r="BS8" s="214" t="str">
        <f t="shared" si="59"/>
        <v>N/A</v>
      </c>
      <c r="BT8" s="217">
        <f t="shared" si="60"/>
        <v>0</v>
      </c>
      <c r="BU8" s="215">
        <f t="shared" si="61"/>
        <v>0</v>
      </c>
      <c r="BV8" s="214">
        <f t="shared" si="62"/>
        <v>0</v>
      </c>
      <c r="BW8" s="217">
        <f t="shared" si="40"/>
        <v>109.61</v>
      </c>
      <c r="BX8" s="217">
        <f t="shared" si="41"/>
        <v>0</v>
      </c>
      <c r="BY8" s="217">
        <f t="shared" si="63"/>
        <v>0</v>
      </c>
      <c r="BZ8" s="217">
        <f t="shared" si="42"/>
        <v>0</v>
      </c>
      <c r="CA8" s="217">
        <f t="shared" si="64"/>
        <v>0</v>
      </c>
      <c r="CB8" s="213" t="b">
        <f t="shared" si="43"/>
        <v>1</v>
      </c>
    </row>
    <row r="9" spans="1:81" x14ac:dyDescent="0.25">
      <c r="A9" s="207">
        <v>6</v>
      </c>
      <c r="B9" s="208">
        <v>42372</v>
      </c>
      <c r="C9" s="209">
        <v>1</v>
      </c>
      <c r="D9" s="210">
        <v>6</v>
      </c>
      <c r="E9" s="211" t="str">
        <f t="shared" si="0"/>
        <v>OneTouch Ultra Control Solution (2 vials/box)</v>
      </c>
      <c r="F9" s="212" t="str">
        <f t="shared" si="44"/>
        <v>Medical Supplies</v>
      </c>
      <c r="G9" s="213" t="str">
        <f t="shared" si="45"/>
        <v>Not Covered</v>
      </c>
      <c r="H9" s="214">
        <f t="shared" si="1"/>
        <v>6.63</v>
      </c>
      <c r="I9" s="217">
        <f t="shared" si="2"/>
        <v>6.63</v>
      </c>
      <c r="J9" s="251">
        <f t="shared" si="3"/>
        <v>0</v>
      </c>
      <c r="K9" s="214" t="b">
        <f t="shared" si="4"/>
        <v>0</v>
      </c>
      <c r="L9" s="218" t="str">
        <f t="shared" si="5"/>
        <v>No</v>
      </c>
      <c r="M9" s="217" t="str">
        <f t="shared" si="6"/>
        <v>.</v>
      </c>
      <c r="N9" s="215" t="str">
        <f>IFERROR(IF(AND(L9="Yes",ISNUMBER(M9)),MAX(0,M9-SUMIFS(BU$3:BU8,L$3:L8,"Yes")),IF(OR(L9="No",M9="None"),"N/A","ERR")),"ERR")</f>
        <v>N/A</v>
      </c>
      <c r="O9" s="251" t="b">
        <f t="shared" si="46"/>
        <v>0</v>
      </c>
      <c r="P9" s="251" t="str">
        <f>IF(O9,BENEFIT_PARAMETERS!$C$76,"N/A")</f>
        <v>N/A</v>
      </c>
      <c r="Q9" s="288" t="str">
        <f>IF(P9="Yes", BENEFIT_PARAMETERS!$D$76,"N/A")</f>
        <v>N/A</v>
      </c>
      <c r="R9" s="253" t="str">
        <f t="shared" si="7"/>
        <v>N/A</v>
      </c>
      <c r="S9" s="217">
        <f t="shared" si="47"/>
        <v>0</v>
      </c>
      <c r="T9" s="215">
        <f t="shared" si="8"/>
        <v>0</v>
      </c>
      <c r="U9" s="214" t="b">
        <f t="shared" si="48"/>
        <v>0</v>
      </c>
      <c r="V9" s="251" t="str">
        <f>IF(O9,BENEFIT_PARAMETERS!$C$77,"N/A")</f>
        <v>N/A</v>
      </c>
      <c r="W9" s="288" t="str">
        <f>IF(V9="Yes", BENEFIT_PARAMETERS!$D$77,"N/A")</f>
        <v>N/A</v>
      </c>
      <c r="X9" s="253" t="str">
        <f>IF(O9,COUNTIF(Z$3:Z8,"&gt;0"),"N/A")</f>
        <v>N/A</v>
      </c>
      <c r="Y9" s="217" t="str">
        <f t="shared" si="9"/>
        <v>N/A</v>
      </c>
      <c r="Z9" s="293" t="str">
        <f t="shared" si="49"/>
        <v>N/A</v>
      </c>
      <c r="AA9" s="293">
        <f t="shared" si="50"/>
        <v>0</v>
      </c>
      <c r="AB9" s="293" t="str">
        <f t="shared" si="10"/>
        <v>N/A</v>
      </c>
      <c r="AC9" s="215">
        <f t="shared" si="51"/>
        <v>0</v>
      </c>
      <c r="AD9" s="214" t="b">
        <f t="shared" si="11"/>
        <v>0</v>
      </c>
      <c r="AE9" s="209" t="str">
        <f t="shared" si="12"/>
        <v>.</v>
      </c>
      <c r="AF9" s="216">
        <f t="shared" si="13"/>
        <v>0</v>
      </c>
      <c r="AG9" s="217" t="str">
        <f t="shared" si="14"/>
        <v>N/A</v>
      </c>
      <c r="AH9" s="217" t="b">
        <f t="shared" si="15"/>
        <v>0</v>
      </c>
      <c r="AI9" s="209" t="str">
        <f t="shared" si="16"/>
        <v>.</v>
      </c>
      <c r="AJ9" s="216">
        <f t="shared" si="17"/>
        <v>0</v>
      </c>
      <c r="AK9" s="217" t="str">
        <f t="shared" si="18"/>
        <v>N/A</v>
      </c>
      <c r="AL9" s="217">
        <f t="shared" si="52"/>
        <v>0</v>
      </c>
      <c r="AM9" s="215">
        <f t="shared" si="53"/>
        <v>0</v>
      </c>
      <c r="AN9" s="219" t="b">
        <f t="shared" si="19"/>
        <v>0</v>
      </c>
      <c r="AO9" s="217" t="str">
        <f t="shared" si="20"/>
        <v>N/A</v>
      </c>
      <c r="AP9" s="217" t="str">
        <f>IF(AND(ISNUMBER(AO9),AN9=TRUE),MAX(0,AO9-SUMIFS($AM$3:$AM8,AN$3:AN8,TRUE)),IF(AND(AN9=TRUE,ISNUMBER(AO9)=FALSE),"ERR","N/A"))</f>
        <v>N/A</v>
      </c>
      <c r="AQ9" s="215" t="str">
        <f t="shared" si="21"/>
        <v>N/A</v>
      </c>
      <c r="AR9" s="219" t="b">
        <f t="shared" si="22"/>
        <v>0</v>
      </c>
      <c r="AS9" s="217" t="str">
        <f t="shared" si="23"/>
        <v>N/A</v>
      </c>
      <c r="AT9" s="217" t="str">
        <f>IF(AND(AR9=TRUE,ISNUMBER(AS9)),MAX(0,AS9-SUMIFS($AM$3:$AM8,AR$3:AR8,TRUE)),IF(AND(AR9=TRUE,ISNUMBER(AS9)=FALSE),"ERR","N/A"))</f>
        <v>N/A</v>
      </c>
      <c r="AU9" s="215" t="str">
        <f t="shared" si="24"/>
        <v>N/A</v>
      </c>
      <c r="AV9" s="219" t="b">
        <f t="shared" si="25"/>
        <v>0</v>
      </c>
      <c r="AW9" s="217" t="str">
        <f t="shared" si="26"/>
        <v>N/A</v>
      </c>
      <c r="AX9" s="217" t="str">
        <f>IF(AND(AV9=TRUE,ISNUMBER(AW9)),MAX(0,AW9-SUMIFS($AM$3:$AM8,AV$3:AV8,TRUE)),IF(AND(AV9=TRUE,ISNUMBER(AW9)=FALSE),"ERR","N/A"))</f>
        <v>N/A</v>
      </c>
      <c r="AY9" s="215" t="str">
        <f t="shared" si="27"/>
        <v>N/A</v>
      </c>
      <c r="AZ9" s="219" t="b">
        <f t="shared" si="28"/>
        <v>0</v>
      </c>
      <c r="BA9" s="217" t="str">
        <f t="shared" si="29"/>
        <v>N/A</v>
      </c>
      <c r="BB9" s="217" t="str">
        <f>IF(AND(AZ9=TRUE,ISNUMBER(BA9)),MAX(0,BA9-SUMIFS($AM$3:$AM8,AZ$3:AZ8,TRUE)),IF(AND(AZ9=TRUE,ISNUMBER(BA9)=FALSE),"ERR","N/A"))</f>
        <v>N/A</v>
      </c>
      <c r="BC9" s="215" t="str">
        <f t="shared" si="30"/>
        <v>N/A</v>
      </c>
      <c r="BD9" s="219" t="b">
        <f t="shared" si="31"/>
        <v>0</v>
      </c>
      <c r="BE9" s="217" t="str">
        <f t="shared" si="32"/>
        <v>N/A</v>
      </c>
      <c r="BF9" s="217" t="str">
        <f>IF(AND(BD9=TRUE,ISNUMBER(BE9)=TRUE),MAX(0,BE9-SUMIFS(AM$3:AM8,BD$3:BD8,TRUE,F$3:F8,F9)),IF(AND(BD9=TRUE,ISNUMBER(BE9)=FALSE),"ERR","N/A"))</f>
        <v>N/A</v>
      </c>
      <c r="BG9" s="215" t="str">
        <f t="shared" si="33"/>
        <v>N/A</v>
      </c>
      <c r="BH9" s="214">
        <f t="shared" si="34"/>
        <v>0</v>
      </c>
      <c r="BI9" s="215">
        <f t="shared" si="54"/>
        <v>0</v>
      </c>
      <c r="BJ9" s="214" t="str">
        <f t="shared" si="55"/>
        <v>N/A</v>
      </c>
      <c r="BK9" s="217">
        <f t="shared" si="35"/>
        <v>0</v>
      </c>
      <c r="BL9" s="220" t="b">
        <f t="shared" si="36"/>
        <v>0</v>
      </c>
      <c r="BM9" s="217" t="str">
        <f t="shared" si="37"/>
        <v>N/A</v>
      </c>
      <c r="BN9" s="217" t="str">
        <f t="shared" si="56"/>
        <v>N/A</v>
      </c>
      <c r="BO9" s="220" t="b">
        <f t="shared" si="38"/>
        <v>0</v>
      </c>
      <c r="BP9" s="244" t="str">
        <f t="shared" si="39"/>
        <v>N/A</v>
      </c>
      <c r="BQ9" s="217" t="str">
        <f t="shared" si="57"/>
        <v>N/A</v>
      </c>
      <c r="BR9" s="215">
        <f t="shared" si="58"/>
        <v>0</v>
      </c>
      <c r="BS9" s="214" t="str">
        <f t="shared" si="59"/>
        <v>N/A</v>
      </c>
      <c r="BT9" s="217">
        <f t="shared" si="60"/>
        <v>0</v>
      </c>
      <c r="BU9" s="215">
        <f t="shared" si="61"/>
        <v>0</v>
      </c>
      <c r="BV9" s="214">
        <f t="shared" si="62"/>
        <v>0</v>
      </c>
      <c r="BW9" s="217">
        <f t="shared" si="40"/>
        <v>6.63</v>
      </c>
      <c r="BX9" s="217">
        <f t="shared" si="41"/>
        <v>0</v>
      </c>
      <c r="BY9" s="217">
        <f t="shared" si="63"/>
        <v>0</v>
      </c>
      <c r="BZ9" s="217">
        <f t="shared" si="42"/>
        <v>0</v>
      </c>
      <c r="CA9" s="217">
        <f t="shared" si="64"/>
        <v>0</v>
      </c>
      <c r="CB9" s="213" t="b">
        <f t="shared" si="43"/>
        <v>1</v>
      </c>
    </row>
    <row r="10" spans="1:81" x14ac:dyDescent="0.25">
      <c r="A10" s="207">
        <v>7</v>
      </c>
      <c r="B10" s="208">
        <v>42372</v>
      </c>
      <c r="C10" s="209">
        <v>1</v>
      </c>
      <c r="D10" s="210">
        <v>26</v>
      </c>
      <c r="E10" s="211" t="str">
        <f t="shared" si="0"/>
        <v>Aspirin 81mg (OTC - bottle 100) [usage = 1 QD; #30 pills per month]</v>
      </c>
      <c r="F10" s="212" t="str">
        <f t="shared" si="44"/>
        <v>Over-the-counter Drugs</v>
      </c>
      <c r="G10" s="213" t="str">
        <f t="shared" si="45"/>
        <v>Not Covered</v>
      </c>
      <c r="H10" s="214">
        <f t="shared" si="1"/>
        <v>4.47</v>
      </c>
      <c r="I10" s="217">
        <f t="shared" si="2"/>
        <v>4.47</v>
      </c>
      <c r="J10" s="251">
        <f t="shared" si="3"/>
        <v>0</v>
      </c>
      <c r="K10" s="214" t="b">
        <f t="shared" si="4"/>
        <v>0</v>
      </c>
      <c r="L10" s="218" t="str">
        <f t="shared" si="5"/>
        <v>No</v>
      </c>
      <c r="M10" s="217" t="str">
        <f t="shared" si="6"/>
        <v>.</v>
      </c>
      <c r="N10" s="215" t="str">
        <f>IFERROR(IF(AND(L10="Yes",ISNUMBER(M10)),MAX(0,M10-SUMIFS(BU$3:BU9,L$3:L9,"Yes")),IF(OR(L10="No",M10="None"),"N/A","ERR")),"ERR")</f>
        <v>N/A</v>
      </c>
      <c r="O10" s="251" t="b">
        <f t="shared" si="46"/>
        <v>0</v>
      </c>
      <c r="P10" s="251" t="str">
        <f>IF(O10,BENEFIT_PARAMETERS!$C$76,"N/A")</f>
        <v>N/A</v>
      </c>
      <c r="Q10" s="288" t="str">
        <f>IF(P10="Yes", BENEFIT_PARAMETERS!$D$76,"N/A")</f>
        <v>N/A</v>
      </c>
      <c r="R10" s="253" t="str">
        <f t="shared" si="7"/>
        <v>N/A</v>
      </c>
      <c r="S10" s="217">
        <f t="shared" si="47"/>
        <v>0</v>
      </c>
      <c r="T10" s="215">
        <f t="shared" si="8"/>
        <v>0</v>
      </c>
      <c r="U10" s="214" t="b">
        <f t="shared" si="48"/>
        <v>0</v>
      </c>
      <c r="V10" s="251" t="str">
        <f>IF(O10,BENEFIT_PARAMETERS!$C$77,"N/A")</f>
        <v>N/A</v>
      </c>
      <c r="W10" s="288" t="str">
        <f>IF(V10="Yes", BENEFIT_PARAMETERS!$D$77,"N/A")</f>
        <v>N/A</v>
      </c>
      <c r="X10" s="253" t="str">
        <f>IF(O10,COUNTIF(Z$3:Z9,"&gt;0"),"N/A")</f>
        <v>N/A</v>
      </c>
      <c r="Y10" s="217" t="str">
        <f t="shared" si="9"/>
        <v>N/A</v>
      </c>
      <c r="Z10" s="293" t="str">
        <f t="shared" si="49"/>
        <v>N/A</v>
      </c>
      <c r="AA10" s="293">
        <f t="shared" si="50"/>
        <v>0</v>
      </c>
      <c r="AB10" s="293" t="str">
        <f t="shared" si="10"/>
        <v>N/A</v>
      </c>
      <c r="AC10" s="215">
        <f t="shared" si="51"/>
        <v>0</v>
      </c>
      <c r="AD10" s="214" t="b">
        <f t="shared" si="11"/>
        <v>0</v>
      </c>
      <c r="AE10" s="209" t="str">
        <f t="shared" si="12"/>
        <v>.</v>
      </c>
      <c r="AF10" s="216">
        <f t="shared" si="13"/>
        <v>0</v>
      </c>
      <c r="AG10" s="217" t="str">
        <f t="shared" si="14"/>
        <v>N/A</v>
      </c>
      <c r="AH10" s="217" t="b">
        <f t="shared" si="15"/>
        <v>0</v>
      </c>
      <c r="AI10" s="209" t="str">
        <f t="shared" si="16"/>
        <v>.</v>
      </c>
      <c r="AJ10" s="216">
        <f t="shared" si="17"/>
        <v>0</v>
      </c>
      <c r="AK10" s="217" t="str">
        <f t="shared" si="18"/>
        <v>N/A</v>
      </c>
      <c r="AL10" s="217">
        <f t="shared" si="52"/>
        <v>0</v>
      </c>
      <c r="AM10" s="215">
        <f t="shared" si="53"/>
        <v>0</v>
      </c>
      <c r="AN10" s="219" t="b">
        <f t="shared" si="19"/>
        <v>0</v>
      </c>
      <c r="AO10" s="217" t="str">
        <f t="shared" si="20"/>
        <v>N/A</v>
      </c>
      <c r="AP10" s="217" t="str">
        <f>IF(AND(ISNUMBER(AO10),AN10=TRUE),MAX(0,AO10-SUMIFS($AM$3:$AM9,AN$3:AN9,TRUE)),IF(AND(AN10=TRUE,ISNUMBER(AO10)=FALSE),"ERR","N/A"))</f>
        <v>N/A</v>
      </c>
      <c r="AQ10" s="215" t="str">
        <f t="shared" si="21"/>
        <v>N/A</v>
      </c>
      <c r="AR10" s="219" t="b">
        <f t="shared" si="22"/>
        <v>0</v>
      </c>
      <c r="AS10" s="217" t="str">
        <f t="shared" si="23"/>
        <v>N/A</v>
      </c>
      <c r="AT10" s="217" t="str">
        <f>IF(AND(AR10=TRUE,ISNUMBER(AS10)),MAX(0,AS10-SUMIFS($AM$3:$AM9,AR$3:AR9,TRUE)),IF(AND(AR10=TRUE,ISNUMBER(AS10)=FALSE),"ERR","N/A"))</f>
        <v>N/A</v>
      </c>
      <c r="AU10" s="215" t="str">
        <f t="shared" si="24"/>
        <v>N/A</v>
      </c>
      <c r="AV10" s="219" t="b">
        <f t="shared" si="25"/>
        <v>0</v>
      </c>
      <c r="AW10" s="217" t="str">
        <f t="shared" si="26"/>
        <v>N/A</v>
      </c>
      <c r="AX10" s="217" t="str">
        <f>IF(AND(AV10=TRUE,ISNUMBER(AW10)),MAX(0,AW10-SUMIFS($AM$3:$AM9,AV$3:AV9,TRUE)),IF(AND(AV10=TRUE,ISNUMBER(AW10)=FALSE),"ERR","N/A"))</f>
        <v>N/A</v>
      </c>
      <c r="AY10" s="215" t="str">
        <f t="shared" si="27"/>
        <v>N/A</v>
      </c>
      <c r="AZ10" s="219" t="b">
        <f t="shared" si="28"/>
        <v>0</v>
      </c>
      <c r="BA10" s="217" t="str">
        <f t="shared" si="29"/>
        <v>N/A</v>
      </c>
      <c r="BB10" s="217" t="str">
        <f>IF(AND(AZ10=TRUE,ISNUMBER(BA10)),MAX(0,BA10-SUMIFS($AM$3:$AM9,AZ$3:AZ9,TRUE)),IF(AND(AZ10=TRUE,ISNUMBER(BA10)=FALSE),"ERR","N/A"))</f>
        <v>N/A</v>
      </c>
      <c r="BC10" s="215" t="str">
        <f t="shared" si="30"/>
        <v>N/A</v>
      </c>
      <c r="BD10" s="219" t="b">
        <f t="shared" si="31"/>
        <v>0</v>
      </c>
      <c r="BE10" s="217" t="str">
        <f t="shared" si="32"/>
        <v>N/A</v>
      </c>
      <c r="BF10" s="217" t="str">
        <f>IF(AND(BD10=TRUE,ISNUMBER(BE10)=TRUE),MAX(0,BE10-SUMIFS(AM$3:AM9,BD$3:BD9,TRUE,F$3:F9,F10)),IF(AND(BD10=TRUE,ISNUMBER(BE10)=FALSE),"ERR","N/A"))</f>
        <v>N/A</v>
      </c>
      <c r="BG10" s="215" t="str">
        <f t="shared" si="33"/>
        <v>N/A</v>
      </c>
      <c r="BH10" s="214">
        <f t="shared" si="34"/>
        <v>0</v>
      </c>
      <c r="BI10" s="215">
        <f t="shared" si="54"/>
        <v>0</v>
      </c>
      <c r="BJ10" s="214" t="str">
        <f t="shared" si="55"/>
        <v>N/A</v>
      </c>
      <c r="BK10" s="217">
        <f t="shared" si="35"/>
        <v>0</v>
      </c>
      <c r="BL10" s="220" t="b">
        <f t="shared" si="36"/>
        <v>0</v>
      </c>
      <c r="BM10" s="217" t="str">
        <f t="shared" si="37"/>
        <v>N/A</v>
      </c>
      <c r="BN10" s="217" t="str">
        <f t="shared" si="56"/>
        <v>N/A</v>
      </c>
      <c r="BO10" s="220" t="b">
        <f t="shared" si="38"/>
        <v>0</v>
      </c>
      <c r="BP10" s="244" t="str">
        <f t="shared" si="39"/>
        <v>N/A</v>
      </c>
      <c r="BQ10" s="217" t="str">
        <f t="shared" si="57"/>
        <v>N/A</v>
      </c>
      <c r="BR10" s="215">
        <f t="shared" si="58"/>
        <v>0</v>
      </c>
      <c r="BS10" s="214" t="str">
        <f t="shared" si="59"/>
        <v>N/A</v>
      </c>
      <c r="BT10" s="217">
        <f t="shared" si="60"/>
        <v>0</v>
      </c>
      <c r="BU10" s="215">
        <f t="shared" si="61"/>
        <v>0</v>
      </c>
      <c r="BV10" s="214">
        <f t="shared" si="62"/>
        <v>0</v>
      </c>
      <c r="BW10" s="217">
        <f t="shared" si="40"/>
        <v>4.47</v>
      </c>
      <c r="BX10" s="217">
        <f t="shared" si="41"/>
        <v>0</v>
      </c>
      <c r="BY10" s="217">
        <f t="shared" si="63"/>
        <v>0</v>
      </c>
      <c r="BZ10" s="217">
        <f t="shared" si="42"/>
        <v>0</v>
      </c>
      <c r="CA10" s="217">
        <f t="shared" si="64"/>
        <v>0</v>
      </c>
      <c r="CB10" s="213" t="b">
        <f t="shared" si="43"/>
        <v>1</v>
      </c>
    </row>
    <row r="11" spans="1:81" x14ac:dyDescent="0.25">
      <c r="A11" s="207">
        <v>8</v>
      </c>
      <c r="B11" s="208">
        <v>42372</v>
      </c>
      <c r="C11" s="209">
        <v>1</v>
      </c>
      <c r="D11" s="210">
        <v>1</v>
      </c>
      <c r="E11" s="211" t="str">
        <f t="shared" si="0"/>
        <v>Glucagon Emergency Kit</v>
      </c>
      <c r="F11" s="212" t="str">
        <f t="shared" si="44"/>
        <v>Prescription Drugs: Generic</v>
      </c>
      <c r="G11" s="213" t="str">
        <f t="shared" si="45"/>
        <v>Not Covered</v>
      </c>
      <c r="H11" s="214">
        <f t="shared" si="1"/>
        <v>241.05</v>
      </c>
      <c r="I11" s="217">
        <f t="shared" si="2"/>
        <v>241.05</v>
      </c>
      <c r="J11" s="251">
        <f t="shared" si="3"/>
        <v>0</v>
      </c>
      <c r="K11" s="214" t="b">
        <f t="shared" si="4"/>
        <v>0</v>
      </c>
      <c r="L11" s="218" t="str">
        <f t="shared" si="5"/>
        <v>No</v>
      </c>
      <c r="M11" s="217" t="str">
        <f t="shared" si="6"/>
        <v>.</v>
      </c>
      <c r="N11" s="215" t="str">
        <f>IFERROR(IF(AND(L11="Yes",ISNUMBER(M11)),MAX(0,M11-SUMIFS(BU$3:BU10,L$3:L10,"Yes")),IF(OR(L11="No",M11="None"),"N/A","ERR")),"ERR")</f>
        <v>N/A</v>
      </c>
      <c r="O11" s="251" t="b">
        <f t="shared" si="46"/>
        <v>0</v>
      </c>
      <c r="P11" s="251" t="str">
        <f>IF(O11,BENEFIT_PARAMETERS!$C$76,"N/A")</f>
        <v>N/A</v>
      </c>
      <c r="Q11" s="288" t="str">
        <f>IF(P11="Yes", BENEFIT_PARAMETERS!$D$76,"N/A")</f>
        <v>N/A</v>
      </c>
      <c r="R11" s="253" t="str">
        <f t="shared" si="7"/>
        <v>N/A</v>
      </c>
      <c r="S11" s="217">
        <f t="shared" si="47"/>
        <v>0</v>
      </c>
      <c r="T11" s="215">
        <f t="shared" si="8"/>
        <v>0</v>
      </c>
      <c r="U11" s="214" t="b">
        <f t="shared" si="48"/>
        <v>0</v>
      </c>
      <c r="V11" s="251" t="str">
        <f>IF(O11,BENEFIT_PARAMETERS!$C$77,"N/A")</f>
        <v>N/A</v>
      </c>
      <c r="W11" s="288" t="str">
        <f>IF(V11="Yes", BENEFIT_PARAMETERS!$D$77,"N/A")</f>
        <v>N/A</v>
      </c>
      <c r="X11" s="253" t="str">
        <f>IF(O11,COUNTIF(Z$3:Z10,"&gt;0"),"N/A")</f>
        <v>N/A</v>
      </c>
      <c r="Y11" s="217" t="str">
        <f t="shared" si="9"/>
        <v>N/A</v>
      </c>
      <c r="Z11" s="293" t="str">
        <f t="shared" si="49"/>
        <v>N/A</v>
      </c>
      <c r="AA11" s="293">
        <f t="shared" si="50"/>
        <v>0</v>
      </c>
      <c r="AB11" s="293" t="str">
        <f t="shared" si="10"/>
        <v>N/A</v>
      </c>
      <c r="AC11" s="215">
        <f t="shared" si="51"/>
        <v>0</v>
      </c>
      <c r="AD11" s="214" t="b">
        <f t="shared" si="11"/>
        <v>0</v>
      </c>
      <c r="AE11" s="209" t="str">
        <f t="shared" si="12"/>
        <v>.</v>
      </c>
      <c r="AF11" s="216">
        <f t="shared" si="13"/>
        <v>0</v>
      </c>
      <c r="AG11" s="217" t="str">
        <f t="shared" si="14"/>
        <v>N/A</v>
      </c>
      <c r="AH11" s="217" t="b">
        <f t="shared" si="15"/>
        <v>0</v>
      </c>
      <c r="AI11" s="209" t="str">
        <f t="shared" si="16"/>
        <v>.</v>
      </c>
      <c r="AJ11" s="216">
        <f t="shared" si="17"/>
        <v>0</v>
      </c>
      <c r="AK11" s="217" t="str">
        <f t="shared" si="18"/>
        <v>N/A</v>
      </c>
      <c r="AL11" s="217">
        <f t="shared" si="52"/>
        <v>0</v>
      </c>
      <c r="AM11" s="215">
        <f t="shared" si="53"/>
        <v>0</v>
      </c>
      <c r="AN11" s="219" t="b">
        <f t="shared" si="19"/>
        <v>0</v>
      </c>
      <c r="AO11" s="217" t="str">
        <f t="shared" si="20"/>
        <v>N/A</v>
      </c>
      <c r="AP11" s="217" t="str">
        <f>IF(AND(ISNUMBER(AO11),AN11=TRUE),MAX(0,AO11-SUMIFS($AM$3:$AM10,AN$3:AN10,TRUE)),IF(AND(AN11=TRUE,ISNUMBER(AO11)=FALSE),"ERR","N/A"))</f>
        <v>N/A</v>
      </c>
      <c r="AQ11" s="215" t="str">
        <f t="shared" si="21"/>
        <v>N/A</v>
      </c>
      <c r="AR11" s="219" t="b">
        <f t="shared" si="22"/>
        <v>0</v>
      </c>
      <c r="AS11" s="217" t="str">
        <f t="shared" si="23"/>
        <v>N/A</v>
      </c>
      <c r="AT11" s="217" t="str">
        <f>IF(AND(AR11=TRUE,ISNUMBER(AS11)),MAX(0,AS11-SUMIFS($AM$3:$AM10,AR$3:AR10,TRUE)),IF(AND(AR11=TRUE,ISNUMBER(AS11)=FALSE),"ERR","N/A"))</f>
        <v>N/A</v>
      </c>
      <c r="AU11" s="215" t="str">
        <f t="shared" si="24"/>
        <v>N/A</v>
      </c>
      <c r="AV11" s="219" t="b">
        <f t="shared" si="25"/>
        <v>0</v>
      </c>
      <c r="AW11" s="217" t="str">
        <f t="shared" si="26"/>
        <v>N/A</v>
      </c>
      <c r="AX11" s="217" t="str">
        <f>IF(AND(AV11=TRUE,ISNUMBER(AW11)),MAX(0,AW11-SUMIFS($AM$3:$AM10,AV$3:AV10,TRUE)),IF(AND(AV11=TRUE,ISNUMBER(AW11)=FALSE),"ERR","N/A"))</f>
        <v>N/A</v>
      </c>
      <c r="AY11" s="215" t="str">
        <f t="shared" si="27"/>
        <v>N/A</v>
      </c>
      <c r="AZ11" s="219" t="b">
        <f t="shared" si="28"/>
        <v>0</v>
      </c>
      <c r="BA11" s="217" t="str">
        <f t="shared" si="29"/>
        <v>N/A</v>
      </c>
      <c r="BB11" s="217" t="str">
        <f>IF(AND(AZ11=TRUE,ISNUMBER(BA11)),MAX(0,BA11-SUMIFS($AM$3:$AM10,AZ$3:AZ10,TRUE)),IF(AND(AZ11=TRUE,ISNUMBER(BA11)=FALSE),"ERR","N/A"))</f>
        <v>N/A</v>
      </c>
      <c r="BC11" s="215" t="str">
        <f t="shared" si="30"/>
        <v>N/A</v>
      </c>
      <c r="BD11" s="219" t="b">
        <f t="shared" si="31"/>
        <v>0</v>
      </c>
      <c r="BE11" s="217" t="str">
        <f t="shared" si="32"/>
        <v>N/A</v>
      </c>
      <c r="BF11" s="217" t="str">
        <f>IF(AND(BD11=TRUE,ISNUMBER(BE11)=TRUE),MAX(0,BE11-SUMIFS(AM$3:AM10,BD$3:BD10,TRUE,F$3:F10,F11)),IF(AND(BD11=TRUE,ISNUMBER(BE11)=FALSE),"ERR","N/A"))</f>
        <v>N/A</v>
      </c>
      <c r="BG11" s="215" t="str">
        <f t="shared" si="33"/>
        <v>N/A</v>
      </c>
      <c r="BH11" s="214">
        <f t="shared" si="34"/>
        <v>0</v>
      </c>
      <c r="BI11" s="215">
        <f t="shared" si="54"/>
        <v>0</v>
      </c>
      <c r="BJ11" s="214" t="str">
        <f t="shared" si="55"/>
        <v>N/A</v>
      </c>
      <c r="BK11" s="217">
        <f t="shared" si="35"/>
        <v>0</v>
      </c>
      <c r="BL11" s="220" t="b">
        <f t="shared" si="36"/>
        <v>0</v>
      </c>
      <c r="BM11" s="217" t="str">
        <f t="shared" si="37"/>
        <v>N/A</v>
      </c>
      <c r="BN11" s="217" t="str">
        <f t="shared" si="56"/>
        <v>N/A</v>
      </c>
      <c r="BO11" s="220" t="b">
        <f t="shared" si="38"/>
        <v>0</v>
      </c>
      <c r="BP11" s="244" t="str">
        <f t="shared" si="39"/>
        <v>N/A</v>
      </c>
      <c r="BQ11" s="217" t="str">
        <f t="shared" si="57"/>
        <v>N/A</v>
      </c>
      <c r="BR11" s="215">
        <f t="shared" si="58"/>
        <v>0</v>
      </c>
      <c r="BS11" s="214" t="str">
        <f t="shared" si="59"/>
        <v>N/A</v>
      </c>
      <c r="BT11" s="217">
        <f t="shared" si="60"/>
        <v>0</v>
      </c>
      <c r="BU11" s="215">
        <f t="shared" si="61"/>
        <v>0</v>
      </c>
      <c r="BV11" s="214">
        <f t="shared" si="62"/>
        <v>0</v>
      </c>
      <c r="BW11" s="217">
        <f t="shared" si="40"/>
        <v>241.05</v>
      </c>
      <c r="BX11" s="217">
        <f t="shared" si="41"/>
        <v>0</v>
      </c>
      <c r="BY11" s="217">
        <f t="shared" si="63"/>
        <v>0</v>
      </c>
      <c r="BZ11" s="217">
        <f t="shared" si="42"/>
        <v>0</v>
      </c>
      <c r="CA11" s="217">
        <f t="shared" si="64"/>
        <v>0</v>
      </c>
      <c r="CB11" s="213" t="b">
        <f t="shared" si="43"/>
        <v>1</v>
      </c>
    </row>
    <row r="12" spans="1:81" x14ac:dyDescent="0.25">
      <c r="A12" s="207">
        <v>9</v>
      </c>
      <c r="B12" s="208">
        <v>42372</v>
      </c>
      <c r="C12" s="209">
        <v>1</v>
      </c>
      <c r="D12" s="210">
        <v>17</v>
      </c>
      <c r="E12" s="211" t="str">
        <f t="shared" si="0"/>
        <v>Insulin glargine 100 unit/ml injectable solution (Rx - 10ml vial)  [20 units QD; expires 28 days after first use]</v>
      </c>
      <c r="F12" s="212" t="str">
        <f t="shared" si="44"/>
        <v>Prescription Drugs: Insulin</v>
      </c>
      <c r="G12" s="213" t="str">
        <f t="shared" si="45"/>
        <v>Not Covered</v>
      </c>
      <c r="H12" s="214">
        <f t="shared" si="1"/>
        <v>240.37</v>
      </c>
      <c r="I12" s="217">
        <f t="shared" si="2"/>
        <v>240.37</v>
      </c>
      <c r="J12" s="251">
        <f t="shared" si="3"/>
        <v>0</v>
      </c>
      <c r="K12" s="214" t="b">
        <f t="shared" si="4"/>
        <v>0</v>
      </c>
      <c r="L12" s="218" t="str">
        <f t="shared" si="5"/>
        <v>No</v>
      </c>
      <c r="M12" s="217" t="str">
        <f t="shared" si="6"/>
        <v>.</v>
      </c>
      <c r="N12" s="215" t="str">
        <f>IFERROR(IF(AND(L12="Yes",ISNUMBER(M12)),MAX(0,M12-SUMIFS(BU$3:BU11,L$3:L11,"Yes")),IF(OR(L12="No",M12="None"),"N/A","ERR")),"ERR")</f>
        <v>N/A</v>
      </c>
      <c r="O12" s="251" t="b">
        <f t="shared" si="46"/>
        <v>0</v>
      </c>
      <c r="P12" s="251" t="str">
        <f>IF(O12,BENEFIT_PARAMETERS!$C$76,"N/A")</f>
        <v>N/A</v>
      </c>
      <c r="Q12" s="288" t="str">
        <f>IF(P12="Yes", BENEFIT_PARAMETERS!$D$76,"N/A")</f>
        <v>N/A</v>
      </c>
      <c r="R12" s="253" t="str">
        <f t="shared" si="7"/>
        <v>N/A</v>
      </c>
      <c r="S12" s="217">
        <f t="shared" si="47"/>
        <v>0</v>
      </c>
      <c r="T12" s="215">
        <f t="shared" si="8"/>
        <v>0</v>
      </c>
      <c r="U12" s="214" t="b">
        <f t="shared" si="48"/>
        <v>0</v>
      </c>
      <c r="V12" s="251" t="str">
        <f>IF(O12,BENEFIT_PARAMETERS!$C$77,"N/A")</f>
        <v>N/A</v>
      </c>
      <c r="W12" s="288" t="str">
        <f>IF(V12="Yes", BENEFIT_PARAMETERS!$D$77,"N/A")</f>
        <v>N/A</v>
      </c>
      <c r="X12" s="253" t="str">
        <f>IF(O12,COUNTIF(Z$3:Z11,"&gt;0"),"N/A")</f>
        <v>N/A</v>
      </c>
      <c r="Y12" s="217" t="str">
        <f t="shared" si="9"/>
        <v>N/A</v>
      </c>
      <c r="Z12" s="293" t="str">
        <f t="shared" si="49"/>
        <v>N/A</v>
      </c>
      <c r="AA12" s="293">
        <f t="shared" si="50"/>
        <v>0</v>
      </c>
      <c r="AB12" s="293" t="str">
        <f t="shared" si="10"/>
        <v>N/A</v>
      </c>
      <c r="AC12" s="215">
        <f t="shared" si="51"/>
        <v>0</v>
      </c>
      <c r="AD12" s="214" t="b">
        <f t="shared" si="11"/>
        <v>0</v>
      </c>
      <c r="AE12" s="209" t="str">
        <f t="shared" si="12"/>
        <v>.</v>
      </c>
      <c r="AF12" s="216">
        <f t="shared" si="13"/>
        <v>0</v>
      </c>
      <c r="AG12" s="217" t="str">
        <f t="shared" si="14"/>
        <v>N/A</v>
      </c>
      <c r="AH12" s="217" t="b">
        <f t="shared" si="15"/>
        <v>0</v>
      </c>
      <c r="AI12" s="209" t="str">
        <f t="shared" si="16"/>
        <v>.</v>
      </c>
      <c r="AJ12" s="216">
        <f t="shared" si="17"/>
        <v>0</v>
      </c>
      <c r="AK12" s="217" t="str">
        <f t="shared" si="18"/>
        <v>N/A</v>
      </c>
      <c r="AL12" s="217">
        <f t="shared" si="52"/>
        <v>0</v>
      </c>
      <c r="AM12" s="215">
        <f t="shared" si="53"/>
        <v>0</v>
      </c>
      <c r="AN12" s="219" t="b">
        <f t="shared" si="19"/>
        <v>0</v>
      </c>
      <c r="AO12" s="217" t="str">
        <f t="shared" si="20"/>
        <v>N/A</v>
      </c>
      <c r="AP12" s="217" t="str">
        <f>IF(AND(ISNUMBER(AO12),AN12=TRUE),MAX(0,AO12-SUMIFS($AM$3:$AM11,AN$3:AN11,TRUE)),IF(AND(AN12=TRUE,ISNUMBER(AO12)=FALSE),"ERR","N/A"))</f>
        <v>N/A</v>
      </c>
      <c r="AQ12" s="215" t="str">
        <f t="shared" si="21"/>
        <v>N/A</v>
      </c>
      <c r="AR12" s="219" t="b">
        <f t="shared" si="22"/>
        <v>0</v>
      </c>
      <c r="AS12" s="217" t="str">
        <f t="shared" si="23"/>
        <v>N/A</v>
      </c>
      <c r="AT12" s="217" t="str">
        <f>IF(AND(AR12=TRUE,ISNUMBER(AS12)),MAX(0,AS12-SUMIFS($AM$3:$AM11,AR$3:AR11,TRUE)),IF(AND(AR12=TRUE,ISNUMBER(AS12)=FALSE),"ERR","N/A"))</f>
        <v>N/A</v>
      </c>
      <c r="AU12" s="215" t="str">
        <f t="shared" si="24"/>
        <v>N/A</v>
      </c>
      <c r="AV12" s="219" t="b">
        <f t="shared" si="25"/>
        <v>0</v>
      </c>
      <c r="AW12" s="217" t="str">
        <f t="shared" si="26"/>
        <v>N/A</v>
      </c>
      <c r="AX12" s="217" t="str">
        <f>IF(AND(AV12=TRUE,ISNUMBER(AW12)),MAX(0,AW12-SUMIFS($AM$3:$AM11,AV$3:AV11,TRUE)),IF(AND(AV12=TRUE,ISNUMBER(AW12)=FALSE),"ERR","N/A"))</f>
        <v>N/A</v>
      </c>
      <c r="AY12" s="215" t="str">
        <f t="shared" si="27"/>
        <v>N/A</v>
      </c>
      <c r="AZ12" s="219" t="b">
        <f t="shared" si="28"/>
        <v>0</v>
      </c>
      <c r="BA12" s="217" t="str">
        <f t="shared" si="29"/>
        <v>N/A</v>
      </c>
      <c r="BB12" s="217" t="str">
        <f>IF(AND(AZ12=TRUE,ISNUMBER(BA12)),MAX(0,BA12-SUMIFS($AM$3:$AM11,AZ$3:AZ11,TRUE)),IF(AND(AZ12=TRUE,ISNUMBER(BA12)=FALSE),"ERR","N/A"))</f>
        <v>N/A</v>
      </c>
      <c r="BC12" s="215" t="str">
        <f t="shared" si="30"/>
        <v>N/A</v>
      </c>
      <c r="BD12" s="219" t="b">
        <f t="shared" si="31"/>
        <v>0</v>
      </c>
      <c r="BE12" s="217" t="str">
        <f t="shared" si="32"/>
        <v>N/A</v>
      </c>
      <c r="BF12" s="217" t="str">
        <f>IF(AND(BD12=TRUE,ISNUMBER(BE12)=TRUE),MAX(0,BE12-SUMIFS(AM$3:AM11,BD$3:BD11,TRUE,F$3:F11,F12)),IF(AND(BD12=TRUE,ISNUMBER(BE12)=FALSE),"ERR","N/A"))</f>
        <v>N/A</v>
      </c>
      <c r="BG12" s="215" t="str">
        <f t="shared" si="33"/>
        <v>N/A</v>
      </c>
      <c r="BH12" s="214">
        <f t="shared" si="34"/>
        <v>0</v>
      </c>
      <c r="BI12" s="215">
        <f t="shared" si="54"/>
        <v>0</v>
      </c>
      <c r="BJ12" s="214" t="str">
        <f t="shared" si="55"/>
        <v>N/A</v>
      </c>
      <c r="BK12" s="217">
        <f t="shared" si="35"/>
        <v>0</v>
      </c>
      <c r="BL12" s="220" t="b">
        <f t="shared" si="36"/>
        <v>0</v>
      </c>
      <c r="BM12" s="217" t="str">
        <f t="shared" si="37"/>
        <v>N/A</v>
      </c>
      <c r="BN12" s="217" t="str">
        <f t="shared" si="56"/>
        <v>N/A</v>
      </c>
      <c r="BO12" s="220" t="b">
        <f t="shared" si="38"/>
        <v>0</v>
      </c>
      <c r="BP12" s="244" t="str">
        <f t="shared" si="39"/>
        <v>N/A</v>
      </c>
      <c r="BQ12" s="217" t="str">
        <f t="shared" si="57"/>
        <v>N/A</v>
      </c>
      <c r="BR12" s="215">
        <f t="shared" si="58"/>
        <v>0</v>
      </c>
      <c r="BS12" s="214" t="str">
        <f t="shared" si="59"/>
        <v>N/A</v>
      </c>
      <c r="BT12" s="217">
        <f t="shared" si="60"/>
        <v>0</v>
      </c>
      <c r="BU12" s="215">
        <f t="shared" si="61"/>
        <v>0</v>
      </c>
      <c r="BV12" s="214">
        <f t="shared" si="62"/>
        <v>0</v>
      </c>
      <c r="BW12" s="217">
        <f t="shared" si="40"/>
        <v>240.37</v>
      </c>
      <c r="BX12" s="217">
        <f t="shared" si="41"/>
        <v>0</v>
      </c>
      <c r="BY12" s="217">
        <f t="shared" si="63"/>
        <v>0</v>
      </c>
      <c r="BZ12" s="217">
        <f t="shared" si="42"/>
        <v>0</v>
      </c>
      <c r="CA12" s="217">
        <f t="shared" si="64"/>
        <v>0</v>
      </c>
      <c r="CB12" s="213" t="b">
        <f t="shared" si="43"/>
        <v>1</v>
      </c>
    </row>
    <row r="13" spans="1:81" x14ac:dyDescent="0.25">
      <c r="A13" s="207">
        <v>10</v>
      </c>
      <c r="B13" s="208">
        <v>42372</v>
      </c>
      <c r="C13" s="209">
        <v>1</v>
      </c>
      <c r="D13" s="210">
        <v>32</v>
      </c>
      <c r="E13" s="211" t="str">
        <f t="shared" si="0"/>
        <v>Metformin Hydrochloride 500 MG TABLET [ #60 pills/month]</v>
      </c>
      <c r="F13" s="212" t="str">
        <f t="shared" si="44"/>
        <v>Prescription Drugs: Generic</v>
      </c>
      <c r="G13" s="213" t="str">
        <f t="shared" si="45"/>
        <v>Not Covered</v>
      </c>
      <c r="H13" s="214">
        <f t="shared" si="1"/>
        <v>3.21</v>
      </c>
      <c r="I13" s="217">
        <f t="shared" si="2"/>
        <v>3.21</v>
      </c>
      <c r="J13" s="251">
        <f t="shared" si="3"/>
        <v>0</v>
      </c>
      <c r="K13" s="214" t="b">
        <f t="shared" si="4"/>
        <v>0</v>
      </c>
      <c r="L13" s="218" t="str">
        <f t="shared" si="5"/>
        <v>No</v>
      </c>
      <c r="M13" s="217" t="str">
        <f t="shared" si="6"/>
        <v>.</v>
      </c>
      <c r="N13" s="215" t="str">
        <f>IFERROR(IF(AND(L13="Yes",ISNUMBER(M13)),MAX(0,M13-SUMIFS(BU$3:BU12,L$3:L12,"Yes")),IF(OR(L13="No",M13="None"),"N/A","ERR")),"ERR")</f>
        <v>N/A</v>
      </c>
      <c r="O13" s="251" t="b">
        <f t="shared" si="46"/>
        <v>0</v>
      </c>
      <c r="P13" s="251" t="str">
        <f>IF(O13,BENEFIT_PARAMETERS!$C$76,"N/A")</f>
        <v>N/A</v>
      </c>
      <c r="Q13" s="288" t="str">
        <f>IF(P13="Yes", BENEFIT_PARAMETERS!$D$76,"N/A")</f>
        <v>N/A</v>
      </c>
      <c r="R13" s="253" t="str">
        <f t="shared" si="7"/>
        <v>N/A</v>
      </c>
      <c r="S13" s="217">
        <f t="shared" si="47"/>
        <v>0</v>
      </c>
      <c r="T13" s="215">
        <f t="shared" si="8"/>
        <v>0</v>
      </c>
      <c r="U13" s="214" t="b">
        <f t="shared" si="48"/>
        <v>0</v>
      </c>
      <c r="V13" s="251" t="str">
        <f>IF(O13,BENEFIT_PARAMETERS!$C$77,"N/A")</f>
        <v>N/A</v>
      </c>
      <c r="W13" s="288" t="str">
        <f>IF(V13="Yes", BENEFIT_PARAMETERS!$D$77,"N/A")</f>
        <v>N/A</v>
      </c>
      <c r="X13" s="253" t="str">
        <f>IF(O13,COUNTIF(Z$3:Z12,"&gt;0"),"N/A")</f>
        <v>N/A</v>
      </c>
      <c r="Y13" s="217" t="str">
        <f t="shared" si="9"/>
        <v>N/A</v>
      </c>
      <c r="Z13" s="293" t="str">
        <f t="shared" si="49"/>
        <v>N/A</v>
      </c>
      <c r="AA13" s="293">
        <f t="shared" si="50"/>
        <v>0</v>
      </c>
      <c r="AB13" s="293" t="str">
        <f t="shared" si="10"/>
        <v>N/A</v>
      </c>
      <c r="AC13" s="215">
        <f t="shared" si="51"/>
        <v>0</v>
      </c>
      <c r="AD13" s="214" t="b">
        <f t="shared" si="11"/>
        <v>0</v>
      </c>
      <c r="AE13" s="209" t="str">
        <f t="shared" si="12"/>
        <v>.</v>
      </c>
      <c r="AF13" s="216">
        <f t="shared" si="13"/>
        <v>0</v>
      </c>
      <c r="AG13" s="217" t="str">
        <f t="shared" si="14"/>
        <v>N/A</v>
      </c>
      <c r="AH13" s="217" t="b">
        <f t="shared" si="15"/>
        <v>0</v>
      </c>
      <c r="AI13" s="209" t="str">
        <f t="shared" si="16"/>
        <v>.</v>
      </c>
      <c r="AJ13" s="216">
        <f t="shared" si="17"/>
        <v>0</v>
      </c>
      <c r="AK13" s="217" t="str">
        <f t="shared" si="18"/>
        <v>N/A</v>
      </c>
      <c r="AL13" s="217">
        <f t="shared" si="52"/>
        <v>0</v>
      </c>
      <c r="AM13" s="215">
        <f t="shared" si="53"/>
        <v>0</v>
      </c>
      <c r="AN13" s="219" t="b">
        <f t="shared" si="19"/>
        <v>0</v>
      </c>
      <c r="AO13" s="217" t="str">
        <f t="shared" si="20"/>
        <v>N/A</v>
      </c>
      <c r="AP13" s="217" t="str">
        <f>IF(AND(ISNUMBER(AO13),AN13=TRUE),MAX(0,AO13-SUMIFS($AM$3:$AM12,AN$3:AN12,TRUE)),IF(AND(AN13=TRUE,ISNUMBER(AO13)=FALSE),"ERR","N/A"))</f>
        <v>N/A</v>
      </c>
      <c r="AQ13" s="215" t="str">
        <f t="shared" si="21"/>
        <v>N/A</v>
      </c>
      <c r="AR13" s="219" t="b">
        <f t="shared" si="22"/>
        <v>0</v>
      </c>
      <c r="AS13" s="217" t="str">
        <f t="shared" si="23"/>
        <v>N/A</v>
      </c>
      <c r="AT13" s="217" t="str">
        <f>IF(AND(AR13=TRUE,ISNUMBER(AS13)),MAX(0,AS13-SUMIFS($AM$3:$AM12,AR$3:AR12,TRUE)),IF(AND(AR13=TRUE,ISNUMBER(AS13)=FALSE),"ERR","N/A"))</f>
        <v>N/A</v>
      </c>
      <c r="AU13" s="215" t="str">
        <f t="shared" si="24"/>
        <v>N/A</v>
      </c>
      <c r="AV13" s="219" t="b">
        <f t="shared" si="25"/>
        <v>0</v>
      </c>
      <c r="AW13" s="217" t="str">
        <f t="shared" si="26"/>
        <v>N/A</v>
      </c>
      <c r="AX13" s="217" t="str">
        <f>IF(AND(AV13=TRUE,ISNUMBER(AW13)),MAX(0,AW13-SUMIFS($AM$3:$AM12,AV$3:AV12,TRUE)),IF(AND(AV13=TRUE,ISNUMBER(AW13)=FALSE),"ERR","N/A"))</f>
        <v>N/A</v>
      </c>
      <c r="AY13" s="215" t="str">
        <f t="shared" si="27"/>
        <v>N/A</v>
      </c>
      <c r="AZ13" s="219" t="b">
        <f t="shared" si="28"/>
        <v>0</v>
      </c>
      <c r="BA13" s="217" t="str">
        <f t="shared" si="29"/>
        <v>N/A</v>
      </c>
      <c r="BB13" s="217" t="str">
        <f>IF(AND(AZ13=TRUE,ISNUMBER(BA13)),MAX(0,BA13-SUMIFS($AM$3:$AM12,AZ$3:AZ12,TRUE)),IF(AND(AZ13=TRUE,ISNUMBER(BA13)=FALSE),"ERR","N/A"))</f>
        <v>N/A</v>
      </c>
      <c r="BC13" s="215" t="str">
        <f t="shared" si="30"/>
        <v>N/A</v>
      </c>
      <c r="BD13" s="219" t="b">
        <f t="shared" si="31"/>
        <v>0</v>
      </c>
      <c r="BE13" s="217" t="str">
        <f t="shared" si="32"/>
        <v>N/A</v>
      </c>
      <c r="BF13" s="217" t="str">
        <f>IF(AND(BD13=TRUE,ISNUMBER(BE13)=TRUE),MAX(0,BE13-SUMIFS(AM$3:AM12,BD$3:BD12,TRUE,F$3:F12,F13)),IF(AND(BD13=TRUE,ISNUMBER(BE13)=FALSE),"ERR","N/A"))</f>
        <v>N/A</v>
      </c>
      <c r="BG13" s="215" t="str">
        <f t="shared" si="33"/>
        <v>N/A</v>
      </c>
      <c r="BH13" s="214">
        <f t="shared" si="34"/>
        <v>0</v>
      </c>
      <c r="BI13" s="215">
        <f t="shared" si="54"/>
        <v>0</v>
      </c>
      <c r="BJ13" s="214" t="str">
        <f t="shared" si="55"/>
        <v>N/A</v>
      </c>
      <c r="BK13" s="217">
        <f t="shared" si="35"/>
        <v>0</v>
      </c>
      <c r="BL13" s="220" t="b">
        <f t="shared" si="36"/>
        <v>0</v>
      </c>
      <c r="BM13" s="217" t="str">
        <f t="shared" si="37"/>
        <v>N/A</v>
      </c>
      <c r="BN13" s="217" t="str">
        <f t="shared" si="56"/>
        <v>N/A</v>
      </c>
      <c r="BO13" s="220" t="b">
        <f t="shared" si="38"/>
        <v>0</v>
      </c>
      <c r="BP13" s="244" t="str">
        <f t="shared" si="39"/>
        <v>N/A</v>
      </c>
      <c r="BQ13" s="217" t="str">
        <f t="shared" si="57"/>
        <v>N/A</v>
      </c>
      <c r="BR13" s="215">
        <f t="shared" si="58"/>
        <v>0</v>
      </c>
      <c r="BS13" s="214" t="str">
        <f t="shared" si="59"/>
        <v>N/A</v>
      </c>
      <c r="BT13" s="217">
        <f t="shared" si="60"/>
        <v>0</v>
      </c>
      <c r="BU13" s="215">
        <f t="shared" si="61"/>
        <v>0</v>
      </c>
      <c r="BV13" s="214">
        <f t="shared" si="62"/>
        <v>0</v>
      </c>
      <c r="BW13" s="217">
        <f t="shared" si="40"/>
        <v>3.21</v>
      </c>
      <c r="BX13" s="217">
        <f t="shared" si="41"/>
        <v>0</v>
      </c>
      <c r="BY13" s="217">
        <f t="shared" si="63"/>
        <v>0</v>
      </c>
      <c r="BZ13" s="217">
        <f t="shared" si="42"/>
        <v>0</v>
      </c>
      <c r="CA13" s="217">
        <f t="shared" si="64"/>
        <v>0</v>
      </c>
      <c r="CB13" s="213" t="b">
        <f t="shared" si="43"/>
        <v>1</v>
      </c>
    </row>
    <row r="14" spans="1:81" x14ac:dyDescent="0.25">
      <c r="A14" s="207">
        <v>11</v>
      </c>
      <c r="B14" s="208">
        <v>42372</v>
      </c>
      <c r="C14" s="209">
        <v>1</v>
      </c>
      <c r="D14" s="210">
        <v>19</v>
      </c>
      <c r="E14" s="211" t="str">
        <f t="shared" si="0"/>
        <v>Lisinopril 20mg (Rx) [1 QD; #30 pills/month]</v>
      </c>
      <c r="F14" s="212" t="str">
        <f t="shared" si="44"/>
        <v>Prescription Drugs: Generic</v>
      </c>
      <c r="G14" s="213" t="str">
        <f t="shared" si="45"/>
        <v>Not Covered</v>
      </c>
      <c r="H14" s="214">
        <f t="shared" si="1"/>
        <v>3.38</v>
      </c>
      <c r="I14" s="217">
        <f t="shared" si="2"/>
        <v>3.38</v>
      </c>
      <c r="J14" s="251">
        <f t="shared" si="3"/>
        <v>0</v>
      </c>
      <c r="K14" s="214" t="b">
        <f t="shared" si="4"/>
        <v>0</v>
      </c>
      <c r="L14" s="218" t="str">
        <f t="shared" si="5"/>
        <v>No</v>
      </c>
      <c r="M14" s="217" t="str">
        <f t="shared" si="6"/>
        <v>.</v>
      </c>
      <c r="N14" s="215" t="str">
        <f>IFERROR(IF(AND(L14="Yes",ISNUMBER(M14)),MAX(0,M14-SUMIFS(BU$3:BU13,L$3:L13,"Yes")),IF(OR(L14="No",M14="None"),"N/A","ERR")),"ERR")</f>
        <v>N/A</v>
      </c>
      <c r="O14" s="251" t="b">
        <f t="shared" si="46"/>
        <v>0</v>
      </c>
      <c r="P14" s="251" t="str">
        <f>IF(O14,BENEFIT_PARAMETERS!$C$76,"N/A")</f>
        <v>N/A</v>
      </c>
      <c r="Q14" s="288" t="str">
        <f>IF(P14="Yes", BENEFIT_PARAMETERS!$D$76,"N/A")</f>
        <v>N/A</v>
      </c>
      <c r="R14" s="253" t="str">
        <f t="shared" si="7"/>
        <v>N/A</v>
      </c>
      <c r="S14" s="217">
        <f t="shared" si="47"/>
        <v>0</v>
      </c>
      <c r="T14" s="215">
        <f t="shared" si="8"/>
        <v>0</v>
      </c>
      <c r="U14" s="214" t="b">
        <f t="shared" si="48"/>
        <v>0</v>
      </c>
      <c r="V14" s="251" t="str">
        <f>IF(O14,BENEFIT_PARAMETERS!$C$77,"N/A")</f>
        <v>N/A</v>
      </c>
      <c r="W14" s="288" t="str">
        <f>IF(V14="Yes", BENEFIT_PARAMETERS!$D$77,"N/A")</f>
        <v>N/A</v>
      </c>
      <c r="X14" s="253" t="str">
        <f>IF(O14,COUNTIF(Z$3:Z13,"&gt;0"),"N/A")</f>
        <v>N/A</v>
      </c>
      <c r="Y14" s="217" t="str">
        <f t="shared" si="9"/>
        <v>N/A</v>
      </c>
      <c r="Z14" s="293" t="str">
        <f t="shared" si="49"/>
        <v>N/A</v>
      </c>
      <c r="AA14" s="293">
        <f t="shared" si="50"/>
        <v>0</v>
      </c>
      <c r="AB14" s="293" t="str">
        <f t="shared" si="10"/>
        <v>N/A</v>
      </c>
      <c r="AC14" s="215">
        <f t="shared" si="51"/>
        <v>0</v>
      </c>
      <c r="AD14" s="214" t="b">
        <f t="shared" si="11"/>
        <v>0</v>
      </c>
      <c r="AE14" s="209" t="str">
        <f t="shared" si="12"/>
        <v>.</v>
      </c>
      <c r="AF14" s="216">
        <f t="shared" si="13"/>
        <v>0</v>
      </c>
      <c r="AG14" s="217" t="str">
        <f t="shared" si="14"/>
        <v>N/A</v>
      </c>
      <c r="AH14" s="217" t="b">
        <f t="shared" si="15"/>
        <v>0</v>
      </c>
      <c r="AI14" s="209" t="str">
        <f t="shared" si="16"/>
        <v>.</v>
      </c>
      <c r="AJ14" s="216">
        <f t="shared" si="17"/>
        <v>0</v>
      </c>
      <c r="AK14" s="217" t="str">
        <f t="shared" si="18"/>
        <v>N/A</v>
      </c>
      <c r="AL14" s="217">
        <f t="shared" si="52"/>
        <v>0</v>
      </c>
      <c r="AM14" s="215">
        <f t="shared" si="53"/>
        <v>0</v>
      </c>
      <c r="AN14" s="219" t="b">
        <f t="shared" si="19"/>
        <v>0</v>
      </c>
      <c r="AO14" s="217" t="str">
        <f t="shared" si="20"/>
        <v>N/A</v>
      </c>
      <c r="AP14" s="217" t="str">
        <f>IF(AND(ISNUMBER(AO14),AN14=TRUE),MAX(0,AO14-SUMIFS($AM$3:$AM13,AN$3:AN13,TRUE)),IF(AND(AN14=TRUE,ISNUMBER(AO14)=FALSE),"ERR","N/A"))</f>
        <v>N/A</v>
      </c>
      <c r="AQ14" s="215" t="str">
        <f t="shared" si="21"/>
        <v>N/A</v>
      </c>
      <c r="AR14" s="219" t="b">
        <f t="shared" si="22"/>
        <v>0</v>
      </c>
      <c r="AS14" s="217" t="str">
        <f t="shared" si="23"/>
        <v>N/A</v>
      </c>
      <c r="AT14" s="217" t="str">
        <f>IF(AND(AR14=TRUE,ISNUMBER(AS14)),MAX(0,AS14-SUMIFS($AM$3:$AM13,AR$3:AR13,TRUE)),IF(AND(AR14=TRUE,ISNUMBER(AS14)=FALSE),"ERR","N/A"))</f>
        <v>N/A</v>
      </c>
      <c r="AU14" s="215" t="str">
        <f t="shared" si="24"/>
        <v>N/A</v>
      </c>
      <c r="AV14" s="219" t="b">
        <f t="shared" si="25"/>
        <v>0</v>
      </c>
      <c r="AW14" s="217" t="str">
        <f t="shared" si="26"/>
        <v>N/A</v>
      </c>
      <c r="AX14" s="217" t="str">
        <f>IF(AND(AV14=TRUE,ISNUMBER(AW14)),MAX(0,AW14-SUMIFS($AM$3:$AM13,AV$3:AV13,TRUE)),IF(AND(AV14=TRUE,ISNUMBER(AW14)=FALSE),"ERR","N/A"))</f>
        <v>N/A</v>
      </c>
      <c r="AY14" s="215" t="str">
        <f t="shared" si="27"/>
        <v>N/A</v>
      </c>
      <c r="AZ14" s="219" t="b">
        <f t="shared" si="28"/>
        <v>0</v>
      </c>
      <c r="BA14" s="217" t="str">
        <f t="shared" si="29"/>
        <v>N/A</v>
      </c>
      <c r="BB14" s="217" t="str">
        <f>IF(AND(AZ14=TRUE,ISNUMBER(BA14)),MAX(0,BA14-SUMIFS($AM$3:$AM13,AZ$3:AZ13,TRUE)),IF(AND(AZ14=TRUE,ISNUMBER(BA14)=FALSE),"ERR","N/A"))</f>
        <v>N/A</v>
      </c>
      <c r="BC14" s="215" t="str">
        <f t="shared" si="30"/>
        <v>N/A</v>
      </c>
      <c r="BD14" s="219" t="b">
        <f t="shared" si="31"/>
        <v>0</v>
      </c>
      <c r="BE14" s="217" t="str">
        <f t="shared" si="32"/>
        <v>N/A</v>
      </c>
      <c r="BF14" s="217" t="str">
        <f>IF(AND(BD14=TRUE,ISNUMBER(BE14)=TRUE),MAX(0,BE14-SUMIFS(AM$3:AM13,BD$3:BD13,TRUE,F$3:F13,F14)),IF(AND(BD14=TRUE,ISNUMBER(BE14)=FALSE),"ERR","N/A"))</f>
        <v>N/A</v>
      </c>
      <c r="BG14" s="215" t="str">
        <f t="shared" si="33"/>
        <v>N/A</v>
      </c>
      <c r="BH14" s="214">
        <f t="shared" si="34"/>
        <v>0</v>
      </c>
      <c r="BI14" s="215">
        <f t="shared" si="54"/>
        <v>0</v>
      </c>
      <c r="BJ14" s="214" t="str">
        <f t="shared" si="55"/>
        <v>N/A</v>
      </c>
      <c r="BK14" s="217">
        <f t="shared" si="35"/>
        <v>0</v>
      </c>
      <c r="BL14" s="220" t="b">
        <f t="shared" si="36"/>
        <v>0</v>
      </c>
      <c r="BM14" s="217" t="str">
        <f t="shared" si="37"/>
        <v>N/A</v>
      </c>
      <c r="BN14" s="217" t="str">
        <f t="shared" si="56"/>
        <v>N/A</v>
      </c>
      <c r="BO14" s="220" t="b">
        <f t="shared" si="38"/>
        <v>0</v>
      </c>
      <c r="BP14" s="244" t="str">
        <f t="shared" si="39"/>
        <v>N/A</v>
      </c>
      <c r="BQ14" s="217" t="str">
        <f t="shared" si="57"/>
        <v>N/A</v>
      </c>
      <c r="BR14" s="215">
        <f t="shared" si="58"/>
        <v>0</v>
      </c>
      <c r="BS14" s="214" t="str">
        <f t="shared" si="59"/>
        <v>N/A</v>
      </c>
      <c r="BT14" s="217">
        <f t="shared" si="60"/>
        <v>0</v>
      </c>
      <c r="BU14" s="215">
        <f t="shared" si="61"/>
        <v>0</v>
      </c>
      <c r="BV14" s="214">
        <f t="shared" si="62"/>
        <v>0</v>
      </c>
      <c r="BW14" s="217">
        <f t="shared" si="40"/>
        <v>3.38</v>
      </c>
      <c r="BX14" s="217">
        <f t="shared" si="41"/>
        <v>0</v>
      </c>
      <c r="BY14" s="217">
        <f t="shared" si="63"/>
        <v>0</v>
      </c>
      <c r="BZ14" s="217">
        <f t="shared" si="42"/>
        <v>0</v>
      </c>
      <c r="CA14" s="217">
        <f t="shared" si="64"/>
        <v>0</v>
      </c>
      <c r="CB14" s="213" t="b">
        <f t="shared" si="43"/>
        <v>1</v>
      </c>
    </row>
    <row r="15" spans="1:81" x14ac:dyDescent="0.25">
      <c r="A15" s="207">
        <v>12</v>
      </c>
      <c r="B15" s="208">
        <v>42372</v>
      </c>
      <c r="C15" s="209">
        <v>1</v>
      </c>
      <c r="D15" s="210">
        <v>33</v>
      </c>
      <c r="E15" s="211" t="str">
        <f t="shared" si="0"/>
        <v>Atorvastatin 40 MG tablet 90 CT [ #30 pills/month]</v>
      </c>
      <c r="F15" s="212" t="str">
        <f t="shared" si="44"/>
        <v>Prescription Drugs: Generic</v>
      </c>
      <c r="G15" s="213" t="str">
        <f t="shared" si="45"/>
        <v>Not Covered</v>
      </c>
      <c r="H15" s="214">
        <f t="shared" si="1"/>
        <v>9.66</v>
      </c>
      <c r="I15" s="217">
        <f t="shared" si="2"/>
        <v>9.66</v>
      </c>
      <c r="J15" s="251">
        <f t="shared" si="3"/>
        <v>0</v>
      </c>
      <c r="K15" s="214" t="b">
        <f t="shared" si="4"/>
        <v>0</v>
      </c>
      <c r="L15" s="218" t="str">
        <f t="shared" si="5"/>
        <v>No</v>
      </c>
      <c r="M15" s="217" t="str">
        <f t="shared" si="6"/>
        <v>.</v>
      </c>
      <c r="N15" s="215" t="str">
        <f>IFERROR(IF(AND(L15="Yes",ISNUMBER(M15)),MAX(0,M15-SUMIFS(BU$3:BU14,L$3:L14,"Yes")),IF(OR(L15="No",M15="None"),"N/A","ERR")),"ERR")</f>
        <v>N/A</v>
      </c>
      <c r="O15" s="251" t="b">
        <f t="shared" si="46"/>
        <v>0</v>
      </c>
      <c r="P15" s="251" t="str">
        <f>IF(O15,BENEFIT_PARAMETERS!$C$76,"N/A")</f>
        <v>N/A</v>
      </c>
      <c r="Q15" s="288" t="str">
        <f>IF(P15="Yes", BENEFIT_PARAMETERS!$D$76,"N/A")</f>
        <v>N/A</v>
      </c>
      <c r="R15" s="253" t="str">
        <f t="shared" si="7"/>
        <v>N/A</v>
      </c>
      <c r="S15" s="217">
        <f t="shared" si="47"/>
        <v>0</v>
      </c>
      <c r="T15" s="215">
        <f t="shared" si="8"/>
        <v>0</v>
      </c>
      <c r="U15" s="214" t="b">
        <f t="shared" si="48"/>
        <v>0</v>
      </c>
      <c r="V15" s="251" t="str">
        <f>IF(O15,BENEFIT_PARAMETERS!$C$77,"N/A")</f>
        <v>N/A</v>
      </c>
      <c r="W15" s="288" t="str">
        <f>IF(V15="Yes", BENEFIT_PARAMETERS!$D$77,"N/A")</f>
        <v>N/A</v>
      </c>
      <c r="X15" s="253" t="str">
        <f>IF(O15,COUNTIF(Z$3:Z14,"&gt;0"),"N/A")</f>
        <v>N/A</v>
      </c>
      <c r="Y15" s="217" t="str">
        <f t="shared" si="9"/>
        <v>N/A</v>
      </c>
      <c r="Z15" s="293" t="str">
        <f t="shared" si="49"/>
        <v>N/A</v>
      </c>
      <c r="AA15" s="293">
        <f t="shared" si="50"/>
        <v>0</v>
      </c>
      <c r="AB15" s="293" t="str">
        <f t="shared" si="10"/>
        <v>N/A</v>
      </c>
      <c r="AC15" s="215">
        <f t="shared" si="51"/>
        <v>0</v>
      </c>
      <c r="AD15" s="214" t="b">
        <f t="shared" si="11"/>
        <v>0</v>
      </c>
      <c r="AE15" s="209" t="str">
        <f t="shared" si="12"/>
        <v>.</v>
      </c>
      <c r="AF15" s="216">
        <f t="shared" si="13"/>
        <v>0</v>
      </c>
      <c r="AG15" s="217" t="str">
        <f t="shared" si="14"/>
        <v>N/A</v>
      </c>
      <c r="AH15" s="217" t="b">
        <f t="shared" si="15"/>
        <v>0</v>
      </c>
      <c r="AI15" s="209" t="str">
        <f t="shared" si="16"/>
        <v>.</v>
      </c>
      <c r="AJ15" s="216">
        <f t="shared" si="17"/>
        <v>0</v>
      </c>
      <c r="AK15" s="217" t="str">
        <f t="shared" si="18"/>
        <v>N/A</v>
      </c>
      <c r="AL15" s="217">
        <f t="shared" si="52"/>
        <v>0</v>
      </c>
      <c r="AM15" s="215">
        <f t="shared" si="53"/>
        <v>0</v>
      </c>
      <c r="AN15" s="219" t="b">
        <f t="shared" si="19"/>
        <v>0</v>
      </c>
      <c r="AO15" s="217" t="str">
        <f t="shared" si="20"/>
        <v>N/A</v>
      </c>
      <c r="AP15" s="217" t="str">
        <f>IF(AND(ISNUMBER(AO15),AN15=TRUE),MAX(0,AO15-SUMIFS($AM$3:$AM14,AN$3:AN14,TRUE)),IF(AND(AN15=TRUE,ISNUMBER(AO15)=FALSE),"ERR","N/A"))</f>
        <v>N/A</v>
      </c>
      <c r="AQ15" s="215" t="str">
        <f t="shared" si="21"/>
        <v>N/A</v>
      </c>
      <c r="AR15" s="219" t="b">
        <f t="shared" si="22"/>
        <v>0</v>
      </c>
      <c r="AS15" s="217" t="str">
        <f t="shared" si="23"/>
        <v>N/A</v>
      </c>
      <c r="AT15" s="217" t="str">
        <f>IF(AND(AR15=TRUE,ISNUMBER(AS15)),MAX(0,AS15-SUMIFS($AM$3:$AM14,AR$3:AR14,TRUE)),IF(AND(AR15=TRUE,ISNUMBER(AS15)=FALSE),"ERR","N/A"))</f>
        <v>N/A</v>
      </c>
      <c r="AU15" s="215" t="str">
        <f t="shared" si="24"/>
        <v>N/A</v>
      </c>
      <c r="AV15" s="219" t="b">
        <f t="shared" si="25"/>
        <v>0</v>
      </c>
      <c r="AW15" s="217" t="str">
        <f t="shared" si="26"/>
        <v>N/A</v>
      </c>
      <c r="AX15" s="217" t="str">
        <f>IF(AND(AV15=TRUE,ISNUMBER(AW15)),MAX(0,AW15-SUMIFS($AM$3:$AM14,AV$3:AV14,TRUE)),IF(AND(AV15=TRUE,ISNUMBER(AW15)=FALSE),"ERR","N/A"))</f>
        <v>N/A</v>
      </c>
      <c r="AY15" s="215" t="str">
        <f t="shared" si="27"/>
        <v>N/A</v>
      </c>
      <c r="AZ15" s="219" t="b">
        <f t="shared" si="28"/>
        <v>0</v>
      </c>
      <c r="BA15" s="217" t="str">
        <f t="shared" si="29"/>
        <v>N/A</v>
      </c>
      <c r="BB15" s="217" t="str">
        <f>IF(AND(AZ15=TRUE,ISNUMBER(BA15)),MAX(0,BA15-SUMIFS($AM$3:$AM14,AZ$3:AZ14,TRUE)),IF(AND(AZ15=TRUE,ISNUMBER(BA15)=FALSE),"ERR","N/A"))</f>
        <v>N/A</v>
      </c>
      <c r="BC15" s="215" t="str">
        <f t="shared" si="30"/>
        <v>N/A</v>
      </c>
      <c r="BD15" s="219" t="b">
        <f t="shared" si="31"/>
        <v>0</v>
      </c>
      <c r="BE15" s="217" t="str">
        <f t="shared" si="32"/>
        <v>N/A</v>
      </c>
      <c r="BF15" s="217" t="str">
        <f>IF(AND(BD15=TRUE,ISNUMBER(BE15)=TRUE),MAX(0,BE15-SUMIFS(AM$3:AM14,BD$3:BD14,TRUE,F$3:F14,F15)),IF(AND(BD15=TRUE,ISNUMBER(BE15)=FALSE),"ERR","N/A"))</f>
        <v>N/A</v>
      </c>
      <c r="BG15" s="215" t="str">
        <f t="shared" si="33"/>
        <v>N/A</v>
      </c>
      <c r="BH15" s="214">
        <f t="shared" si="34"/>
        <v>0</v>
      </c>
      <c r="BI15" s="215">
        <f t="shared" si="54"/>
        <v>0</v>
      </c>
      <c r="BJ15" s="214" t="str">
        <f t="shared" si="55"/>
        <v>N/A</v>
      </c>
      <c r="BK15" s="217">
        <f t="shared" si="35"/>
        <v>0</v>
      </c>
      <c r="BL15" s="220" t="b">
        <f t="shared" si="36"/>
        <v>0</v>
      </c>
      <c r="BM15" s="217" t="str">
        <f t="shared" si="37"/>
        <v>N/A</v>
      </c>
      <c r="BN15" s="217" t="str">
        <f t="shared" si="56"/>
        <v>N/A</v>
      </c>
      <c r="BO15" s="220" t="b">
        <f t="shared" si="38"/>
        <v>0</v>
      </c>
      <c r="BP15" s="244" t="str">
        <f t="shared" si="39"/>
        <v>N/A</v>
      </c>
      <c r="BQ15" s="217" t="str">
        <f t="shared" si="57"/>
        <v>N/A</v>
      </c>
      <c r="BR15" s="215">
        <f t="shared" si="58"/>
        <v>0</v>
      </c>
      <c r="BS15" s="214" t="str">
        <f t="shared" si="59"/>
        <v>N/A</v>
      </c>
      <c r="BT15" s="217">
        <f t="shared" si="60"/>
        <v>0</v>
      </c>
      <c r="BU15" s="215">
        <f t="shared" si="61"/>
        <v>0</v>
      </c>
      <c r="BV15" s="214">
        <f t="shared" si="62"/>
        <v>0</v>
      </c>
      <c r="BW15" s="217">
        <f t="shared" si="40"/>
        <v>9.66</v>
      </c>
      <c r="BX15" s="217">
        <f t="shared" si="41"/>
        <v>0</v>
      </c>
      <c r="BY15" s="217">
        <f t="shared" si="63"/>
        <v>0</v>
      </c>
      <c r="BZ15" s="217">
        <f t="shared" si="42"/>
        <v>0</v>
      </c>
      <c r="CA15" s="217">
        <f t="shared" si="64"/>
        <v>0</v>
      </c>
      <c r="CB15" s="213" t="b">
        <f t="shared" si="43"/>
        <v>1</v>
      </c>
    </row>
    <row r="16" spans="1:81" x14ac:dyDescent="0.25">
      <c r="A16" s="207">
        <v>13</v>
      </c>
      <c r="B16" s="208">
        <v>42372</v>
      </c>
      <c r="C16" s="209">
        <v>1</v>
      </c>
      <c r="D16" s="210">
        <v>13</v>
      </c>
      <c r="E16" s="211" t="str">
        <f t="shared" si="0"/>
        <v>Assay of Urine Creatinine</v>
      </c>
      <c r="F16" s="212" t="str">
        <f t="shared" si="44"/>
        <v>Diagnostic Services: Laboratory</v>
      </c>
      <c r="G16" s="213" t="str">
        <f t="shared" si="45"/>
        <v>Not Covered</v>
      </c>
      <c r="H16" s="214">
        <f t="shared" si="1"/>
        <v>9.5299999999999994</v>
      </c>
      <c r="I16" s="217">
        <f t="shared" si="2"/>
        <v>9.5299999999999994</v>
      </c>
      <c r="J16" s="251">
        <f t="shared" si="3"/>
        <v>0</v>
      </c>
      <c r="K16" s="214" t="b">
        <f t="shared" si="4"/>
        <v>0</v>
      </c>
      <c r="L16" s="218" t="str">
        <f t="shared" si="5"/>
        <v>No</v>
      </c>
      <c r="M16" s="217" t="str">
        <f t="shared" si="6"/>
        <v>.</v>
      </c>
      <c r="N16" s="215" t="str">
        <f>IFERROR(IF(AND(L16="Yes",ISNUMBER(M16)),MAX(0,M16-SUMIFS(BU$3:BU15,L$3:L15,"Yes")),IF(OR(L16="No",M16="None"),"N/A","ERR")),"ERR")</f>
        <v>N/A</v>
      </c>
      <c r="O16" s="251" t="b">
        <f t="shared" si="46"/>
        <v>0</v>
      </c>
      <c r="P16" s="251" t="str">
        <f>IF(O16,BENEFIT_PARAMETERS!$C$76,"N/A")</f>
        <v>N/A</v>
      </c>
      <c r="Q16" s="288" t="str">
        <f>IF(P16="Yes", BENEFIT_PARAMETERS!$D$76,"N/A")</f>
        <v>N/A</v>
      </c>
      <c r="R16" s="253" t="str">
        <f t="shared" si="7"/>
        <v>N/A</v>
      </c>
      <c r="S16" s="217">
        <f t="shared" si="47"/>
        <v>0</v>
      </c>
      <c r="T16" s="215">
        <f t="shared" si="8"/>
        <v>0</v>
      </c>
      <c r="U16" s="214" t="b">
        <f t="shared" si="48"/>
        <v>0</v>
      </c>
      <c r="V16" s="251" t="str">
        <f>IF(O16,BENEFIT_PARAMETERS!$C$77,"N/A")</f>
        <v>N/A</v>
      </c>
      <c r="W16" s="288" t="str">
        <f>IF(V16="Yes", BENEFIT_PARAMETERS!$D$77,"N/A")</f>
        <v>N/A</v>
      </c>
      <c r="X16" s="253" t="str">
        <f>IF(O16,COUNTIF(Z$3:Z15,"&gt;0"),"N/A")</f>
        <v>N/A</v>
      </c>
      <c r="Y16" s="217" t="str">
        <f t="shared" si="9"/>
        <v>N/A</v>
      </c>
      <c r="Z16" s="293" t="str">
        <f t="shared" si="49"/>
        <v>N/A</v>
      </c>
      <c r="AA16" s="293">
        <f t="shared" si="50"/>
        <v>0</v>
      </c>
      <c r="AB16" s="293" t="str">
        <f t="shared" si="10"/>
        <v>N/A</v>
      </c>
      <c r="AC16" s="215">
        <f t="shared" si="51"/>
        <v>0</v>
      </c>
      <c r="AD16" s="214" t="b">
        <f t="shared" si="11"/>
        <v>0</v>
      </c>
      <c r="AE16" s="209" t="str">
        <f t="shared" si="12"/>
        <v>.</v>
      </c>
      <c r="AF16" s="216">
        <f t="shared" si="13"/>
        <v>0</v>
      </c>
      <c r="AG16" s="217" t="str">
        <f t="shared" si="14"/>
        <v>N/A</v>
      </c>
      <c r="AH16" s="217" t="b">
        <f t="shared" si="15"/>
        <v>0</v>
      </c>
      <c r="AI16" s="209" t="str">
        <f t="shared" si="16"/>
        <v>.</v>
      </c>
      <c r="AJ16" s="216">
        <f t="shared" si="17"/>
        <v>0</v>
      </c>
      <c r="AK16" s="217" t="str">
        <f t="shared" si="18"/>
        <v>N/A</v>
      </c>
      <c r="AL16" s="217">
        <f t="shared" si="52"/>
        <v>0</v>
      </c>
      <c r="AM16" s="215">
        <f t="shared" si="53"/>
        <v>0</v>
      </c>
      <c r="AN16" s="219" t="b">
        <f t="shared" si="19"/>
        <v>0</v>
      </c>
      <c r="AO16" s="217" t="str">
        <f t="shared" si="20"/>
        <v>N/A</v>
      </c>
      <c r="AP16" s="217" t="str">
        <f>IF(AND(ISNUMBER(AO16),AN16=TRUE),MAX(0,AO16-SUMIFS($AM$3:$AM15,AN$3:AN15,TRUE)),IF(AND(AN16=TRUE,ISNUMBER(AO16)=FALSE),"ERR","N/A"))</f>
        <v>N/A</v>
      </c>
      <c r="AQ16" s="215" t="str">
        <f t="shared" si="21"/>
        <v>N/A</v>
      </c>
      <c r="AR16" s="219" t="b">
        <f t="shared" si="22"/>
        <v>0</v>
      </c>
      <c r="AS16" s="217" t="str">
        <f t="shared" si="23"/>
        <v>N/A</v>
      </c>
      <c r="AT16" s="217" t="str">
        <f>IF(AND(AR16=TRUE,ISNUMBER(AS16)),MAX(0,AS16-SUMIFS($AM$3:$AM15,AR$3:AR15,TRUE)),IF(AND(AR16=TRUE,ISNUMBER(AS16)=FALSE),"ERR","N/A"))</f>
        <v>N/A</v>
      </c>
      <c r="AU16" s="215" t="str">
        <f t="shared" si="24"/>
        <v>N/A</v>
      </c>
      <c r="AV16" s="219" t="b">
        <f t="shared" si="25"/>
        <v>0</v>
      </c>
      <c r="AW16" s="217" t="str">
        <f t="shared" si="26"/>
        <v>N/A</v>
      </c>
      <c r="AX16" s="217" t="str">
        <f>IF(AND(AV16=TRUE,ISNUMBER(AW16)),MAX(0,AW16-SUMIFS($AM$3:$AM15,AV$3:AV15,TRUE)),IF(AND(AV16=TRUE,ISNUMBER(AW16)=FALSE),"ERR","N/A"))</f>
        <v>N/A</v>
      </c>
      <c r="AY16" s="215" t="str">
        <f t="shared" si="27"/>
        <v>N/A</v>
      </c>
      <c r="AZ16" s="219" t="b">
        <f t="shared" si="28"/>
        <v>0</v>
      </c>
      <c r="BA16" s="217" t="str">
        <f t="shared" si="29"/>
        <v>N/A</v>
      </c>
      <c r="BB16" s="217" t="str">
        <f>IF(AND(AZ16=TRUE,ISNUMBER(BA16)),MAX(0,BA16-SUMIFS($AM$3:$AM15,AZ$3:AZ15,TRUE)),IF(AND(AZ16=TRUE,ISNUMBER(BA16)=FALSE),"ERR","N/A"))</f>
        <v>N/A</v>
      </c>
      <c r="BC16" s="215" t="str">
        <f t="shared" si="30"/>
        <v>N/A</v>
      </c>
      <c r="BD16" s="219" t="b">
        <f t="shared" si="31"/>
        <v>0</v>
      </c>
      <c r="BE16" s="217" t="str">
        <f t="shared" si="32"/>
        <v>N/A</v>
      </c>
      <c r="BF16" s="217" t="str">
        <f>IF(AND(BD16=TRUE,ISNUMBER(BE16)=TRUE),MAX(0,BE16-SUMIFS(AM$3:AM15,BD$3:BD15,TRUE,F$3:F15,F16)),IF(AND(BD16=TRUE,ISNUMBER(BE16)=FALSE),"ERR","N/A"))</f>
        <v>N/A</v>
      </c>
      <c r="BG16" s="215" t="str">
        <f t="shared" si="33"/>
        <v>N/A</v>
      </c>
      <c r="BH16" s="214">
        <f t="shared" si="34"/>
        <v>0</v>
      </c>
      <c r="BI16" s="215">
        <f t="shared" si="54"/>
        <v>0</v>
      </c>
      <c r="BJ16" s="214" t="str">
        <f t="shared" si="55"/>
        <v>N/A</v>
      </c>
      <c r="BK16" s="217">
        <f t="shared" si="35"/>
        <v>0</v>
      </c>
      <c r="BL16" s="220" t="b">
        <f t="shared" si="36"/>
        <v>0</v>
      </c>
      <c r="BM16" s="217" t="str">
        <f t="shared" si="37"/>
        <v>N/A</v>
      </c>
      <c r="BN16" s="217" t="str">
        <f t="shared" si="56"/>
        <v>N/A</v>
      </c>
      <c r="BO16" s="220" t="b">
        <f t="shared" si="38"/>
        <v>0</v>
      </c>
      <c r="BP16" s="244" t="str">
        <f t="shared" si="39"/>
        <v>N/A</v>
      </c>
      <c r="BQ16" s="217" t="str">
        <f t="shared" si="57"/>
        <v>N/A</v>
      </c>
      <c r="BR16" s="215">
        <f t="shared" si="58"/>
        <v>0</v>
      </c>
      <c r="BS16" s="214" t="str">
        <f t="shared" si="59"/>
        <v>N/A</v>
      </c>
      <c r="BT16" s="217">
        <f t="shared" si="60"/>
        <v>0</v>
      </c>
      <c r="BU16" s="215">
        <f t="shared" si="61"/>
        <v>0</v>
      </c>
      <c r="BV16" s="214">
        <f t="shared" si="62"/>
        <v>0</v>
      </c>
      <c r="BW16" s="217">
        <f t="shared" si="40"/>
        <v>9.5299999999999994</v>
      </c>
      <c r="BX16" s="217">
        <f t="shared" si="41"/>
        <v>0</v>
      </c>
      <c r="BY16" s="217">
        <f t="shared" si="63"/>
        <v>0</v>
      </c>
      <c r="BZ16" s="217">
        <f t="shared" si="42"/>
        <v>0</v>
      </c>
      <c r="CA16" s="217">
        <f t="shared" si="64"/>
        <v>0</v>
      </c>
      <c r="CB16" s="213" t="b">
        <f t="shared" si="43"/>
        <v>1</v>
      </c>
      <c r="CC16" s="189"/>
    </row>
    <row r="17" spans="1:80" x14ac:dyDescent="0.25">
      <c r="A17" s="207">
        <v>14</v>
      </c>
      <c r="B17" s="208">
        <v>42372</v>
      </c>
      <c r="C17" s="209">
        <v>1</v>
      </c>
      <c r="D17" s="210">
        <v>8</v>
      </c>
      <c r="E17" s="211" t="str">
        <f t="shared" si="0"/>
        <v>Comprehen Metabolic Panel</v>
      </c>
      <c r="F17" s="212" t="str">
        <f t="shared" si="44"/>
        <v>Diagnostic Services: Laboratory</v>
      </c>
      <c r="G17" s="213" t="str">
        <f t="shared" si="45"/>
        <v>Not Covered</v>
      </c>
      <c r="H17" s="214">
        <f t="shared" si="1"/>
        <v>29.63</v>
      </c>
      <c r="I17" s="217">
        <f t="shared" si="2"/>
        <v>29.63</v>
      </c>
      <c r="J17" s="251">
        <f t="shared" si="3"/>
        <v>0</v>
      </c>
      <c r="K17" s="214" t="b">
        <f t="shared" si="4"/>
        <v>0</v>
      </c>
      <c r="L17" s="218" t="str">
        <f t="shared" si="5"/>
        <v>No</v>
      </c>
      <c r="M17" s="217" t="str">
        <f t="shared" si="6"/>
        <v>.</v>
      </c>
      <c r="N17" s="215" t="str">
        <f>IFERROR(IF(AND(L17="Yes",ISNUMBER(M17)),MAX(0,M17-SUMIFS(BU$3:BU16,L$3:L16,"Yes")),IF(OR(L17="No",M17="None"),"N/A","ERR")),"ERR")</f>
        <v>N/A</v>
      </c>
      <c r="O17" s="251" t="b">
        <f t="shared" si="46"/>
        <v>0</v>
      </c>
      <c r="P17" s="251" t="str">
        <f>IF(O17,BENEFIT_PARAMETERS!$C$76,"N/A")</f>
        <v>N/A</v>
      </c>
      <c r="Q17" s="288" t="str">
        <f>IF(P17="Yes", BENEFIT_PARAMETERS!$D$76,"N/A")</f>
        <v>N/A</v>
      </c>
      <c r="R17" s="253" t="str">
        <f t="shared" si="7"/>
        <v>N/A</v>
      </c>
      <c r="S17" s="217">
        <f t="shared" si="47"/>
        <v>0</v>
      </c>
      <c r="T17" s="215">
        <f t="shared" si="8"/>
        <v>0</v>
      </c>
      <c r="U17" s="214" t="b">
        <f t="shared" si="48"/>
        <v>0</v>
      </c>
      <c r="V17" s="251" t="str">
        <f>IF(O17,BENEFIT_PARAMETERS!$C$77,"N/A")</f>
        <v>N/A</v>
      </c>
      <c r="W17" s="288" t="str">
        <f>IF(V17="Yes", BENEFIT_PARAMETERS!$D$77,"N/A")</f>
        <v>N/A</v>
      </c>
      <c r="X17" s="253" t="str">
        <f>IF(O17,COUNTIF(Z$3:Z16,"&gt;0"),"N/A")</f>
        <v>N/A</v>
      </c>
      <c r="Y17" s="217" t="str">
        <f t="shared" si="9"/>
        <v>N/A</v>
      </c>
      <c r="Z17" s="293" t="str">
        <f t="shared" si="49"/>
        <v>N/A</v>
      </c>
      <c r="AA17" s="293">
        <f t="shared" si="50"/>
        <v>0</v>
      </c>
      <c r="AB17" s="293" t="str">
        <f t="shared" si="10"/>
        <v>N/A</v>
      </c>
      <c r="AC17" s="215">
        <f t="shared" si="51"/>
        <v>0</v>
      </c>
      <c r="AD17" s="214" t="b">
        <f t="shared" si="11"/>
        <v>0</v>
      </c>
      <c r="AE17" s="209" t="str">
        <f t="shared" si="12"/>
        <v>.</v>
      </c>
      <c r="AF17" s="216">
        <f t="shared" si="13"/>
        <v>0</v>
      </c>
      <c r="AG17" s="217" t="str">
        <f t="shared" si="14"/>
        <v>N/A</v>
      </c>
      <c r="AH17" s="217" t="b">
        <f t="shared" si="15"/>
        <v>0</v>
      </c>
      <c r="AI17" s="209" t="str">
        <f t="shared" si="16"/>
        <v>.</v>
      </c>
      <c r="AJ17" s="216">
        <f t="shared" si="17"/>
        <v>0</v>
      </c>
      <c r="AK17" s="217" t="str">
        <f t="shared" si="18"/>
        <v>N/A</v>
      </c>
      <c r="AL17" s="217">
        <f t="shared" si="52"/>
        <v>0</v>
      </c>
      <c r="AM17" s="215">
        <f t="shared" si="53"/>
        <v>0</v>
      </c>
      <c r="AN17" s="219" t="b">
        <f t="shared" si="19"/>
        <v>0</v>
      </c>
      <c r="AO17" s="217" t="str">
        <f t="shared" si="20"/>
        <v>N/A</v>
      </c>
      <c r="AP17" s="217" t="str">
        <f>IF(AND(ISNUMBER(AO17),AN17=TRUE),MAX(0,AO17-SUMIFS($AM$3:$AM16,AN$3:AN16,TRUE)),IF(AND(AN17=TRUE,ISNUMBER(AO17)=FALSE),"ERR","N/A"))</f>
        <v>N/A</v>
      </c>
      <c r="AQ17" s="215" t="str">
        <f t="shared" si="21"/>
        <v>N/A</v>
      </c>
      <c r="AR17" s="219" t="b">
        <f t="shared" si="22"/>
        <v>0</v>
      </c>
      <c r="AS17" s="217" t="str">
        <f t="shared" si="23"/>
        <v>N/A</v>
      </c>
      <c r="AT17" s="217" t="str">
        <f>IF(AND(AR17=TRUE,ISNUMBER(AS17)),MAX(0,AS17-SUMIFS($AM$3:$AM16,AR$3:AR16,TRUE)),IF(AND(AR17=TRUE,ISNUMBER(AS17)=FALSE),"ERR","N/A"))</f>
        <v>N/A</v>
      </c>
      <c r="AU17" s="215" t="str">
        <f t="shared" si="24"/>
        <v>N/A</v>
      </c>
      <c r="AV17" s="219" t="b">
        <f t="shared" si="25"/>
        <v>0</v>
      </c>
      <c r="AW17" s="217" t="str">
        <f t="shared" si="26"/>
        <v>N/A</v>
      </c>
      <c r="AX17" s="217" t="str">
        <f>IF(AND(AV17=TRUE,ISNUMBER(AW17)),MAX(0,AW17-SUMIFS($AM$3:$AM16,AV$3:AV16,TRUE)),IF(AND(AV17=TRUE,ISNUMBER(AW17)=FALSE),"ERR","N/A"))</f>
        <v>N/A</v>
      </c>
      <c r="AY17" s="215" t="str">
        <f t="shared" si="27"/>
        <v>N/A</v>
      </c>
      <c r="AZ17" s="219" t="b">
        <f t="shared" si="28"/>
        <v>0</v>
      </c>
      <c r="BA17" s="217" t="str">
        <f t="shared" si="29"/>
        <v>N/A</v>
      </c>
      <c r="BB17" s="217" t="str">
        <f>IF(AND(AZ17=TRUE,ISNUMBER(BA17)),MAX(0,BA17-SUMIFS($AM$3:$AM16,AZ$3:AZ16,TRUE)),IF(AND(AZ17=TRUE,ISNUMBER(BA17)=FALSE),"ERR","N/A"))</f>
        <v>N/A</v>
      </c>
      <c r="BC17" s="215" t="str">
        <f t="shared" si="30"/>
        <v>N/A</v>
      </c>
      <c r="BD17" s="219" t="b">
        <f t="shared" si="31"/>
        <v>0</v>
      </c>
      <c r="BE17" s="217" t="str">
        <f t="shared" si="32"/>
        <v>N/A</v>
      </c>
      <c r="BF17" s="217" t="str">
        <f>IF(AND(BD17=TRUE,ISNUMBER(BE17)=TRUE),MAX(0,BE17-SUMIFS(AM$3:AM16,BD$3:BD16,TRUE,F$3:F16,F17)),IF(AND(BD17=TRUE,ISNUMBER(BE17)=FALSE),"ERR","N/A"))</f>
        <v>N/A</v>
      </c>
      <c r="BG17" s="215" t="str">
        <f t="shared" si="33"/>
        <v>N/A</v>
      </c>
      <c r="BH17" s="214">
        <f t="shared" si="34"/>
        <v>0</v>
      </c>
      <c r="BI17" s="215">
        <f t="shared" si="54"/>
        <v>0</v>
      </c>
      <c r="BJ17" s="214" t="str">
        <f t="shared" si="55"/>
        <v>N/A</v>
      </c>
      <c r="BK17" s="217">
        <f t="shared" si="35"/>
        <v>0</v>
      </c>
      <c r="BL17" s="220" t="b">
        <f t="shared" si="36"/>
        <v>0</v>
      </c>
      <c r="BM17" s="217" t="str">
        <f t="shared" si="37"/>
        <v>N/A</v>
      </c>
      <c r="BN17" s="217" t="str">
        <f t="shared" si="56"/>
        <v>N/A</v>
      </c>
      <c r="BO17" s="220" t="b">
        <f t="shared" si="38"/>
        <v>0</v>
      </c>
      <c r="BP17" s="244" t="str">
        <f t="shared" si="39"/>
        <v>N/A</v>
      </c>
      <c r="BQ17" s="217" t="str">
        <f t="shared" si="57"/>
        <v>N/A</v>
      </c>
      <c r="BR17" s="215">
        <f t="shared" si="58"/>
        <v>0</v>
      </c>
      <c r="BS17" s="214" t="str">
        <f t="shared" si="59"/>
        <v>N/A</v>
      </c>
      <c r="BT17" s="217">
        <f t="shared" si="60"/>
        <v>0</v>
      </c>
      <c r="BU17" s="215">
        <f t="shared" si="61"/>
        <v>0</v>
      </c>
      <c r="BV17" s="214">
        <f t="shared" si="62"/>
        <v>0</v>
      </c>
      <c r="BW17" s="217">
        <f t="shared" si="40"/>
        <v>29.63</v>
      </c>
      <c r="BX17" s="217">
        <f t="shared" si="41"/>
        <v>0</v>
      </c>
      <c r="BY17" s="217">
        <f t="shared" si="63"/>
        <v>0</v>
      </c>
      <c r="BZ17" s="217">
        <f t="shared" si="42"/>
        <v>0</v>
      </c>
      <c r="CA17" s="217">
        <f t="shared" si="64"/>
        <v>0</v>
      </c>
      <c r="CB17" s="213" t="b">
        <f t="shared" si="43"/>
        <v>1</v>
      </c>
    </row>
    <row r="18" spans="1:80" x14ac:dyDescent="0.25">
      <c r="A18" s="207">
        <v>15</v>
      </c>
      <c r="B18" s="208">
        <v>42372</v>
      </c>
      <c r="C18" s="209">
        <v>1</v>
      </c>
      <c r="D18" s="210">
        <v>16</v>
      </c>
      <c r="E18" s="211" t="str">
        <f t="shared" si="0"/>
        <v>Glycosylated Hemoglobin Test</v>
      </c>
      <c r="F18" s="212" t="str">
        <f t="shared" si="44"/>
        <v>Diagnostic Services: Laboratory</v>
      </c>
      <c r="G18" s="213" t="str">
        <f t="shared" si="45"/>
        <v>Not Covered</v>
      </c>
      <c r="H18" s="214">
        <f t="shared" si="1"/>
        <v>16.98</v>
      </c>
      <c r="I18" s="217">
        <f t="shared" si="2"/>
        <v>16.98</v>
      </c>
      <c r="J18" s="251">
        <f t="shared" si="3"/>
        <v>0</v>
      </c>
      <c r="K18" s="214" t="b">
        <f t="shared" si="4"/>
        <v>0</v>
      </c>
      <c r="L18" s="218" t="str">
        <f t="shared" si="5"/>
        <v>No</v>
      </c>
      <c r="M18" s="217" t="str">
        <f t="shared" si="6"/>
        <v>.</v>
      </c>
      <c r="N18" s="215" t="str">
        <f>IFERROR(IF(AND(L18="Yes",ISNUMBER(M18)),MAX(0,M18-SUMIFS(BU$3:BU17,L$3:L17,"Yes")),IF(OR(L18="No",M18="None"),"N/A","ERR")),"ERR")</f>
        <v>N/A</v>
      </c>
      <c r="O18" s="251" t="b">
        <f t="shared" si="46"/>
        <v>0</v>
      </c>
      <c r="P18" s="251" t="str">
        <f>IF(O18,BENEFIT_PARAMETERS!$C$76,"N/A")</f>
        <v>N/A</v>
      </c>
      <c r="Q18" s="288" t="str">
        <f>IF(P18="Yes", BENEFIT_PARAMETERS!$D$76,"N/A")</f>
        <v>N/A</v>
      </c>
      <c r="R18" s="253" t="str">
        <f t="shared" si="7"/>
        <v>N/A</v>
      </c>
      <c r="S18" s="217">
        <f t="shared" si="47"/>
        <v>0</v>
      </c>
      <c r="T18" s="215">
        <f t="shared" si="8"/>
        <v>0</v>
      </c>
      <c r="U18" s="214" t="b">
        <f t="shared" si="48"/>
        <v>0</v>
      </c>
      <c r="V18" s="251" t="str">
        <f>IF(O18,BENEFIT_PARAMETERS!$C$77,"N/A")</f>
        <v>N/A</v>
      </c>
      <c r="W18" s="288" t="str">
        <f>IF(V18="Yes", BENEFIT_PARAMETERS!$D$77,"N/A")</f>
        <v>N/A</v>
      </c>
      <c r="X18" s="253" t="str">
        <f>IF(O18,COUNTIF(Z$3:Z17,"&gt;0"),"N/A")</f>
        <v>N/A</v>
      </c>
      <c r="Y18" s="217" t="str">
        <f t="shared" si="9"/>
        <v>N/A</v>
      </c>
      <c r="Z18" s="293" t="str">
        <f t="shared" si="49"/>
        <v>N/A</v>
      </c>
      <c r="AA18" s="293">
        <f t="shared" si="50"/>
        <v>0</v>
      </c>
      <c r="AB18" s="293" t="str">
        <f t="shared" si="10"/>
        <v>N/A</v>
      </c>
      <c r="AC18" s="215">
        <f t="shared" si="51"/>
        <v>0</v>
      </c>
      <c r="AD18" s="214" t="b">
        <f t="shared" si="11"/>
        <v>0</v>
      </c>
      <c r="AE18" s="209" t="str">
        <f t="shared" si="12"/>
        <v>.</v>
      </c>
      <c r="AF18" s="216">
        <f t="shared" si="13"/>
        <v>0</v>
      </c>
      <c r="AG18" s="217" t="str">
        <f t="shared" si="14"/>
        <v>N/A</v>
      </c>
      <c r="AH18" s="217" t="b">
        <f t="shared" si="15"/>
        <v>0</v>
      </c>
      <c r="AI18" s="209" t="str">
        <f t="shared" si="16"/>
        <v>.</v>
      </c>
      <c r="AJ18" s="216">
        <f t="shared" si="17"/>
        <v>0</v>
      </c>
      <c r="AK18" s="217" t="str">
        <f t="shared" si="18"/>
        <v>N/A</v>
      </c>
      <c r="AL18" s="217">
        <f t="shared" si="52"/>
        <v>0</v>
      </c>
      <c r="AM18" s="215">
        <f t="shared" si="53"/>
        <v>0</v>
      </c>
      <c r="AN18" s="219" t="b">
        <f t="shared" si="19"/>
        <v>0</v>
      </c>
      <c r="AO18" s="217" t="str">
        <f t="shared" si="20"/>
        <v>N/A</v>
      </c>
      <c r="AP18" s="217" t="str">
        <f>IF(AND(ISNUMBER(AO18),AN18=TRUE),MAX(0,AO18-SUMIFS($AM$3:$AM17,AN$3:AN17,TRUE)),IF(AND(AN18=TRUE,ISNUMBER(AO18)=FALSE),"ERR","N/A"))</f>
        <v>N/A</v>
      </c>
      <c r="AQ18" s="215" t="str">
        <f t="shared" si="21"/>
        <v>N/A</v>
      </c>
      <c r="AR18" s="219" t="b">
        <f t="shared" si="22"/>
        <v>0</v>
      </c>
      <c r="AS18" s="217" t="str">
        <f t="shared" si="23"/>
        <v>N/A</v>
      </c>
      <c r="AT18" s="217" t="str">
        <f>IF(AND(AR18=TRUE,ISNUMBER(AS18)),MAX(0,AS18-SUMIFS($AM$3:$AM17,AR$3:AR17,TRUE)),IF(AND(AR18=TRUE,ISNUMBER(AS18)=FALSE),"ERR","N/A"))</f>
        <v>N/A</v>
      </c>
      <c r="AU18" s="215" t="str">
        <f t="shared" si="24"/>
        <v>N/A</v>
      </c>
      <c r="AV18" s="219" t="b">
        <f t="shared" si="25"/>
        <v>0</v>
      </c>
      <c r="AW18" s="217" t="str">
        <f t="shared" si="26"/>
        <v>N/A</v>
      </c>
      <c r="AX18" s="217" t="str">
        <f>IF(AND(AV18=TRUE,ISNUMBER(AW18)),MAX(0,AW18-SUMIFS($AM$3:$AM17,AV$3:AV17,TRUE)),IF(AND(AV18=TRUE,ISNUMBER(AW18)=FALSE),"ERR","N/A"))</f>
        <v>N/A</v>
      </c>
      <c r="AY18" s="215" t="str">
        <f t="shared" si="27"/>
        <v>N/A</v>
      </c>
      <c r="AZ18" s="219" t="b">
        <f t="shared" si="28"/>
        <v>0</v>
      </c>
      <c r="BA18" s="217" t="str">
        <f t="shared" si="29"/>
        <v>N/A</v>
      </c>
      <c r="BB18" s="217" t="str">
        <f>IF(AND(AZ18=TRUE,ISNUMBER(BA18)),MAX(0,BA18-SUMIFS($AM$3:$AM17,AZ$3:AZ17,TRUE)),IF(AND(AZ18=TRUE,ISNUMBER(BA18)=FALSE),"ERR","N/A"))</f>
        <v>N/A</v>
      </c>
      <c r="BC18" s="215" t="str">
        <f t="shared" si="30"/>
        <v>N/A</v>
      </c>
      <c r="BD18" s="219" t="b">
        <f t="shared" si="31"/>
        <v>0</v>
      </c>
      <c r="BE18" s="217" t="str">
        <f t="shared" si="32"/>
        <v>N/A</v>
      </c>
      <c r="BF18" s="217" t="str">
        <f>IF(AND(BD18=TRUE,ISNUMBER(BE18)=TRUE),MAX(0,BE18-SUMIFS(AM$3:AM17,BD$3:BD17,TRUE,F$3:F17,F18)),IF(AND(BD18=TRUE,ISNUMBER(BE18)=FALSE),"ERR","N/A"))</f>
        <v>N/A</v>
      </c>
      <c r="BG18" s="215" t="str">
        <f t="shared" si="33"/>
        <v>N/A</v>
      </c>
      <c r="BH18" s="214">
        <f t="shared" si="34"/>
        <v>0</v>
      </c>
      <c r="BI18" s="215">
        <f t="shared" si="54"/>
        <v>0</v>
      </c>
      <c r="BJ18" s="214" t="str">
        <f t="shared" si="55"/>
        <v>N/A</v>
      </c>
      <c r="BK18" s="217">
        <f t="shared" si="35"/>
        <v>0</v>
      </c>
      <c r="BL18" s="220" t="b">
        <f t="shared" si="36"/>
        <v>0</v>
      </c>
      <c r="BM18" s="217" t="str">
        <f t="shared" si="37"/>
        <v>N/A</v>
      </c>
      <c r="BN18" s="217" t="str">
        <f t="shared" si="56"/>
        <v>N/A</v>
      </c>
      <c r="BO18" s="220" t="b">
        <f t="shared" si="38"/>
        <v>0</v>
      </c>
      <c r="BP18" s="244" t="str">
        <f t="shared" si="39"/>
        <v>N/A</v>
      </c>
      <c r="BQ18" s="217" t="str">
        <f t="shared" si="57"/>
        <v>N/A</v>
      </c>
      <c r="BR18" s="215">
        <f t="shared" si="58"/>
        <v>0</v>
      </c>
      <c r="BS18" s="214" t="str">
        <f t="shared" si="59"/>
        <v>N/A</v>
      </c>
      <c r="BT18" s="217">
        <f t="shared" si="60"/>
        <v>0</v>
      </c>
      <c r="BU18" s="215">
        <f t="shared" si="61"/>
        <v>0</v>
      </c>
      <c r="BV18" s="214">
        <f t="shared" si="62"/>
        <v>0</v>
      </c>
      <c r="BW18" s="217">
        <f t="shared" si="40"/>
        <v>16.98</v>
      </c>
      <c r="BX18" s="217">
        <f t="shared" si="41"/>
        <v>0</v>
      </c>
      <c r="BY18" s="217">
        <f t="shared" si="63"/>
        <v>0</v>
      </c>
      <c r="BZ18" s="217">
        <f t="shared" si="42"/>
        <v>0</v>
      </c>
      <c r="CA18" s="217">
        <f t="shared" si="64"/>
        <v>0</v>
      </c>
      <c r="CB18" s="213" t="b">
        <f t="shared" si="43"/>
        <v>1</v>
      </c>
    </row>
    <row r="19" spans="1:80" x14ac:dyDescent="0.25">
      <c r="A19" s="207">
        <v>16</v>
      </c>
      <c r="B19" s="208">
        <v>42372</v>
      </c>
      <c r="C19" s="209">
        <v>1</v>
      </c>
      <c r="D19" s="210">
        <v>9</v>
      </c>
      <c r="E19" s="211" t="str">
        <f t="shared" si="0"/>
        <v>Lipid panel</v>
      </c>
      <c r="F19" s="212" t="str">
        <f t="shared" si="44"/>
        <v>Diagnostic Services: Laboratory</v>
      </c>
      <c r="G19" s="213" t="str">
        <f t="shared" si="45"/>
        <v>Not Covered</v>
      </c>
      <c r="H19" s="214">
        <f t="shared" si="1"/>
        <v>23.4</v>
      </c>
      <c r="I19" s="217">
        <f t="shared" si="2"/>
        <v>23.4</v>
      </c>
      <c r="J19" s="251">
        <f t="shared" si="3"/>
        <v>0</v>
      </c>
      <c r="K19" s="214" t="b">
        <f t="shared" si="4"/>
        <v>0</v>
      </c>
      <c r="L19" s="218" t="str">
        <f t="shared" si="5"/>
        <v>No</v>
      </c>
      <c r="M19" s="217" t="str">
        <f t="shared" si="6"/>
        <v>.</v>
      </c>
      <c r="N19" s="215" t="str">
        <f>IFERROR(IF(AND(L19="Yes",ISNUMBER(M19)),MAX(0,M19-SUMIFS(BU$3:BU18,L$3:L18,"Yes")),IF(OR(L19="No",M19="None"),"N/A","ERR")),"ERR")</f>
        <v>N/A</v>
      </c>
      <c r="O19" s="251" t="b">
        <f t="shared" si="46"/>
        <v>0</v>
      </c>
      <c r="P19" s="251" t="str">
        <f>IF(O19,BENEFIT_PARAMETERS!$C$76,"N/A")</f>
        <v>N/A</v>
      </c>
      <c r="Q19" s="288" t="str">
        <f>IF(P19="Yes", BENEFIT_PARAMETERS!$D$76,"N/A")</f>
        <v>N/A</v>
      </c>
      <c r="R19" s="253" t="str">
        <f t="shared" si="7"/>
        <v>N/A</v>
      </c>
      <c r="S19" s="217">
        <f t="shared" si="47"/>
        <v>0</v>
      </c>
      <c r="T19" s="215">
        <f t="shared" si="8"/>
        <v>0</v>
      </c>
      <c r="U19" s="214" t="b">
        <f t="shared" si="48"/>
        <v>0</v>
      </c>
      <c r="V19" s="251" t="str">
        <f>IF(O19,BENEFIT_PARAMETERS!$C$77,"N/A")</f>
        <v>N/A</v>
      </c>
      <c r="W19" s="288" t="str">
        <f>IF(V19="Yes", BENEFIT_PARAMETERS!$D$77,"N/A")</f>
        <v>N/A</v>
      </c>
      <c r="X19" s="253" t="str">
        <f>IF(O19,COUNTIF(Z$3:Z18,"&gt;0"),"N/A")</f>
        <v>N/A</v>
      </c>
      <c r="Y19" s="217" t="str">
        <f t="shared" si="9"/>
        <v>N/A</v>
      </c>
      <c r="Z19" s="293" t="str">
        <f t="shared" si="49"/>
        <v>N/A</v>
      </c>
      <c r="AA19" s="293">
        <f t="shared" si="50"/>
        <v>0</v>
      </c>
      <c r="AB19" s="293" t="str">
        <f t="shared" si="10"/>
        <v>N/A</v>
      </c>
      <c r="AC19" s="215">
        <f t="shared" si="51"/>
        <v>0</v>
      </c>
      <c r="AD19" s="214" t="b">
        <f t="shared" si="11"/>
        <v>0</v>
      </c>
      <c r="AE19" s="209" t="str">
        <f t="shared" si="12"/>
        <v>.</v>
      </c>
      <c r="AF19" s="216">
        <f t="shared" si="13"/>
        <v>0</v>
      </c>
      <c r="AG19" s="217" t="str">
        <f t="shared" si="14"/>
        <v>N/A</v>
      </c>
      <c r="AH19" s="217" t="b">
        <f t="shared" si="15"/>
        <v>0</v>
      </c>
      <c r="AI19" s="209" t="str">
        <f t="shared" si="16"/>
        <v>.</v>
      </c>
      <c r="AJ19" s="216">
        <f t="shared" si="17"/>
        <v>0</v>
      </c>
      <c r="AK19" s="217" t="str">
        <f t="shared" si="18"/>
        <v>N/A</v>
      </c>
      <c r="AL19" s="217">
        <f t="shared" si="52"/>
        <v>0</v>
      </c>
      <c r="AM19" s="215">
        <f t="shared" si="53"/>
        <v>0</v>
      </c>
      <c r="AN19" s="219" t="b">
        <f t="shared" si="19"/>
        <v>0</v>
      </c>
      <c r="AO19" s="217" t="str">
        <f t="shared" si="20"/>
        <v>N/A</v>
      </c>
      <c r="AP19" s="217" t="str">
        <f>IF(AND(ISNUMBER(AO19),AN19=TRUE),MAX(0,AO19-SUMIFS($AM$3:$AM18,AN$3:AN18,TRUE)),IF(AND(AN19=TRUE,ISNUMBER(AO19)=FALSE),"ERR","N/A"))</f>
        <v>N/A</v>
      </c>
      <c r="AQ19" s="215" t="str">
        <f t="shared" si="21"/>
        <v>N/A</v>
      </c>
      <c r="AR19" s="219" t="b">
        <f t="shared" si="22"/>
        <v>0</v>
      </c>
      <c r="AS19" s="217" t="str">
        <f t="shared" si="23"/>
        <v>N/A</v>
      </c>
      <c r="AT19" s="217" t="str">
        <f>IF(AND(AR19=TRUE,ISNUMBER(AS19)),MAX(0,AS19-SUMIFS($AM$3:$AM18,AR$3:AR18,TRUE)),IF(AND(AR19=TRUE,ISNUMBER(AS19)=FALSE),"ERR","N/A"))</f>
        <v>N/A</v>
      </c>
      <c r="AU19" s="215" t="str">
        <f t="shared" si="24"/>
        <v>N/A</v>
      </c>
      <c r="AV19" s="219" t="b">
        <f t="shared" si="25"/>
        <v>0</v>
      </c>
      <c r="AW19" s="217" t="str">
        <f t="shared" si="26"/>
        <v>N/A</v>
      </c>
      <c r="AX19" s="217" t="str">
        <f>IF(AND(AV19=TRUE,ISNUMBER(AW19)),MAX(0,AW19-SUMIFS($AM$3:$AM18,AV$3:AV18,TRUE)),IF(AND(AV19=TRUE,ISNUMBER(AW19)=FALSE),"ERR","N/A"))</f>
        <v>N/A</v>
      </c>
      <c r="AY19" s="215" t="str">
        <f t="shared" si="27"/>
        <v>N/A</v>
      </c>
      <c r="AZ19" s="219" t="b">
        <f t="shared" si="28"/>
        <v>0</v>
      </c>
      <c r="BA19" s="217" t="str">
        <f t="shared" si="29"/>
        <v>N/A</v>
      </c>
      <c r="BB19" s="217" t="str">
        <f>IF(AND(AZ19=TRUE,ISNUMBER(BA19)),MAX(0,BA19-SUMIFS($AM$3:$AM18,AZ$3:AZ18,TRUE)),IF(AND(AZ19=TRUE,ISNUMBER(BA19)=FALSE),"ERR","N/A"))</f>
        <v>N/A</v>
      </c>
      <c r="BC19" s="215" t="str">
        <f t="shared" si="30"/>
        <v>N/A</v>
      </c>
      <c r="BD19" s="219" t="b">
        <f t="shared" si="31"/>
        <v>0</v>
      </c>
      <c r="BE19" s="217" t="str">
        <f t="shared" si="32"/>
        <v>N/A</v>
      </c>
      <c r="BF19" s="217" t="str">
        <f>IF(AND(BD19=TRUE,ISNUMBER(BE19)=TRUE),MAX(0,BE19-SUMIFS(AM$3:AM18,BD$3:BD18,TRUE,F$3:F18,F19)),IF(AND(BD19=TRUE,ISNUMBER(BE19)=FALSE),"ERR","N/A"))</f>
        <v>N/A</v>
      </c>
      <c r="BG19" s="215" t="str">
        <f t="shared" si="33"/>
        <v>N/A</v>
      </c>
      <c r="BH19" s="214">
        <f t="shared" si="34"/>
        <v>0</v>
      </c>
      <c r="BI19" s="215">
        <f t="shared" si="54"/>
        <v>0</v>
      </c>
      <c r="BJ19" s="214" t="str">
        <f t="shared" si="55"/>
        <v>N/A</v>
      </c>
      <c r="BK19" s="217">
        <f t="shared" si="35"/>
        <v>0</v>
      </c>
      <c r="BL19" s="220" t="b">
        <f t="shared" si="36"/>
        <v>0</v>
      </c>
      <c r="BM19" s="217" t="str">
        <f t="shared" si="37"/>
        <v>N/A</v>
      </c>
      <c r="BN19" s="217" t="str">
        <f t="shared" si="56"/>
        <v>N/A</v>
      </c>
      <c r="BO19" s="220" t="b">
        <f t="shared" si="38"/>
        <v>0</v>
      </c>
      <c r="BP19" s="244" t="str">
        <f t="shared" si="39"/>
        <v>N/A</v>
      </c>
      <c r="BQ19" s="217" t="str">
        <f t="shared" si="57"/>
        <v>N/A</v>
      </c>
      <c r="BR19" s="215">
        <f t="shared" si="58"/>
        <v>0</v>
      </c>
      <c r="BS19" s="214" t="str">
        <f t="shared" si="59"/>
        <v>N/A</v>
      </c>
      <c r="BT19" s="217">
        <f t="shared" si="60"/>
        <v>0</v>
      </c>
      <c r="BU19" s="215">
        <f t="shared" si="61"/>
        <v>0</v>
      </c>
      <c r="BV19" s="214">
        <f t="shared" si="62"/>
        <v>0</v>
      </c>
      <c r="BW19" s="217">
        <f t="shared" si="40"/>
        <v>23.4</v>
      </c>
      <c r="BX19" s="217">
        <f t="shared" si="41"/>
        <v>0</v>
      </c>
      <c r="BY19" s="217">
        <f t="shared" si="63"/>
        <v>0</v>
      </c>
      <c r="BZ19" s="217">
        <f t="shared" si="42"/>
        <v>0</v>
      </c>
      <c r="CA19" s="217">
        <f t="shared" si="64"/>
        <v>0</v>
      </c>
      <c r="CB19" s="213" t="b">
        <f t="shared" si="43"/>
        <v>1</v>
      </c>
    </row>
    <row r="20" spans="1:80" x14ac:dyDescent="0.25">
      <c r="A20" s="207">
        <v>17</v>
      </c>
      <c r="B20" s="208">
        <v>42372</v>
      </c>
      <c r="C20" s="209">
        <v>1</v>
      </c>
      <c r="D20" s="210">
        <v>12</v>
      </c>
      <c r="E20" s="211" t="str">
        <f t="shared" si="0"/>
        <v>Microalbumin Quantitative</v>
      </c>
      <c r="F20" s="212" t="str">
        <f t="shared" si="44"/>
        <v>Diagnostic Services: Laboratory</v>
      </c>
      <c r="G20" s="213" t="str">
        <f t="shared" si="45"/>
        <v>Not Covered</v>
      </c>
      <c r="H20" s="214">
        <f t="shared" si="1"/>
        <v>13.1</v>
      </c>
      <c r="I20" s="217">
        <f t="shared" si="2"/>
        <v>13.1</v>
      </c>
      <c r="J20" s="251">
        <f t="shared" si="3"/>
        <v>0</v>
      </c>
      <c r="K20" s="214" t="b">
        <f t="shared" si="4"/>
        <v>0</v>
      </c>
      <c r="L20" s="218" t="str">
        <f t="shared" si="5"/>
        <v>No</v>
      </c>
      <c r="M20" s="217" t="str">
        <f t="shared" si="6"/>
        <v>.</v>
      </c>
      <c r="N20" s="215" t="str">
        <f>IFERROR(IF(AND(L20="Yes",ISNUMBER(M20)),MAX(0,M20-SUMIFS(BU$3:BU19,L$3:L19,"Yes")),IF(OR(L20="No",M20="None"),"N/A","ERR")),"ERR")</f>
        <v>N/A</v>
      </c>
      <c r="O20" s="251" t="b">
        <f t="shared" si="46"/>
        <v>0</v>
      </c>
      <c r="P20" s="251" t="str">
        <f>IF(O20,BENEFIT_PARAMETERS!$C$76,"N/A")</f>
        <v>N/A</v>
      </c>
      <c r="Q20" s="288" t="str">
        <f>IF(P20="Yes", BENEFIT_PARAMETERS!$D$76,"N/A")</f>
        <v>N/A</v>
      </c>
      <c r="R20" s="253" t="str">
        <f t="shared" si="7"/>
        <v>N/A</v>
      </c>
      <c r="S20" s="217">
        <f t="shared" si="47"/>
        <v>0</v>
      </c>
      <c r="T20" s="215">
        <f t="shared" si="8"/>
        <v>0</v>
      </c>
      <c r="U20" s="214" t="b">
        <f t="shared" si="48"/>
        <v>0</v>
      </c>
      <c r="V20" s="251" t="str">
        <f>IF(O20,BENEFIT_PARAMETERS!$C$77,"N/A")</f>
        <v>N/A</v>
      </c>
      <c r="W20" s="288" t="str">
        <f>IF(V20="Yes", BENEFIT_PARAMETERS!$D$77,"N/A")</f>
        <v>N/A</v>
      </c>
      <c r="X20" s="253" t="str">
        <f>IF(O20,COUNTIF(Z$3:Z19,"&gt;0"),"N/A")</f>
        <v>N/A</v>
      </c>
      <c r="Y20" s="217" t="str">
        <f t="shared" si="9"/>
        <v>N/A</v>
      </c>
      <c r="Z20" s="293" t="str">
        <f t="shared" si="49"/>
        <v>N/A</v>
      </c>
      <c r="AA20" s="293">
        <f t="shared" si="50"/>
        <v>0</v>
      </c>
      <c r="AB20" s="293" t="str">
        <f t="shared" si="10"/>
        <v>N/A</v>
      </c>
      <c r="AC20" s="215">
        <f t="shared" si="51"/>
        <v>0</v>
      </c>
      <c r="AD20" s="214" t="b">
        <f t="shared" si="11"/>
        <v>0</v>
      </c>
      <c r="AE20" s="209" t="str">
        <f t="shared" si="12"/>
        <v>.</v>
      </c>
      <c r="AF20" s="216">
        <f t="shared" si="13"/>
        <v>0</v>
      </c>
      <c r="AG20" s="217" t="str">
        <f t="shared" si="14"/>
        <v>N/A</v>
      </c>
      <c r="AH20" s="217" t="b">
        <f t="shared" si="15"/>
        <v>0</v>
      </c>
      <c r="AI20" s="209" t="str">
        <f t="shared" si="16"/>
        <v>.</v>
      </c>
      <c r="AJ20" s="216">
        <f t="shared" si="17"/>
        <v>0</v>
      </c>
      <c r="AK20" s="217" t="str">
        <f t="shared" si="18"/>
        <v>N/A</v>
      </c>
      <c r="AL20" s="217">
        <f t="shared" si="52"/>
        <v>0</v>
      </c>
      <c r="AM20" s="215">
        <f t="shared" si="53"/>
        <v>0</v>
      </c>
      <c r="AN20" s="219" t="b">
        <f t="shared" si="19"/>
        <v>0</v>
      </c>
      <c r="AO20" s="217" t="str">
        <f t="shared" si="20"/>
        <v>N/A</v>
      </c>
      <c r="AP20" s="217" t="str">
        <f>IF(AND(ISNUMBER(AO20),AN20=TRUE),MAX(0,AO20-SUMIFS($AM$3:$AM19,AN$3:AN19,TRUE)),IF(AND(AN20=TRUE,ISNUMBER(AO20)=FALSE),"ERR","N/A"))</f>
        <v>N/A</v>
      </c>
      <c r="AQ20" s="215" t="str">
        <f t="shared" si="21"/>
        <v>N/A</v>
      </c>
      <c r="AR20" s="219" t="b">
        <f t="shared" si="22"/>
        <v>0</v>
      </c>
      <c r="AS20" s="217" t="str">
        <f t="shared" si="23"/>
        <v>N/A</v>
      </c>
      <c r="AT20" s="217" t="str">
        <f>IF(AND(AR20=TRUE,ISNUMBER(AS20)),MAX(0,AS20-SUMIFS($AM$3:$AM19,AR$3:AR19,TRUE)),IF(AND(AR20=TRUE,ISNUMBER(AS20)=FALSE),"ERR","N/A"))</f>
        <v>N/A</v>
      </c>
      <c r="AU20" s="215" t="str">
        <f t="shared" si="24"/>
        <v>N/A</v>
      </c>
      <c r="AV20" s="219" t="b">
        <f t="shared" si="25"/>
        <v>0</v>
      </c>
      <c r="AW20" s="217" t="str">
        <f t="shared" si="26"/>
        <v>N/A</v>
      </c>
      <c r="AX20" s="217" t="str">
        <f>IF(AND(AV20=TRUE,ISNUMBER(AW20)),MAX(0,AW20-SUMIFS($AM$3:$AM19,AV$3:AV19,TRUE)),IF(AND(AV20=TRUE,ISNUMBER(AW20)=FALSE),"ERR","N/A"))</f>
        <v>N/A</v>
      </c>
      <c r="AY20" s="215" t="str">
        <f t="shared" si="27"/>
        <v>N/A</v>
      </c>
      <c r="AZ20" s="219" t="b">
        <f t="shared" si="28"/>
        <v>0</v>
      </c>
      <c r="BA20" s="217" t="str">
        <f t="shared" si="29"/>
        <v>N/A</v>
      </c>
      <c r="BB20" s="217" t="str">
        <f>IF(AND(AZ20=TRUE,ISNUMBER(BA20)),MAX(0,BA20-SUMIFS($AM$3:$AM19,AZ$3:AZ19,TRUE)),IF(AND(AZ20=TRUE,ISNUMBER(BA20)=FALSE),"ERR","N/A"))</f>
        <v>N/A</v>
      </c>
      <c r="BC20" s="215" t="str">
        <f t="shared" si="30"/>
        <v>N/A</v>
      </c>
      <c r="BD20" s="219" t="b">
        <f t="shared" si="31"/>
        <v>0</v>
      </c>
      <c r="BE20" s="217" t="str">
        <f t="shared" si="32"/>
        <v>N/A</v>
      </c>
      <c r="BF20" s="217" t="str">
        <f>IF(AND(BD20=TRUE,ISNUMBER(BE20)=TRUE),MAX(0,BE20-SUMIFS(AM$3:AM19,BD$3:BD19,TRUE,F$3:F19,F20)),IF(AND(BD20=TRUE,ISNUMBER(BE20)=FALSE),"ERR","N/A"))</f>
        <v>N/A</v>
      </c>
      <c r="BG20" s="215" t="str">
        <f t="shared" si="33"/>
        <v>N/A</v>
      </c>
      <c r="BH20" s="214">
        <f t="shared" si="34"/>
        <v>0</v>
      </c>
      <c r="BI20" s="215">
        <f t="shared" si="54"/>
        <v>0</v>
      </c>
      <c r="BJ20" s="214" t="str">
        <f t="shared" si="55"/>
        <v>N/A</v>
      </c>
      <c r="BK20" s="217">
        <f t="shared" si="35"/>
        <v>0</v>
      </c>
      <c r="BL20" s="220" t="b">
        <f t="shared" si="36"/>
        <v>0</v>
      </c>
      <c r="BM20" s="217" t="str">
        <f t="shared" si="37"/>
        <v>N/A</v>
      </c>
      <c r="BN20" s="217" t="str">
        <f t="shared" si="56"/>
        <v>N/A</v>
      </c>
      <c r="BO20" s="220" t="b">
        <f t="shared" si="38"/>
        <v>0</v>
      </c>
      <c r="BP20" s="244" t="str">
        <f t="shared" si="39"/>
        <v>N/A</v>
      </c>
      <c r="BQ20" s="217" t="str">
        <f t="shared" si="57"/>
        <v>N/A</v>
      </c>
      <c r="BR20" s="215">
        <f t="shared" si="58"/>
        <v>0</v>
      </c>
      <c r="BS20" s="214" t="str">
        <f t="shared" si="59"/>
        <v>N/A</v>
      </c>
      <c r="BT20" s="217">
        <f t="shared" si="60"/>
        <v>0</v>
      </c>
      <c r="BU20" s="215">
        <f t="shared" si="61"/>
        <v>0</v>
      </c>
      <c r="BV20" s="214">
        <f t="shared" si="62"/>
        <v>0</v>
      </c>
      <c r="BW20" s="217">
        <f t="shared" si="40"/>
        <v>13.1</v>
      </c>
      <c r="BX20" s="217">
        <f t="shared" si="41"/>
        <v>0</v>
      </c>
      <c r="BY20" s="217">
        <f t="shared" si="63"/>
        <v>0</v>
      </c>
      <c r="BZ20" s="217">
        <f t="shared" si="42"/>
        <v>0</v>
      </c>
      <c r="CA20" s="217">
        <f t="shared" si="64"/>
        <v>0</v>
      </c>
      <c r="CB20" s="213" t="b">
        <f t="shared" si="43"/>
        <v>1</v>
      </c>
    </row>
    <row r="21" spans="1:80" x14ac:dyDescent="0.25">
      <c r="A21" s="207">
        <v>18</v>
      </c>
      <c r="B21" s="208">
        <v>42372</v>
      </c>
      <c r="C21" s="209">
        <v>1</v>
      </c>
      <c r="D21" s="210">
        <v>2</v>
      </c>
      <c r="E21" s="211" t="str">
        <f t="shared" si="0"/>
        <v>Routine Venipuncture</v>
      </c>
      <c r="F21" s="212" t="str">
        <f t="shared" si="44"/>
        <v>Diagnostic Services: Laboratory</v>
      </c>
      <c r="G21" s="213" t="str">
        <f t="shared" si="45"/>
        <v>Not Covered</v>
      </c>
      <c r="H21" s="214">
        <f t="shared" si="1"/>
        <v>6.43</v>
      </c>
      <c r="I21" s="217">
        <f t="shared" si="2"/>
        <v>6.43</v>
      </c>
      <c r="J21" s="251">
        <f t="shared" si="3"/>
        <v>0</v>
      </c>
      <c r="K21" s="214" t="b">
        <f t="shared" si="4"/>
        <v>0</v>
      </c>
      <c r="L21" s="218" t="str">
        <f t="shared" si="5"/>
        <v>No</v>
      </c>
      <c r="M21" s="217" t="str">
        <f t="shared" si="6"/>
        <v>.</v>
      </c>
      <c r="N21" s="215" t="str">
        <f>IFERROR(IF(AND(L21="Yes",ISNUMBER(M21)),MAX(0,M21-SUMIFS(BU$3:BU20,L$3:L20,"Yes")),IF(OR(L21="No",M21="None"),"N/A","ERR")),"ERR")</f>
        <v>N/A</v>
      </c>
      <c r="O21" s="251" t="b">
        <f t="shared" si="46"/>
        <v>0</v>
      </c>
      <c r="P21" s="251" t="str">
        <f>IF(O21,BENEFIT_PARAMETERS!$C$76,"N/A")</f>
        <v>N/A</v>
      </c>
      <c r="Q21" s="288" t="str">
        <f>IF(P21="Yes", BENEFIT_PARAMETERS!$D$76,"N/A")</f>
        <v>N/A</v>
      </c>
      <c r="R21" s="253" t="str">
        <f t="shared" si="7"/>
        <v>N/A</v>
      </c>
      <c r="S21" s="217">
        <f t="shared" si="47"/>
        <v>0</v>
      </c>
      <c r="T21" s="215">
        <f t="shared" si="8"/>
        <v>0</v>
      </c>
      <c r="U21" s="214" t="b">
        <f t="shared" si="48"/>
        <v>0</v>
      </c>
      <c r="V21" s="251" t="str">
        <f>IF(O21,BENEFIT_PARAMETERS!$C$77,"N/A")</f>
        <v>N/A</v>
      </c>
      <c r="W21" s="288" t="str">
        <f>IF(V21="Yes", BENEFIT_PARAMETERS!$D$77,"N/A")</f>
        <v>N/A</v>
      </c>
      <c r="X21" s="253" t="str">
        <f>IF(O21,COUNTIF(Z$3:Z20,"&gt;0"),"N/A")</f>
        <v>N/A</v>
      </c>
      <c r="Y21" s="217" t="str">
        <f t="shared" si="9"/>
        <v>N/A</v>
      </c>
      <c r="Z21" s="293" t="str">
        <f t="shared" si="49"/>
        <v>N/A</v>
      </c>
      <c r="AA21" s="293">
        <f t="shared" si="50"/>
        <v>0</v>
      </c>
      <c r="AB21" s="293" t="str">
        <f t="shared" si="10"/>
        <v>N/A</v>
      </c>
      <c r="AC21" s="215">
        <f t="shared" si="51"/>
        <v>0</v>
      </c>
      <c r="AD21" s="214" t="b">
        <f t="shared" si="11"/>
        <v>0</v>
      </c>
      <c r="AE21" s="209" t="str">
        <f t="shared" si="12"/>
        <v>.</v>
      </c>
      <c r="AF21" s="216">
        <f t="shared" si="13"/>
        <v>0</v>
      </c>
      <c r="AG21" s="217" t="str">
        <f t="shared" si="14"/>
        <v>N/A</v>
      </c>
      <c r="AH21" s="217" t="b">
        <f t="shared" si="15"/>
        <v>0</v>
      </c>
      <c r="AI21" s="209" t="str">
        <f t="shared" si="16"/>
        <v>.</v>
      </c>
      <c r="AJ21" s="216">
        <f t="shared" si="17"/>
        <v>0</v>
      </c>
      <c r="AK21" s="217" t="str">
        <f t="shared" si="18"/>
        <v>N/A</v>
      </c>
      <c r="AL21" s="217">
        <f t="shared" si="52"/>
        <v>0</v>
      </c>
      <c r="AM21" s="215">
        <f t="shared" si="53"/>
        <v>0</v>
      </c>
      <c r="AN21" s="219" t="b">
        <f t="shared" si="19"/>
        <v>0</v>
      </c>
      <c r="AO21" s="217" t="str">
        <f t="shared" si="20"/>
        <v>N/A</v>
      </c>
      <c r="AP21" s="217" t="str">
        <f>IF(AND(ISNUMBER(AO21),AN21=TRUE),MAX(0,AO21-SUMIFS($AM$3:$AM20,AN$3:AN20,TRUE)),IF(AND(AN21=TRUE,ISNUMBER(AO21)=FALSE),"ERR","N/A"))</f>
        <v>N/A</v>
      </c>
      <c r="AQ21" s="215" t="str">
        <f t="shared" si="21"/>
        <v>N/A</v>
      </c>
      <c r="AR21" s="219" t="b">
        <f t="shared" si="22"/>
        <v>0</v>
      </c>
      <c r="AS21" s="217" t="str">
        <f t="shared" si="23"/>
        <v>N/A</v>
      </c>
      <c r="AT21" s="217" t="str">
        <f>IF(AND(AR21=TRUE,ISNUMBER(AS21)),MAX(0,AS21-SUMIFS($AM$3:$AM20,AR$3:AR20,TRUE)),IF(AND(AR21=TRUE,ISNUMBER(AS21)=FALSE),"ERR","N/A"))</f>
        <v>N/A</v>
      </c>
      <c r="AU21" s="215" t="str">
        <f t="shared" si="24"/>
        <v>N/A</v>
      </c>
      <c r="AV21" s="219" t="b">
        <f t="shared" si="25"/>
        <v>0</v>
      </c>
      <c r="AW21" s="217" t="str">
        <f t="shared" si="26"/>
        <v>N/A</v>
      </c>
      <c r="AX21" s="217" t="str">
        <f>IF(AND(AV21=TRUE,ISNUMBER(AW21)),MAX(0,AW21-SUMIFS($AM$3:$AM20,AV$3:AV20,TRUE)),IF(AND(AV21=TRUE,ISNUMBER(AW21)=FALSE),"ERR","N/A"))</f>
        <v>N/A</v>
      </c>
      <c r="AY21" s="215" t="str">
        <f t="shared" si="27"/>
        <v>N/A</v>
      </c>
      <c r="AZ21" s="219" t="b">
        <f t="shared" si="28"/>
        <v>0</v>
      </c>
      <c r="BA21" s="217" t="str">
        <f t="shared" si="29"/>
        <v>N/A</v>
      </c>
      <c r="BB21" s="217" t="str">
        <f>IF(AND(AZ21=TRUE,ISNUMBER(BA21)),MAX(0,BA21-SUMIFS($AM$3:$AM20,AZ$3:AZ20,TRUE)),IF(AND(AZ21=TRUE,ISNUMBER(BA21)=FALSE),"ERR","N/A"))</f>
        <v>N/A</v>
      </c>
      <c r="BC21" s="215" t="str">
        <f t="shared" si="30"/>
        <v>N/A</v>
      </c>
      <c r="BD21" s="219" t="b">
        <f t="shared" si="31"/>
        <v>0</v>
      </c>
      <c r="BE21" s="217" t="str">
        <f t="shared" si="32"/>
        <v>N/A</v>
      </c>
      <c r="BF21" s="217" t="str">
        <f>IF(AND(BD21=TRUE,ISNUMBER(BE21)=TRUE),MAX(0,BE21-SUMIFS(AM$3:AM20,BD$3:BD20,TRUE,F$3:F20,F21)),IF(AND(BD21=TRUE,ISNUMBER(BE21)=FALSE),"ERR","N/A"))</f>
        <v>N/A</v>
      </c>
      <c r="BG21" s="215" t="str">
        <f t="shared" si="33"/>
        <v>N/A</v>
      </c>
      <c r="BH21" s="214">
        <f t="shared" si="34"/>
        <v>0</v>
      </c>
      <c r="BI21" s="215">
        <f t="shared" si="54"/>
        <v>0</v>
      </c>
      <c r="BJ21" s="214" t="str">
        <f t="shared" si="55"/>
        <v>N/A</v>
      </c>
      <c r="BK21" s="217">
        <f t="shared" si="35"/>
        <v>0</v>
      </c>
      <c r="BL21" s="220" t="b">
        <f t="shared" si="36"/>
        <v>0</v>
      </c>
      <c r="BM21" s="217" t="str">
        <f t="shared" si="37"/>
        <v>N/A</v>
      </c>
      <c r="BN21" s="217" t="str">
        <f t="shared" si="56"/>
        <v>N/A</v>
      </c>
      <c r="BO21" s="220" t="b">
        <f t="shared" si="38"/>
        <v>0</v>
      </c>
      <c r="BP21" s="244" t="str">
        <f t="shared" si="39"/>
        <v>N/A</v>
      </c>
      <c r="BQ21" s="217" t="str">
        <f t="shared" si="57"/>
        <v>N/A</v>
      </c>
      <c r="BR21" s="215">
        <f t="shared" si="58"/>
        <v>0</v>
      </c>
      <c r="BS21" s="214" t="str">
        <f t="shared" si="59"/>
        <v>N/A</v>
      </c>
      <c r="BT21" s="217">
        <f t="shared" si="60"/>
        <v>0</v>
      </c>
      <c r="BU21" s="215">
        <f t="shared" si="61"/>
        <v>0</v>
      </c>
      <c r="BV21" s="214">
        <f t="shared" si="62"/>
        <v>0</v>
      </c>
      <c r="BW21" s="217">
        <f t="shared" si="40"/>
        <v>6.43</v>
      </c>
      <c r="BX21" s="217">
        <f t="shared" si="41"/>
        <v>0</v>
      </c>
      <c r="BY21" s="217">
        <f t="shared" si="63"/>
        <v>0</v>
      </c>
      <c r="BZ21" s="217">
        <f t="shared" si="42"/>
        <v>0</v>
      </c>
      <c r="CA21" s="217">
        <f t="shared" si="64"/>
        <v>0</v>
      </c>
      <c r="CB21" s="213" t="b">
        <f t="shared" si="43"/>
        <v>1</v>
      </c>
    </row>
    <row r="22" spans="1:80" x14ac:dyDescent="0.25">
      <c r="A22" s="207">
        <v>19</v>
      </c>
      <c r="B22" s="208">
        <v>42372</v>
      </c>
      <c r="C22" s="209">
        <v>1</v>
      </c>
      <c r="D22" s="210">
        <v>24</v>
      </c>
      <c r="E22" s="211" t="str">
        <f t="shared" si="0"/>
        <v>Office/Outpatient Visit Est</v>
      </c>
      <c r="F22" s="212" t="str">
        <f t="shared" si="44"/>
        <v>Professional Services: Primary Care</v>
      </c>
      <c r="G22" s="213" t="str">
        <f t="shared" si="45"/>
        <v>Not Covered</v>
      </c>
      <c r="H22" s="214">
        <f t="shared" si="1"/>
        <v>121.7</v>
      </c>
      <c r="I22" s="217">
        <f t="shared" si="2"/>
        <v>121.7</v>
      </c>
      <c r="J22" s="251">
        <f t="shared" si="3"/>
        <v>0</v>
      </c>
      <c r="K22" s="214" t="b">
        <f t="shared" si="4"/>
        <v>0</v>
      </c>
      <c r="L22" s="218" t="str">
        <f t="shared" si="5"/>
        <v>No</v>
      </c>
      <c r="M22" s="217" t="str">
        <f t="shared" si="6"/>
        <v>.</v>
      </c>
      <c r="N22" s="215" t="str">
        <f>IFERROR(IF(AND(L22="Yes",ISNUMBER(M22)),MAX(0,M22-SUMIFS(BU$3:BU21,L$3:L21,"Yes")),IF(OR(L22="No",M22="None"),"N/A","ERR")),"ERR")</f>
        <v>N/A</v>
      </c>
      <c r="O22" s="251" t="b">
        <f t="shared" si="46"/>
        <v>1</v>
      </c>
      <c r="P22" s="251" t="str">
        <f>IF(O22,BENEFIT_PARAMETERS!$C$76,"N/A")</f>
        <v>.</v>
      </c>
      <c r="Q22" s="288" t="str">
        <f>IF(P22="Yes", BENEFIT_PARAMETERS!$D$76,"N/A")</f>
        <v>N/A</v>
      </c>
      <c r="R22" s="253">
        <f t="shared" si="7"/>
        <v>0</v>
      </c>
      <c r="S22" s="217">
        <f t="shared" si="47"/>
        <v>0</v>
      </c>
      <c r="T22" s="215">
        <f t="shared" si="8"/>
        <v>0</v>
      </c>
      <c r="U22" s="214" t="b">
        <f t="shared" si="48"/>
        <v>1</v>
      </c>
      <c r="V22" s="251" t="str">
        <f>IF(O22,BENEFIT_PARAMETERS!$C$77,"N/A")</f>
        <v>.</v>
      </c>
      <c r="W22" s="288" t="str">
        <f>IF(V22="Yes", BENEFIT_PARAMETERS!$D$77,"N/A")</f>
        <v>N/A</v>
      </c>
      <c r="X22" s="253">
        <f>IF(O22,COUNTIF(Z$3:Z21,"&gt;0"),"N/A")</f>
        <v>0</v>
      </c>
      <c r="Y22" s="217" t="str">
        <f t="shared" si="9"/>
        <v>N/A</v>
      </c>
      <c r="Z22" s="293" t="str">
        <f t="shared" si="49"/>
        <v>N/A</v>
      </c>
      <c r="AA22" s="293">
        <f t="shared" si="50"/>
        <v>0</v>
      </c>
      <c r="AB22" s="293" t="str">
        <f t="shared" si="10"/>
        <v>N/A</v>
      </c>
      <c r="AC22" s="215">
        <f t="shared" si="51"/>
        <v>0</v>
      </c>
      <c r="AD22" s="214" t="b">
        <f t="shared" si="11"/>
        <v>0</v>
      </c>
      <c r="AE22" s="209" t="str">
        <f t="shared" si="12"/>
        <v>.</v>
      </c>
      <c r="AF22" s="216">
        <f t="shared" si="13"/>
        <v>0</v>
      </c>
      <c r="AG22" s="217" t="str">
        <f t="shared" si="14"/>
        <v>N/A</v>
      </c>
      <c r="AH22" s="217" t="b">
        <f t="shared" si="15"/>
        <v>0</v>
      </c>
      <c r="AI22" s="209" t="str">
        <f t="shared" si="16"/>
        <v>.</v>
      </c>
      <c r="AJ22" s="216">
        <f t="shared" si="17"/>
        <v>0</v>
      </c>
      <c r="AK22" s="217" t="str">
        <f t="shared" si="18"/>
        <v>N/A</v>
      </c>
      <c r="AL22" s="217">
        <f t="shared" si="52"/>
        <v>0</v>
      </c>
      <c r="AM22" s="215">
        <f t="shared" si="53"/>
        <v>0</v>
      </c>
      <c r="AN22" s="219" t="b">
        <f t="shared" si="19"/>
        <v>0</v>
      </c>
      <c r="AO22" s="217" t="str">
        <f t="shared" si="20"/>
        <v>N/A</v>
      </c>
      <c r="AP22" s="217" t="str">
        <f>IF(AND(ISNUMBER(AO22),AN22=TRUE),MAX(0,AO22-SUMIFS($AM$3:$AM21,AN$3:AN21,TRUE)),IF(AND(AN22=TRUE,ISNUMBER(AO22)=FALSE),"ERR","N/A"))</f>
        <v>N/A</v>
      </c>
      <c r="AQ22" s="215" t="str">
        <f t="shared" si="21"/>
        <v>N/A</v>
      </c>
      <c r="AR22" s="219" t="b">
        <f t="shared" si="22"/>
        <v>0</v>
      </c>
      <c r="AS22" s="217" t="str">
        <f t="shared" si="23"/>
        <v>N/A</v>
      </c>
      <c r="AT22" s="217" t="str">
        <f>IF(AND(AR22=TRUE,ISNUMBER(AS22)),MAX(0,AS22-SUMIFS($AM$3:$AM21,AR$3:AR21,TRUE)),IF(AND(AR22=TRUE,ISNUMBER(AS22)=FALSE),"ERR","N/A"))</f>
        <v>N/A</v>
      </c>
      <c r="AU22" s="215" t="str">
        <f t="shared" si="24"/>
        <v>N/A</v>
      </c>
      <c r="AV22" s="219" t="b">
        <f t="shared" si="25"/>
        <v>0</v>
      </c>
      <c r="AW22" s="217" t="str">
        <f t="shared" si="26"/>
        <v>N/A</v>
      </c>
      <c r="AX22" s="217" t="str">
        <f>IF(AND(AV22=TRUE,ISNUMBER(AW22)),MAX(0,AW22-SUMIFS($AM$3:$AM21,AV$3:AV21,TRUE)),IF(AND(AV22=TRUE,ISNUMBER(AW22)=FALSE),"ERR","N/A"))</f>
        <v>N/A</v>
      </c>
      <c r="AY22" s="215" t="str">
        <f t="shared" si="27"/>
        <v>N/A</v>
      </c>
      <c r="AZ22" s="219" t="b">
        <f t="shared" si="28"/>
        <v>0</v>
      </c>
      <c r="BA22" s="217" t="str">
        <f t="shared" si="29"/>
        <v>N/A</v>
      </c>
      <c r="BB22" s="217" t="str">
        <f>IF(AND(AZ22=TRUE,ISNUMBER(BA22)),MAX(0,BA22-SUMIFS($AM$3:$AM21,AZ$3:AZ21,TRUE)),IF(AND(AZ22=TRUE,ISNUMBER(BA22)=FALSE),"ERR","N/A"))</f>
        <v>N/A</v>
      </c>
      <c r="BC22" s="215" t="str">
        <f t="shared" si="30"/>
        <v>N/A</v>
      </c>
      <c r="BD22" s="219" t="b">
        <f t="shared" si="31"/>
        <v>0</v>
      </c>
      <c r="BE22" s="217" t="str">
        <f t="shared" si="32"/>
        <v>N/A</v>
      </c>
      <c r="BF22" s="217" t="str">
        <f>IF(AND(BD22=TRUE,ISNUMBER(BE22)=TRUE),MAX(0,BE22-SUMIFS(AM$3:AM21,BD$3:BD21,TRUE,F$3:F21,F22)),IF(AND(BD22=TRUE,ISNUMBER(BE22)=FALSE),"ERR","N/A"))</f>
        <v>N/A</v>
      </c>
      <c r="BG22" s="215" t="str">
        <f t="shared" si="33"/>
        <v>N/A</v>
      </c>
      <c r="BH22" s="214">
        <f t="shared" si="34"/>
        <v>0</v>
      </c>
      <c r="BI22" s="215">
        <f t="shared" si="54"/>
        <v>0</v>
      </c>
      <c r="BJ22" s="214" t="str">
        <f t="shared" si="55"/>
        <v>N/A</v>
      </c>
      <c r="BK22" s="217">
        <f t="shared" si="35"/>
        <v>0</v>
      </c>
      <c r="BL22" s="220" t="b">
        <f t="shared" si="36"/>
        <v>0</v>
      </c>
      <c r="BM22" s="217" t="str">
        <f t="shared" si="37"/>
        <v>N/A</v>
      </c>
      <c r="BN22" s="217" t="str">
        <f t="shared" si="56"/>
        <v>N/A</v>
      </c>
      <c r="BO22" s="220" t="b">
        <f t="shared" si="38"/>
        <v>0</v>
      </c>
      <c r="BP22" s="244" t="str">
        <f t="shared" si="39"/>
        <v>N/A</v>
      </c>
      <c r="BQ22" s="217" t="str">
        <f t="shared" si="57"/>
        <v>N/A</v>
      </c>
      <c r="BR22" s="215">
        <f t="shared" si="58"/>
        <v>0</v>
      </c>
      <c r="BS22" s="214" t="str">
        <f t="shared" si="59"/>
        <v>N/A</v>
      </c>
      <c r="BT22" s="217">
        <f t="shared" si="60"/>
        <v>0</v>
      </c>
      <c r="BU22" s="215">
        <f t="shared" si="61"/>
        <v>0</v>
      </c>
      <c r="BV22" s="214">
        <f t="shared" si="62"/>
        <v>0</v>
      </c>
      <c r="BW22" s="217">
        <f t="shared" si="40"/>
        <v>121.7</v>
      </c>
      <c r="BX22" s="217">
        <f t="shared" si="41"/>
        <v>0</v>
      </c>
      <c r="BY22" s="217">
        <f t="shared" si="63"/>
        <v>0</v>
      </c>
      <c r="BZ22" s="217">
        <f t="shared" si="42"/>
        <v>0</v>
      </c>
      <c r="CA22" s="217">
        <f t="shared" si="64"/>
        <v>0</v>
      </c>
      <c r="CB22" s="213" t="b">
        <f t="shared" si="43"/>
        <v>1</v>
      </c>
    </row>
    <row r="23" spans="1:80" x14ac:dyDescent="0.25">
      <c r="A23" s="207">
        <v>20</v>
      </c>
      <c r="B23" s="208">
        <v>42373</v>
      </c>
      <c r="C23" s="209">
        <v>1</v>
      </c>
      <c r="D23" s="210">
        <v>21</v>
      </c>
      <c r="E23" s="211" t="str">
        <f t="shared" si="0"/>
        <v>Diabetes outpatient self-management training services, individual, per 30 minutes</v>
      </c>
      <c r="F23" s="212" t="str">
        <f t="shared" si="44"/>
        <v>Professional Services: Primary Care</v>
      </c>
      <c r="G23" s="213" t="str">
        <f t="shared" si="45"/>
        <v>Not Covered</v>
      </c>
      <c r="H23" s="214">
        <f t="shared" si="1"/>
        <v>77.819999999999993</v>
      </c>
      <c r="I23" s="217">
        <f t="shared" si="2"/>
        <v>77.819999999999993</v>
      </c>
      <c r="J23" s="251">
        <f t="shared" si="3"/>
        <v>0</v>
      </c>
      <c r="K23" s="214" t="b">
        <f t="shared" si="4"/>
        <v>0</v>
      </c>
      <c r="L23" s="218" t="str">
        <f t="shared" si="5"/>
        <v>No</v>
      </c>
      <c r="M23" s="217" t="str">
        <f t="shared" si="6"/>
        <v>.</v>
      </c>
      <c r="N23" s="215" t="str">
        <f>IFERROR(IF(AND(L23="Yes",ISNUMBER(M23)),MAX(0,M23-SUMIFS(BU$3:BU22,L$3:L22,"Yes")),IF(OR(L23="No",M23="None"),"N/A","ERR")),"ERR")</f>
        <v>N/A</v>
      </c>
      <c r="O23" s="251" t="b">
        <f t="shared" si="46"/>
        <v>1</v>
      </c>
      <c r="P23" s="251" t="str">
        <f>IF(O23,BENEFIT_PARAMETERS!$C$76,"N/A")</f>
        <v>.</v>
      </c>
      <c r="Q23" s="288" t="str">
        <f>IF(P23="Yes", BENEFIT_PARAMETERS!$D$76,"N/A")</f>
        <v>N/A</v>
      </c>
      <c r="R23" s="253">
        <f t="shared" si="7"/>
        <v>1</v>
      </c>
      <c r="S23" s="217">
        <f t="shared" si="47"/>
        <v>0</v>
      </c>
      <c r="T23" s="215">
        <f t="shared" si="8"/>
        <v>0</v>
      </c>
      <c r="U23" s="214" t="b">
        <f t="shared" si="48"/>
        <v>1</v>
      </c>
      <c r="V23" s="251" t="str">
        <f>IF(O23,BENEFIT_PARAMETERS!$C$77,"N/A")</f>
        <v>.</v>
      </c>
      <c r="W23" s="288" t="str">
        <f>IF(V23="Yes", BENEFIT_PARAMETERS!$D$77,"N/A")</f>
        <v>N/A</v>
      </c>
      <c r="X23" s="253">
        <f>IF(O23,COUNTIF(Z$3:Z22,"&gt;0"),"N/A")</f>
        <v>0</v>
      </c>
      <c r="Y23" s="217" t="str">
        <f t="shared" si="9"/>
        <v>N/A</v>
      </c>
      <c r="Z23" s="293" t="str">
        <f t="shared" si="49"/>
        <v>N/A</v>
      </c>
      <c r="AA23" s="293">
        <f t="shared" si="50"/>
        <v>0</v>
      </c>
      <c r="AB23" s="293" t="str">
        <f t="shared" si="10"/>
        <v>N/A</v>
      </c>
      <c r="AC23" s="215">
        <f t="shared" si="51"/>
        <v>0</v>
      </c>
      <c r="AD23" s="214" t="b">
        <f t="shared" si="11"/>
        <v>0</v>
      </c>
      <c r="AE23" s="209" t="str">
        <f t="shared" si="12"/>
        <v>.</v>
      </c>
      <c r="AF23" s="216">
        <f t="shared" si="13"/>
        <v>0</v>
      </c>
      <c r="AG23" s="217" t="str">
        <f t="shared" si="14"/>
        <v>N/A</v>
      </c>
      <c r="AH23" s="217" t="b">
        <f t="shared" si="15"/>
        <v>0</v>
      </c>
      <c r="AI23" s="209" t="str">
        <f t="shared" si="16"/>
        <v>.</v>
      </c>
      <c r="AJ23" s="216">
        <f t="shared" si="17"/>
        <v>0</v>
      </c>
      <c r="AK23" s="217" t="str">
        <f t="shared" si="18"/>
        <v>N/A</v>
      </c>
      <c r="AL23" s="217">
        <f t="shared" si="52"/>
        <v>0</v>
      </c>
      <c r="AM23" s="215">
        <f t="shared" si="53"/>
        <v>0</v>
      </c>
      <c r="AN23" s="219" t="b">
        <f t="shared" si="19"/>
        <v>0</v>
      </c>
      <c r="AO23" s="217" t="str">
        <f t="shared" si="20"/>
        <v>N/A</v>
      </c>
      <c r="AP23" s="217" t="str">
        <f>IF(AND(ISNUMBER(AO23),AN23=TRUE),MAX(0,AO23-SUMIFS($AM$3:$AM22,AN$3:AN22,TRUE)),IF(AND(AN23=TRUE,ISNUMBER(AO23)=FALSE),"ERR","N/A"))</f>
        <v>N/A</v>
      </c>
      <c r="AQ23" s="215" t="str">
        <f t="shared" si="21"/>
        <v>N/A</v>
      </c>
      <c r="AR23" s="219" t="b">
        <f t="shared" si="22"/>
        <v>0</v>
      </c>
      <c r="AS23" s="217" t="str">
        <f t="shared" si="23"/>
        <v>N/A</v>
      </c>
      <c r="AT23" s="217" t="str">
        <f>IF(AND(AR23=TRUE,ISNUMBER(AS23)),MAX(0,AS23-SUMIFS($AM$3:$AM22,AR$3:AR22,TRUE)),IF(AND(AR23=TRUE,ISNUMBER(AS23)=FALSE),"ERR","N/A"))</f>
        <v>N/A</v>
      </c>
      <c r="AU23" s="215" t="str">
        <f t="shared" si="24"/>
        <v>N/A</v>
      </c>
      <c r="AV23" s="219" t="b">
        <f t="shared" si="25"/>
        <v>0</v>
      </c>
      <c r="AW23" s="217" t="str">
        <f t="shared" si="26"/>
        <v>N/A</v>
      </c>
      <c r="AX23" s="217" t="str">
        <f>IF(AND(AV23=TRUE,ISNUMBER(AW23)),MAX(0,AW23-SUMIFS($AM$3:$AM22,AV$3:AV22,TRUE)),IF(AND(AV23=TRUE,ISNUMBER(AW23)=FALSE),"ERR","N/A"))</f>
        <v>N/A</v>
      </c>
      <c r="AY23" s="215" t="str">
        <f t="shared" si="27"/>
        <v>N/A</v>
      </c>
      <c r="AZ23" s="219" t="b">
        <f t="shared" si="28"/>
        <v>0</v>
      </c>
      <c r="BA23" s="217" t="str">
        <f t="shared" si="29"/>
        <v>N/A</v>
      </c>
      <c r="BB23" s="217" t="str">
        <f>IF(AND(AZ23=TRUE,ISNUMBER(BA23)),MAX(0,BA23-SUMIFS($AM$3:$AM22,AZ$3:AZ22,TRUE)),IF(AND(AZ23=TRUE,ISNUMBER(BA23)=FALSE),"ERR","N/A"))</f>
        <v>N/A</v>
      </c>
      <c r="BC23" s="215" t="str">
        <f t="shared" si="30"/>
        <v>N/A</v>
      </c>
      <c r="BD23" s="219" t="b">
        <f t="shared" si="31"/>
        <v>0</v>
      </c>
      <c r="BE23" s="217" t="str">
        <f t="shared" si="32"/>
        <v>N/A</v>
      </c>
      <c r="BF23" s="217" t="str">
        <f>IF(AND(BD23=TRUE,ISNUMBER(BE23)=TRUE),MAX(0,BE23-SUMIFS(AM$3:AM22,BD$3:BD22,TRUE,F$3:F22,F23)),IF(AND(BD23=TRUE,ISNUMBER(BE23)=FALSE),"ERR","N/A"))</f>
        <v>N/A</v>
      </c>
      <c r="BG23" s="215" t="str">
        <f t="shared" si="33"/>
        <v>N/A</v>
      </c>
      <c r="BH23" s="214">
        <f t="shared" si="34"/>
        <v>0</v>
      </c>
      <c r="BI23" s="215">
        <f t="shared" si="54"/>
        <v>0</v>
      </c>
      <c r="BJ23" s="214" t="str">
        <f t="shared" si="55"/>
        <v>N/A</v>
      </c>
      <c r="BK23" s="217">
        <f t="shared" si="35"/>
        <v>0</v>
      </c>
      <c r="BL23" s="220" t="b">
        <f t="shared" si="36"/>
        <v>0</v>
      </c>
      <c r="BM23" s="217" t="str">
        <f t="shared" si="37"/>
        <v>N/A</v>
      </c>
      <c r="BN23" s="217" t="str">
        <f t="shared" si="56"/>
        <v>N/A</v>
      </c>
      <c r="BO23" s="220" t="b">
        <f t="shared" si="38"/>
        <v>0</v>
      </c>
      <c r="BP23" s="244" t="str">
        <f t="shared" si="39"/>
        <v>N/A</v>
      </c>
      <c r="BQ23" s="217" t="str">
        <f t="shared" si="57"/>
        <v>N/A</v>
      </c>
      <c r="BR23" s="215">
        <f t="shared" si="58"/>
        <v>0</v>
      </c>
      <c r="BS23" s="214" t="str">
        <f t="shared" si="59"/>
        <v>N/A</v>
      </c>
      <c r="BT23" s="217">
        <f t="shared" si="60"/>
        <v>0</v>
      </c>
      <c r="BU23" s="215">
        <f t="shared" si="61"/>
        <v>0</v>
      </c>
      <c r="BV23" s="214">
        <f t="shared" si="62"/>
        <v>0</v>
      </c>
      <c r="BW23" s="217">
        <f t="shared" si="40"/>
        <v>77.819999999999993</v>
      </c>
      <c r="BX23" s="217">
        <f t="shared" si="41"/>
        <v>0</v>
      </c>
      <c r="BY23" s="217">
        <f t="shared" si="63"/>
        <v>0</v>
      </c>
      <c r="BZ23" s="217">
        <f t="shared" si="42"/>
        <v>0</v>
      </c>
      <c r="CA23" s="217">
        <f t="shared" si="64"/>
        <v>0</v>
      </c>
      <c r="CB23" s="213" t="b">
        <f t="shared" si="43"/>
        <v>1</v>
      </c>
    </row>
    <row r="24" spans="1:80" x14ac:dyDescent="0.25">
      <c r="A24" s="207">
        <v>21</v>
      </c>
      <c r="B24" s="208">
        <v>42373</v>
      </c>
      <c r="C24" s="209">
        <v>1</v>
      </c>
      <c r="D24" s="210">
        <v>20</v>
      </c>
      <c r="E24" s="211" t="str">
        <f t="shared" si="0"/>
        <v>Med Nutrition Indiv Subseq</v>
      </c>
      <c r="F24" s="212" t="str">
        <f t="shared" si="44"/>
        <v>Professional Services: Primary Care</v>
      </c>
      <c r="G24" s="213" t="str">
        <f t="shared" si="45"/>
        <v>Not Covered</v>
      </c>
      <c r="H24" s="214">
        <f t="shared" si="1"/>
        <v>36.83</v>
      </c>
      <c r="I24" s="217">
        <f t="shared" si="2"/>
        <v>36.83</v>
      </c>
      <c r="J24" s="251">
        <f t="shared" si="3"/>
        <v>0</v>
      </c>
      <c r="K24" s="214" t="b">
        <f t="shared" si="4"/>
        <v>0</v>
      </c>
      <c r="L24" s="218" t="str">
        <f t="shared" si="5"/>
        <v>No</v>
      </c>
      <c r="M24" s="217" t="str">
        <f t="shared" si="6"/>
        <v>.</v>
      </c>
      <c r="N24" s="215" t="str">
        <f>IFERROR(IF(AND(L24="Yes",ISNUMBER(M24)),MAX(0,M24-SUMIFS(BU$3:BU23,L$3:L23,"Yes")),IF(OR(L24="No",M24="None"),"N/A","ERR")),"ERR")</f>
        <v>N/A</v>
      </c>
      <c r="O24" s="251" t="b">
        <f t="shared" si="46"/>
        <v>1</v>
      </c>
      <c r="P24" s="251" t="str">
        <f>IF(O24,BENEFIT_PARAMETERS!$C$76,"N/A")</f>
        <v>.</v>
      </c>
      <c r="Q24" s="288" t="str">
        <f>IF(P24="Yes", BENEFIT_PARAMETERS!$D$76,"N/A")</f>
        <v>N/A</v>
      </c>
      <c r="R24" s="253">
        <f t="shared" si="7"/>
        <v>2</v>
      </c>
      <c r="S24" s="217">
        <f t="shared" si="47"/>
        <v>0</v>
      </c>
      <c r="T24" s="215">
        <f t="shared" si="8"/>
        <v>0</v>
      </c>
      <c r="U24" s="214" t="b">
        <f t="shared" si="48"/>
        <v>1</v>
      </c>
      <c r="V24" s="251" t="str">
        <f>IF(O24,BENEFIT_PARAMETERS!$C$77,"N/A")</f>
        <v>.</v>
      </c>
      <c r="W24" s="288" t="str">
        <f>IF(V24="Yes", BENEFIT_PARAMETERS!$D$77,"N/A")</f>
        <v>N/A</v>
      </c>
      <c r="X24" s="253">
        <f>IF(O24,COUNTIF(Z$3:Z23,"&gt;0"),"N/A")</f>
        <v>0</v>
      </c>
      <c r="Y24" s="217" t="str">
        <f t="shared" si="9"/>
        <v>N/A</v>
      </c>
      <c r="Z24" s="293" t="str">
        <f t="shared" si="49"/>
        <v>N/A</v>
      </c>
      <c r="AA24" s="293">
        <f t="shared" si="50"/>
        <v>0</v>
      </c>
      <c r="AB24" s="293" t="str">
        <f t="shared" si="10"/>
        <v>N/A</v>
      </c>
      <c r="AC24" s="215">
        <f t="shared" si="51"/>
        <v>0</v>
      </c>
      <c r="AD24" s="214" t="b">
        <f t="shared" si="11"/>
        <v>0</v>
      </c>
      <c r="AE24" s="209" t="str">
        <f t="shared" si="12"/>
        <v>.</v>
      </c>
      <c r="AF24" s="216">
        <f t="shared" si="13"/>
        <v>0</v>
      </c>
      <c r="AG24" s="217" t="str">
        <f t="shared" si="14"/>
        <v>N/A</v>
      </c>
      <c r="AH24" s="217" t="b">
        <f t="shared" si="15"/>
        <v>0</v>
      </c>
      <c r="AI24" s="209" t="str">
        <f t="shared" si="16"/>
        <v>.</v>
      </c>
      <c r="AJ24" s="216">
        <f t="shared" si="17"/>
        <v>0</v>
      </c>
      <c r="AK24" s="217" t="str">
        <f t="shared" si="18"/>
        <v>N/A</v>
      </c>
      <c r="AL24" s="217">
        <f t="shared" si="52"/>
        <v>0</v>
      </c>
      <c r="AM24" s="215">
        <f t="shared" si="53"/>
        <v>0</v>
      </c>
      <c r="AN24" s="219" t="b">
        <f t="shared" si="19"/>
        <v>0</v>
      </c>
      <c r="AO24" s="217" t="str">
        <f t="shared" si="20"/>
        <v>N/A</v>
      </c>
      <c r="AP24" s="217" t="str">
        <f>IF(AND(ISNUMBER(AO24),AN24=TRUE),MAX(0,AO24-SUMIFS($AM$3:$AM23,AN$3:AN23,TRUE)),IF(AND(AN24=TRUE,ISNUMBER(AO24)=FALSE),"ERR","N/A"))</f>
        <v>N/A</v>
      </c>
      <c r="AQ24" s="215" t="str">
        <f t="shared" si="21"/>
        <v>N/A</v>
      </c>
      <c r="AR24" s="219" t="b">
        <f t="shared" si="22"/>
        <v>0</v>
      </c>
      <c r="AS24" s="217" t="str">
        <f t="shared" si="23"/>
        <v>N/A</v>
      </c>
      <c r="AT24" s="217" t="str">
        <f>IF(AND(AR24=TRUE,ISNUMBER(AS24)),MAX(0,AS24-SUMIFS($AM$3:$AM23,AR$3:AR23,TRUE)),IF(AND(AR24=TRUE,ISNUMBER(AS24)=FALSE),"ERR","N/A"))</f>
        <v>N/A</v>
      </c>
      <c r="AU24" s="215" t="str">
        <f t="shared" si="24"/>
        <v>N/A</v>
      </c>
      <c r="AV24" s="219" t="b">
        <f t="shared" si="25"/>
        <v>0</v>
      </c>
      <c r="AW24" s="217" t="str">
        <f t="shared" si="26"/>
        <v>N/A</v>
      </c>
      <c r="AX24" s="217" t="str">
        <f>IF(AND(AV24=TRUE,ISNUMBER(AW24)),MAX(0,AW24-SUMIFS($AM$3:$AM23,AV$3:AV23,TRUE)),IF(AND(AV24=TRUE,ISNUMBER(AW24)=FALSE),"ERR","N/A"))</f>
        <v>N/A</v>
      </c>
      <c r="AY24" s="215" t="str">
        <f t="shared" si="27"/>
        <v>N/A</v>
      </c>
      <c r="AZ24" s="219" t="b">
        <f t="shared" si="28"/>
        <v>0</v>
      </c>
      <c r="BA24" s="217" t="str">
        <f t="shared" si="29"/>
        <v>N/A</v>
      </c>
      <c r="BB24" s="217" t="str">
        <f>IF(AND(AZ24=TRUE,ISNUMBER(BA24)),MAX(0,BA24-SUMIFS($AM$3:$AM23,AZ$3:AZ23,TRUE)),IF(AND(AZ24=TRUE,ISNUMBER(BA24)=FALSE),"ERR","N/A"))</f>
        <v>N/A</v>
      </c>
      <c r="BC24" s="215" t="str">
        <f t="shared" si="30"/>
        <v>N/A</v>
      </c>
      <c r="BD24" s="219" t="b">
        <f t="shared" si="31"/>
        <v>0</v>
      </c>
      <c r="BE24" s="217" t="str">
        <f t="shared" si="32"/>
        <v>N/A</v>
      </c>
      <c r="BF24" s="217" t="str">
        <f>IF(AND(BD24=TRUE,ISNUMBER(BE24)=TRUE),MAX(0,BE24-SUMIFS(AM$3:AM23,BD$3:BD23,TRUE,F$3:F23,F24)),IF(AND(BD24=TRUE,ISNUMBER(BE24)=FALSE),"ERR","N/A"))</f>
        <v>N/A</v>
      </c>
      <c r="BG24" s="215" t="str">
        <f t="shared" si="33"/>
        <v>N/A</v>
      </c>
      <c r="BH24" s="214">
        <f t="shared" si="34"/>
        <v>0</v>
      </c>
      <c r="BI24" s="215">
        <f t="shared" si="54"/>
        <v>0</v>
      </c>
      <c r="BJ24" s="214" t="str">
        <f t="shared" si="55"/>
        <v>N/A</v>
      </c>
      <c r="BK24" s="217">
        <f t="shared" si="35"/>
        <v>0</v>
      </c>
      <c r="BL24" s="220" t="b">
        <f t="shared" si="36"/>
        <v>0</v>
      </c>
      <c r="BM24" s="217" t="str">
        <f t="shared" si="37"/>
        <v>N/A</v>
      </c>
      <c r="BN24" s="217" t="str">
        <f t="shared" si="56"/>
        <v>N/A</v>
      </c>
      <c r="BO24" s="220" t="b">
        <f t="shared" si="38"/>
        <v>0</v>
      </c>
      <c r="BP24" s="244" t="str">
        <f t="shared" si="39"/>
        <v>N/A</v>
      </c>
      <c r="BQ24" s="217" t="str">
        <f t="shared" si="57"/>
        <v>N/A</v>
      </c>
      <c r="BR24" s="215">
        <f t="shared" si="58"/>
        <v>0</v>
      </c>
      <c r="BS24" s="214" t="str">
        <f t="shared" si="59"/>
        <v>N/A</v>
      </c>
      <c r="BT24" s="217">
        <f t="shared" si="60"/>
        <v>0</v>
      </c>
      <c r="BU24" s="215">
        <f t="shared" si="61"/>
        <v>0</v>
      </c>
      <c r="BV24" s="214">
        <f t="shared" si="62"/>
        <v>0</v>
      </c>
      <c r="BW24" s="217">
        <f t="shared" si="40"/>
        <v>36.83</v>
      </c>
      <c r="BX24" s="217">
        <f t="shared" si="41"/>
        <v>0</v>
      </c>
      <c r="BY24" s="217">
        <f t="shared" si="63"/>
        <v>0</v>
      </c>
      <c r="BZ24" s="217">
        <f t="shared" si="42"/>
        <v>0</v>
      </c>
      <c r="CA24" s="217">
        <f t="shared" si="64"/>
        <v>0</v>
      </c>
      <c r="CB24" s="213" t="b">
        <f t="shared" si="43"/>
        <v>1</v>
      </c>
    </row>
    <row r="25" spans="1:80" x14ac:dyDescent="0.25">
      <c r="A25" s="207">
        <v>22</v>
      </c>
      <c r="B25" s="208">
        <v>42375</v>
      </c>
      <c r="C25" s="209">
        <v>1</v>
      </c>
      <c r="D25" s="210">
        <v>23</v>
      </c>
      <c r="E25" s="211" t="str">
        <f t="shared" si="0"/>
        <v>Office/Outpatient Visit New</v>
      </c>
      <c r="F25" s="212" t="str">
        <f t="shared" si="44"/>
        <v>Professional Services: Specialist</v>
      </c>
      <c r="G25" s="213" t="str">
        <f t="shared" si="45"/>
        <v>Not Covered</v>
      </c>
      <c r="H25" s="214">
        <f t="shared" si="1"/>
        <v>182.19</v>
      </c>
      <c r="I25" s="217">
        <f t="shared" si="2"/>
        <v>182.19</v>
      </c>
      <c r="J25" s="251">
        <f t="shared" si="3"/>
        <v>0</v>
      </c>
      <c r="K25" s="214" t="b">
        <f t="shared" si="4"/>
        <v>0</v>
      </c>
      <c r="L25" s="218" t="str">
        <f t="shared" si="5"/>
        <v>No</v>
      </c>
      <c r="M25" s="217" t="str">
        <f t="shared" si="6"/>
        <v>.</v>
      </c>
      <c r="N25" s="215" t="str">
        <f>IFERROR(IF(AND(L25="Yes",ISNUMBER(M25)),MAX(0,M25-SUMIFS(BU$3:BU24,L$3:L24,"Yes")),IF(OR(L25="No",M25="None"),"N/A","ERR")),"ERR")</f>
        <v>N/A</v>
      </c>
      <c r="O25" s="251" t="b">
        <f t="shared" si="46"/>
        <v>0</v>
      </c>
      <c r="P25" s="251" t="str">
        <f>IF(O25,BENEFIT_PARAMETERS!$C$76,"N/A")</f>
        <v>N/A</v>
      </c>
      <c r="Q25" s="288" t="str">
        <f>IF(P25="Yes", BENEFIT_PARAMETERS!$D$76,"N/A")</f>
        <v>N/A</v>
      </c>
      <c r="R25" s="253" t="str">
        <f t="shared" si="7"/>
        <v>N/A</v>
      </c>
      <c r="S25" s="217">
        <f t="shared" si="47"/>
        <v>0</v>
      </c>
      <c r="T25" s="215">
        <f t="shared" si="8"/>
        <v>0</v>
      </c>
      <c r="U25" s="214" t="b">
        <f t="shared" si="48"/>
        <v>0</v>
      </c>
      <c r="V25" s="251" t="str">
        <f>IF(O25,BENEFIT_PARAMETERS!$C$77,"N/A")</f>
        <v>N/A</v>
      </c>
      <c r="W25" s="288" t="str">
        <f>IF(V25="Yes", BENEFIT_PARAMETERS!$D$77,"N/A")</f>
        <v>N/A</v>
      </c>
      <c r="X25" s="253" t="str">
        <f>IF(O25,COUNTIF(Z$3:Z24,"&gt;0"),"N/A")</f>
        <v>N/A</v>
      </c>
      <c r="Y25" s="217" t="str">
        <f t="shared" si="9"/>
        <v>N/A</v>
      </c>
      <c r="Z25" s="293" t="str">
        <f t="shared" si="49"/>
        <v>N/A</v>
      </c>
      <c r="AA25" s="293">
        <f t="shared" si="50"/>
        <v>0</v>
      </c>
      <c r="AB25" s="293" t="str">
        <f t="shared" si="10"/>
        <v>N/A</v>
      </c>
      <c r="AC25" s="215">
        <f t="shared" si="51"/>
        <v>0</v>
      </c>
      <c r="AD25" s="214" t="b">
        <f t="shared" si="11"/>
        <v>0</v>
      </c>
      <c r="AE25" s="209" t="str">
        <f t="shared" si="12"/>
        <v>.</v>
      </c>
      <c r="AF25" s="216">
        <f t="shared" si="13"/>
        <v>0</v>
      </c>
      <c r="AG25" s="217" t="str">
        <f t="shared" si="14"/>
        <v>N/A</v>
      </c>
      <c r="AH25" s="217" t="b">
        <f t="shared" si="15"/>
        <v>0</v>
      </c>
      <c r="AI25" s="209" t="str">
        <f t="shared" si="16"/>
        <v>.</v>
      </c>
      <c r="AJ25" s="216">
        <f t="shared" si="17"/>
        <v>0</v>
      </c>
      <c r="AK25" s="217" t="str">
        <f t="shared" si="18"/>
        <v>N/A</v>
      </c>
      <c r="AL25" s="217">
        <f t="shared" si="52"/>
        <v>0</v>
      </c>
      <c r="AM25" s="215">
        <f t="shared" si="53"/>
        <v>0</v>
      </c>
      <c r="AN25" s="219" t="b">
        <f t="shared" si="19"/>
        <v>0</v>
      </c>
      <c r="AO25" s="217" t="str">
        <f t="shared" si="20"/>
        <v>N/A</v>
      </c>
      <c r="AP25" s="217" t="str">
        <f>IF(AND(ISNUMBER(AO25),AN25=TRUE),MAX(0,AO25-SUMIFS($AM$3:$AM24,AN$3:AN24,TRUE)),IF(AND(AN25=TRUE,ISNUMBER(AO25)=FALSE),"ERR","N/A"))</f>
        <v>N/A</v>
      </c>
      <c r="AQ25" s="215" t="str">
        <f t="shared" si="21"/>
        <v>N/A</v>
      </c>
      <c r="AR25" s="219" t="b">
        <f t="shared" si="22"/>
        <v>0</v>
      </c>
      <c r="AS25" s="217" t="str">
        <f t="shared" si="23"/>
        <v>N/A</v>
      </c>
      <c r="AT25" s="217" t="str">
        <f>IF(AND(AR25=TRUE,ISNUMBER(AS25)),MAX(0,AS25-SUMIFS($AM$3:$AM24,AR$3:AR24,TRUE)),IF(AND(AR25=TRUE,ISNUMBER(AS25)=FALSE),"ERR","N/A"))</f>
        <v>N/A</v>
      </c>
      <c r="AU25" s="215" t="str">
        <f t="shared" si="24"/>
        <v>N/A</v>
      </c>
      <c r="AV25" s="219" t="b">
        <f t="shared" si="25"/>
        <v>0</v>
      </c>
      <c r="AW25" s="217" t="str">
        <f t="shared" si="26"/>
        <v>N/A</v>
      </c>
      <c r="AX25" s="217" t="str">
        <f>IF(AND(AV25=TRUE,ISNUMBER(AW25)),MAX(0,AW25-SUMIFS($AM$3:$AM24,AV$3:AV24,TRUE)),IF(AND(AV25=TRUE,ISNUMBER(AW25)=FALSE),"ERR","N/A"))</f>
        <v>N/A</v>
      </c>
      <c r="AY25" s="215" t="str">
        <f t="shared" si="27"/>
        <v>N/A</v>
      </c>
      <c r="AZ25" s="219" t="b">
        <f t="shared" si="28"/>
        <v>0</v>
      </c>
      <c r="BA25" s="217" t="str">
        <f t="shared" si="29"/>
        <v>N/A</v>
      </c>
      <c r="BB25" s="217" t="str">
        <f>IF(AND(AZ25=TRUE,ISNUMBER(BA25)),MAX(0,BA25-SUMIFS($AM$3:$AM24,AZ$3:AZ24,TRUE)),IF(AND(AZ25=TRUE,ISNUMBER(BA25)=FALSE),"ERR","N/A"))</f>
        <v>N/A</v>
      </c>
      <c r="BC25" s="215" t="str">
        <f t="shared" si="30"/>
        <v>N/A</v>
      </c>
      <c r="BD25" s="219" t="b">
        <f t="shared" si="31"/>
        <v>0</v>
      </c>
      <c r="BE25" s="217" t="str">
        <f t="shared" si="32"/>
        <v>N/A</v>
      </c>
      <c r="BF25" s="217" t="str">
        <f>IF(AND(BD25=TRUE,ISNUMBER(BE25)=TRUE),MAX(0,BE25-SUMIFS(AM$3:AM24,BD$3:BD24,TRUE,F$3:F24,F25)),IF(AND(BD25=TRUE,ISNUMBER(BE25)=FALSE),"ERR","N/A"))</f>
        <v>N/A</v>
      </c>
      <c r="BG25" s="215" t="str">
        <f t="shared" si="33"/>
        <v>N/A</v>
      </c>
      <c r="BH25" s="214">
        <f t="shared" si="34"/>
        <v>0</v>
      </c>
      <c r="BI25" s="215">
        <f t="shared" si="54"/>
        <v>0</v>
      </c>
      <c r="BJ25" s="214" t="str">
        <f t="shared" si="55"/>
        <v>N/A</v>
      </c>
      <c r="BK25" s="217">
        <f t="shared" si="35"/>
        <v>0</v>
      </c>
      <c r="BL25" s="220" t="b">
        <f t="shared" si="36"/>
        <v>0</v>
      </c>
      <c r="BM25" s="217" t="str">
        <f t="shared" si="37"/>
        <v>N/A</v>
      </c>
      <c r="BN25" s="217" t="str">
        <f t="shared" si="56"/>
        <v>N/A</v>
      </c>
      <c r="BO25" s="220" t="b">
        <f t="shared" si="38"/>
        <v>0</v>
      </c>
      <c r="BP25" s="244" t="str">
        <f t="shared" si="39"/>
        <v>N/A</v>
      </c>
      <c r="BQ25" s="217" t="str">
        <f t="shared" si="57"/>
        <v>N/A</v>
      </c>
      <c r="BR25" s="215">
        <f t="shared" si="58"/>
        <v>0</v>
      </c>
      <c r="BS25" s="214" t="str">
        <f t="shared" si="59"/>
        <v>N/A</v>
      </c>
      <c r="BT25" s="217">
        <f t="shared" si="60"/>
        <v>0</v>
      </c>
      <c r="BU25" s="215">
        <f t="shared" si="61"/>
        <v>0</v>
      </c>
      <c r="BV25" s="214">
        <f t="shared" si="62"/>
        <v>0</v>
      </c>
      <c r="BW25" s="217">
        <f t="shared" si="40"/>
        <v>182.19</v>
      </c>
      <c r="BX25" s="217">
        <f t="shared" si="41"/>
        <v>0</v>
      </c>
      <c r="BY25" s="217">
        <f t="shared" si="63"/>
        <v>0</v>
      </c>
      <c r="BZ25" s="217">
        <f t="shared" si="42"/>
        <v>0</v>
      </c>
      <c r="CA25" s="217">
        <f t="shared" si="64"/>
        <v>0</v>
      </c>
      <c r="CB25" s="213" t="b">
        <f t="shared" si="43"/>
        <v>1</v>
      </c>
    </row>
    <row r="26" spans="1:80" x14ac:dyDescent="0.25">
      <c r="A26" s="207">
        <v>23</v>
      </c>
      <c r="B26" s="208">
        <v>42376</v>
      </c>
      <c r="C26" s="209">
        <v>1</v>
      </c>
      <c r="D26" s="210">
        <v>22</v>
      </c>
      <c r="E26" s="211" t="str">
        <f t="shared" ref="E26:E57" si="65">VLOOKUP(ServiceCode,DiabetesFeeSchedule,6,FALSE)</f>
        <v>Ophthalmological services: medical examination &amp; evaluation, with initiation or continuation of diagnostic and treatment program, comprehensive, established patient, 1 or more visits</v>
      </c>
      <c r="F26" s="212" t="str">
        <f t="shared" ref="F26:F57" si="66">VLOOKUP(ServiceCode,DiabetesFeeSchedule,5,FALSE)</f>
        <v>Professional Services: Specialist</v>
      </c>
      <c r="G26" s="213" t="str">
        <f t="shared" ref="G26:G57" si="67">VLOOKUP(BenefitCategory,BenefitDesignTable,COLUMN(BenefitCostSharing),FALSE)</f>
        <v>Not Covered</v>
      </c>
      <c r="H26" s="214">
        <f t="shared" ref="H26:H57" si="68">VLOOKUP(D26,DiabetesFeeSchedule,7,FALSE)</f>
        <v>118.55</v>
      </c>
      <c r="I26" s="217">
        <f t="shared" ref="I26:I57" si="69">IF(G26="Not Covered",H26,0)</f>
        <v>118.55</v>
      </c>
      <c r="J26" s="251">
        <f t="shared" ref="J26:J57" si="70">H26-I26</f>
        <v>0</v>
      </c>
      <c r="K26" s="214" t="b">
        <f t="shared" ref="K26:K57" si="71">VLOOKUP(F26,nrCoverageTable,COLUMN(nrOOPLimitValid),FALSE)</f>
        <v>0</v>
      </c>
      <c r="L26" s="218" t="str">
        <f t="shared" ref="L26:L57" si="72">IF(K26,VLOOKUP(F26,BenefitDesignTable,COLUMN(BenefitOOPLimitApplies),FALSE),"No")</f>
        <v>No</v>
      </c>
      <c r="M26" s="217" t="str">
        <f t="shared" ref="M26:M57" si="73">VLOOKUP(F26,BenefitDesignTable,COLUMN(OPLimit),FALSE)</f>
        <v>.</v>
      </c>
      <c r="N26" s="215" t="str">
        <f>IFERROR(IF(AND(L26="Yes",ISNUMBER(M26)),MAX(0,M26-SUMIFS(BU$3:BU25,L$3:L25,"Yes")),IF(OR(L26="No",M26="None"),"N/A","ERR")),"ERR")</f>
        <v>N/A</v>
      </c>
      <c r="O26" s="251" t="b">
        <f t="shared" si="46"/>
        <v>0</v>
      </c>
      <c r="P26" s="251" t="str">
        <f>IF(O26,BENEFIT_PARAMETERS!$C$76,"N/A")</f>
        <v>N/A</v>
      </c>
      <c r="Q26" s="288" t="str">
        <f>IF(P26="Yes", BENEFIT_PARAMETERS!$D$76,"N/A")</f>
        <v>N/A</v>
      </c>
      <c r="R26" s="253" t="str">
        <f t="shared" si="7"/>
        <v>N/A</v>
      </c>
      <c r="S26" s="217">
        <f t="shared" si="47"/>
        <v>0</v>
      </c>
      <c r="T26" s="215">
        <f t="shared" ref="T26:T57" si="74">J26-S26</f>
        <v>0</v>
      </c>
      <c r="U26" s="214" t="b">
        <f t="shared" si="48"/>
        <v>0</v>
      </c>
      <c r="V26" s="251" t="str">
        <f>IF(O26,BENEFIT_PARAMETERS!$C$77,"N/A")</f>
        <v>N/A</v>
      </c>
      <c r="W26" s="288" t="str">
        <f>IF(V26="Yes", BENEFIT_PARAMETERS!$D$77,"N/A")</f>
        <v>N/A</v>
      </c>
      <c r="X26" s="253" t="str">
        <f>IF(O26,COUNTIF(Z$3:Z25,"&gt;0"),"N/A")</f>
        <v>N/A</v>
      </c>
      <c r="Y26" s="217" t="str">
        <f t="shared" ref="Y26:Y57" si="75">IF(V26="Yes",VLOOKUP("Professional Services: Primary Care",BenefitDesignTable,COLUMN(BenefitCopay),FALSE),"N/A")</f>
        <v>N/A</v>
      </c>
      <c r="Z26" s="293" t="str">
        <f t="shared" si="49"/>
        <v>N/A</v>
      </c>
      <c r="AA26" s="293">
        <f t="shared" si="50"/>
        <v>0</v>
      </c>
      <c r="AB26" s="293" t="str">
        <f t="shared" ref="AB26:AB57" si="76">IF(L26="Yes",IF(Z26="N/A",N26,N26-Z26),"N/A")</f>
        <v>N/A</v>
      </c>
      <c r="AC26" s="215">
        <f t="shared" si="51"/>
        <v>0</v>
      </c>
      <c r="AD26" s="214" t="b">
        <f t="shared" ref="AD26:AD57" si="77">VLOOKUP(F26,nrCoverageTable,COLUMN(nrMonthlyLimitValid),FALSE)</f>
        <v>0</v>
      </c>
      <c r="AE26" s="209" t="str">
        <f t="shared" ref="AE26:AE57" si="78">IF(AD26,VLOOKUP(F26,BenefitDesignTable,COLUMN(BenefitLimithMonth),FALSE),".")</f>
        <v>.</v>
      </c>
      <c r="AF26" s="216">
        <f t="shared" ref="AF26:AF57" si="79">COUNTIFS(ServiceCode,D26,ClaimMonth,C26,ClaimNumber,"&lt;"&amp;A26)</f>
        <v>0</v>
      </c>
      <c r="AG26" s="217" t="str">
        <f t="shared" ref="AG26:AG57" si="80">IF(AD26,IF(OR(AE26="None",ISNUMBER(AE26)),IF(AF26&gt;=AE26,H26,0),"ERR"),"N/A")</f>
        <v>N/A</v>
      </c>
      <c r="AH26" s="217" t="b">
        <f t="shared" ref="AH26:AH57" si="81">VLOOKUP(F26,nrCoverageTable,COLUMN(nrAnnualLimitValid),FALSE)</f>
        <v>0</v>
      </c>
      <c r="AI26" s="209" t="str">
        <f t="shared" ref="AI26:AI57" si="82">IF(AH26,VLOOKUP(F26,BenefitDesignTable,COLUMN(BenefitLimitAnnual),FALSE),".")</f>
        <v>.</v>
      </c>
      <c r="AJ26" s="216">
        <f t="shared" ref="AJ26:AJ57" si="83">COUNTIFS(ServiceCode,D26,ClaimNumber,"&lt;"&amp;A26)</f>
        <v>0</v>
      </c>
      <c r="AK26" s="217" t="str">
        <f t="shared" ref="AK26:AK57" si="84">IF(AH26,IF(OR(AI26="None",ISNUMBER(AI26)),IF(AJ26&gt;=AI26,H26,0),"ERR"),"N/A")</f>
        <v>N/A</v>
      </c>
      <c r="AL26" s="217">
        <f t="shared" si="52"/>
        <v>0</v>
      </c>
      <c r="AM26" s="215">
        <f t="shared" si="53"/>
        <v>0</v>
      </c>
      <c r="AN26" s="219" t="b">
        <f t="shared" ref="AN26:AN57" si="85">VLOOKUP(F26,nrCoverageTable,COLUMN(nrUsesPlanDeduct),FALSE)</f>
        <v>0</v>
      </c>
      <c r="AO26" s="217" t="str">
        <f t="shared" ref="AO26:AO57" si="86">IF(AN26,VLOOKUP(F26,BenefitDesignTable,COLUMN(PlanDeductible),FALSE),"N/A")</f>
        <v>N/A</v>
      </c>
      <c r="AP26" s="217" t="str">
        <f>IF(AND(ISNUMBER(AO26),AN26=TRUE),MAX(0,AO26-SUMIFS($AM$3:$AM25,AN$3:AN25,TRUE)),IF(AND(AN26=TRUE,ISNUMBER(AO26)=FALSE),"ERR","N/A"))</f>
        <v>N/A</v>
      </c>
      <c r="AQ26" s="215" t="str">
        <f t="shared" ref="AQ26:AQ57" si="87">IF(ISNUMBER(AP26),MIN($AM26,AP26),"N/A")</f>
        <v>N/A</v>
      </c>
      <c r="AR26" s="219" t="b">
        <f t="shared" ref="AR26:AR57" si="88">VLOOKUP(F26,nrCoverageTable,COLUMN(nrUsesRxDeduct),FALSE)</f>
        <v>0</v>
      </c>
      <c r="AS26" s="217" t="str">
        <f t="shared" ref="AS26:AS57" si="89">IF(AR26,VLOOKUP(F26,BenefitDesignTable,COLUMN(RxDeductible),FALSE),"N/A")</f>
        <v>N/A</v>
      </c>
      <c r="AT26" s="217" t="str">
        <f>IF(AND(AR26=TRUE,ISNUMBER(AS26)),MAX(0,AS26-SUMIFS($AM$3:$AM25,AR$3:AR25,TRUE)),IF(AND(AR26=TRUE,ISNUMBER(AS26)=FALSE),"ERR","N/A"))</f>
        <v>N/A</v>
      </c>
      <c r="AU26" s="215" t="str">
        <f t="shared" ref="AU26:AU57" si="90">IF(ISNUMBER(AT26),MIN($AM26,AT26),"N/A")</f>
        <v>N/A</v>
      </c>
      <c r="AV26" s="219" t="b">
        <f t="shared" ref="AV26:AV57" si="91">VLOOKUP(F26,nrCoverageTable,COLUMN(nrUsesDeductC),FALSE)</f>
        <v>0</v>
      </c>
      <c r="AW26" s="217" t="str">
        <f t="shared" ref="AW26:AW57" si="92">IF(AV26,VLOOKUP(F26,BenefitDesignTable,COLUMN(OptDeductibleC),FALSE),"N/A")</f>
        <v>N/A</v>
      </c>
      <c r="AX26" s="217" t="str">
        <f>IF(AND(AV26=TRUE,ISNUMBER(AW26)),MAX(0,AW26-SUMIFS($AM$3:$AM25,AV$3:AV25,TRUE)),IF(AND(AV26=TRUE,ISNUMBER(AW26)=FALSE),"ERR","N/A"))</f>
        <v>N/A</v>
      </c>
      <c r="AY26" s="215" t="str">
        <f t="shared" ref="AY26:AY57" si="93">IF(ISNUMBER(AX26),MIN($AM26,AX26),"N/A")</f>
        <v>N/A</v>
      </c>
      <c r="AZ26" s="219" t="b">
        <f t="shared" ref="AZ26:AZ57" si="94">VLOOKUP(F26,nrCoverageTable,COLUMN(nrUsesDeductD),FALSE)</f>
        <v>0</v>
      </c>
      <c r="BA26" s="217" t="str">
        <f t="shared" ref="BA26:BA57" si="95">IF(AZ26,VLOOKUP(F26,BenefitDesignTable,COLUMN(OptDeductibleD),FALSE),"N/A")</f>
        <v>N/A</v>
      </c>
      <c r="BB26" s="217" t="str">
        <f>IF(AND(AZ26=TRUE,ISNUMBER(BA26)),MAX(0,BA26-SUMIFS($AM$3:$AM25,AZ$3:AZ25,TRUE)),IF(AND(AZ26=TRUE,ISNUMBER(BA26)=FALSE),"ERR","N/A"))</f>
        <v>N/A</v>
      </c>
      <c r="BC26" s="215" t="str">
        <f t="shared" ref="BC26:BC57" si="96">IF(ISNUMBER(BB26),MIN($AM26,BB26),"N/A")</f>
        <v>N/A</v>
      </c>
      <c r="BD26" s="219" t="b">
        <f t="shared" ref="BD26:BD57" si="97">VLOOKUP(F26,nrCoverageTable,COLUMN(nrUsesBenDeduct),FALSE)</f>
        <v>0</v>
      </c>
      <c r="BE26" s="217" t="str">
        <f t="shared" ref="BE26:BE57" si="98">IF(BD26,VLOOKUP(F26,BenefitDesignTable,COLUMN(BenefitDeductible),FALSE),"N/A")</f>
        <v>N/A</v>
      </c>
      <c r="BF26" s="217" t="str">
        <f>IF(AND(BD26=TRUE,ISNUMBER(BE26)=TRUE),MAX(0,BE26-SUMIFS(AM$3:AM25,BD$3:BD25,TRUE,F$3:F25,F26)),IF(AND(BD26=TRUE,ISNUMBER(BE26)=FALSE),"ERR","N/A"))</f>
        <v>N/A</v>
      </c>
      <c r="BG26" s="215" t="str">
        <f t="shared" ref="BG26:BG57" si="99">IF(ISNUMBER(BF26),MIN($AM26,BF26),"N/A")</f>
        <v>N/A</v>
      </c>
      <c r="BH26" s="214">
        <f t="shared" ref="BH26:BH57" si="100">SUM(AQ26,AU26,AY26,BC26,BG26)</f>
        <v>0</v>
      </c>
      <c r="BI26" s="215">
        <f t="shared" si="54"/>
        <v>0</v>
      </c>
      <c r="BJ26" s="214" t="str">
        <f t="shared" si="55"/>
        <v>N/A</v>
      </c>
      <c r="BK26" s="217">
        <f t="shared" ref="BK26:BK57" si="101">IF(OR(BI26="ERR",AM26="ERR"),"ERR",MAX(0,AM26-BI26))</f>
        <v>0</v>
      </c>
      <c r="BL26" s="220" t="b">
        <f t="shared" ref="BL26:BL57" si="102">VLOOKUP(F26,nrCoverageTable,COLUMN(nrUsesCopay),FALSE)</f>
        <v>0</v>
      </c>
      <c r="BM26" s="217" t="str">
        <f t="shared" ref="BM26:BM57" si="103">IF(BL26,VLOOKUP(F26,BenefitDesignTable,COLUMN(BenefitCopay),FALSE),"N/A")</f>
        <v>N/A</v>
      </c>
      <c r="BN26" s="217" t="str">
        <f t="shared" si="56"/>
        <v>N/A</v>
      </c>
      <c r="BO26" s="220" t="b">
        <f t="shared" ref="BO26:BO57" si="104">VLOOKUP(F26,nrCoverageTable,COLUMN(nrUsesCoins),FALSE)</f>
        <v>0</v>
      </c>
      <c r="BP26" s="244" t="str">
        <f t="shared" ref="BP26:BP57" si="105">IF(BO26,VLOOKUP(F26,BenefitDesignTable,COLUMN(BenefitCoins),FALSE),"N/A")</f>
        <v>N/A</v>
      </c>
      <c r="BQ26" s="217" t="str">
        <f t="shared" si="57"/>
        <v>N/A</v>
      </c>
      <c r="BR26" s="215">
        <f t="shared" si="58"/>
        <v>0</v>
      </c>
      <c r="BS26" s="214" t="str">
        <f t="shared" si="59"/>
        <v>N/A</v>
      </c>
      <c r="BT26" s="217">
        <f t="shared" si="60"/>
        <v>0</v>
      </c>
      <c r="BU26" s="215">
        <f t="shared" si="61"/>
        <v>0</v>
      </c>
      <c r="BV26" s="214">
        <f t="shared" si="62"/>
        <v>0</v>
      </c>
      <c r="BW26" s="217">
        <f t="shared" ref="BW26:BW57" si="106">I26</f>
        <v>118.55</v>
      </c>
      <c r="BX26" s="217">
        <f t="shared" ref="BX26:BX57" si="107">IF(OR(AG26="ERR",AK26="ERR"),"ERR",SUM(AG26,AK26))</f>
        <v>0</v>
      </c>
      <c r="BY26" s="217">
        <f t="shared" si="63"/>
        <v>0</v>
      </c>
      <c r="BZ26" s="217">
        <f t="shared" si="42"/>
        <v>0</v>
      </c>
      <c r="CA26" s="217">
        <f t="shared" si="64"/>
        <v>0</v>
      </c>
      <c r="CB26" s="213" t="b">
        <f t="shared" ref="CB26:CB57" si="108">SUM(BV26:CA26)=H26</f>
        <v>1</v>
      </c>
    </row>
    <row r="27" spans="1:80" x14ac:dyDescent="0.25">
      <c r="A27" s="207">
        <v>24</v>
      </c>
      <c r="B27" s="208">
        <v>42400</v>
      </c>
      <c r="C27" s="209">
        <v>1</v>
      </c>
      <c r="D27" s="210">
        <v>17</v>
      </c>
      <c r="E27" s="211" t="str">
        <f t="shared" si="65"/>
        <v>Insulin glargine 100 unit/ml injectable solution (Rx - 10ml vial)  [20 units QD; expires 28 days after first use]</v>
      </c>
      <c r="F27" s="212" t="str">
        <f t="shared" si="66"/>
        <v>Prescription Drugs: Insulin</v>
      </c>
      <c r="G27" s="213" t="str">
        <f t="shared" si="67"/>
        <v>Not Covered</v>
      </c>
      <c r="H27" s="214">
        <f t="shared" si="68"/>
        <v>240.37</v>
      </c>
      <c r="I27" s="217">
        <f t="shared" si="69"/>
        <v>240.37</v>
      </c>
      <c r="J27" s="251">
        <f t="shared" si="70"/>
        <v>0</v>
      </c>
      <c r="K27" s="214" t="b">
        <f t="shared" si="71"/>
        <v>0</v>
      </c>
      <c r="L27" s="218" t="str">
        <f t="shared" si="72"/>
        <v>No</v>
      </c>
      <c r="M27" s="217" t="str">
        <f t="shared" si="73"/>
        <v>.</v>
      </c>
      <c r="N27" s="215" t="str">
        <f>IFERROR(IF(AND(L27="Yes",ISNUMBER(M27)),MAX(0,M27-SUMIFS(BU$3:BU26,L$3:L26,"Yes")),IF(OR(L27="No",M27="None"),"N/A","ERR")),"ERR")</f>
        <v>N/A</v>
      </c>
      <c r="O27" s="251" t="b">
        <f t="shared" si="46"/>
        <v>0</v>
      </c>
      <c r="P27" s="251" t="str">
        <f>IF(O27,BENEFIT_PARAMETERS!$C$76,"N/A")</f>
        <v>N/A</v>
      </c>
      <c r="Q27" s="288" t="str">
        <f>IF(P27="Yes", BENEFIT_PARAMETERS!$D$76,"N/A")</f>
        <v>N/A</v>
      </c>
      <c r="R27" s="253" t="str">
        <f t="shared" si="7"/>
        <v>N/A</v>
      </c>
      <c r="S27" s="217">
        <f t="shared" si="47"/>
        <v>0</v>
      </c>
      <c r="T27" s="215">
        <f t="shared" si="74"/>
        <v>0</v>
      </c>
      <c r="U27" s="214" t="b">
        <f t="shared" si="48"/>
        <v>0</v>
      </c>
      <c r="V27" s="251" t="str">
        <f>IF(O27,BENEFIT_PARAMETERS!$C$77,"N/A")</f>
        <v>N/A</v>
      </c>
      <c r="W27" s="288" t="str">
        <f>IF(V27="Yes", BENEFIT_PARAMETERS!$D$77,"N/A")</f>
        <v>N/A</v>
      </c>
      <c r="X27" s="253" t="str">
        <f>IF(O27,COUNTIF(Z$3:Z26,"&gt;0"),"N/A")</f>
        <v>N/A</v>
      </c>
      <c r="Y27" s="217" t="str">
        <f t="shared" si="75"/>
        <v>N/A</v>
      </c>
      <c r="Z27" s="293" t="str">
        <f t="shared" si="49"/>
        <v>N/A</v>
      </c>
      <c r="AA27" s="293">
        <f t="shared" si="50"/>
        <v>0</v>
      </c>
      <c r="AB27" s="293" t="str">
        <f t="shared" si="76"/>
        <v>N/A</v>
      </c>
      <c r="AC27" s="215">
        <f t="shared" si="51"/>
        <v>0</v>
      </c>
      <c r="AD27" s="214" t="b">
        <f t="shared" si="77"/>
        <v>0</v>
      </c>
      <c r="AE27" s="209" t="str">
        <f t="shared" si="78"/>
        <v>.</v>
      </c>
      <c r="AF27" s="216">
        <f t="shared" si="79"/>
        <v>1</v>
      </c>
      <c r="AG27" s="217" t="str">
        <f t="shared" si="80"/>
        <v>N/A</v>
      </c>
      <c r="AH27" s="217" t="b">
        <f t="shared" si="81"/>
        <v>0</v>
      </c>
      <c r="AI27" s="209" t="str">
        <f t="shared" si="82"/>
        <v>.</v>
      </c>
      <c r="AJ27" s="216">
        <f t="shared" si="83"/>
        <v>1</v>
      </c>
      <c r="AK27" s="217" t="str">
        <f t="shared" si="84"/>
        <v>N/A</v>
      </c>
      <c r="AL27" s="217">
        <f t="shared" si="52"/>
        <v>0</v>
      </c>
      <c r="AM27" s="215">
        <f t="shared" si="53"/>
        <v>0</v>
      </c>
      <c r="AN27" s="219" t="b">
        <f t="shared" si="85"/>
        <v>0</v>
      </c>
      <c r="AO27" s="217" t="str">
        <f t="shared" si="86"/>
        <v>N/A</v>
      </c>
      <c r="AP27" s="217" t="str">
        <f>IF(AND(ISNUMBER(AO27),AN27=TRUE),MAX(0,AO27-SUMIFS($AM$3:$AM26,AN$3:AN26,TRUE)),IF(AND(AN27=TRUE,ISNUMBER(AO27)=FALSE),"ERR","N/A"))</f>
        <v>N/A</v>
      </c>
      <c r="AQ27" s="215" t="str">
        <f t="shared" si="87"/>
        <v>N/A</v>
      </c>
      <c r="AR27" s="219" t="b">
        <f t="shared" si="88"/>
        <v>0</v>
      </c>
      <c r="AS27" s="217" t="str">
        <f t="shared" si="89"/>
        <v>N/A</v>
      </c>
      <c r="AT27" s="217" t="str">
        <f>IF(AND(AR27=TRUE,ISNUMBER(AS27)),MAX(0,AS27-SUMIFS($AM$3:$AM26,AR$3:AR26,TRUE)),IF(AND(AR27=TRUE,ISNUMBER(AS27)=FALSE),"ERR","N/A"))</f>
        <v>N/A</v>
      </c>
      <c r="AU27" s="215" t="str">
        <f t="shared" si="90"/>
        <v>N/A</v>
      </c>
      <c r="AV27" s="219" t="b">
        <f t="shared" si="91"/>
        <v>0</v>
      </c>
      <c r="AW27" s="217" t="str">
        <f t="shared" si="92"/>
        <v>N/A</v>
      </c>
      <c r="AX27" s="217" t="str">
        <f>IF(AND(AV27=TRUE,ISNUMBER(AW27)),MAX(0,AW27-SUMIFS($AM$3:$AM26,AV$3:AV26,TRUE)),IF(AND(AV27=TRUE,ISNUMBER(AW27)=FALSE),"ERR","N/A"))</f>
        <v>N/A</v>
      </c>
      <c r="AY27" s="215" t="str">
        <f t="shared" si="93"/>
        <v>N/A</v>
      </c>
      <c r="AZ27" s="219" t="b">
        <f t="shared" si="94"/>
        <v>0</v>
      </c>
      <c r="BA27" s="217" t="str">
        <f t="shared" si="95"/>
        <v>N/A</v>
      </c>
      <c r="BB27" s="217" t="str">
        <f>IF(AND(AZ27=TRUE,ISNUMBER(BA27)),MAX(0,BA27-SUMIFS($AM$3:$AM26,AZ$3:AZ26,TRUE)),IF(AND(AZ27=TRUE,ISNUMBER(BA27)=FALSE),"ERR","N/A"))</f>
        <v>N/A</v>
      </c>
      <c r="BC27" s="215" t="str">
        <f t="shared" si="96"/>
        <v>N/A</v>
      </c>
      <c r="BD27" s="219" t="b">
        <f t="shared" si="97"/>
        <v>0</v>
      </c>
      <c r="BE27" s="217" t="str">
        <f t="shared" si="98"/>
        <v>N/A</v>
      </c>
      <c r="BF27" s="217" t="str">
        <f>IF(AND(BD27=TRUE,ISNUMBER(BE27)=TRUE),MAX(0,BE27-SUMIFS(AM$3:AM26,BD$3:BD26,TRUE,F$3:F26,F27)),IF(AND(BD27=TRUE,ISNUMBER(BE27)=FALSE),"ERR","N/A"))</f>
        <v>N/A</v>
      </c>
      <c r="BG27" s="215" t="str">
        <f t="shared" si="99"/>
        <v>N/A</v>
      </c>
      <c r="BH27" s="214">
        <f t="shared" si="100"/>
        <v>0</v>
      </c>
      <c r="BI27" s="215">
        <f t="shared" si="54"/>
        <v>0</v>
      </c>
      <c r="BJ27" s="214" t="str">
        <f t="shared" si="55"/>
        <v>N/A</v>
      </c>
      <c r="BK27" s="217">
        <f t="shared" si="101"/>
        <v>0</v>
      </c>
      <c r="BL27" s="220" t="b">
        <f t="shared" si="102"/>
        <v>0</v>
      </c>
      <c r="BM27" s="217" t="str">
        <f t="shared" si="103"/>
        <v>N/A</v>
      </c>
      <c r="BN27" s="217" t="str">
        <f t="shared" si="56"/>
        <v>N/A</v>
      </c>
      <c r="BO27" s="220" t="b">
        <f t="shared" si="104"/>
        <v>0</v>
      </c>
      <c r="BP27" s="244" t="str">
        <f t="shared" si="105"/>
        <v>N/A</v>
      </c>
      <c r="BQ27" s="217" t="str">
        <f t="shared" si="57"/>
        <v>N/A</v>
      </c>
      <c r="BR27" s="215">
        <f t="shared" si="58"/>
        <v>0</v>
      </c>
      <c r="BS27" s="214" t="str">
        <f t="shared" si="59"/>
        <v>N/A</v>
      </c>
      <c r="BT27" s="217">
        <f t="shared" si="60"/>
        <v>0</v>
      </c>
      <c r="BU27" s="215">
        <f t="shared" si="61"/>
        <v>0</v>
      </c>
      <c r="BV27" s="214">
        <f t="shared" si="62"/>
        <v>0</v>
      </c>
      <c r="BW27" s="217">
        <f t="shared" si="106"/>
        <v>240.37</v>
      </c>
      <c r="BX27" s="217">
        <f t="shared" si="107"/>
        <v>0</v>
      </c>
      <c r="BY27" s="217">
        <f t="shared" si="63"/>
        <v>0</v>
      </c>
      <c r="BZ27" s="217">
        <f t="shared" si="42"/>
        <v>0</v>
      </c>
      <c r="CA27" s="217">
        <f t="shared" si="64"/>
        <v>0</v>
      </c>
      <c r="CB27" s="213" t="b">
        <f t="shared" si="108"/>
        <v>1</v>
      </c>
    </row>
    <row r="28" spans="1:80" x14ac:dyDescent="0.25">
      <c r="A28" s="207">
        <v>25</v>
      </c>
      <c r="B28" s="208">
        <v>42402</v>
      </c>
      <c r="C28" s="209">
        <v>2</v>
      </c>
      <c r="D28" s="210">
        <v>14</v>
      </c>
      <c r="E28" s="211" t="str">
        <f t="shared" si="65"/>
        <v>BD Ultrafine Insulin Syringes / 30G/ 0.5cc  [usage = 30 syringes per month]</v>
      </c>
      <c r="F28" s="212" t="str">
        <f t="shared" si="66"/>
        <v>Medical Supplies</v>
      </c>
      <c r="G28" s="213" t="str">
        <f t="shared" si="67"/>
        <v>Not Covered</v>
      </c>
      <c r="H28" s="214">
        <f t="shared" si="68"/>
        <v>20.62</v>
      </c>
      <c r="I28" s="217">
        <f t="shared" si="69"/>
        <v>20.62</v>
      </c>
      <c r="J28" s="251">
        <f t="shared" si="70"/>
        <v>0</v>
      </c>
      <c r="K28" s="214" t="b">
        <f t="shared" si="71"/>
        <v>0</v>
      </c>
      <c r="L28" s="218" t="str">
        <f t="shared" si="72"/>
        <v>No</v>
      </c>
      <c r="M28" s="217" t="str">
        <f t="shared" si="73"/>
        <v>.</v>
      </c>
      <c r="N28" s="215" t="str">
        <f>IFERROR(IF(AND(L28="Yes",ISNUMBER(M28)),MAX(0,M28-SUMIFS(BU$3:BU27,L$3:L27,"Yes")),IF(OR(L28="No",M28="None"),"N/A","ERR")),"ERR")</f>
        <v>N/A</v>
      </c>
      <c r="O28" s="251" t="b">
        <f t="shared" si="46"/>
        <v>0</v>
      </c>
      <c r="P28" s="251" t="str">
        <f>IF(O28,BENEFIT_PARAMETERS!$C$76,"N/A")</f>
        <v>N/A</v>
      </c>
      <c r="Q28" s="288" t="str">
        <f>IF(P28="Yes", BENEFIT_PARAMETERS!$D$76,"N/A")</f>
        <v>N/A</v>
      </c>
      <c r="R28" s="253" t="str">
        <f t="shared" si="7"/>
        <v>N/A</v>
      </c>
      <c r="S28" s="217">
        <f t="shared" si="47"/>
        <v>0</v>
      </c>
      <c r="T28" s="215">
        <f t="shared" si="74"/>
        <v>0</v>
      </c>
      <c r="U28" s="214" t="b">
        <f t="shared" si="48"/>
        <v>0</v>
      </c>
      <c r="V28" s="251" t="str">
        <f>IF(O28,BENEFIT_PARAMETERS!$C$77,"N/A")</f>
        <v>N/A</v>
      </c>
      <c r="W28" s="288" t="str">
        <f>IF(V28="Yes", BENEFIT_PARAMETERS!$D$77,"N/A")</f>
        <v>N/A</v>
      </c>
      <c r="X28" s="253" t="str">
        <f>IF(O28,COUNTIF(Z$3:Z27,"&gt;0"),"N/A")</f>
        <v>N/A</v>
      </c>
      <c r="Y28" s="217" t="str">
        <f t="shared" si="75"/>
        <v>N/A</v>
      </c>
      <c r="Z28" s="293" t="str">
        <f t="shared" si="49"/>
        <v>N/A</v>
      </c>
      <c r="AA28" s="293">
        <f t="shared" si="50"/>
        <v>0</v>
      </c>
      <c r="AB28" s="293" t="str">
        <f t="shared" si="76"/>
        <v>N/A</v>
      </c>
      <c r="AC28" s="215">
        <f t="shared" si="51"/>
        <v>0</v>
      </c>
      <c r="AD28" s="214" t="b">
        <f t="shared" si="77"/>
        <v>0</v>
      </c>
      <c r="AE28" s="209" t="str">
        <f t="shared" si="78"/>
        <v>.</v>
      </c>
      <c r="AF28" s="216">
        <f t="shared" si="79"/>
        <v>0</v>
      </c>
      <c r="AG28" s="217" t="str">
        <f t="shared" si="80"/>
        <v>N/A</v>
      </c>
      <c r="AH28" s="217" t="b">
        <f t="shared" si="81"/>
        <v>0</v>
      </c>
      <c r="AI28" s="209" t="str">
        <f t="shared" si="82"/>
        <v>.</v>
      </c>
      <c r="AJ28" s="216">
        <f t="shared" si="83"/>
        <v>1</v>
      </c>
      <c r="AK28" s="217" t="str">
        <f t="shared" si="84"/>
        <v>N/A</v>
      </c>
      <c r="AL28" s="217">
        <f t="shared" si="52"/>
        <v>0</v>
      </c>
      <c r="AM28" s="215">
        <f t="shared" si="53"/>
        <v>0</v>
      </c>
      <c r="AN28" s="219" t="b">
        <f t="shared" si="85"/>
        <v>0</v>
      </c>
      <c r="AO28" s="217" t="str">
        <f t="shared" si="86"/>
        <v>N/A</v>
      </c>
      <c r="AP28" s="217" t="str">
        <f>IF(AND(ISNUMBER(AO28),AN28=TRUE),MAX(0,AO28-SUMIFS($AM$3:$AM27,AN$3:AN27,TRUE)),IF(AND(AN28=TRUE,ISNUMBER(AO28)=FALSE),"ERR","N/A"))</f>
        <v>N/A</v>
      </c>
      <c r="AQ28" s="215" t="str">
        <f t="shared" si="87"/>
        <v>N/A</v>
      </c>
      <c r="AR28" s="219" t="b">
        <f t="shared" si="88"/>
        <v>0</v>
      </c>
      <c r="AS28" s="217" t="str">
        <f t="shared" si="89"/>
        <v>N/A</v>
      </c>
      <c r="AT28" s="217" t="str">
        <f>IF(AND(AR28=TRUE,ISNUMBER(AS28)),MAX(0,AS28-SUMIFS($AM$3:$AM27,AR$3:AR27,TRUE)),IF(AND(AR28=TRUE,ISNUMBER(AS28)=FALSE),"ERR","N/A"))</f>
        <v>N/A</v>
      </c>
      <c r="AU28" s="215" t="str">
        <f t="shared" si="90"/>
        <v>N/A</v>
      </c>
      <c r="AV28" s="219" t="b">
        <f t="shared" si="91"/>
        <v>0</v>
      </c>
      <c r="AW28" s="217" t="str">
        <f t="shared" si="92"/>
        <v>N/A</v>
      </c>
      <c r="AX28" s="217" t="str">
        <f>IF(AND(AV28=TRUE,ISNUMBER(AW28)),MAX(0,AW28-SUMIFS($AM$3:$AM27,AV$3:AV27,TRUE)),IF(AND(AV28=TRUE,ISNUMBER(AW28)=FALSE),"ERR","N/A"))</f>
        <v>N/A</v>
      </c>
      <c r="AY28" s="215" t="str">
        <f t="shared" si="93"/>
        <v>N/A</v>
      </c>
      <c r="AZ28" s="219" t="b">
        <f t="shared" si="94"/>
        <v>0</v>
      </c>
      <c r="BA28" s="217" t="str">
        <f t="shared" si="95"/>
        <v>N/A</v>
      </c>
      <c r="BB28" s="217" t="str">
        <f>IF(AND(AZ28=TRUE,ISNUMBER(BA28)),MAX(0,BA28-SUMIFS($AM$3:$AM27,AZ$3:AZ27,TRUE)),IF(AND(AZ28=TRUE,ISNUMBER(BA28)=FALSE),"ERR","N/A"))</f>
        <v>N/A</v>
      </c>
      <c r="BC28" s="215" t="str">
        <f t="shared" si="96"/>
        <v>N/A</v>
      </c>
      <c r="BD28" s="219" t="b">
        <f t="shared" si="97"/>
        <v>0</v>
      </c>
      <c r="BE28" s="217" t="str">
        <f t="shared" si="98"/>
        <v>N/A</v>
      </c>
      <c r="BF28" s="217" t="str">
        <f>IF(AND(BD28=TRUE,ISNUMBER(BE28)=TRUE),MAX(0,BE28-SUMIFS(AM$3:AM27,BD$3:BD27,TRUE,F$3:F27,F28)),IF(AND(BD28=TRUE,ISNUMBER(BE28)=FALSE),"ERR","N/A"))</f>
        <v>N/A</v>
      </c>
      <c r="BG28" s="215" t="str">
        <f t="shared" si="99"/>
        <v>N/A</v>
      </c>
      <c r="BH28" s="214">
        <f t="shared" si="100"/>
        <v>0</v>
      </c>
      <c r="BI28" s="215">
        <f t="shared" si="54"/>
        <v>0</v>
      </c>
      <c r="BJ28" s="214" t="str">
        <f t="shared" si="55"/>
        <v>N/A</v>
      </c>
      <c r="BK28" s="217">
        <f t="shared" si="101"/>
        <v>0</v>
      </c>
      <c r="BL28" s="220" t="b">
        <f t="shared" si="102"/>
        <v>0</v>
      </c>
      <c r="BM28" s="217" t="str">
        <f t="shared" si="103"/>
        <v>N/A</v>
      </c>
      <c r="BN28" s="217" t="str">
        <f t="shared" si="56"/>
        <v>N/A</v>
      </c>
      <c r="BO28" s="220" t="b">
        <f t="shared" si="104"/>
        <v>0</v>
      </c>
      <c r="BP28" s="244" t="str">
        <f t="shared" si="105"/>
        <v>N/A</v>
      </c>
      <c r="BQ28" s="217" t="str">
        <f t="shared" si="57"/>
        <v>N/A</v>
      </c>
      <c r="BR28" s="215">
        <f t="shared" si="58"/>
        <v>0</v>
      </c>
      <c r="BS28" s="214" t="str">
        <f t="shared" si="59"/>
        <v>N/A</v>
      </c>
      <c r="BT28" s="217">
        <f t="shared" si="60"/>
        <v>0</v>
      </c>
      <c r="BU28" s="215">
        <f t="shared" si="61"/>
        <v>0</v>
      </c>
      <c r="BV28" s="214">
        <f t="shared" si="62"/>
        <v>0</v>
      </c>
      <c r="BW28" s="217">
        <f t="shared" si="106"/>
        <v>20.62</v>
      </c>
      <c r="BX28" s="217">
        <f t="shared" si="107"/>
        <v>0</v>
      </c>
      <c r="BY28" s="217">
        <f t="shared" si="63"/>
        <v>0</v>
      </c>
      <c r="BZ28" s="217">
        <f t="shared" si="42"/>
        <v>0</v>
      </c>
      <c r="CA28" s="217">
        <f t="shared" si="64"/>
        <v>0</v>
      </c>
      <c r="CB28" s="213" t="b">
        <f t="shared" si="108"/>
        <v>1</v>
      </c>
    </row>
    <row r="29" spans="1:80" x14ac:dyDescent="0.25">
      <c r="A29" s="207">
        <v>26</v>
      </c>
      <c r="B29" s="208">
        <v>42402</v>
      </c>
      <c r="C29" s="209">
        <v>2</v>
      </c>
      <c r="D29" s="210">
        <v>32</v>
      </c>
      <c r="E29" s="211" t="str">
        <f t="shared" si="65"/>
        <v>Metformin Hydrochloride 500 MG TABLET [ #60 pills/month]</v>
      </c>
      <c r="F29" s="212" t="str">
        <f t="shared" si="66"/>
        <v>Prescription Drugs: Generic</v>
      </c>
      <c r="G29" s="213" t="str">
        <f t="shared" si="67"/>
        <v>Not Covered</v>
      </c>
      <c r="H29" s="214">
        <f t="shared" si="68"/>
        <v>3.21</v>
      </c>
      <c r="I29" s="217">
        <f t="shared" si="69"/>
        <v>3.21</v>
      </c>
      <c r="J29" s="251">
        <f t="shared" si="70"/>
        <v>0</v>
      </c>
      <c r="K29" s="214" t="b">
        <f t="shared" si="71"/>
        <v>0</v>
      </c>
      <c r="L29" s="218" t="str">
        <f t="shared" si="72"/>
        <v>No</v>
      </c>
      <c r="M29" s="217" t="str">
        <f t="shared" si="73"/>
        <v>.</v>
      </c>
      <c r="N29" s="215" t="str">
        <f>IFERROR(IF(AND(L29="Yes",ISNUMBER(M29)),MAX(0,M29-SUMIFS(BU$3:BU28,L$3:L28,"Yes")),IF(OR(L29="No",M29="None"),"N/A","ERR")),"ERR")</f>
        <v>N/A</v>
      </c>
      <c r="O29" s="251" t="b">
        <f t="shared" si="46"/>
        <v>0</v>
      </c>
      <c r="P29" s="251" t="str">
        <f>IF(O29,BENEFIT_PARAMETERS!$C$76,"N/A")</f>
        <v>N/A</v>
      </c>
      <c r="Q29" s="288" t="str">
        <f>IF(P29="Yes", BENEFIT_PARAMETERS!$D$76,"N/A")</f>
        <v>N/A</v>
      </c>
      <c r="R29" s="253" t="str">
        <f t="shared" si="7"/>
        <v>N/A</v>
      </c>
      <c r="S29" s="217">
        <f t="shared" si="47"/>
        <v>0</v>
      </c>
      <c r="T29" s="215">
        <f t="shared" si="74"/>
        <v>0</v>
      </c>
      <c r="U29" s="214" t="b">
        <f t="shared" si="48"/>
        <v>0</v>
      </c>
      <c r="V29" s="251" t="str">
        <f>IF(O29,BENEFIT_PARAMETERS!$C$77,"N/A")</f>
        <v>N/A</v>
      </c>
      <c r="W29" s="288" t="str">
        <f>IF(V29="Yes", BENEFIT_PARAMETERS!$D$77,"N/A")</f>
        <v>N/A</v>
      </c>
      <c r="X29" s="253" t="str">
        <f>IF(O29,COUNTIF(Z$3:Z28,"&gt;0"),"N/A")</f>
        <v>N/A</v>
      </c>
      <c r="Y29" s="217" t="str">
        <f t="shared" si="75"/>
        <v>N/A</v>
      </c>
      <c r="Z29" s="293" t="str">
        <f t="shared" si="49"/>
        <v>N/A</v>
      </c>
      <c r="AA29" s="293">
        <f t="shared" si="50"/>
        <v>0</v>
      </c>
      <c r="AB29" s="293" t="str">
        <f t="shared" si="76"/>
        <v>N/A</v>
      </c>
      <c r="AC29" s="215">
        <f t="shared" si="51"/>
        <v>0</v>
      </c>
      <c r="AD29" s="214" t="b">
        <f t="shared" si="77"/>
        <v>0</v>
      </c>
      <c r="AE29" s="209" t="str">
        <f t="shared" si="78"/>
        <v>.</v>
      </c>
      <c r="AF29" s="216">
        <f t="shared" si="79"/>
        <v>0</v>
      </c>
      <c r="AG29" s="217" t="str">
        <f t="shared" si="80"/>
        <v>N/A</v>
      </c>
      <c r="AH29" s="217" t="b">
        <f t="shared" si="81"/>
        <v>0</v>
      </c>
      <c r="AI29" s="209" t="str">
        <f t="shared" si="82"/>
        <v>.</v>
      </c>
      <c r="AJ29" s="216">
        <f t="shared" si="83"/>
        <v>1</v>
      </c>
      <c r="AK29" s="217" t="str">
        <f t="shared" si="84"/>
        <v>N/A</v>
      </c>
      <c r="AL29" s="217">
        <f t="shared" si="52"/>
        <v>0</v>
      </c>
      <c r="AM29" s="215">
        <f t="shared" si="53"/>
        <v>0</v>
      </c>
      <c r="AN29" s="219" t="b">
        <f t="shared" si="85"/>
        <v>0</v>
      </c>
      <c r="AO29" s="217" t="str">
        <f t="shared" si="86"/>
        <v>N/A</v>
      </c>
      <c r="AP29" s="217" t="str">
        <f>IF(AND(ISNUMBER(AO29),AN29=TRUE),MAX(0,AO29-SUMIFS($AM$3:$AM28,AN$3:AN28,TRUE)),IF(AND(AN29=TRUE,ISNUMBER(AO29)=FALSE),"ERR","N/A"))</f>
        <v>N/A</v>
      </c>
      <c r="AQ29" s="215" t="str">
        <f t="shared" si="87"/>
        <v>N/A</v>
      </c>
      <c r="AR29" s="219" t="b">
        <f t="shared" si="88"/>
        <v>0</v>
      </c>
      <c r="AS29" s="217" t="str">
        <f t="shared" si="89"/>
        <v>N/A</v>
      </c>
      <c r="AT29" s="217" t="str">
        <f>IF(AND(AR29=TRUE,ISNUMBER(AS29)),MAX(0,AS29-SUMIFS($AM$3:$AM28,AR$3:AR28,TRUE)),IF(AND(AR29=TRUE,ISNUMBER(AS29)=FALSE),"ERR","N/A"))</f>
        <v>N/A</v>
      </c>
      <c r="AU29" s="215" t="str">
        <f t="shared" si="90"/>
        <v>N/A</v>
      </c>
      <c r="AV29" s="219" t="b">
        <f t="shared" si="91"/>
        <v>0</v>
      </c>
      <c r="AW29" s="217" t="str">
        <f t="shared" si="92"/>
        <v>N/A</v>
      </c>
      <c r="AX29" s="217" t="str">
        <f>IF(AND(AV29=TRUE,ISNUMBER(AW29)),MAX(0,AW29-SUMIFS($AM$3:$AM28,AV$3:AV28,TRUE)),IF(AND(AV29=TRUE,ISNUMBER(AW29)=FALSE),"ERR","N/A"))</f>
        <v>N/A</v>
      </c>
      <c r="AY29" s="215" t="str">
        <f t="shared" si="93"/>
        <v>N/A</v>
      </c>
      <c r="AZ29" s="219" t="b">
        <f t="shared" si="94"/>
        <v>0</v>
      </c>
      <c r="BA29" s="217" t="str">
        <f t="shared" si="95"/>
        <v>N/A</v>
      </c>
      <c r="BB29" s="217" t="str">
        <f>IF(AND(AZ29=TRUE,ISNUMBER(BA29)),MAX(0,BA29-SUMIFS($AM$3:$AM28,AZ$3:AZ28,TRUE)),IF(AND(AZ29=TRUE,ISNUMBER(BA29)=FALSE),"ERR","N/A"))</f>
        <v>N/A</v>
      </c>
      <c r="BC29" s="215" t="str">
        <f t="shared" si="96"/>
        <v>N/A</v>
      </c>
      <c r="BD29" s="219" t="b">
        <f t="shared" si="97"/>
        <v>0</v>
      </c>
      <c r="BE29" s="217" t="str">
        <f t="shared" si="98"/>
        <v>N/A</v>
      </c>
      <c r="BF29" s="217" t="str">
        <f>IF(AND(BD29=TRUE,ISNUMBER(BE29)=TRUE),MAX(0,BE29-SUMIFS(AM$3:AM28,BD$3:BD28,TRUE,F$3:F28,F29)),IF(AND(BD29=TRUE,ISNUMBER(BE29)=FALSE),"ERR","N/A"))</f>
        <v>N/A</v>
      </c>
      <c r="BG29" s="215" t="str">
        <f t="shared" si="99"/>
        <v>N/A</v>
      </c>
      <c r="BH29" s="214">
        <f t="shared" si="100"/>
        <v>0</v>
      </c>
      <c r="BI29" s="215">
        <f t="shared" si="54"/>
        <v>0</v>
      </c>
      <c r="BJ29" s="214" t="str">
        <f t="shared" si="55"/>
        <v>N/A</v>
      </c>
      <c r="BK29" s="217">
        <f t="shared" si="101"/>
        <v>0</v>
      </c>
      <c r="BL29" s="220" t="b">
        <f t="shared" si="102"/>
        <v>0</v>
      </c>
      <c r="BM29" s="217" t="str">
        <f t="shared" si="103"/>
        <v>N/A</v>
      </c>
      <c r="BN29" s="217" t="str">
        <f t="shared" si="56"/>
        <v>N/A</v>
      </c>
      <c r="BO29" s="220" t="b">
        <f t="shared" si="104"/>
        <v>0</v>
      </c>
      <c r="BP29" s="244" t="str">
        <f t="shared" si="105"/>
        <v>N/A</v>
      </c>
      <c r="BQ29" s="217" t="str">
        <f t="shared" si="57"/>
        <v>N/A</v>
      </c>
      <c r="BR29" s="215">
        <f t="shared" si="58"/>
        <v>0</v>
      </c>
      <c r="BS29" s="214" t="str">
        <f t="shared" si="59"/>
        <v>N/A</v>
      </c>
      <c r="BT29" s="217">
        <f t="shared" si="60"/>
        <v>0</v>
      </c>
      <c r="BU29" s="215">
        <f t="shared" si="61"/>
        <v>0</v>
      </c>
      <c r="BV29" s="214">
        <f t="shared" si="62"/>
        <v>0</v>
      </c>
      <c r="BW29" s="217">
        <f t="shared" si="106"/>
        <v>3.21</v>
      </c>
      <c r="BX29" s="217">
        <f t="shared" si="107"/>
        <v>0</v>
      </c>
      <c r="BY29" s="217">
        <f t="shared" si="63"/>
        <v>0</v>
      </c>
      <c r="BZ29" s="217">
        <f t="shared" si="42"/>
        <v>0</v>
      </c>
      <c r="CA29" s="217">
        <f t="shared" si="64"/>
        <v>0</v>
      </c>
      <c r="CB29" s="213" t="b">
        <f t="shared" si="108"/>
        <v>1</v>
      </c>
    </row>
    <row r="30" spans="1:80" x14ac:dyDescent="0.25">
      <c r="A30" s="207">
        <v>27</v>
      </c>
      <c r="B30" s="208">
        <v>42402</v>
      </c>
      <c r="C30" s="209">
        <v>2</v>
      </c>
      <c r="D30" s="210">
        <v>19</v>
      </c>
      <c r="E30" s="211" t="str">
        <f t="shared" si="65"/>
        <v>Lisinopril 20mg (Rx) [1 QD; #30 pills/month]</v>
      </c>
      <c r="F30" s="212" t="str">
        <f t="shared" si="66"/>
        <v>Prescription Drugs: Generic</v>
      </c>
      <c r="G30" s="213" t="str">
        <f t="shared" si="67"/>
        <v>Not Covered</v>
      </c>
      <c r="H30" s="214">
        <f t="shared" si="68"/>
        <v>3.38</v>
      </c>
      <c r="I30" s="217">
        <f t="shared" si="69"/>
        <v>3.38</v>
      </c>
      <c r="J30" s="251">
        <f t="shared" si="70"/>
        <v>0</v>
      </c>
      <c r="K30" s="214" t="b">
        <f t="shared" si="71"/>
        <v>0</v>
      </c>
      <c r="L30" s="218" t="str">
        <f t="shared" si="72"/>
        <v>No</v>
      </c>
      <c r="M30" s="217" t="str">
        <f t="shared" si="73"/>
        <v>.</v>
      </c>
      <c r="N30" s="215" t="str">
        <f>IFERROR(IF(AND(L30="Yes",ISNUMBER(M30)),MAX(0,M30-SUMIFS(BU$3:BU29,L$3:L29,"Yes")),IF(OR(L30="No",M30="None"),"N/A","ERR")),"ERR")</f>
        <v>N/A</v>
      </c>
      <c r="O30" s="251" t="b">
        <f t="shared" si="46"/>
        <v>0</v>
      </c>
      <c r="P30" s="251" t="str">
        <f>IF(O30,BENEFIT_PARAMETERS!$C$76,"N/A")</f>
        <v>N/A</v>
      </c>
      <c r="Q30" s="288" t="str">
        <f>IF(P30="Yes", BENEFIT_PARAMETERS!$D$76,"N/A")</f>
        <v>N/A</v>
      </c>
      <c r="R30" s="253" t="str">
        <f t="shared" si="7"/>
        <v>N/A</v>
      </c>
      <c r="S30" s="217">
        <f t="shared" si="47"/>
        <v>0</v>
      </c>
      <c r="T30" s="215">
        <f t="shared" si="74"/>
        <v>0</v>
      </c>
      <c r="U30" s="214" t="b">
        <f t="shared" si="48"/>
        <v>0</v>
      </c>
      <c r="V30" s="251" t="str">
        <f>IF(O30,BENEFIT_PARAMETERS!$C$77,"N/A")</f>
        <v>N/A</v>
      </c>
      <c r="W30" s="288" t="str">
        <f>IF(V30="Yes", BENEFIT_PARAMETERS!$D$77,"N/A")</f>
        <v>N/A</v>
      </c>
      <c r="X30" s="253" t="str">
        <f>IF(O30,COUNTIF(Z$3:Z29,"&gt;0"),"N/A")</f>
        <v>N/A</v>
      </c>
      <c r="Y30" s="217" t="str">
        <f t="shared" si="75"/>
        <v>N/A</v>
      </c>
      <c r="Z30" s="293" t="str">
        <f t="shared" si="49"/>
        <v>N/A</v>
      </c>
      <c r="AA30" s="293">
        <f t="shared" si="50"/>
        <v>0</v>
      </c>
      <c r="AB30" s="293" t="str">
        <f t="shared" si="76"/>
        <v>N/A</v>
      </c>
      <c r="AC30" s="215">
        <f t="shared" si="51"/>
        <v>0</v>
      </c>
      <c r="AD30" s="214" t="b">
        <f t="shared" si="77"/>
        <v>0</v>
      </c>
      <c r="AE30" s="209" t="str">
        <f t="shared" si="78"/>
        <v>.</v>
      </c>
      <c r="AF30" s="216">
        <f t="shared" si="79"/>
        <v>0</v>
      </c>
      <c r="AG30" s="217" t="str">
        <f t="shared" si="80"/>
        <v>N/A</v>
      </c>
      <c r="AH30" s="217" t="b">
        <f t="shared" si="81"/>
        <v>0</v>
      </c>
      <c r="AI30" s="209" t="str">
        <f t="shared" si="82"/>
        <v>.</v>
      </c>
      <c r="AJ30" s="216">
        <f t="shared" si="83"/>
        <v>1</v>
      </c>
      <c r="AK30" s="217" t="str">
        <f t="shared" si="84"/>
        <v>N/A</v>
      </c>
      <c r="AL30" s="217">
        <f t="shared" si="52"/>
        <v>0</v>
      </c>
      <c r="AM30" s="215">
        <f t="shared" si="53"/>
        <v>0</v>
      </c>
      <c r="AN30" s="219" t="b">
        <f t="shared" si="85"/>
        <v>0</v>
      </c>
      <c r="AO30" s="217" t="str">
        <f t="shared" si="86"/>
        <v>N/A</v>
      </c>
      <c r="AP30" s="217" t="str">
        <f>IF(AND(ISNUMBER(AO30),AN30=TRUE),MAX(0,AO30-SUMIFS($AM$3:$AM29,AN$3:AN29,TRUE)),IF(AND(AN30=TRUE,ISNUMBER(AO30)=FALSE),"ERR","N/A"))</f>
        <v>N/A</v>
      </c>
      <c r="AQ30" s="215" t="str">
        <f t="shared" si="87"/>
        <v>N/A</v>
      </c>
      <c r="AR30" s="219" t="b">
        <f t="shared" si="88"/>
        <v>0</v>
      </c>
      <c r="AS30" s="217" t="str">
        <f t="shared" si="89"/>
        <v>N/A</v>
      </c>
      <c r="AT30" s="217" t="str">
        <f>IF(AND(AR30=TRUE,ISNUMBER(AS30)),MAX(0,AS30-SUMIFS($AM$3:$AM29,AR$3:AR29,TRUE)),IF(AND(AR30=TRUE,ISNUMBER(AS30)=FALSE),"ERR","N/A"))</f>
        <v>N/A</v>
      </c>
      <c r="AU30" s="215" t="str">
        <f t="shared" si="90"/>
        <v>N/A</v>
      </c>
      <c r="AV30" s="219" t="b">
        <f t="shared" si="91"/>
        <v>0</v>
      </c>
      <c r="AW30" s="217" t="str">
        <f t="shared" si="92"/>
        <v>N/A</v>
      </c>
      <c r="AX30" s="217" t="str">
        <f>IF(AND(AV30=TRUE,ISNUMBER(AW30)),MAX(0,AW30-SUMIFS($AM$3:$AM29,AV$3:AV29,TRUE)),IF(AND(AV30=TRUE,ISNUMBER(AW30)=FALSE),"ERR","N/A"))</f>
        <v>N/A</v>
      </c>
      <c r="AY30" s="215" t="str">
        <f t="shared" si="93"/>
        <v>N/A</v>
      </c>
      <c r="AZ30" s="219" t="b">
        <f t="shared" si="94"/>
        <v>0</v>
      </c>
      <c r="BA30" s="217" t="str">
        <f t="shared" si="95"/>
        <v>N/A</v>
      </c>
      <c r="BB30" s="217" t="str">
        <f>IF(AND(AZ30=TRUE,ISNUMBER(BA30)),MAX(0,BA30-SUMIFS($AM$3:$AM29,AZ$3:AZ29,TRUE)),IF(AND(AZ30=TRUE,ISNUMBER(BA30)=FALSE),"ERR","N/A"))</f>
        <v>N/A</v>
      </c>
      <c r="BC30" s="215" t="str">
        <f t="shared" si="96"/>
        <v>N/A</v>
      </c>
      <c r="BD30" s="219" t="b">
        <f t="shared" si="97"/>
        <v>0</v>
      </c>
      <c r="BE30" s="217" t="str">
        <f t="shared" si="98"/>
        <v>N/A</v>
      </c>
      <c r="BF30" s="217" t="str">
        <f>IF(AND(BD30=TRUE,ISNUMBER(BE30)=TRUE),MAX(0,BE30-SUMIFS(AM$3:AM29,BD$3:BD29,TRUE,F$3:F29,F30)),IF(AND(BD30=TRUE,ISNUMBER(BE30)=FALSE),"ERR","N/A"))</f>
        <v>N/A</v>
      </c>
      <c r="BG30" s="215" t="str">
        <f t="shared" si="99"/>
        <v>N/A</v>
      </c>
      <c r="BH30" s="214">
        <f t="shared" si="100"/>
        <v>0</v>
      </c>
      <c r="BI30" s="215">
        <f t="shared" si="54"/>
        <v>0</v>
      </c>
      <c r="BJ30" s="214" t="str">
        <f t="shared" si="55"/>
        <v>N/A</v>
      </c>
      <c r="BK30" s="217">
        <f t="shared" si="101"/>
        <v>0</v>
      </c>
      <c r="BL30" s="220" t="b">
        <f t="shared" si="102"/>
        <v>0</v>
      </c>
      <c r="BM30" s="217" t="str">
        <f t="shared" si="103"/>
        <v>N/A</v>
      </c>
      <c r="BN30" s="217" t="str">
        <f t="shared" si="56"/>
        <v>N/A</v>
      </c>
      <c r="BO30" s="220" t="b">
        <f t="shared" si="104"/>
        <v>0</v>
      </c>
      <c r="BP30" s="244" t="str">
        <f t="shared" si="105"/>
        <v>N/A</v>
      </c>
      <c r="BQ30" s="217" t="str">
        <f t="shared" si="57"/>
        <v>N/A</v>
      </c>
      <c r="BR30" s="215">
        <f t="shared" si="58"/>
        <v>0</v>
      </c>
      <c r="BS30" s="214" t="str">
        <f t="shared" si="59"/>
        <v>N/A</v>
      </c>
      <c r="BT30" s="217">
        <f t="shared" si="60"/>
        <v>0</v>
      </c>
      <c r="BU30" s="215">
        <f t="shared" si="61"/>
        <v>0</v>
      </c>
      <c r="BV30" s="214">
        <f t="shared" si="62"/>
        <v>0</v>
      </c>
      <c r="BW30" s="217">
        <f t="shared" si="106"/>
        <v>3.38</v>
      </c>
      <c r="BX30" s="217">
        <f t="shared" si="107"/>
        <v>0</v>
      </c>
      <c r="BY30" s="217">
        <f t="shared" si="63"/>
        <v>0</v>
      </c>
      <c r="BZ30" s="217">
        <f t="shared" si="42"/>
        <v>0</v>
      </c>
      <c r="CA30" s="217">
        <f t="shared" si="64"/>
        <v>0</v>
      </c>
      <c r="CB30" s="213" t="b">
        <f t="shared" si="108"/>
        <v>1</v>
      </c>
    </row>
    <row r="31" spans="1:80" x14ac:dyDescent="0.25">
      <c r="A31" s="207">
        <v>28</v>
      </c>
      <c r="B31" s="208">
        <v>42428</v>
      </c>
      <c r="C31" s="209">
        <v>2</v>
      </c>
      <c r="D31" s="210">
        <v>17</v>
      </c>
      <c r="E31" s="211" t="str">
        <f t="shared" si="65"/>
        <v>Insulin glargine 100 unit/ml injectable solution (Rx - 10ml vial)  [20 units QD; expires 28 days after first use]</v>
      </c>
      <c r="F31" s="212" t="str">
        <f t="shared" si="66"/>
        <v>Prescription Drugs: Insulin</v>
      </c>
      <c r="G31" s="213" t="str">
        <f t="shared" si="67"/>
        <v>Not Covered</v>
      </c>
      <c r="H31" s="214">
        <f t="shared" si="68"/>
        <v>240.37</v>
      </c>
      <c r="I31" s="217">
        <f t="shared" si="69"/>
        <v>240.37</v>
      </c>
      <c r="J31" s="251">
        <f t="shared" si="70"/>
        <v>0</v>
      </c>
      <c r="K31" s="214" t="b">
        <f t="shared" si="71"/>
        <v>0</v>
      </c>
      <c r="L31" s="218" t="str">
        <f t="shared" si="72"/>
        <v>No</v>
      </c>
      <c r="M31" s="217" t="str">
        <f t="shared" si="73"/>
        <v>.</v>
      </c>
      <c r="N31" s="215" t="str">
        <f>IFERROR(IF(AND(L31="Yes",ISNUMBER(M31)),MAX(0,M31-SUMIFS(BU$3:BU30,L$3:L30,"Yes")),IF(OR(L31="No",M31="None"),"N/A","ERR")),"ERR")</f>
        <v>N/A</v>
      </c>
      <c r="O31" s="251" t="b">
        <f t="shared" si="46"/>
        <v>0</v>
      </c>
      <c r="P31" s="251" t="str">
        <f>IF(O31,BENEFIT_PARAMETERS!$C$76,"N/A")</f>
        <v>N/A</v>
      </c>
      <c r="Q31" s="288" t="str">
        <f>IF(P31="Yes", BENEFIT_PARAMETERS!$D$76,"N/A")</f>
        <v>N/A</v>
      </c>
      <c r="R31" s="253" t="str">
        <f t="shared" si="7"/>
        <v>N/A</v>
      </c>
      <c r="S31" s="217">
        <f t="shared" si="47"/>
        <v>0</v>
      </c>
      <c r="T31" s="215">
        <f t="shared" si="74"/>
        <v>0</v>
      </c>
      <c r="U31" s="214" t="b">
        <f t="shared" si="48"/>
        <v>0</v>
      </c>
      <c r="V31" s="251" t="str">
        <f>IF(O31,BENEFIT_PARAMETERS!$C$77,"N/A")</f>
        <v>N/A</v>
      </c>
      <c r="W31" s="288" t="str">
        <f>IF(V31="Yes", BENEFIT_PARAMETERS!$D$77,"N/A")</f>
        <v>N/A</v>
      </c>
      <c r="X31" s="253" t="str">
        <f>IF(O31,COUNTIF(Z$3:Z30,"&gt;0"),"N/A")</f>
        <v>N/A</v>
      </c>
      <c r="Y31" s="217" t="str">
        <f t="shared" si="75"/>
        <v>N/A</v>
      </c>
      <c r="Z31" s="293" t="str">
        <f t="shared" si="49"/>
        <v>N/A</v>
      </c>
      <c r="AA31" s="293">
        <f t="shared" si="50"/>
        <v>0</v>
      </c>
      <c r="AB31" s="293" t="str">
        <f t="shared" si="76"/>
        <v>N/A</v>
      </c>
      <c r="AC31" s="215">
        <f t="shared" si="51"/>
        <v>0</v>
      </c>
      <c r="AD31" s="214" t="b">
        <f t="shared" si="77"/>
        <v>0</v>
      </c>
      <c r="AE31" s="209" t="str">
        <f t="shared" si="78"/>
        <v>.</v>
      </c>
      <c r="AF31" s="216">
        <f t="shared" si="79"/>
        <v>0</v>
      </c>
      <c r="AG31" s="217" t="str">
        <f t="shared" si="80"/>
        <v>N/A</v>
      </c>
      <c r="AH31" s="217" t="b">
        <f t="shared" si="81"/>
        <v>0</v>
      </c>
      <c r="AI31" s="209" t="str">
        <f t="shared" si="82"/>
        <v>.</v>
      </c>
      <c r="AJ31" s="216">
        <f t="shared" si="83"/>
        <v>2</v>
      </c>
      <c r="AK31" s="217" t="str">
        <f t="shared" si="84"/>
        <v>N/A</v>
      </c>
      <c r="AL31" s="217">
        <f t="shared" si="52"/>
        <v>0</v>
      </c>
      <c r="AM31" s="215">
        <f t="shared" si="53"/>
        <v>0</v>
      </c>
      <c r="AN31" s="219" t="b">
        <f t="shared" si="85"/>
        <v>0</v>
      </c>
      <c r="AO31" s="217" t="str">
        <f t="shared" si="86"/>
        <v>N/A</v>
      </c>
      <c r="AP31" s="217" t="str">
        <f>IF(AND(ISNUMBER(AO31),AN31=TRUE),MAX(0,AO31-SUMIFS($AM$3:$AM30,AN$3:AN30,TRUE)),IF(AND(AN31=TRUE,ISNUMBER(AO31)=FALSE),"ERR","N/A"))</f>
        <v>N/A</v>
      </c>
      <c r="AQ31" s="215" t="str">
        <f t="shared" si="87"/>
        <v>N/A</v>
      </c>
      <c r="AR31" s="219" t="b">
        <f t="shared" si="88"/>
        <v>0</v>
      </c>
      <c r="AS31" s="217" t="str">
        <f t="shared" si="89"/>
        <v>N/A</v>
      </c>
      <c r="AT31" s="217" t="str">
        <f>IF(AND(AR31=TRUE,ISNUMBER(AS31)),MAX(0,AS31-SUMIFS($AM$3:$AM30,AR$3:AR30,TRUE)),IF(AND(AR31=TRUE,ISNUMBER(AS31)=FALSE),"ERR","N/A"))</f>
        <v>N/A</v>
      </c>
      <c r="AU31" s="215" t="str">
        <f t="shared" si="90"/>
        <v>N/A</v>
      </c>
      <c r="AV31" s="219" t="b">
        <f t="shared" si="91"/>
        <v>0</v>
      </c>
      <c r="AW31" s="217" t="str">
        <f t="shared" si="92"/>
        <v>N/A</v>
      </c>
      <c r="AX31" s="217" t="str">
        <f>IF(AND(AV31=TRUE,ISNUMBER(AW31)),MAX(0,AW31-SUMIFS($AM$3:$AM30,AV$3:AV30,TRUE)),IF(AND(AV31=TRUE,ISNUMBER(AW31)=FALSE),"ERR","N/A"))</f>
        <v>N/A</v>
      </c>
      <c r="AY31" s="215" t="str">
        <f t="shared" si="93"/>
        <v>N/A</v>
      </c>
      <c r="AZ31" s="219" t="b">
        <f t="shared" si="94"/>
        <v>0</v>
      </c>
      <c r="BA31" s="217" t="str">
        <f t="shared" si="95"/>
        <v>N/A</v>
      </c>
      <c r="BB31" s="217" t="str">
        <f>IF(AND(AZ31=TRUE,ISNUMBER(BA31)),MAX(0,BA31-SUMIFS($AM$3:$AM30,AZ$3:AZ30,TRUE)),IF(AND(AZ31=TRUE,ISNUMBER(BA31)=FALSE),"ERR","N/A"))</f>
        <v>N/A</v>
      </c>
      <c r="BC31" s="215" t="str">
        <f t="shared" si="96"/>
        <v>N/A</v>
      </c>
      <c r="BD31" s="219" t="b">
        <f t="shared" si="97"/>
        <v>0</v>
      </c>
      <c r="BE31" s="217" t="str">
        <f t="shared" si="98"/>
        <v>N/A</v>
      </c>
      <c r="BF31" s="217" t="str">
        <f>IF(AND(BD31=TRUE,ISNUMBER(BE31)=TRUE),MAX(0,BE31-SUMIFS(AM$3:AM30,BD$3:BD30,TRUE,F$3:F30,F31)),IF(AND(BD31=TRUE,ISNUMBER(BE31)=FALSE),"ERR","N/A"))</f>
        <v>N/A</v>
      </c>
      <c r="BG31" s="215" t="str">
        <f t="shared" si="99"/>
        <v>N/A</v>
      </c>
      <c r="BH31" s="214">
        <f t="shared" si="100"/>
        <v>0</v>
      </c>
      <c r="BI31" s="215">
        <f t="shared" si="54"/>
        <v>0</v>
      </c>
      <c r="BJ31" s="214" t="str">
        <f t="shared" si="55"/>
        <v>N/A</v>
      </c>
      <c r="BK31" s="217">
        <f t="shared" si="101"/>
        <v>0</v>
      </c>
      <c r="BL31" s="220" t="b">
        <f t="shared" si="102"/>
        <v>0</v>
      </c>
      <c r="BM31" s="217" t="str">
        <f t="shared" si="103"/>
        <v>N/A</v>
      </c>
      <c r="BN31" s="217" t="str">
        <f t="shared" si="56"/>
        <v>N/A</v>
      </c>
      <c r="BO31" s="220" t="b">
        <f t="shared" si="104"/>
        <v>0</v>
      </c>
      <c r="BP31" s="244" t="str">
        <f t="shared" si="105"/>
        <v>N/A</v>
      </c>
      <c r="BQ31" s="217" t="str">
        <f t="shared" si="57"/>
        <v>N/A</v>
      </c>
      <c r="BR31" s="215">
        <f t="shared" si="58"/>
        <v>0</v>
      </c>
      <c r="BS31" s="214" t="str">
        <f t="shared" si="59"/>
        <v>N/A</v>
      </c>
      <c r="BT31" s="217">
        <f t="shared" si="60"/>
        <v>0</v>
      </c>
      <c r="BU31" s="215">
        <f t="shared" si="61"/>
        <v>0</v>
      </c>
      <c r="BV31" s="214">
        <f t="shared" si="62"/>
        <v>0</v>
      </c>
      <c r="BW31" s="217">
        <f t="shared" si="106"/>
        <v>240.37</v>
      </c>
      <c r="BX31" s="217">
        <f t="shared" si="107"/>
        <v>0</v>
      </c>
      <c r="BY31" s="217">
        <f t="shared" si="63"/>
        <v>0</v>
      </c>
      <c r="BZ31" s="217">
        <f t="shared" si="42"/>
        <v>0</v>
      </c>
      <c r="CA31" s="217">
        <f t="shared" si="64"/>
        <v>0</v>
      </c>
      <c r="CB31" s="213" t="b">
        <f t="shared" si="108"/>
        <v>1</v>
      </c>
    </row>
    <row r="32" spans="1:80" x14ac:dyDescent="0.25">
      <c r="A32" s="207">
        <v>29</v>
      </c>
      <c r="B32" s="208">
        <v>42433</v>
      </c>
      <c r="C32" s="209">
        <v>3</v>
      </c>
      <c r="D32" s="210">
        <v>14</v>
      </c>
      <c r="E32" s="211" t="str">
        <f t="shared" si="65"/>
        <v>BD Ultrafine Insulin Syringes / 30G/ 0.5cc  [usage = 30 syringes per month]</v>
      </c>
      <c r="F32" s="212" t="str">
        <f t="shared" si="66"/>
        <v>Medical Supplies</v>
      </c>
      <c r="G32" s="213" t="str">
        <f t="shared" si="67"/>
        <v>Not Covered</v>
      </c>
      <c r="H32" s="214">
        <f t="shared" si="68"/>
        <v>20.62</v>
      </c>
      <c r="I32" s="217">
        <f t="shared" si="69"/>
        <v>20.62</v>
      </c>
      <c r="J32" s="251">
        <f t="shared" si="70"/>
        <v>0</v>
      </c>
      <c r="K32" s="214" t="b">
        <f t="shared" si="71"/>
        <v>0</v>
      </c>
      <c r="L32" s="218" t="str">
        <f t="shared" si="72"/>
        <v>No</v>
      </c>
      <c r="M32" s="217" t="str">
        <f t="shared" si="73"/>
        <v>.</v>
      </c>
      <c r="N32" s="215" t="str">
        <f>IFERROR(IF(AND(L32="Yes",ISNUMBER(M32)),MAX(0,M32-SUMIFS(BU$3:BU31,L$3:L31,"Yes")),IF(OR(L32="No",M32="None"),"N/A","ERR")),"ERR")</f>
        <v>N/A</v>
      </c>
      <c r="O32" s="251" t="b">
        <f t="shared" si="46"/>
        <v>0</v>
      </c>
      <c r="P32" s="251" t="str">
        <f>IF(O32,BENEFIT_PARAMETERS!$C$76,"N/A")</f>
        <v>N/A</v>
      </c>
      <c r="Q32" s="288" t="str">
        <f>IF(P32="Yes", BENEFIT_PARAMETERS!$D$76,"N/A")</f>
        <v>N/A</v>
      </c>
      <c r="R32" s="253" t="str">
        <f t="shared" si="7"/>
        <v>N/A</v>
      </c>
      <c r="S32" s="217">
        <f t="shared" si="47"/>
        <v>0</v>
      </c>
      <c r="T32" s="215">
        <f t="shared" si="74"/>
        <v>0</v>
      </c>
      <c r="U32" s="214" t="b">
        <f t="shared" si="48"/>
        <v>0</v>
      </c>
      <c r="V32" s="251" t="str">
        <f>IF(O32,BENEFIT_PARAMETERS!$C$77,"N/A")</f>
        <v>N/A</v>
      </c>
      <c r="W32" s="288" t="str">
        <f>IF(V32="Yes", BENEFIT_PARAMETERS!$D$77,"N/A")</f>
        <v>N/A</v>
      </c>
      <c r="X32" s="253" t="str">
        <f>IF(O32,COUNTIF(Z$3:Z31,"&gt;0"),"N/A")</f>
        <v>N/A</v>
      </c>
      <c r="Y32" s="217" t="str">
        <f t="shared" si="75"/>
        <v>N/A</v>
      </c>
      <c r="Z32" s="293" t="str">
        <f t="shared" si="49"/>
        <v>N/A</v>
      </c>
      <c r="AA32" s="293">
        <f t="shared" si="50"/>
        <v>0</v>
      </c>
      <c r="AB32" s="293" t="str">
        <f t="shared" si="76"/>
        <v>N/A</v>
      </c>
      <c r="AC32" s="215">
        <f t="shared" si="51"/>
        <v>0</v>
      </c>
      <c r="AD32" s="214" t="b">
        <f t="shared" si="77"/>
        <v>0</v>
      </c>
      <c r="AE32" s="209" t="str">
        <f t="shared" si="78"/>
        <v>.</v>
      </c>
      <c r="AF32" s="216">
        <f t="shared" si="79"/>
        <v>0</v>
      </c>
      <c r="AG32" s="217" t="str">
        <f t="shared" si="80"/>
        <v>N/A</v>
      </c>
      <c r="AH32" s="217" t="b">
        <f t="shared" si="81"/>
        <v>0</v>
      </c>
      <c r="AI32" s="209" t="str">
        <f t="shared" si="82"/>
        <v>.</v>
      </c>
      <c r="AJ32" s="216">
        <f t="shared" si="83"/>
        <v>2</v>
      </c>
      <c r="AK32" s="217" t="str">
        <f t="shared" si="84"/>
        <v>N/A</v>
      </c>
      <c r="AL32" s="217">
        <f t="shared" si="52"/>
        <v>0</v>
      </c>
      <c r="AM32" s="215">
        <f t="shared" si="53"/>
        <v>0</v>
      </c>
      <c r="AN32" s="219" t="b">
        <f t="shared" si="85"/>
        <v>0</v>
      </c>
      <c r="AO32" s="217" t="str">
        <f t="shared" si="86"/>
        <v>N/A</v>
      </c>
      <c r="AP32" s="217" t="str">
        <f>IF(AND(ISNUMBER(AO32),AN32=TRUE),MAX(0,AO32-SUMIFS($AM$3:$AM31,AN$3:AN31,TRUE)),IF(AND(AN32=TRUE,ISNUMBER(AO32)=FALSE),"ERR","N/A"))</f>
        <v>N/A</v>
      </c>
      <c r="AQ32" s="215" t="str">
        <f t="shared" si="87"/>
        <v>N/A</v>
      </c>
      <c r="AR32" s="219" t="b">
        <f t="shared" si="88"/>
        <v>0</v>
      </c>
      <c r="AS32" s="217" t="str">
        <f t="shared" si="89"/>
        <v>N/A</v>
      </c>
      <c r="AT32" s="217" t="str">
        <f>IF(AND(AR32=TRUE,ISNUMBER(AS32)),MAX(0,AS32-SUMIFS($AM$3:$AM31,AR$3:AR31,TRUE)),IF(AND(AR32=TRUE,ISNUMBER(AS32)=FALSE),"ERR","N/A"))</f>
        <v>N/A</v>
      </c>
      <c r="AU32" s="215" t="str">
        <f t="shared" si="90"/>
        <v>N/A</v>
      </c>
      <c r="AV32" s="219" t="b">
        <f t="shared" si="91"/>
        <v>0</v>
      </c>
      <c r="AW32" s="217" t="str">
        <f t="shared" si="92"/>
        <v>N/A</v>
      </c>
      <c r="AX32" s="217" t="str">
        <f>IF(AND(AV32=TRUE,ISNUMBER(AW32)),MAX(0,AW32-SUMIFS($AM$3:$AM31,AV$3:AV31,TRUE)),IF(AND(AV32=TRUE,ISNUMBER(AW32)=FALSE),"ERR","N/A"))</f>
        <v>N/A</v>
      </c>
      <c r="AY32" s="215" t="str">
        <f t="shared" si="93"/>
        <v>N/A</v>
      </c>
      <c r="AZ32" s="219" t="b">
        <f t="shared" si="94"/>
        <v>0</v>
      </c>
      <c r="BA32" s="217" t="str">
        <f t="shared" si="95"/>
        <v>N/A</v>
      </c>
      <c r="BB32" s="217" t="str">
        <f>IF(AND(AZ32=TRUE,ISNUMBER(BA32)),MAX(0,BA32-SUMIFS($AM$3:$AM31,AZ$3:AZ31,TRUE)),IF(AND(AZ32=TRUE,ISNUMBER(BA32)=FALSE),"ERR","N/A"))</f>
        <v>N/A</v>
      </c>
      <c r="BC32" s="215" t="str">
        <f t="shared" si="96"/>
        <v>N/A</v>
      </c>
      <c r="BD32" s="219" t="b">
        <f t="shared" si="97"/>
        <v>0</v>
      </c>
      <c r="BE32" s="217" t="str">
        <f t="shared" si="98"/>
        <v>N/A</v>
      </c>
      <c r="BF32" s="217" t="str">
        <f>IF(AND(BD32=TRUE,ISNUMBER(BE32)=TRUE),MAX(0,BE32-SUMIFS(AM$3:AM31,BD$3:BD31,TRUE,F$3:F31,F32)),IF(AND(BD32=TRUE,ISNUMBER(BE32)=FALSE),"ERR","N/A"))</f>
        <v>N/A</v>
      </c>
      <c r="BG32" s="215" t="str">
        <f t="shared" si="99"/>
        <v>N/A</v>
      </c>
      <c r="BH32" s="214">
        <f t="shared" si="100"/>
        <v>0</v>
      </c>
      <c r="BI32" s="215">
        <f t="shared" si="54"/>
        <v>0</v>
      </c>
      <c r="BJ32" s="214" t="str">
        <f t="shared" si="55"/>
        <v>N/A</v>
      </c>
      <c r="BK32" s="217">
        <f t="shared" si="101"/>
        <v>0</v>
      </c>
      <c r="BL32" s="220" t="b">
        <f t="shared" si="102"/>
        <v>0</v>
      </c>
      <c r="BM32" s="217" t="str">
        <f t="shared" si="103"/>
        <v>N/A</v>
      </c>
      <c r="BN32" s="217" t="str">
        <f t="shared" si="56"/>
        <v>N/A</v>
      </c>
      <c r="BO32" s="220" t="b">
        <f t="shared" si="104"/>
        <v>0</v>
      </c>
      <c r="BP32" s="244" t="str">
        <f t="shared" si="105"/>
        <v>N/A</v>
      </c>
      <c r="BQ32" s="217" t="str">
        <f t="shared" si="57"/>
        <v>N/A</v>
      </c>
      <c r="BR32" s="215">
        <f t="shared" si="58"/>
        <v>0</v>
      </c>
      <c r="BS32" s="214" t="str">
        <f t="shared" si="59"/>
        <v>N/A</v>
      </c>
      <c r="BT32" s="217">
        <f t="shared" si="60"/>
        <v>0</v>
      </c>
      <c r="BU32" s="215">
        <f t="shared" si="61"/>
        <v>0</v>
      </c>
      <c r="BV32" s="214">
        <f t="shared" si="62"/>
        <v>0</v>
      </c>
      <c r="BW32" s="217">
        <f t="shared" si="106"/>
        <v>20.62</v>
      </c>
      <c r="BX32" s="217">
        <f t="shared" si="107"/>
        <v>0</v>
      </c>
      <c r="BY32" s="217">
        <f t="shared" si="63"/>
        <v>0</v>
      </c>
      <c r="BZ32" s="217">
        <f t="shared" si="42"/>
        <v>0</v>
      </c>
      <c r="CA32" s="217">
        <f t="shared" si="64"/>
        <v>0</v>
      </c>
      <c r="CB32" s="213" t="b">
        <f t="shared" si="108"/>
        <v>1</v>
      </c>
    </row>
    <row r="33" spans="1:80" x14ac:dyDescent="0.25">
      <c r="A33" s="207">
        <v>30</v>
      </c>
      <c r="B33" s="208">
        <v>42433</v>
      </c>
      <c r="C33" s="209">
        <v>3</v>
      </c>
      <c r="D33" s="210">
        <v>32</v>
      </c>
      <c r="E33" s="211" t="str">
        <f t="shared" si="65"/>
        <v>Metformin Hydrochloride 500 MG TABLET [ #60 pills/month]</v>
      </c>
      <c r="F33" s="212" t="str">
        <f t="shared" si="66"/>
        <v>Prescription Drugs: Generic</v>
      </c>
      <c r="G33" s="213" t="str">
        <f t="shared" si="67"/>
        <v>Not Covered</v>
      </c>
      <c r="H33" s="214">
        <f t="shared" si="68"/>
        <v>3.21</v>
      </c>
      <c r="I33" s="217">
        <f t="shared" si="69"/>
        <v>3.21</v>
      </c>
      <c r="J33" s="251">
        <f t="shared" si="70"/>
        <v>0</v>
      </c>
      <c r="K33" s="214" t="b">
        <f t="shared" si="71"/>
        <v>0</v>
      </c>
      <c r="L33" s="218" t="str">
        <f t="shared" si="72"/>
        <v>No</v>
      </c>
      <c r="M33" s="217" t="str">
        <f t="shared" si="73"/>
        <v>.</v>
      </c>
      <c r="N33" s="215" t="str">
        <f>IFERROR(IF(AND(L33="Yes",ISNUMBER(M33)),MAX(0,M33-SUMIFS(BU$3:BU32,L$3:L32,"Yes")),IF(OR(L33="No",M33="None"),"N/A","ERR")),"ERR")</f>
        <v>N/A</v>
      </c>
      <c r="O33" s="251" t="b">
        <f t="shared" si="46"/>
        <v>0</v>
      </c>
      <c r="P33" s="251" t="str">
        <f>IF(O33,BENEFIT_PARAMETERS!$C$76,"N/A")</f>
        <v>N/A</v>
      </c>
      <c r="Q33" s="288" t="str">
        <f>IF(P33="Yes", BENEFIT_PARAMETERS!$D$76,"N/A")</f>
        <v>N/A</v>
      </c>
      <c r="R33" s="253" t="str">
        <f t="shared" si="7"/>
        <v>N/A</v>
      </c>
      <c r="S33" s="217">
        <f t="shared" si="47"/>
        <v>0</v>
      </c>
      <c r="T33" s="215">
        <f t="shared" si="74"/>
        <v>0</v>
      </c>
      <c r="U33" s="214" t="b">
        <f t="shared" si="48"/>
        <v>0</v>
      </c>
      <c r="V33" s="251" t="str">
        <f>IF(O33,BENEFIT_PARAMETERS!$C$77,"N/A")</f>
        <v>N/A</v>
      </c>
      <c r="W33" s="288" t="str">
        <f>IF(V33="Yes", BENEFIT_PARAMETERS!$D$77,"N/A")</f>
        <v>N/A</v>
      </c>
      <c r="X33" s="253" t="str">
        <f>IF(O33,COUNTIF(Z$3:Z32,"&gt;0"),"N/A")</f>
        <v>N/A</v>
      </c>
      <c r="Y33" s="217" t="str">
        <f t="shared" si="75"/>
        <v>N/A</v>
      </c>
      <c r="Z33" s="293" t="str">
        <f t="shared" si="49"/>
        <v>N/A</v>
      </c>
      <c r="AA33" s="293">
        <f t="shared" si="50"/>
        <v>0</v>
      </c>
      <c r="AB33" s="293" t="str">
        <f t="shared" si="76"/>
        <v>N/A</v>
      </c>
      <c r="AC33" s="215">
        <f t="shared" si="51"/>
        <v>0</v>
      </c>
      <c r="AD33" s="214" t="b">
        <f t="shared" si="77"/>
        <v>0</v>
      </c>
      <c r="AE33" s="209" t="str">
        <f t="shared" si="78"/>
        <v>.</v>
      </c>
      <c r="AF33" s="216">
        <f t="shared" si="79"/>
        <v>0</v>
      </c>
      <c r="AG33" s="217" t="str">
        <f t="shared" si="80"/>
        <v>N/A</v>
      </c>
      <c r="AH33" s="217" t="b">
        <f t="shared" si="81"/>
        <v>0</v>
      </c>
      <c r="AI33" s="209" t="str">
        <f t="shared" si="82"/>
        <v>.</v>
      </c>
      <c r="AJ33" s="216">
        <f t="shared" si="83"/>
        <v>2</v>
      </c>
      <c r="AK33" s="217" t="str">
        <f t="shared" si="84"/>
        <v>N/A</v>
      </c>
      <c r="AL33" s="217">
        <f t="shared" si="52"/>
        <v>0</v>
      </c>
      <c r="AM33" s="215">
        <f t="shared" si="53"/>
        <v>0</v>
      </c>
      <c r="AN33" s="219" t="b">
        <f t="shared" si="85"/>
        <v>0</v>
      </c>
      <c r="AO33" s="217" t="str">
        <f t="shared" si="86"/>
        <v>N/A</v>
      </c>
      <c r="AP33" s="217" t="str">
        <f>IF(AND(ISNUMBER(AO33),AN33=TRUE),MAX(0,AO33-SUMIFS($AM$3:$AM32,AN$3:AN32,TRUE)),IF(AND(AN33=TRUE,ISNUMBER(AO33)=FALSE),"ERR","N/A"))</f>
        <v>N/A</v>
      </c>
      <c r="AQ33" s="215" t="str">
        <f t="shared" si="87"/>
        <v>N/A</v>
      </c>
      <c r="AR33" s="219" t="b">
        <f t="shared" si="88"/>
        <v>0</v>
      </c>
      <c r="AS33" s="217" t="str">
        <f t="shared" si="89"/>
        <v>N/A</v>
      </c>
      <c r="AT33" s="217" t="str">
        <f>IF(AND(AR33=TRUE,ISNUMBER(AS33)),MAX(0,AS33-SUMIFS($AM$3:$AM32,AR$3:AR32,TRUE)),IF(AND(AR33=TRUE,ISNUMBER(AS33)=FALSE),"ERR","N/A"))</f>
        <v>N/A</v>
      </c>
      <c r="AU33" s="215" t="str">
        <f t="shared" si="90"/>
        <v>N/A</v>
      </c>
      <c r="AV33" s="219" t="b">
        <f t="shared" si="91"/>
        <v>0</v>
      </c>
      <c r="AW33" s="217" t="str">
        <f t="shared" si="92"/>
        <v>N/A</v>
      </c>
      <c r="AX33" s="217" t="str">
        <f>IF(AND(AV33=TRUE,ISNUMBER(AW33)),MAX(0,AW33-SUMIFS($AM$3:$AM32,AV$3:AV32,TRUE)),IF(AND(AV33=TRUE,ISNUMBER(AW33)=FALSE),"ERR","N/A"))</f>
        <v>N/A</v>
      </c>
      <c r="AY33" s="215" t="str">
        <f t="shared" si="93"/>
        <v>N/A</v>
      </c>
      <c r="AZ33" s="219" t="b">
        <f t="shared" si="94"/>
        <v>0</v>
      </c>
      <c r="BA33" s="217" t="str">
        <f t="shared" si="95"/>
        <v>N/A</v>
      </c>
      <c r="BB33" s="217" t="str">
        <f>IF(AND(AZ33=TRUE,ISNUMBER(BA33)),MAX(0,BA33-SUMIFS($AM$3:$AM32,AZ$3:AZ32,TRUE)),IF(AND(AZ33=TRUE,ISNUMBER(BA33)=FALSE),"ERR","N/A"))</f>
        <v>N/A</v>
      </c>
      <c r="BC33" s="215" t="str">
        <f t="shared" si="96"/>
        <v>N/A</v>
      </c>
      <c r="BD33" s="219" t="b">
        <f t="shared" si="97"/>
        <v>0</v>
      </c>
      <c r="BE33" s="217" t="str">
        <f t="shared" si="98"/>
        <v>N/A</v>
      </c>
      <c r="BF33" s="217" t="str">
        <f>IF(AND(BD33=TRUE,ISNUMBER(BE33)=TRUE),MAX(0,BE33-SUMIFS(AM$3:AM32,BD$3:BD32,TRUE,F$3:F32,F33)),IF(AND(BD33=TRUE,ISNUMBER(BE33)=FALSE),"ERR","N/A"))</f>
        <v>N/A</v>
      </c>
      <c r="BG33" s="215" t="str">
        <f t="shared" si="99"/>
        <v>N/A</v>
      </c>
      <c r="BH33" s="214">
        <f t="shared" si="100"/>
        <v>0</v>
      </c>
      <c r="BI33" s="215">
        <f t="shared" si="54"/>
        <v>0</v>
      </c>
      <c r="BJ33" s="214" t="str">
        <f t="shared" si="55"/>
        <v>N/A</v>
      </c>
      <c r="BK33" s="217">
        <f t="shared" si="101"/>
        <v>0</v>
      </c>
      <c r="BL33" s="220" t="b">
        <f t="shared" si="102"/>
        <v>0</v>
      </c>
      <c r="BM33" s="217" t="str">
        <f t="shared" si="103"/>
        <v>N/A</v>
      </c>
      <c r="BN33" s="217" t="str">
        <f t="shared" si="56"/>
        <v>N/A</v>
      </c>
      <c r="BO33" s="220" t="b">
        <f t="shared" si="104"/>
        <v>0</v>
      </c>
      <c r="BP33" s="244" t="str">
        <f t="shared" si="105"/>
        <v>N/A</v>
      </c>
      <c r="BQ33" s="217" t="str">
        <f t="shared" si="57"/>
        <v>N/A</v>
      </c>
      <c r="BR33" s="215">
        <f t="shared" si="58"/>
        <v>0</v>
      </c>
      <c r="BS33" s="214" t="str">
        <f t="shared" si="59"/>
        <v>N/A</v>
      </c>
      <c r="BT33" s="217">
        <f t="shared" si="60"/>
        <v>0</v>
      </c>
      <c r="BU33" s="215">
        <f t="shared" si="61"/>
        <v>0</v>
      </c>
      <c r="BV33" s="214">
        <f t="shared" si="62"/>
        <v>0</v>
      </c>
      <c r="BW33" s="217">
        <f t="shared" si="106"/>
        <v>3.21</v>
      </c>
      <c r="BX33" s="217">
        <f t="shared" si="107"/>
        <v>0</v>
      </c>
      <c r="BY33" s="217">
        <f t="shared" si="63"/>
        <v>0</v>
      </c>
      <c r="BZ33" s="217">
        <f t="shared" si="42"/>
        <v>0</v>
      </c>
      <c r="CA33" s="217">
        <f t="shared" si="64"/>
        <v>0</v>
      </c>
      <c r="CB33" s="213" t="b">
        <f t="shared" si="108"/>
        <v>1</v>
      </c>
    </row>
    <row r="34" spans="1:80" x14ac:dyDescent="0.25">
      <c r="A34" s="207">
        <v>31</v>
      </c>
      <c r="B34" s="208">
        <v>42433</v>
      </c>
      <c r="C34" s="209">
        <v>3</v>
      </c>
      <c r="D34" s="210">
        <v>19</v>
      </c>
      <c r="E34" s="211" t="str">
        <f t="shared" si="65"/>
        <v>Lisinopril 20mg (Rx) [1 QD; #30 pills/month]</v>
      </c>
      <c r="F34" s="212" t="str">
        <f t="shared" si="66"/>
        <v>Prescription Drugs: Generic</v>
      </c>
      <c r="G34" s="213" t="str">
        <f t="shared" si="67"/>
        <v>Not Covered</v>
      </c>
      <c r="H34" s="214">
        <f t="shared" si="68"/>
        <v>3.38</v>
      </c>
      <c r="I34" s="217">
        <f t="shared" si="69"/>
        <v>3.38</v>
      </c>
      <c r="J34" s="251">
        <f t="shared" si="70"/>
        <v>0</v>
      </c>
      <c r="K34" s="214" t="b">
        <f t="shared" si="71"/>
        <v>0</v>
      </c>
      <c r="L34" s="218" t="str">
        <f t="shared" si="72"/>
        <v>No</v>
      </c>
      <c r="M34" s="217" t="str">
        <f t="shared" si="73"/>
        <v>.</v>
      </c>
      <c r="N34" s="215" t="str">
        <f>IFERROR(IF(AND(L34="Yes",ISNUMBER(M34)),MAX(0,M34-SUMIFS(BU$3:BU33,L$3:L33,"Yes")),IF(OR(L34="No",M34="None"),"N/A","ERR")),"ERR")</f>
        <v>N/A</v>
      </c>
      <c r="O34" s="251" t="b">
        <f t="shared" si="46"/>
        <v>0</v>
      </c>
      <c r="P34" s="251" t="str">
        <f>IF(O34,BENEFIT_PARAMETERS!$C$76,"N/A")</f>
        <v>N/A</v>
      </c>
      <c r="Q34" s="288" t="str">
        <f>IF(P34="Yes", BENEFIT_PARAMETERS!$D$76,"N/A")</f>
        <v>N/A</v>
      </c>
      <c r="R34" s="253" t="str">
        <f t="shared" si="7"/>
        <v>N/A</v>
      </c>
      <c r="S34" s="217">
        <f t="shared" si="47"/>
        <v>0</v>
      </c>
      <c r="T34" s="215">
        <f t="shared" si="74"/>
        <v>0</v>
      </c>
      <c r="U34" s="214" t="b">
        <f t="shared" si="48"/>
        <v>0</v>
      </c>
      <c r="V34" s="251" t="str">
        <f>IF(O34,BENEFIT_PARAMETERS!$C$77,"N/A")</f>
        <v>N/A</v>
      </c>
      <c r="W34" s="288" t="str">
        <f>IF(V34="Yes", BENEFIT_PARAMETERS!$D$77,"N/A")</f>
        <v>N/A</v>
      </c>
      <c r="X34" s="253" t="str">
        <f>IF(O34,COUNTIF(Z$3:Z33,"&gt;0"),"N/A")</f>
        <v>N/A</v>
      </c>
      <c r="Y34" s="217" t="str">
        <f t="shared" si="75"/>
        <v>N/A</v>
      </c>
      <c r="Z34" s="293" t="str">
        <f t="shared" si="49"/>
        <v>N/A</v>
      </c>
      <c r="AA34" s="293">
        <f t="shared" si="50"/>
        <v>0</v>
      </c>
      <c r="AB34" s="293" t="str">
        <f t="shared" si="76"/>
        <v>N/A</v>
      </c>
      <c r="AC34" s="215">
        <f t="shared" si="51"/>
        <v>0</v>
      </c>
      <c r="AD34" s="214" t="b">
        <f t="shared" si="77"/>
        <v>0</v>
      </c>
      <c r="AE34" s="209" t="str">
        <f t="shared" si="78"/>
        <v>.</v>
      </c>
      <c r="AF34" s="216">
        <f t="shared" si="79"/>
        <v>0</v>
      </c>
      <c r="AG34" s="217" t="str">
        <f t="shared" si="80"/>
        <v>N/A</v>
      </c>
      <c r="AH34" s="217" t="b">
        <f t="shared" si="81"/>
        <v>0</v>
      </c>
      <c r="AI34" s="209" t="str">
        <f t="shared" si="82"/>
        <v>.</v>
      </c>
      <c r="AJ34" s="216">
        <f t="shared" si="83"/>
        <v>2</v>
      </c>
      <c r="AK34" s="217" t="str">
        <f t="shared" si="84"/>
        <v>N/A</v>
      </c>
      <c r="AL34" s="217">
        <f t="shared" si="52"/>
        <v>0</v>
      </c>
      <c r="AM34" s="215">
        <f t="shared" si="53"/>
        <v>0</v>
      </c>
      <c r="AN34" s="219" t="b">
        <f t="shared" si="85"/>
        <v>0</v>
      </c>
      <c r="AO34" s="217" t="str">
        <f t="shared" si="86"/>
        <v>N/A</v>
      </c>
      <c r="AP34" s="217" t="str">
        <f>IF(AND(ISNUMBER(AO34),AN34=TRUE),MAX(0,AO34-SUMIFS($AM$3:$AM33,AN$3:AN33,TRUE)),IF(AND(AN34=TRUE,ISNUMBER(AO34)=FALSE),"ERR","N/A"))</f>
        <v>N/A</v>
      </c>
      <c r="AQ34" s="215" t="str">
        <f t="shared" si="87"/>
        <v>N/A</v>
      </c>
      <c r="AR34" s="219" t="b">
        <f t="shared" si="88"/>
        <v>0</v>
      </c>
      <c r="AS34" s="217" t="str">
        <f t="shared" si="89"/>
        <v>N/A</v>
      </c>
      <c r="AT34" s="217" t="str">
        <f>IF(AND(AR34=TRUE,ISNUMBER(AS34)),MAX(0,AS34-SUMIFS($AM$3:$AM33,AR$3:AR33,TRUE)),IF(AND(AR34=TRUE,ISNUMBER(AS34)=FALSE),"ERR","N/A"))</f>
        <v>N/A</v>
      </c>
      <c r="AU34" s="215" t="str">
        <f t="shared" si="90"/>
        <v>N/A</v>
      </c>
      <c r="AV34" s="219" t="b">
        <f t="shared" si="91"/>
        <v>0</v>
      </c>
      <c r="AW34" s="217" t="str">
        <f t="shared" si="92"/>
        <v>N/A</v>
      </c>
      <c r="AX34" s="217" t="str">
        <f>IF(AND(AV34=TRUE,ISNUMBER(AW34)),MAX(0,AW34-SUMIFS($AM$3:$AM33,AV$3:AV33,TRUE)),IF(AND(AV34=TRUE,ISNUMBER(AW34)=FALSE),"ERR","N/A"))</f>
        <v>N/A</v>
      </c>
      <c r="AY34" s="215" t="str">
        <f t="shared" si="93"/>
        <v>N/A</v>
      </c>
      <c r="AZ34" s="219" t="b">
        <f t="shared" si="94"/>
        <v>0</v>
      </c>
      <c r="BA34" s="217" t="str">
        <f t="shared" si="95"/>
        <v>N/A</v>
      </c>
      <c r="BB34" s="217" t="str">
        <f>IF(AND(AZ34=TRUE,ISNUMBER(BA34)),MAX(0,BA34-SUMIFS($AM$3:$AM33,AZ$3:AZ33,TRUE)),IF(AND(AZ34=TRUE,ISNUMBER(BA34)=FALSE),"ERR","N/A"))</f>
        <v>N/A</v>
      </c>
      <c r="BC34" s="215" t="str">
        <f t="shared" si="96"/>
        <v>N/A</v>
      </c>
      <c r="BD34" s="219" t="b">
        <f t="shared" si="97"/>
        <v>0</v>
      </c>
      <c r="BE34" s="217" t="str">
        <f t="shared" si="98"/>
        <v>N/A</v>
      </c>
      <c r="BF34" s="217" t="str">
        <f>IF(AND(BD34=TRUE,ISNUMBER(BE34)=TRUE),MAX(0,BE34-SUMIFS(AM$3:AM33,BD$3:BD33,TRUE,F$3:F33,F34)),IF(AND(BD34=TRUE,ISNUMBER(BE34)=FALSE),"ERR","N/A"))</f>
        <v>N/A</v>
      </c>
      <c r="BG34" s="215" t="str">
        <f t="shared" si="99"/>
        <v>N/A</v>
      </c>
      <c r="BH34" s="214">
        <f t="shared" si="100"/>
        <v>0</v>
      </c>
      <c r="BI34" s="215">
        <f t="shared" si="54"/>
        <v>0</v>
      </c>
      <c r="BJ34" s="214" t="str">
        <f t="shared" si="55"/>
        <v>N/A</v>
      </c>
      <c r="BK34" s="217">
        <f t="shared" si="101"/>
        <v>0</v>
      </c>
      <c r="BL34" s="220" t="b">
        <f t="shared" si="102"/>
        <v>0</v>
      </c>
      <c r="BM34" s="217" t="str">
        <f t="shared" si="103"/>
        <v>N/A</v>
      </c>
      <c r="BN34" s="217" t="str">
        <f t="shared" si="56"/>
        <v>N/A</v>
      </c>
      <c r="BO34" s="220" t="b">
        <f t="shared" si="104"/>
        <v>0</v>
      </c>
      <c r="BP34" s="244" t="str">
        <f t="shared" si="105"/>
        <v>N/A</v>
      </c>
      <c r="BQ34" s="217" t="str">
        <f t="shared" si="57"/>
        <v>N/A</v>
      </c>
      <c r="BR34" s="215">
        <f t="shared" si="58"/>
        <v>0</v>
      </c>
      <c r="BS34" s="214" t="str">
        <f t="shared" si="59"/>
        <v>N/A</v>
      </c>
      <c r="BT34" s="217">
        <f t="shared" si="60"/>
        <v>0</v>
      </c>
      <c r="BU34" s="215">
        <f t="shared" si="61"/>
        <v>0</v>
      </c>
      <c r="BV34" s="214">
        <f t="shared" si="62"/>
        <v>0</v>
      </c>
      <c r="BW34" s="217">
        <f t="shared" si="106"/>
        <v>3.38</v>
      </c>
      <c r="BX34" s="217">
        <f t="shared" si="107"/>
        <v>0</v>
      </c>
      <c r="BY34" s="217">
        <f t="shared" si="63"/>
        <v>0</v>
      </c>
      <c r="BZ34" s="217">
        <f t="shared" si="42"/>
        <v>0</v>
      </c>
      <c r="CA34" s="217">
        <f t="shared" si="64"/>
        <v>0</v>
      </c>
      <c r="CB34" s="213" t="b">
        <f t="shared" si="108"/>
        <v>1</v>
      </c>
    </row>
    <row r="35" spans="1:80" x14ac:dyDescent="0.25">
      <c r="A35" s="207">
        <v>32</v>
      </c>
      <c r="B35" s="208">
        <v>42457</v>
      </c>
      <c r="C35" s="209">
        <v>3</v>
      </c>
      <c r="D35" s="210">
        <v>26</v>
      </c>
      <c r="E35" s="211" t="str">
        <f t="shared" si="65"/>
        <v>Aspirin 81mg (OTC - bottle 100) [usage = 1 QD; #30 pills per month]</v>
      </c>
      <c r="F35" s="212" t="str">
        <f t="shared" si="66"/>
        <v>Over-the-counter Drugs</v>
      </c>
      <c r="G35" s="213" t="str">
        <f t="shared" si="67"/>
        <v>Not Covered</v>
      </c>
      <c r="H35" s="214">
        <f t="shared" si="68"/>
        <v>4.47</v>
      </c>
      <c r="I35" s="217">
        <f t="shared" si="69"/>
        <v>4.47</v>
      </c>
      <c r="J35" s="251">
        <f t="shared" si="70"/>
        <v>0</v>
      </c>
      <c r="K35" s="214" t="b">
        <f t="shared" si="71"/>
        <v>0</v>
      </c>
      <c r="L35" s="218" t="str">
        <f t="shared" si="72"/>
        <v>No</v>
      </c>
      <c r="M35" s="217" t="str">
        <f t="shared" si="73"/>
        <v>.</v>
      </c>
      <c r="N35" s="215" t="str">
        <f>IFERROR(IF(AND(L35="Yes",ISNUMBER(M35)),MAX(0,M35-SUMIFS(BU$3:BU34,L$3:L34,"Yes")),IF(OR(L35="No",M35="None"),"N/A","ERR")),"ERR")</f>
        <v>N/A</v>
      </c>
      <c r="O35" s="251" t="b">
        <f t="shared" si="46"/>
        <v>0</v>
      </c>
      <c r="P35" s="251" t="str">
        <f>IF(O35,BENEFIT_PARAMETERS!$C$76,"N/A")</f>
        <v>N/A</v>
      </c>
      <c r="Q35" s="288" t="str">
        <f>IF(P35="Yes", BENEFIT_PARAMETERS!$D$76,"N/A")</f>
        <v>N/A</v>
      </c>
      <c r="R35" s="253" t="str">
        <f t="shared" si="7"/>
        <v>N/A</v>
      </c>
      <c r="S35" s="217">
        <f t="shared" si="47"/>
        <v>0</v>
      </c>
      <c r="T35" s="215">
        <f t="shared" si="74"/>
        <v>0</v>
      </c>
      <c r="U35" s="214" t="b">
        <f t="shared" si="48"/>
        <v>0</v>
      </c>
      <c r="V35" s="251" t="str">
        <f>IF(O35,BENEFIT_PARAMETERS!$C$77,"N/A")</f>
        <v>N/A</v>
      </c>
      <c r="W35" s="288" t="str">
        <f>IF(V35="Yes", BENEFIT_PARAMETERS!$D$77,"N/A")</f>
        <v>N/A</v>
      </c>
      <c r="X35" s="253" t="str">
        <f>IF(O35,COUNTIF(Z$3:Z34,"&gt;0"),"N/A")</f>
        <v>N/A</v>
      </c>
      <c r="Y35" s="217" t="str">
        <f t="shared" si="75"/>
        <v>N/A</v>
      </c>
      <c r="Z35" s="293" t="str">
        <f t="shared" si="49"/>
        <v>N/A</v>
      </c>
      <c r="AA35" s="293">
        <f t="shared" si="50"/>
        <v>0</v>
      </c>
      <c r="AB35" s="293" t="str">
        <f t="shared" si="76"/>
        <v>N/A</v>
      </c>
      <c r="AC35" s="215">
        <f t="shared" si="51"/>
        <v>0</v>
      </c>
      <c r="AD35" s="214" t="b">
        <f t="shared" si="77"/>
        <v>0</v>
      </c>
      <c r="AE35" s="209" t="str">
        <f t="shared" si="78"/>
        <v>.</v>
      </c>
      <c r="AF35" s="216">
        <f t="shared" si="79"/>
        <v>0</v>
      </c>
      <c r="AG35" s="217" t="str">
        <f t="shared" si="80"/>
        <v>N/A</v>
      </c>
      <c r="AH35" s="217" t="b">
        <f t="shared" si="81"/>
        <v>0</v>
      </c>
      <c r="AI35" s="209" t="str">
        <f t="shared" si="82"/>
        <v>.</v>
      </c>
      <c r="AJ35" s="216">
        <f t="shared" si="83"/>
        <v>1</v>
      </c>
      <c r="AK35" s="217" t="str">
        <f t="shared" si="84"/>
        <v>N/A</v>
      </c>
      <c r="AL35" s="217">
        <f t="shared" si="52"/>
        <v>0</v>
      </c>
      <c r="AM35" s="215">
        <f t="shared" si="53"/>
        <v>0</v>
      </c>
      <c r="AN35" s="219" t="b">
        <f t="shared" si="85"/>
        <v>0</v>
      </c>
      <c r="AO35" s="217" t="str">
        <f t="shared" si="86"/>
        <v>N/A</v>
      </c>
      <c r="AP35" s="217" t="str">
        <f>IF(AND(ISNUMBER(AO35),AN35=TRUE),MAX(0,AO35-SUMIFS($AM$3:$AM34,AN$3:AN34,TRUE)),IF(AND(AN35=TRUE,ISNUMBER(AO35)=FALSE),"ERR","N/A"))</f>
        <v>N/A</v>
      </c>
      <c r="AQ35" s="215" t="str">
        <f t="shared" si="87"/>
        <v>N/A</v>
      </c>
      <c r="AR35" s="219" t="b">
        <f t="shared" si="88"/>
        <v>0</v>
      </c>
      <c r="AS35" s="217" t="str">
        <f t="shared" si="89"/>
        <v>N/A</v>
      </c>
      <c r="AT35" s="217" t="str">
        <f>IF(AND(AR35=TRUE,ISNUMBER(AS35)),MAX(0,AS35-SUMIFS($AM$3:$AM34,AR$3:AR34,TRUE)),IF(AND(AR35=TRUE,ISNUMBER(AS35)=FALSE),"ERR","N/A"))</f>
        <v>N/A</v>
      </c>
      <c r="AU35" s="215" t="str">
        <f t="shared" si="90"/>
        <v>N/A</v>
      </c>
      <c r="AV35" s="219" t="b">
        <f t="shared" si="91"/>
        <v>0</v>
      </c>
      <c r="AW35" s="217" t="str">
        <f t="shared" si="92"/>
        <v>N/A</v>
      </c>
      <c r="AX35" s="217" t="str">
        <f>IF(AND(AV35=TRUE,ISNUMBER(AW35)),MAX(0,AW35-SUMIFS($AM$3:$AM34,AV$3:AV34,TRUE)),IF(AND(AV35=TRUE,ISNUMBER(AW35)=FALSE),"ERR","N/A"))</f>
        <v>N/A</v>
      </c>
      <c r="AY35" s="215" t="str">
        <f t="shared" si="93"/>
        <v>N/A</v>
      </c>
      <c r="AZ35" s="219" t="b">
        <f t="shared" si="94"/>
        <v>0</v>
      </c>
      <c r="BA35" s="217" t="str">
        <f t="shared" si="95"/>
        <v>N/A</v>
      </c>
      <c r="BB35" s="217" t="str">
        <f>IF(AND(AZ35=TRUE,ISNUMBER(BA35)),MAX(0,BA35-SUMIFS($AM$3:$AM34,AZ$3:AZ34,TRUE)),IF(AND(AZ35=TRUE,ISNUMBER(BA35)=FALSE),"ERR","N/A"))</f>
        <v>N/A</v>
      </c>
      <c r="BC35" s="215" t="str">
        <f t="shared" si="96"/>
        <v>N/A</v>
      </c>
      <c r="BD35" s="219" t="b">
        <f t="shared" si="97"/>
        <v>0</v>
      </c>
      <c r="BE35" s="217" t="str">
        <f t="shared" si="98"/>
        <v>N/A</v>
      </c>
      <c r="BF35" s="217" t="str">
        <f>IF(AND(BD35=TRUE,ISNUMBER(BE35)=TRUE),MAX(0,BE35-SUMIFS(AM$3:AM34,BD$3:BD34,TRUE,F$3:F34,F35)),IF(AND(BD35=TRUE,ISNUMBER(BE35)=FALSE),"ERR","N/A"))</f>
        <v>N/A</v>
      </c>
      <c r="BG35" s="215" t="str">
        <f t="shared" si="99"/>
        <v>N/A</v>
      </c>
      <c r="BH35" s="214">
        <f t="shared" si="100"/>
        <v>0</v>
      </c>
      <c r="BI35" s="215">
        <f t="shared" si="54"/>
        <v>0</v>
      </c>
      <c r="BJ35" s="214" t="str">
        <f t="shared" si="55"/>
        <v>N/A</v>
      </c>
      <c r="BK35" s="217">
        <f t="shared" si="101"/>
        <v>0</v>
      </c>
      <c r="BL35" s="220" t="b">
        <f t="shared" si="102"/>
        <v>0</v>
      </c>
      <c r="BM35" s="217" t="str">
        <f t="shared" si="103"/>
        <v>N/A</v>
      </c>
      <c r="BN35" s="217" t="str">
        <f t="shared" si="56"/>
        <v>N/A</v>
      </c>
      <c r="BO35" s="220" t="b">
        <f t="shared" si="104"/>
        <v>0</v>
      </c>
      <c r="BP35" s="244" t="str">
        <f t="shared" si="105"/>
        <v>N/A</v>
      </c>
      <c r="BQ35" s="217" t="str">
        <f t="shared" si="57"/>
        <v>N/A</v>
      </c>
      <c r="BR35" s="215">
        <f t="shared" si="58"/>
        <v>0</v>
      </c>
      <c r="BS35" s="214" t="str">
        <f t="shared" si="59"/>
        <v>N/A</v>
      </c>
      <c r="BT35" s="217">
        <f t="shared" si="60"/>
        <v>0</v>
      </c>
      <c r="BU35" s="215">
        <f t="shared" si="61"/>
        <v>0</v>
      </c>
      <c r="BV35" s="214">
        <f t="shared" si="62"/>
        <v>0</v>
      </c>
      <c r="BW35" s="217">
        <f t="shared" si="106"/>
        <v>4.47</v>
      </c>
      <c r="BX35" s="217">
        <f t="shared" si="107"/>
        <v>0</v>
      </c>
      <c r="BY35" s="217">
        <f t="shared" si="63"/>
        <v>0</v>
      </c>
      <c r="BZ35" s="217">
        <f t="shared" si="42"/>
        <v>0</v>
      </c>
      <c r="CA35" s="217">
        <f t="shared" si="64"/>
        <v>0</v>
      </c>
      <c r="CB35" s="213" t="b">
        <f t="shared" si="108"/>
        <v>1</v>
      </c>
    </row>
    <row r="36" spans="1:80" x14ac:dyDescent="0.25">
      <c r="A36" s="207">
        <v>33</v>
      </c>
      <c r="B36" s="208">
        <v>42457</v>
      </c>
      <c r="C36" s="209">
        <v>3</v>
      </c>
      <c r="D36" s="210">
        <v>17</v>
      </c>
      <c r="E36" s="211" t="str">
        <f t="shared" si="65"/>
        <v>Insulin glargine 100 unit/ml injectable solution (Rx - 10ml vial)  [20 units QD; expires 28 days after first use]</v>
      </c>
      <c r="F36" s="212" t="str">
        <f t="shared" si="66"/>
        <v>Prescription Drugs: Insulin</v>
      </c>
      <c r="G36" s="213" t="str">
        <f t="shared" si="67"/>
        <v>Not Covered</v>
      </c>
      <c r="H36" s="214">
        <f t="shared" si="68"/>
        <v>240.37</v>
      </c>
      <c r="I36" s="217">
        <f t="shared" si="69"/>
        <v>240.37</v>
      </c>
      <c r="J36" s="251">
        <f t="shared" si="70"/>
        <v>0</v>
      </c>
      <c r="K36" s="214" t="b">
        <f t="shared" si="71"/>
        <v>0</v>
      </c>
      <c r="L36" s="218" t="str">
        <f t="shared" si="72"/>
        <v>No</v>
      </c>
      <c r="M36" s="217" t="str">
        <f t="shared" si="73"/>
        <v>.</v>
      </c>
      <c r="N36" s="215" t="str">
        <f>IFERROR(IF(AND(L36="Yes",ISNUMBER(M36)),MAX(0,M36-SUMIFS(BU$3:BU35,L$3:L35,"Yes")),IF(OR(L36="No",M36="None"),"N/A","ERR")),"ERR")</f>
        <v>N/A</v>
      </c>
      <c r="O36" s="251" t="b">
        <f t="shared" si="46"/>
        <v>0</v>
      </c>
      <c r="P36" s="251" t="str">
        <f>IF(O36,BENEFIT_PARAMETERS!$C$76,"N/A")</f>
        <v>N/A</v>
      </c>
      <c r="Q36" s="288" t="str">
        <f>IF(P36="Yes", BENEFIT_PARAMETERS!$D$76,"N/A")</f>
        <v>N/A</v>
      </c>
      <c r="R36" s="253" t="str">
        <f t="shared" ref="R36:R67" si="109">IF(O36,COUNTIFS(BenefitCategory,"Professional Services: Primary Care",ClaimNumber,"&lt;"&amp;A36),"N/A")</f>
        <v>N/A</v>
      </c>
      <c r="S36" s="217">
        <f t="shared" si="47"/>
        <v>0</v>
      </c>
      <c r="T36" s="215">
        <f t="shared" si="74"/>
        <v>0</v>
      </c>
      <c r="U36" s="214" t="b">
        <f t="shared" si="48"/>
        <v>0</v>
      </c>
      <c r="V36" s="251" t="str">
        <f>IF(O36,BENEFIT_PARAMETERS!$C$77,"N/A")</f>
        <v>N/A</v>
      </c>
      <c r="W36" s="288" t="str">
        <f>IF(V36="Yes", BENEFIT_PARAMETERS!$D$77,"N/A")</f>
        <v>N/A</v>
      </c>
      <c r="X36" s="253" t="str">
        <f>IF(O36,COUNTIF(Z$3:Z35,"&gt;0"),"N/A")</f>
        <v>N/A</v>
      </c>
      <c r="Y36" s="217" t="str">
        <f t="shared" si="75"/>
        <v>N/A</v>
      </c>
      <c r="Z36" s="293" t="str">
        <f t="shared" si="49"/>
        <v>N/A</v>
      </c>
      <c r="AA36" s="293">
        <f t="shared" si="50"/>
        <v>0</v>
      </c>
      <c r="AB36" s="293" t="str">
        <f t="shared" si="76"/>
        <v>N/A</v>
      </c>
      <c r="AC36" s="215">
        <f t="shared" si="51"/>
        <v>0</v>
      </c>
      <c r="AD36" s="214" t="b">
        <f t="shared" si="77"/>
        <v>0</v>
      </c>
      <c r="AE36" s="209" t="str">
        <f t="shared" si="78"/>
        <v>.</v>
      </c>
      <c r="AF36" s="216">
        <f t="shared" si="79"/>
        <v>0</v>
      </c>
      <c r="AG36" s="217" t="str">
        <f t="shared" si="80"/>
        <v>N/A</v>
      </c>
      <c r="AH36" s="217" t="b">
        <f t="shared" si="81"/>
        <v>0</v>
      </c>
      <c r="AI36" s="209" t="str">
        <f t="shared" si="82"/>
        <v>.</v>
      </c>
      <c r="AJ36" s="216">
        <f t="shared" si="83"/>
        <v>3</v>
      </c>
      <c r="AK36" s="217" t="str">
        <f t="shared" si="84"/>
        <v>N/A</v>
      </c>
      <c r="AL36" s="217">
        <f t="shared" si="52"/>
        <v>0</v>
      </c>
      <c r="AM36" s="215">
        <f t="shared" si="53"/>
        <v>0</v>
      </c>
      <c r="AN36" s="219" t="b">
        <f t="shared" si="85"/>
        <v>0</v>
      </c>
      <c r="AO36" s="217" t="str">
        <f t="shared" si="86"/>
        <v>N/A</v>
      </c>
      <c r="AP36" s="217" t="str">
        <f>IF(AND(ISNUMBER(AO36),AN36=TRUE),MAX(0,AO36-SUMIFS($AM$3:$AM35,AN$3:AN35,TRUE)),IF(AND(AN36=TRUE,ISNUMBER(AO36)=FALSE),"ERR","N/A"))</f>
        <v>N/A</v>
      </c>
      <c r="AQ36" s="215" t="str">
        <f t="shared" si="87"/>
        <v>N/A</v>
      </c>
      <c r="AR36" s="219" t="b">
        <f t="shared" si="88"/>
        <v>0</v>
      </c>
      <c r="AS36" s="217" t="str">
        <f t="shared" si="89"/>
        <v>N/A</v>
      </c>
      <c r="AT36" s="217" t="str">
        <f>IF(AND(AR36=TRUE,ISNUMBER(AS36)),MAX(0,AS36-SUMIFS($AM$3:$AM35,AR$3:AR35,TRUE)),IF(AND(AR36=TRUE,ISNUMBER(AS36)=FALSE),"ERR","N/A"))</f>
        <v>N/A</v>
      </c>
      <c r="AU36" s="215" t="str">
        <f t="shared" si="90"/>
        <v>N/A</v>
      </c>
      <c r="AV36" s="219" t="b">
        <f t="shared" si="91"/>
        <v>0</v>
      </c>
      <c r="AW36" s="217" t="str">
        <f t="shared" si="92"/>
        <v>N/A</v>
      </c>
      <c r="AX36" s="217" t="str">
        <f>IF(AND(AV36=TRUE,ISNUMBER(AW36)),MAX(0,AW36-SUMIFS($AM$3:$AM35,AV$3:AV35,TRUE)),IF(AND(AV36=TRUE,ISNUMBER(AW36)=FALSE),"ERR","N/A"))</f>
        <v>N/A</v>
      </c>
      <c r="AY36" s="215" t="str">
        <f t="shared" si="93"/>
        <v>N/A</v>
      </c>
      <c r="AZ36" s="219" t="b">
        <f t="shared" si="94"/>
        <v>0</v>
      </c>
      <c r="BA36" s="217" t="str">
        <f t="shared" si="95"/>
        <v>N/A</v>
      </c>
      <c r="BB36" s="217" t="str">
        <f>IF(AND(AZ36=TRUE,ISNUMBER(BA36)),MAX(0,BA36-SUMIFS($AM$3:$AM35,AZ$3:AZ35,TRUE)),IF(AND(AZ36=TRUE,ISNUMBER(BA36)=FALSE),"ERR","N/A"))</f>
        <v>N/A</v>
      </c>
      <c r="BC36" s="215" t="str">
        <f t="shared" si="96"/>
        <v>N/A</v>
      </c>
      <c r="BD36" s="219" t="b">
        <f t="shared" si="97"/>
        <v>0</v>
      </c>
      <c r="BE36" s="217" t="str">
        <f t="shared" si="98"/>
        <v>N/A</v>
      </c>
      <c r="BF36" s="217" t="str">
        <f>IF(AND(BD36=TRUE,ISNUMBER(BE36)=TRUE),MAX(0,BE36-SUMIFS(AM$3:AM35,BD$3:BD35,TRUE,F$3:F35,F36)),IF(AND(BD36=TRUE,ISNUMBER(BE36)=FALSE),"ERR","N/A"))</f>
        <v>N/A</v>
      </c>
      <c r="BG36" s="215" t="str">
        <f t="shared" si="99"/>
        <v>N/A</v>
      </c>
      <c r="BH36" s="214">
        <f t="shared" si="100"/>
        <v>0</v>
      </c>
      <c r="BI36" s="215">
        <f t="shared" si="54"/>
        <v>0</v>
      </c>
      <c r="BJ36" s="214" t="str">
        <f t="shared" si="55"/>
        <v>N/A</v>
      </c>
      <c r="BK36" s="217">
        <f t="shared" si="101"/>
        <v>0</v>
      </c>
      <c r="BL36" s="220" t="b">
        <f t="shared" si="102"/>
        <v>0</v>
      </c>
      <c r="BM36" s="217" t="str">
        <f t="shared" si="103"/>
        <v>N/A</v>
      </c>
      <c r="BN36" s="217" t="str">
        <f t="shared" si="56"/>
        <v>N/A</v>
      </c>
      <c r="BO36" s="220" t="b">
        <f t="shared" si="104"/>
        <v>0</v>
      </c>
      <c r="BP36" s="244" t="str">
        <f t="shared" si="105"/>
        <v>N/A</v>
      </c>
      <c r="BQ36" s="217" t="str">
        <f t="shared" si="57"/>
        <v>N/A</v>
      </c>
      <c r="BR36" s="215">
        <f t="shared" si="58"/>
        <v>0</v>
      </c>
      <c r="BS36" s="214" t="str">
        <f t="shared" si="59"/>
        <v>N/A</v>
      </c>
      <c r="BT36" s="217">
        <f t="shared" si="60"/>
        <v>0</v>
      </c>
      <c r="BU36" s="215">
        <f t="shared" si="61"/>
        <v>0</v>
      </c>
      <c r="BV36" s="214">
        <f t="shared" si="62"/>
        <v>0</v>
      </c>
      <c r="BW36" s="217">
        <f t="shared" si="106"/>
        <v>240.37</v>
      </c>
      <c r="BX36" s="217">
        <f t="shared" si="107"/>
        <v>0</v>
      </c>
      <c r="BY36" s="217">
        <f t="shared" si="63"/>
        <v>0</v>
      </c>
      <c r="BZ36" s="217">
        <f t="shared" si="42"/>
        <v>0</v>
      </c>
      <c r="CA36" s="217">
        <f t="shared" si="64"/>
        <v>0</v>
      </c>
      <c r="CB36" s="213" t="b">
        <f t="shared" si="108"/>
        <v>1</v>
      </c>
    </row>
    <row r="37" spans="1:80" x14ac:dyDescent="0.25">
      <c r="A37" s="207">
        <v>34</v>
      </c>
      <c r="B37" s="208">
        <v>42457</v>
      </c>
      <c r="C37" s="209">
        <v>3</v>
      </c>
      <c r="D37" s="210">
        <v>24</v>
      </c>
      <c r="E37" s="211" t="str">
        <f t="shared" si="65"/>
        <v>Office/Outpatient Visit Est</v>
      </c>
      <c r="F37" s="212" t="str">
        <f t="shared" si="66"/>
        <v>Professional Services: Primary Care</v>
      </c>
      <c r="G37" s="213" t="str">
        <f t="shared" si="67"/>
        <v>Not Covered</v>
      </c>
      <c r="H37" s="214">
        <f t="shared" si="68"/>
        <v>121.7</v>
      </c>
      <c r="I37" s="217">
        <f t="shared" si="69"/>
        <v>121.7</v>
      </c>
      <c r="J37" s="251">
        <f t="shared" si="70"/>
        <v>0</v>
      </c>
      <c r="K37" s="214" t="b">
        <f t="shared" si="71"/>
        <v>0</v>
      </c>
      <c r="L37" s="218" t="str">
        <f t="shared" si="72"/>
        <v>No</v>
      </c>
      <c r="M37" s="217" t="str">
        <f t="shared" si="73"/>
        <v>.</v>
      </c>
      <c r="N37" s="215" t="str">
        <f>IFERROR(IF(AND(L37="Yes",ISNUMBER(M37)),MAX(0,M37-SUMIFS(BU$3:BU36,L$3:L36,"Yes")),IF(OR(L37="No",M37="None"),"N/A","ERR")),"ERR")</f>
        <v>N/A</v>
      </c>
      <c r="O37" s="251" t="b">
        <f t="shared" si="46"/>
        <v>1</v>
      </c>
      <c r="P37" s="251" t="str">
        <f>IF(O37,BENEFIT_PARAMETERS!$C$76,"N/A")</f>
        <v>.</v>
      </c>
      <c r="Q37" s="288" t="str">
        <f>IF(P37="Yes", BENEFIT_PARAMETERS!$D$76,"N/A")</f>
        <v>N/A</v>
      </c>
      <c r="R37" s="253">
        <f t="shared" si="109"/>
        <v>3</v>
      </c>
      <c r="S37" s="217">
        <f t="shared" si="47"/>
        <v>0</v>
      </c>
      <c r="T37" s="215">
        <f t="shared" si="74"/>
        <v>0</v>
      </c>
      <c r="U37" s="214" t="b">
        <f t="shared" si="48"/>
        <v>1</v>
      </c>
      <c r="V37" s="251" t="str">
        <f>IF(O37,BENEFIT_PARAMETERS!$C$77,"N/A")</f>
        <v>.</v>
      </c>
      <c r="W37" s="288" t="str">
        <f>IF(V37="Yes", BENEFIT_PARAMETERS!$D$77,"N/A")</f>
        <v>N/A</v>
      </c>
      <c r="X37" s="253">
        <f>IF(O37,COUNTIF(Z$3:Z36,"&gt;0"),"N/A")</f>
        <v>0</v>
      </c>
      <c r="Y37" s="217" t="str">
        <f t="shared" si="75"/>
        <v>N/A</v>
      </c>
      <c r="Z37" s="293" t="str">
        <f t="shared" si="49"/>
        <v>N/A</v>
      </c>
      <c r="AA37" s="293">
        <f t="shared" si="50"/>
        <v>0</v>
      </c>
      <c r="AB37" s="293" t="str">
        <f t="shared" si="76"/>
        <v>N/A</v>
      </c>
      <c r="AC37" s="215">
        <f t="shared" si="51"/>
        <v>0</v>
      </c>
      <c r="AD37" s="214" t="b">
        <f t="shared" si="77"/>
        <v>0</v>
      </c>
      <c r="AE37" s="209" t="str">
        <f t="shared" si="78"/>
        <v>.</v>
      </c>
      <c r="AF37" s="216">
        <f t="shared" si="79"/>
        <v>0</v>
      </c>
      <c r="AG37" s="217" t="str">
        <f t="shared" si="80"/>
        <v>N/A</v>
      </c>
      <c r="AH37" s="217" t="b">
        <f t="shared" si="81"/>
        <v>0</v>
      </c>
      <c r="AI37" s="209" t="str">
        <f t="shared" si="82"/>
        <v>.</v>
      </c>
      <c r="AJ37" s="216">
        <f t="shared" si="83"/>
        <v>1</v>
      </c>
      <c r="AK37" s="217" t="str">
        <f t="shared" si="84"/>
        <v>N/A</v>
      </c>
      <c r="AL37" s="217">
        <f t="shared" si="52"/>
        <v>0</v>
      </c>
      <c r="AM37" s="215">
        <f t="shared" si="53"/>
        <v>0</v>
      </c>
      <c r="AN37" s="219" t="b">
        <f t="shared" si="85"/>
        <v>0</v>
      </c>
      <c r="AO37" s="217" t="str">
        <f t="shared" si="86"/>
        <v>N/A</v>
      </c>
      <c r="AP37" s="217" t="str">
        <f>IF(AND(ISNUMBER(AO37),AN37=TRUE),MAX(0,AO37-SUMIFS($AM$3:$AM36,AN$3:AN36,TRUE)),IF(AND(AN37=TRUE,ISNUMBER(AO37)=FALSE),"ERR","N/A"))</f>
        <v>N/A</v>
      </c>
      <c r="AQ37" s="215" t="str">
        <f t="shared" si="87"/>
        <v>N/A</v>
      </c>
      <c r="AR37" s="219" t="b">
        <f t="shared" si="88"/>
        <v>0</v>
      </c>
      <c r="AS37" s="217" t="str">
        <f t="shared" si="89"/>
        <v>N/A</v>
      </c>
      <c r="AT37" s="217" t="str">
        <f>IF(AND(AR37=TRUE,ISNUMBER(AS37)),MAX(0,AS37-SUMIFS($AM$3:$AM36,AR$3:AR36,TRUE)),IF(AND(AR37=TRUE,ISNUMBER(AS37)=FALSE),"ERR","N/A"))</f>
        <v>N/A</v>
      </c>
      <c r="AU37" s="215" t="str">
        <f t="shared" si="90"/>
        <v>N/A</v>
      </c>
      <c r="AV37" s="219" t="b">
        <f t="shared" si="91"/>
        <v>0</v>
      </c>
      <c r="AW37" s="217" t="str">
        <f t="shared" si="92"/>
        <v>N/A</v>
      </c>
      <c r="AX37" s="217" t="str">
        <f>IF(AND(AV37=TRUE,ISNUMBER(AW37)),MAX(0,AW37-SUMIFS($AM$3:$AM36,AV$3:AV36,TRUE)),IF(AND(AV37=TRUE,ISNUMBER(AW37)=FALSE),"ERR","N/A"))</f>
        <v>N/A</v>
      </c>
      <c r="AY37" s="215" t="str">
        <f t="shared" si="93"/>
        <v>N/A</v>
      </c>
      <c r="AZ37" s="219" t="b">
        <f t="shared" si="94"/>
        <v>0</v>
      </c>
      <c r="BA37" s="217" t="str">
        <f t="shared" si="95"/>
        <v>N/A</v>
      </c>
      <c r="BB37" s="217" t="str">
        <f>IF(AND(AZ37=TRUE,ISNUMBER(BA37)),MAX(0,BA37-SUMIFS($AM$3:$AM36,AZ$3:AZ36,TRUE)),IF(AND(AZ37=TRUE,ISNUMBER(BA37)=FALSE),"ERR","N/A"))</f>
        <v>N/A</v>
      </c>
      <c r="BC37" s="215" t="str">
        <f t="shared" si="96"/>
        <v>N/A</v>
      </c>
      <c r="BD37" s="219" t="b">
        <f t="shared" si="97"/>
        <v>0</v>
      </c>
      <c r="BE37" s="217" t="str">
        <f t="shared" si="98"/>
        <v>N/A</v>
      </c>
      <c r="BF37" s="217" t="str">
        <f>IF(AND(BD37=TRUE,ISNUMBER(BE37)=TRUE),MAX(0,BE37-SUMIFS(AM$3:AM36,BD$3:BD36,TRUE,F$3:F36,F37)),IF(AND(BD37=TRUE,ISNUMBER(BE37)=FALSE),"ERR","N/A"))</f>
        <v>N/A</v>
      </c>
      <c r="BG37" s="215" t="str">
        <f t="shared" si="99"/>
        <v>N/A</v>
      </c>
      <c r="BH37" s="214">
        <f t="shared" si="100"/>
        <v>0</v>
      </c>
      <c r="BI37" s="215">
        <f t="shared" si="54"/>
        <v>0</v>
      </c>
      <c r="BJ37" s="214" t="str">
        <f t="shared" si="55"/>
        <v>N/A</v>
      </c>
      <c r="BK37" s="217">
        <f t="shared" si="101"/>
        <v>0</v>
      </c>
      <c r="BL37" s="220" t="b">
        <f t="shared" si="102"/>
        <v>0</v>
      </c>
      <c r="BM37" s="217" t="str">
        <f t="shared" si="103"/>
        <v>N/A</v>
      </c>
      <c r="BN37" s="217" t="str">
        <f t="shared" si="56"/>
        <v>N/A</v>
      </c>
      <c r="BO37" s="220" t="b">
        <f t="shared" si="104"/>
        <v>0</v>
      </c>
      <c r="BP37" s="244" t="str">
        <f t="shared" si="105"/>
        <v>N/A</v>
      </c>
      <c r="BQ37" s="217" t="str">
        <f t="shared" si="57"/>
        <v>N/A</v>
      </c>
      <c r="BR37" s="215">
        <f t="shared" si="58"/>
        <v>0</v>
      </c>
      <c r="BS37" s="214" t="str">
        <f t="shared" si="59"/>
        <v>N/A</v>
      </c>
      <c r="BT37" s="217">
        <f t="shared" si="60"/>
        <v>0</v>
      </c>
      <c r="BU37" s="215">
        <f t="shared" si="61"/>
        <v>0</v>
      </c>
      <c r="BV37" s="214">
        <f t="shared" si="62"/>
        <v>0</v>
      </c>
      <c r="BW37" s="217">
        <f t="shared" si="106"/>
        <v>121.7</v>
      </c>
      <c r="BX37" s="217">
        <f t="shared" si="107"/>
        <v>0</v>
      </c>
      <c r="BY37" s="217">
        <f t="shared" si="63"/>
        <v>0</v>
      </c>
      <c r="BZ37" s="217">
        <f t="shared" si="42"/>
        <v>0</v>
      </c>
      <c r="CA37" s="217">
        <f t="shared" si="64"/>
        <v>0</v>
      </c>
      <c r="CB37" s="213" t="b">
        <f t="shared" si="108"/>
        <v>1</v>
      </c>
    </row>
    <row r="38" spans="1:80" x14ac:dyDescent="0.25">
      <c r="A38" s="207">
        <v>35</v>
      </c>
      <c r="B38" s="208">
        <v>42463</v>
      </c>
      <c r="C38" s="209">
        <v>4</v>
      </c>
      <c r="D38" s="210">
        <v>14</v>
      </c>
      <c r="E38" s="211" t="str">
        <f t="shared" si="65"/>
        <v>BD Ultrafine Insulin Syringes / 30G/ 0.5cc  [usage = 30 syringes per month]</v>
      </c>
      <c r="F38" s="212" t="str">
        <f t="shared" si="66"/>
        <v>Medical Supplies</v>
      </c>
      <c r="G38" s="213" t="str">
        <f t="shared" si="67"/>
        <v>Not Covered</v>
      </c>
      <c r="H38" s="214">
        <f t="shared" si="68"/>
        <v>20.62</v>
      </c>
      <c r="I38" s="217">
        <f t="shared" si="69"/>
        <v>20.62</v>
      </c>
      <c r="J38" s="251">
        <f t="shared" si="70"/>
        <v>0</v>
      </c>
      <c r="K38" s="214" t="b">
        <f t="shared" si="71"/>
        <v>0</v>
      </c>
      <c r="L38" s="218" t="str">
        <f t="shared" si="72"/>
        <v>No</v>
      </c>
      <c r="M38" s="217" t="str">
        <f t="shared" si="73"/>
        <v>.</v>
      </c>
      <c r="N38" s="215" t="str">
        <f>IFERROR(IF(AND(L38="Yes",ISNUMBER(M38)),MAX(0,M38-SUMIFS(BU$3:BU37,L$3:L37,"Yes")),IF(OR(L38="No",M38="None"),"N/A","ERR")),"ERR")</f>
        <v>N/A</v>
      </c>
      <c r="O38" s="251" t="b">
        <f t="shared" si="46"/>
        <v>0</v>
      </c>
      <c r="P38" s="251" t="str">
        <f>IF(O38,BENEFIT_PARAMETERS!$C$76,"N/A")</f>
        <v>N/A</v>
      </c>
      <c r="Q38" s="288" t="str">
        <f>IF(P38="Yes", BENEFIT_PARAMETERS!$D$76,"N/A")</f>
        <v>N/A</v>
      </c>
      <c r="R38" s="253" t="str">
        <f t="shared" si="109"/>
        <v>N/A</v>
      </c>
      <c r="S38" s="217">
        <f t="shared" si="47"/>
        <v>0</v>
      </c>
      <c r="T38" s="215">
        <f t="shared" si="74"/>
        <v>0</v>
      </c>
      <c r="U38" s="214" t="b">
        <f t="shared" si="48"/>
        <v>0</v>
      </c>
      <c r="V38" s="251" t="str">
        <f>IF(O38,BENEFIT_PARAMETERS!$C$77,"N/A")</f>
        <v>N/A</v>
      </c>
      <c r="W38" s="288" t="str">
        <f>IF(V38="Yes", BENEFIT_PARAMETERS!$D$77,"N/A")</f>
        <v>N/A</v>
      </c>
      <c r="X38" s="253" t="str">
        <f>IF(O38,COUNTIF(Z$3:Z37,"&gt;0"),"N/A")</f>
        <v>N/A</v>
      </c>
      <c r="Y38" s="217" t="str">
        <f t="shared" si="75"/>
        <v>N/A</v>
      </c>
      <c r="Z38" s="293" t="str">
        <f t="shared" si="49"/>
        <v>N/A</v>
      </c>
      <c r="AA38" s="293">
        <f t="shared" si="50"/>
        <v>0</v>
      </c>
      <c r="AB38" s="293" t="str">
        <f t="shared" si="76"/>
        <v>N/A</v>
      </c>
      <c r="AC38" s="215">
        <f t="shared" si="51"/>
        <v>0</v>
      </c>
      <c r="AD38" s="214" t="b">
        <f t="shared" si="77"/>
        <v>0</v>
      </c>
      <c r="AE38" s="209" t="str">
        <f t="shared" si="78"/>
        <v>.</v>
      </c>
      <c r="AF38" s="216">
        <f t="shared" si="79"/>
        <v>0</v>
      </c>
      <c r="AG38" s="217" t="str">
        <f t="shared" si="80"/>
        <v>N/A</v>
      </c>
      <c r="AH38" s="217" t="b">
        <f t="shared" si="81"/>
        <v>0</v>
      </c>
      <c r="AI38" s="209" t="str">
        <f t="shared" si="82"/>
        <v>.</v>
      </c>
      <c r="AJ38" s="216">
        <f t="shared" si="83"/>
        <v>3</v>
      </c>
      <c r="AK38" s="217" t="str">
        <f t="shared" si="84"/>
        <v>N/A</v>
      </c>
      <c r="AL38" s="217">
        <f t="shared" si="52"/>
        <v>0</v>
      </c>
      <c r="AM38" s="215">
        <f t="shared" si="53"/>
        <v>0</v>
      </c>
      <c r="AN38" s="219" t="b">
        <f t="shared" si="85"/>
        <v>0</v>
      </c>
      <c r="AO38" s="217" t="str">
        <f t="shared" si="86"/>
        <v>N/A</v>
      </c>
      <c r="AP38" s="217" t="str">
        <f>IF(AND(ISNUMBER(AO38),AN38=TRUE),MAX(0,AO38-SUMIFS($AM$3:$AM37,AN$3:AN37,TRUE)),IF(AND(AN38=TRUE,ISNUMBER(AO38)=FALSE),"ERR","N/A"))</f>
        <v>N/A</v>
      </c>
      <c r="AQ38" s="215" t="str">
        <f t="shared" si="87"/>
        <v>N/A</v>
      </c>
      <c r="AR38" s="219" t="b">
        <f t="shared" si="88"/>
        <v>0</v>
      </c>
      <c r="AS38" s="217" t="str">
        <f t="shared" si="89"/>
        <v>N/A</v>
      </c>
      <c r="AT38" s="217" t="str">
        <f>IF(AND(AR38=TRUE,ISNUMBER(AS38)),MAX(0,AS38-SUMIFS($AM$3:$AM37,AR$3:AR37,TRUE)),IF(AND(AR38=TRUE,ISNUMBER(AS38)=FALSE),"ERR","N/A"))</f>
        <v>N/A</v>
      </c>
      <c r="AU38" s="215" t="str">
        <f t="shared" si="90"/>
        <v>N/A</v>
      </c>
      <c r="AV38" s="219" t="b">
        <f t="shared" si="91"/>
        <v>0</v>
      </c>
      <c r="AW38" s="217" t="str">
        <f t="shared" si="92"/>
        <v>N/A</v>
      </c>
      <c r="AX38" s="217" t="str">
        <f>IF(AND(AV38=TRUE,ISNUMBER(AW38)),MAX(0,AW38-SUMIFS($AM$3:$AM37,AV$3:AV37,TRUE)),IF(AND(AV38=TRUE,ISNUMBER(AW38)=FALSE),"ERR","N/A"))</f>
        <v>N/A</v>
      </c>
      <c r="AY38" s="215" t="str">
        <f t="shared" si="93"/>
        <v>N/A</v>
      </c>
      <c r="AZ38" s="219" t="b">
        <f t="shared" si="94"/>
        <v>0</v>
      </c>
      <c r="BA38" s="217" t="str">
        <f t="shared" si="95"/>
        <v>N/A</v>
      </c>
      <c r="BB38" s="217" t="str">
        <f>IF(AND(AZ38=TRUE,ISNUMBER(BA38)),MAX(0,BA38-SUMIFS($AM$3:$AM37,AZ$3:AZ37,TRUE)),IF(AND(AZ38=TRUE,ISNUMBER(BA38)=FALSE),"ERR","N/A"))</f>
        <v>N/A</v>
      </c>
      <c r="BC38" s="215" t="str">
        <f t="shared" si="96"/>
        <v>N/A</v>
      </c>
      <c r="BD38" s="219" t="b">
        <f t="shared" si="97"/>
        <v>0</v>
      </c>
      <c r="BE38" s="217" t="str">
        <f t="shared" si="98"/>
        <v>N/A</v>
      </c>
      <c r="BF38" s="217" t="str">
        <f>IF(AND(BD38=TRUE,ISNUMBER(BE38)=TRUE),MAX(0,BE38-SUMIFS(AM$3:AM37,BD$3:BD37,TRUE,F$3:F37,F38)),IF(AND(BD38=TRUE,ISNUMBER(BE38)=FALSE),"ERR","N/A"))</f>
        <v>N/A</v>
      </c>
      <c r="BG38" s="215" t="str">
        <f t="shared" si="99"/>
        <v>N/A</v>
      </c>
      <c r="BH38" s="214">
        <f t="shared" si="100"/>
        <v>0</v>
      </c>
      <c r="BI38" s="215">
        <f t="shared" si="54"/>
        <v>0</v>
      </c>
      <c r="BJ38" s="214" t="str">
        <f t="shared" si="55"/>
        <v>N/A</v>
      </c>
      <c r="BK38" s="217">
        <f t="shared" si="101"/>
        <v>0</v>
      </c>
      <c r="BL38" s="220" t="b">
        <f t="shared" si="102"/>
        <v>0</v>
      </c>
      <c r="BM38" s="217" t="str">
        <f t="shared" si="103"/>
        <v>N/A</v>
      </c>
      <c r="BN38" s="217" t="str">
        <f t="shared" si="56"/>
        <v>N/A</v>
      </c>
      <c r="BO38" s="220" t="b">
        <f t="shared" si="104"/>
        <v>0</v>
      </c>
      <c r="BP38" s="244" t="str">
        <f t="shared" si="105"/>
        <v>N/A</v>
      </c>
      <c r="BQ38" s="217" t="str">
        <f t="shared" si="57"/>
        <v>N/A</v>
      </c>
      <c r="BR38" s="215">
        <f t="shared" si="58"/>
        <v>0</v>
      </c>
      <c r="BS38" s="214" t="str">
        <f t="shared" si="59"/>
        <v>N/A</v>
      </c>
      <c r="BT38" s="217">
        <f t="shared" si="60"/>
        <v>0</v>
      </c>
      <c r="BU38" s="215">
        <f t="shared" si="61"/>
        <v>0</v>
      </c>
      <c r="BV38" s="214">
        <f t="shared" si="62"/>
        <v>0</v>
      </c>
      <c r="BW38" s="217">
        <f t="shared" si="106"/>
        <v>20.62</v>
      </c>
      <c r="BX38" s="217">
        <f t="shared" si="107"/>
        <v>0</v>
      </c>
      <c r="BY38" s="217">
        <f t="shared" si="63"/>
        <v>0</v>
      </c>
      <c r="BZ38" s="217">
        <f t="shared" si="42"/>
        <v>0</v>
      </c>
      <c r="CA38" s="217">
        <f t="shared" si="64"/>
        <v>0</v>
      </c>
      <c r="CB38" s="213" t="b">
        <f t="shared" si="108"/>
        <v>1</v>
      </c>
    </row>
    <row r="39" spans="1:80" x14ac:dyDescent="0.25">
      <c r="A39" s="207">
        <v>36</v>
      </c>
      <c r="B39" s="208">
        <v>42463</v>
      </c>
      <c r="C39" s="209">
        <v>4</v>
      </c>
      <c r="D39" s="210">
        <v>32</v>
      </c>
      <c r="E39" s="211" t="str">
        <f t="shared" si="65"/>
        <v>Metformin Hydrochloride 500 MG TABLET [ #60 pills/month]</v>
      </c>
      <c r="F39" s="212" t="str">
        <f t="shared" si="66"/>
        <v>Prescription Drugs: Generic</v>
      </c>
      <c r="G39" s="213" t="str">
        <f t="shared" si="67"/>
        <v>Not Covered</v>
      </c>
      <c r="H39" s="214">
        <f t="shared" si="68"/>
        <v>3.21</v>
      </c>
      <c r="I39" s="217">
        <f t="shared" si="69"/>
        <v>3.21</v>
      </c>
      <c r="J39" s="251">
        <f t="shared" si="70"/>
        <v>0</v>
      </c>
      <c r="K39" s="214" t="b">
        <f t="shared" si="71"/>
        <v>0</v>
      </c>
      <c r="L39" s="218" t="str">
        <f t="shared" si="72"/>
        <v>No</v>
      </c>
      <c r="M39" s="217" t="str">
        <f t="shared" si="73"/>
        <v>.</v>
      </c>
      <c r="N39" s="215" t="str">
        <f>IFERROR(IF(AND(L39="Yes",ISNUMBER(M39)),MAX(0,M39-SUMIFS(BU$3:BU38,L$3:L38,"Yes")),IF(OR(L39="No",M39="None"),"N/A","ERR")),"ERR")</f>
        <v>N/A</v>
      </c>
      <c r="O39" s="251" t="b">
        <f t="shared" si="46"/>
        <v>0</v>
      </c>
      <c r="P39" s="251" t="str">
        <f>IF(O39,BENEFIT_PARAMETERS!$C$76,"N/A")</f>
        <v>N/A</v>
      </c>
      <c r="Q39" s="288" t="str">
        <f>IF(P39="Yes", BENEFIT_PARAMETERS!$D$76,"N/A")</f>
        <v>N/A</v>
      </c>
      <c r="R39" s="253" t="str">
        <f t="shared" si="109"/>
        <v>N/A</v>
      </c>
      <c r="S39" s="217">
        <f t="shared" si="47"/>
        <v>0</v>
      </c>
      <c r="T39" s="215">
        <f t="shared" si="74"/>
        <v>0</v>
      </c>
      <c r="U39" s="214" t="b">
        <f t="shared" si="48"/>
        <v>0</v>
      </c>
      <c r="V39" s="251" t="str">
        <f>IF(O39,BENEFIT_PARAMETERS!$C$77,"N/A")</f>
        <v>N/A</v>
      </c>
      <c r="W39" s="288" t="str">
        <f>IF(V39="Yes", BENEFIT_PARAMETERS!$D$77,"N/A")</f>
        <v>N/A</v>
      </c>
      <c r="X39" s="253" t="str">
        <f>IF(O39,COUNTIF(Z$3:Z38,"&gt;0"),"N/A")</f>
        <v>N/A</v>
      </c>
      <c r="Y39" s="217" t="str">
        <f t="shared" si="75"/>
        <v>N/A</v>
      </c>
      <c r="Z39" s="293" t="str">
        <f t="shared" si="49"/>
        <v>N/A</v>
      </c>
      <c r="AA39" s="293">
        <f t="shared" si="50"/>
        <v>0</v>
      </c>
      <c r="AB39" s="293" t="str">
        <f t="shared" si="76"/>
        <v>N/A</v>
      </c>
      <c r="AC39" s="215">
        <f t="shared" si="51"/>
        <v>0</v>
      </c>
      <c r="AD39" s="214" t="b">
        <f t="shared" si="77"/>
        <v>0</v>
      </c>
      <c r="AE39" s="209" t="str">
        <f t="shared" si="78"/>
        <v>.</v>
      </c>
      <c r="AF39" s="216">
        <f t="shared" si="79"/>
        <v>0</v>
      </c>
      <c r="AG39" s="217" t="str">
        <f t="shared" si="80"/>
        <v>N/A</v>
      </c>
      <c r="AH39" s="217" t="b">
        <f t="shared" si="81"/>
        <v>0</v>
      </c>
      <c r="AI39" s="209" t="str">
        <f t="shared" si="82"/>
        <v>.</v>
      </c>
      <c r="AJ39" s="216">
        <f t="shared" si="83"/>
        <v>3</v>
      </c>
      <c r="AK39" s="217" t="str">
        <f t="shared" si="84"/>
        <v>N/A</v>
      </c>
      <c r="AL39" s="217">
        <f t="shared" si="52"/>
        <v>0</v>
      </c>
      <c r="AM39" s="215">
        <f t="shared" si="53"/>
        <v>0</v>
      </c>
      <c r="AN39" s="219" t="b">
        <f t="shared" si="85"/>
        <v>0</v>
      </c>
      <c r="AO39" s="217" t="str">
        <f t="shared" si="86"/>
        <v>N/A</v>
      </c>
      <c r="AP39" s="217" t="str">
        <f>IF(AND(ISNUMBER(AO39),AN39=TRUE),MAX(0,AO39-SUMIFS($AM$3:$AM38,AN$3:AN38,TRUE)),IF(AND(AN39=TRUE,ISNUMBER(AO39)=FALSE),"ERR","N/A"))</f>
        <v>N/A</v>
      </c>
      <c r="AQ39" s="215" t="str">
        <f t="shared" si="87"/>
        <v>N/A</v>
      </c>
      <c r="AR39" s="219" t="b">
        <f t="shared" si="88"/>
        <v>0</v>
      </c>
      <c r="AS39" s="217" t="str">
        <f t="shared" si="89"/>
        <v>N/A</v>
      </c>
      <c r="AT39" s="217" t="str">
        <f>IF(AND(AR39=TRUE,ISNUMBER(AS39)),MAX(0,AS39-SUMIFS($AM$3:$AM38,AR$3:AR38,TRUE)),IF(AND(AR39=TRUE,ISNUMBER(AS39)=FALSE),"ERR","N/A"))</f>
        <v>N/A</v>
      </c>
      <c r="AU39" s="215" t="str">
        <f t="shared" si="90"/>
        <v>N/A</v>
      </c>
      <c r="AV39" s="219" t="b">
        <f t="shared" si="91"/>
        <v>0</v>
      </c>
      <c r="AW39" s="217" t="str">
        <f t="shared" si="92"/>
        <v>N/A</v>
      </c>
      <c r="AX39" s="217" t="str">
        <f>IF(AND(AV39=TRUE,ISNUMBER(AW39)),MAX(0,AW39-SUMIFS($AM$3:$AM38,AV$3:AV38,TRUE)),IF(AND(AV39=TRUE,ISNUMBER(AW39)=FALSE),"ERR","N/A"))</f>
        <v>N/A</v>
      </c>
      <c r="AY39" s="215" t="str">
        <f t="shared" si="93"/>
        <v>N/A</v>
      </c>
      <c r="AZ39" s="219" t="b">
        <f t="shared" si="94"/>
        <v>0</v>
      </c>
      <c r="BA39" s="217" t="str">
        <f t="shared" si="95"/>
        <v>N/A</v>
      </c>
      <c r="BB39" s="217" t="str">
        <f>IF(AND(AZ39=TRUE,ISNUMBER(BA39)),MAX(0,BA39-SUMIFS($AM$3:$AM38,AZ$3:AZ38,TRUE)),IF(AND(AZ39=TRUE,ISNUMBER(BA39)=FALSE),"ERR","N/A"))</f>
        <v>N/A</v>
      </c>
      <c r="BC39" s="215" t="str">
        <f t="shared" si="96"/>
        <v>N/A</v>
      </c>
      <c r="BD39" s="219" t="b">
        <f t="shared" si="97"/>
        <v>0</v>
      </c>
      <c r="BE39" s="217" t="str">
        <f t="shared" si="98"/>
        <v>N/A</v>
      </c>
      <c r="BF39" s="217" t="str">
        <f>IF(AND(BD39=TRUE,ISNUMBER(BE39)=TRUE),MAX(0,BE39-SUMIFS(AM$3:AM38,BD$3:BD38,TRUE,F$3:F38,F39)),IF(AND(BD39=TRUE,ISNUMBER(BE39)=FALSE),"ERR","N/A"))</f>
        <v>N/A</v>
      </c>
      <c r="BG39" s="215" t="str">
        <f t="shared" si="99"/>
        <v>N/A</v>
      </c>
      <c r="BH39" s="214">
        <f t="shared" si="100"/>
        <v>0</v>
      </c>
      <c r="BI39" s="215">
        <f t="shared" si="54"/>
        <v>0</v>
      </c>
      <c r="BJ39" s="214" t="str">
        <f t="shared" si="55"/>
        <v>N/A</v>
      </c>
      <c r="BK39" s="217">
        <f t="shared" si="101"/>
        <v>0</v>
      </c>
      <c r="BL39" s="220" t="b">
        <f t="shared" si="102"/>
        <v>0</v>
      </c>
      <c r="BM39" s="217" t="str">
        <f t="shared" si="103"/>
        <v>N/A</v>
      </c>
      <c r="BN39" s="217" t="str">
        <f t="shared" si="56"/>
        <v>N/A</v>
      </c>
      <c r="BO39" s="220" t="b">
        <f t="shared" si="104"/>
        <v>0</v>
      </c>
      <c r="BP39" s="244" t="str">
        <f t="shared" si="105"/>
        <v>N/A</v>
      </c>
      <c r="BQ39" s="217" t="str">
        <f t="shared" si="57"/>
        <v>N/A</v>
      </c>
      <c r="BR39" s="215">
        <f t="shared" si="58"/>
        <v>0</v>
      </c>
      <c r="BS39" s="214" t="str">
        <f t="shared" si="59"/>
        <v>N/A</v>
      </c>
      <c r="BT39" s="217">
        <f t="shared" si="60"/>
        <v>0</v>
      </c>
      <c r="BU39" s="215">
        <f t="shared" si="61"/>
        <v>0</v>
      </c>
      <c r="BV39" s="214">
        <f t="shared" si="62"/>
        <v>0</v>
      </c>
      <c r="BW39" s="217">
        <f t="shared" si="106"/>
        <v>3.21</v>
      </c>
      <c r="BX39" s="217">
        <f t="shared" si="107"/>
        <v>0</v>
      </c>
      <c r="BY39" s="217">
        <f t="shared" si="63"/>
        <v>0</v>
      </c>
      <c r="BZ39" s="217">
        <f t="shared" si="42"/>
        <v>0</v>
      </c>
      <c r="CA39" s="217">
        <f t="shared" si="64"/>
        <v>0</v>
      </c>
      <c r="CB39" s="213" t="b">
        <f t="shared" si="108"/>
        <v>1</v>
      </c>
    </row>
    <row r="40" spans="1:80" x14ac:dyDescent="0.25">
      <c r="A40" s="207">
        <v>37</v>
      </c>
      <c r="B40" s="208">
        <v>42463</v>
      </c>
      <c r="C40" s="209">
        <v>4</v>
      </c>
      <c r="D40" s="210">
        <v>19</v>
      </c>
      <c r="E40" s="211" t="str">
        <f t="shared" si="65"/>
        <v>Lisinopril 20mg (Rx) [1 QD; #30 pills/month]</v>
      </c>
      <c r="F40" s="212" t="str">
        <f t="shared" si="66"/>
        <v>Prescription Drugs: Generic</v>
      </c>
      <c r="G40" s="213" t="str">
        <f t="shared" si="67"/>
        <v>Not Covered</v>
      </c>
      <c r="H40" s="214">
        <f t="shared" si="68"/>
        <v>3.38</v>
      </c>
      <c r="I40" s="217">
        <f t="shared" si="69"/>
        <v>3.38</v>
      </c>
      <c r="J40" s="251">
        <f t="shared" si="70"/>
        <v>0</v>
      </c>
      <c r="K40" s="214" t="b">
        <f t="shared" si="71"/>
        <v>0</v>
      </c>
      <c r="L40" s="218" t="str">
        <f t="shared" si="72"/>
        <v>No</v>
      </c>
      <c r="M40" s="217" t="str">
        <f t="shared" si="73"/>
        <v>.</v>
      </c>
      <c r="N40" s="215" t="str">
        <f>IFERROR(IF(AND(L40="Yes",ISNUMBER(M40)),MAX(0,M40-SUMIFS(BU$3:BU39,L$3:L39,"Yes")),IF(OR(L40="No",M40="None"),"N/A","ERR")),"ERR")</f>
        <v>N/A</v>
      </c>
      <c r="O40" s="251" t="b">
        <f t="shared" si="46"/>
        <v>0</v>
      </c>
      <c r="P40" s="251" t="str">
        <f>IF(O40,BENEFIT_PARAMETERS!$C$76,"N/A")</f>
        <v>N/A</v>
      </c>
      <c r="Q40" s="288" t="str">
        <f>IF(P40="Yes", BENEFIT_PARAMETERS!$D$76,"N/A")</f>
        <v>N/A</v>
      </c>
      <c r="R40" s="253" t="str">
        <f t="shared" si="109"/>
        <v>N/A</v>
      </c>
      <c r="S40" s="217">
        <f t="shared" si="47"/>
        <v>0</v>
      </c>
      <c r="T40" s="215">
        <f t="shared" si="74"/>
        <v>0</v>
      </c>
      <c r="U40" s="214" t="b">
        <f t="shared" si="48"/>
        <v>0</v>
      </c>
      <c r="V40" s="251" t="str">
        <f>IF(O40,BENEFIT_PARAMETERS!$C$77,"N/A")</f>
        <v>N/A</v>
      </c>
      <c r="W40" s="288" t="str">
        <f>IF(V40="Yes", BENEFIT_PARAMETERS!$D$77,"N/A")</f>
        <v>N/A</v>
      </c>
      <c r="X40" s="253" t="str">
        <f>IF(O40,COUNTIF(Z$3:Z39,"&gt;0"),"N/A")</f>
        <v>N/A</v>
      </c>
      <c r="Y40" s="217" t="str">
        <f t="shared" si="75"/>
        <v>N/A</v>
      </c>
      <c r="Z40" s="293" t="str">
        <f t="shared" si="49"/>
        <v>N/A</v>
      </c>
      <c r="AA40" s="293">
        <f t="shared" si="50"/>
        <v>0</v>
      </c>
      <c r="AB40" s="293" t="str">
        <f t="shared" si="76"/>
        <v>N/A</v>
      </c>
      <c r="AC40" s="215">
        <f t="shared" si="51"/>
        <v>0</v>
      </c>
      <c r="AD40" s="214" t="b">
        <f t="shared" si="77"/>
        <v>0</v>
      </c>
      <c r="AE40" s="209" t="str">
        <f t="shared" si="78"/>
        <v>.</v>
      </c>
      <c r="AF40" s="216">
        <f t="shared" si="79"/>
        <v>0</v>
      </c>
      <c r="AG40" s="217" t="str">
        <f t="shared" si="80"/>
        <v>N/A</v>
      </c>
      <c r="AH40" s="217" t="b">
        <f t="shared" si="81"/>
        <v>0</v>
      </c>
      <c r="AI40" s="209" t="str">
        <f t="shared" si="82"/>
        <v>.</v>
      </c>
      <c r="AJ40" s="216">
        <f t="shared" si="83"/>
        <v>3</v>
      </c>
      <c r="AK40" s="217" t="str">
        <f t="shared" si="84"/>
        <v>N/A</v>
      </c>
      <c r="AL40" s="217">
        <f t="shared" si="52"/>
        <v>0</v>
      </c>
      <c r="AM40" s="215">
        <f t="shared" si="53"/>
        <v>0</v>
      </c>
      <c r="AN40" s="219" t="b">
        <f t="shared" si="85"/>
        <v>0</v>
      </c>
      <c r="AO40" s="217" t="str">
        <f t="shared" si="86"/>
        <v>N/A</v>
      </c>
      <c r="AP40" s="217" t="str">
        <f>IF(AND(ISNUMBER(AO40),AN40=TRUE),MAX(0,AO40-SUMIFS($AM$3:$AM39,AN$3:AN39,TRUE)),IF(AND(AN40=TRUE,ISNUMBER(AO40)=FALSE),"ERR","N/A"))</f>
        <v>N/A</v>
      </c>
      <c r="AQ40" s="215" t="str">
        <f t="shared" si="87"/>
        <v>N/A</v>
      </c>
      <c r="AR40" s="219" t="b">
        <f t="shared" si="88"/>
        <v>0</v>
      </c>
      <c r="AS40" s="217" t="str">
        <f t="shared" si="89"/>
        <v>N/A</v>
      </c>
      <c r="AT40" s="217" t="str">
        <f>IF(AND(AR40=TRUE,ISNUMBER(AS40)),MAX(0,AS40-SUMIFS($AM$3:$AM39,AR$3:AR39,TRUE)),IF(AND(AR40=TRUE,ISNUMBER(AS40)=FALSE),"ERR","N/A"))</f>
        <v>N/A</v>
      </c>
      <c r="AU40" s="215" t="str">
        <f t="shared" si="90"/>
        <v>N/A</v>
      </c>
      <c r="AV40" s="219" t="b">
        <f t="shared" si="91"/>
        <v>0</v>
      </c>
      <c r="AW40" s="217" t="str">
        <f t="shared" si="92"/>
        <v>N/A</v>
      </c>
      <c r="AX40" s="217" t="str">
        <f>IF(AND(AV40=TRUE,ISNUMBER(AW40)),MAX(0,AW40-SUMIFS($AM$3:$AM39,AV$3:AV39,TRUE)),IF(AND(AV40=TRUE,ISNUMBER(AW40)=FALSE),"ERR","N/A"))</f>
        <v>N/A</v>
      </c>
      <c r="AY40" s="215" t="str">
        <f t="shared" si="93"/>
        <v>N/A</v>
      </c>
      <c r="AZ40" s="219" t="b">
        <f t="shared" si="94"/>
        <v>0</v>
      </c>
      <c r="BA40" s="217" t="str">
        <f t="shared" si="95"/>
        <v>N/A</v>
      </c>
      <c r="BB40" s="217" t="str">
        <f>IF(AND(AZ40=TRUE,ISNUMBER(BA40)),MAX(0,BA40-SUMIFS($AM$3:$AM39,AZ$3:AZ39,TRUE)),IF(AND(AZ40=TRUE,ISNUMBER(BA40)=FALSE),"ERR","N/A"))</f>
        <v>N/A</v>
      </c>
      <c r="BC40" s="215" t="str">
        <f t="shared" si="96"/>
        <v>N/A</v>
      </c>
      <c r="BD40" s="219" t="b">
        <f t="shared" si="97"/>
        <v>0</v>
      </c>
      <c r="BE40" s="217" t="str">
        <f t="shared" si="98"/>
        <v>N/A</v>
      </c>
      <c r="BF40" s="217" t="str">
        <f>IF(AND(BD40=TRUE,ISNUMBER(BE40)=TRUE),MAX(0,BE40-SUMIFS(AM$3:AM39,BD$3:BD39,TRUE,F$3:F39,F40)),IF(AND(BD40=TRUE,ISNUMBER(BE40)=FALSE),"ERR","N/A"))</f>
        <v>N/A</v>
      </c>
      <c r="BG40" s="215" t="str">
        <f t="shared" si="99"/>
        <v>N/A</v>
      </c>
      <c r="BH40" s="214">
        <f t="shared" si="100"/>
        <v>0</v>
      </c>
      <c r="BI40" s="215">
        <f t="shared" si="54"/>
        <v>0</v>
      </c>
      <c r="BJ40" s="214" t="str">
        <f t="shared" si="55"/>
        <v>N/A</v>
      </c>
      <c r="BK40" s="217">
        <f t="shared" si="101"/>
        <v>0</v>
      </c>
      <c r="BL40" s="220" t="b">
        <f t="shared" si="102"/>
        <v>0</v>
      </c>
      <c r="BM40" s="217" t="str">
        <f t="shared" si="103"/>
        <v>N/A</v>
      </c>
      <c r="BN40" s="217" t="str">
        <f t="shared" si="56"/>
        <v>N/A</v>
      </c>
      <c r="BO40" s="220" t="b">
        <f t="shared" si="104"/>
        <v>0</v>
      </c>
      <c r="BP40" s="244" t="str">
        <f t="shared" si="105"/>
        <v>N/A</v>
      </c>
      <c r="BQ40" s="217" t="str">
        <f t="shared" si="57"/>
        <v>N/A</v>
      </c>
      <c r="BR40" s="215">
        <f t="shared" si="58"/>
        <v>0</v>
      </c>
      <c r="BS40" s="214" t="str">
        <f t="shared" si="59"/>
        <v>N/A</v>
      </c>
      <c r="BT40" s="217">
        <f t="shared" si="60"/>
        <v>0</v>
      </c>
      <c r="BU40" s="215">
        <f t="shared" si="61"/>
        <v>0</v>
      </c>
      <c r="BV40" s="214">
        <f t="shared" si="62"/>
        <v>0</v>
      </c>
      <c r="BW40" s="217">
        <f t="shared" si="106"/>
        <v>3.38</v>
      </c>
      <c r="BX40" s="217">
        <f t="shared" si="107"/>
        <v>0</v>
      </c>
      <c r="BY40" s="217">
        <f t="shared" si="63"/>
        <v>0</v>
      </c>
      <c r="BZ40" s="217">
        <f t="shared" si="42"/>
        <v>0</v>
      </c>
      <c r="CA40" s="217">
        <f t="shared" si="64"/>
        <v>0</v>
      </c>
      <c r="CB40" s="213" t="b">
        <f t="shared" si="108"/>
        <v>1</v>
      </c>
    </row>
    <row r="41" spans="1:80" x14ac:dyDescent="0.25">
      <c r="A41" s="207">
        <v>38</v>
      </c>
      <c r="B41" s="208">
        <v>42463</v>
      </c>
      <c r="C41" s="209">
        <v>4</v>
      </c>
      <c r="D41" s="210">
        <v>33</v>
      </c>
      <c r="E41" s="211" t="str">
        <f t="shared" si="65"/>
        <v>Atorvastatin 40 MG tablet 90 CT [ #30 pills/month]</v>
      </c>
      <c r="F41" s="212" t="str">
        <f t="shared" si="66"/>
        <v>Prescription Drugs: Generic</v>
      </c>
      <c r="G41" s="213" t="str">
        <f t="shared" si="67"/>
        <v>Not Covered</v>
      </c>
      <c r="H41" s="214">
        <f t="shared" si="68"/>
        <v>9.66</v>
      </c>
      <c r="I41" s="217">
        <f t="shared" si="69"/>
        <v>9.66</v>
      </c>
      <c r="J41" s="251">
        <f t="shared" si="70"/>
        <v>0</v>
      </c>
      <c r="K41" s="214" t="b">
        <f t="shared" si="71"/>
        <v>0</v>
      </c>
      <c r="L41" s="218" t="str">
        <f t="shared" si="72"/>
        <v>No</v>
      </c>
      <c r="M41" s="217" t="str">
        <f t="shared" si="73"/>
        <v>.</v>
      </c>
      <c r="N41" s="215" t="str">
        <f>IFERROR(IF(AND(L41="Yes",ISNUMBER(M41)),MAX(0,M41-SUMIFS(BU$3:BU40,L$3:L40,"Yes")),IF(OR(L41="No",M41="None"),"N/A","ERR")),"ERR")</f>
        <v>N/A</v>
      </c>
      <c r="O41" s="251" t="b">
        <f t="shared" si="46"/>
        <v>0</v>
      </c>
      <c r="P41" s="251" t="str">
        <f>IF(O41,BENEFIT_PARAMETERS!$C$76,"N/A")</f>
        <v>N/A</v>
      </c>
      <c r="Q41" s="288" t="str">
        <f>IF(P41="Yes", BENEFIT_PARAMETERS!$D$76,"N/A")</f>
        <v>N/A</v>
      </c>
      <c r="R41" s="253" t="str">
        <f t="shared" si="109"/>
        <v>N/A</v>
      </c>
      <c r="S41" s="217">
        <f t="shared" si="47"/>
        <v>0</v>
      </c>
      <c r="T41" s="215">
        <f t="shared" si="74"/>
        <v>0</v>
      </c>
      <c r="U41" s="214" t="b">
        <f t="shared" si="48"/>
        <v>0</v>
      </c>
      <c r="V41" s="251" t="str">
        <f>IF(O41,BENEFIT_PARAMETERS!$C$77,"N/A")</f>
        <v>N/A</v>
      </c>
      <c r="W41" s="288" t="str">
        <f>IF(V41="Yes", BENEFIT_PARAMETERS!$D$77,"N/A")</f>
        <v>N/A</v>
      </c>
      <c r="X41" s="253" t="str">
        <f>IF(O41,COUNTIF(Z$3:Z40,"&gt;0"),"N/A")</f>
        <v>N/A</v>
      </c>
      <c r="Y41" s="217" t="str">
        <f t="shared" si="75"/>
        <v>N/A</v>
      </c>
      <c r="Z41" s="293" t="str">
        <f t="shared" si="49"/>
        <v>N/A</v>
      </c>
      <c r="AA41" s="293">
        <f t="shared" si="50"/>
        <v>0</v>
      </c>
      <c r="AB41" s="293" t="str">
        <f t="shared" si="76"/>
        <v>N/A</v>
      </c>
      <c r="AC41" s="215">
        <f t="shared" si="51"/>
        <v>0</v>
      </c>
      <c r="AD41" s="214" t="b">
        <f t="shared" si="77"/>
        <v>0</v>
      </c>
      <c r="AE41" s="209" t="str">
        <f t="shared" si="78"/>
        <v>.</v>
      </c>
      <c r="AF41" s="216">
        <f t="shared" si="79"/>
        <v>0</v>
      </c>
      <c r="AG41" s="217" t="str">
        <f t="shared" si="80"/>
        <v>N/A</v>
      </c>
      <c r="AH41" s="217" t="b">
        <f t="shared" si="81"/>
        <v>0</v>
      </c>
      <c r="AI41" s="209" t="str">
        <f t="shared" si="82"/>
        <v>.</v>
      </c>
      <c r="AJ41" s="216">
        <f t="shared" si="83"/>
        <v>1</v>
      </c>
      <c r="AK41" s="217" t="str">
        <f t="shared" si="84"/>
        <v>N/A</v>
      </c>
      <c r="AL41" s="217">
        <f t="shared" si="52"/>
        <v>0</v>
      </c>
      <c r="AM41" s="215">
        <f t="shared" si="53"/>
        <v>0</v>
      </c>
      <c r="AN41" s="219" t="b">
        <f t="shared" si="85"/>
        <v>0</v>
      </c>
      <c r="AO41" s="217" t="str">
        <f t="shared" si="86"/>
        <v>N/A</v>
      </c>
      <c r="AP41" s="217" t="str">
        <f>IF(AND(ISNUMBER(AO41),AN41=TRUE),MAX(0,AO41-SUMIFS($AM$3:$AM40,AN$3:AN40,TRUE)),IF(AND(AN41=TRUE,ISNUMBER(AO41)=FALSE),"ERR","N/A"))</f>
        <v>N/A</v>
      </c>
      <c r="AQ41" s="215" t="str">
        <f t="shared" si="87"/>
        <v>N/A</v>
      </c>
      <c r="AR41" s="219" t="b">
        <f t="shared" si="88"/>
        <v>0</v>
      </c>
      <c r="AS41" s="217" t="str">
        <f t="shared" si="89"/>
        <v>N/A</v>
      </c>
      <c r="AT41" s="217" t="str">
        <f>IF(AND(AR41=TRUE,ISNUMBER(AS41)),MAX(0,AS41-SUMIFS($AM$3:$AM40,AR$3:AR40,TRUE)),IF(AND(AR41=TRUE,ISNUMBER(AS41)=FALSE),"ERR","N/A"))</f>
        <v>N/A</v>
      </c>
      <c r="AU41" s="215" t="str">
        <f t="shared" si="90"/>
        <v>N/A</v>
      </c>
      <c r="AV41" s="219" t="b">
        <f t="shared" si="91"/>
        <v>0</v>
      </c>
      <c r="AW41" s="217" t="str">
        <f t="shared" si="92"/>
        <v>N/A</v>
      </c>
      <c r="AX41" s="217" t="str">
        <f>IF(AND(AV41=TRUE,ISNUMBER(AW41)),MAX(0,AW41-SUMIFS($AM$3:$AM40,AV$3:AV40,TRUE)),IF(AND(AV41=TRUE,ISNUMBER(AW41)=FALSE),"ERR","N/A"))</f>
        <v>N/A</v>
      </c>
      <c r="AY41" s="215" t="str">
        <f t="shared" si="93"/>
        <v>N/A</v>
      </c>
      <c r="AZ41" s="219" t="b">
        <f t="shared" si="94"/>
        <v>0</v>
      </c>
      <c r="BA41" s="217" t="str">
        <f t="shared" si="95"/>
        <v>N/A</v>
      </c>
      <c r="BB41" s="217" t="str">
        <f>IF(AND(AZ41=TRUE,ISNUMBER(BA41)),MAX(0,BA41-SUMIFS($AM$3:$AM40,AZ$3:AZ40,TRUE)),IF(AND(AZ41=TRUE,ISNUMBER(BA41)=FALSE),"ERR","N/A"))</f>
        <v>N/A</v>
      </c>
      <c r="BC41" s="215" t="str">
        <f t="shared" si="96"/>
        <v>N/A</v>
      </c>
      <c r="BD41" s="219" t="b">
        <f t="shared" si="97"/>
        <v>0</v>
      </c>
      <c r="BE41" s="217" t="str">
        <f t="shared" si="98"/>
        <v>N/A</v>
      </c>
      <c r="BF41" s="217" t="str">
        <f>IF(AND(BD41=TRUE,ISNUMBER(BE41)=TRUE),MAX(0,BE41-SUMIFS(AM$3:AM40,BD$3:BD40,TRUE,F$3:F40,F41)),IF(AND(BD41=TRUE,ISNUMBER(BE41)=FALSE),"ERR","N/A"))</f>
        <v>N/A</v>
      </c>
      <c r="BG41" s="215" t="str">
        <f t="shared" si="99"/>
        <v>N/A</v>
      </c>
      <c r="BH41" s="214">
        <f t="shared" si="100"/>
        <v>0</v>
      </c>
      <c r="BI41" s="215">
        <f t="shared" si="54"/>
        <v>0</v>
      </c>
      <c r="BJ41" s="214" t="str">
        <f t="shared" si="55"/>
        <v>N/A</v>
      </c>
      <c r="BK41" s="217">
        <f t="shared" si="101"/>
        <v>0</v>
      </c>
      <c r="BL41" s="220" t="b">
        <f t="shared" si="102"/>
        <v>0</v>
      </c>
      <c r="BM41" s="217" t="str">
        <f t="shared" si="103"/>
        <v>N/A</v>
      </c>
      <c r="BN41" s="217" t="str">
        <f t="shared" si="56"/>
        <v>N/A</v>
      </c>
      <c r="BO41" s="220" t="b">
        <f t="shared" si="104"/>
        <v>0</v>
      </c>
      <c r="BP41" s="244" t="str">
        <f t="shared" si="105"/>
        <v>N/A</v>
      </c>
      <c r="BQ41" s="217" t="str">
        <f t="shared" si="57"/>
        <v>N/A</v>
      </c>
      <c r="BR41" s="215">
        <f t="shared" si="58"/>
        <v>0</v>
      </c>
      <c r="BS41" s="214" t="str">
        <f t="shared" si="59"/>
        <v>N/A</v>
      </c>
      <c r="BT41" s="217">
        <f t="shared" si="60"/>
        <v>0</v>
      </c>
      <c r="BU41" s="215">
        <f t="shared" si="61"/>
        <v>0</v>
      </c>
      <c r="BV41" s="214">
        <f t="shared" si="62"/>
        <v>0</v>
      </c>
      <c r="BW41" s="217">
        <f t="shared" si="106"/>
        <v>9.66</v>
      </c>
      <c r="BX41" s="217">
        <f t="shared" si="107"/>
        <v>0</v>
      </c>
      <c r="BY41" s="217">
        <f t="shared" si="63"/>
        <v>0</v>
      </c>
      <c r="BZ41" s="217">
        <f t="shared" si="42"/>
        <v>0</v>
      </c>
      <c r="CA41" s="217">
        <f t="shared" si="64"/>
        <v>0</v>
      </c>
      <c r="CB41" s="213" t="b">
        <f t="shared" si="108"/>
        <v>1</v>
      </c>
    </row>
    <row r="42" spans="1:80" x14ac:dyDescent="0.25">
      <c r="A42" s="207">
        <v>39</v>
      </c>
      <c r="B42" s="208">
        <v>42472</v>
      </c>
      <c r="C42" s="209">
        <v>4</v>
      </c>
      <c r="D42" s="210">
        <v>5</v>
      </c>
      <c r="E42" s="211" t="str">
        <f t="shared" si="65"/>
        <v>OneTouch Delica Lancets (100 per box)  [usage = 60 lancets per month]</v>
      </c>
      <c r="F42" s="212" t="str">
        <f t="shared" si="66"/>
        <v>Medical Supplies</v>
      </c>
      <c r="G42" s="213" t="str">
        <f t="shared" si="67"/>
        <v>Not Covered</v>
      </c>
      <c r="H42" s="214">
        <f t="shared" si="68"/>
        <v>8.73</v>
      </c>
      <c r="I42" s="217">
        <f t="shared" si="69"/>
        <v>8.73</v>
      </c>
      <c r="J42" s="251">
        <f t="shared" si="70"/>
        <v>0</v>
      </c>
      <c r="K42" s="214" t="b">
        <f t="shared" si="71"/>
        <v>0</v>
      </c>
      <c r="L42" s="218" t="str">
        <f t="shared" si="72"/>
        <v>No</v>
      </c>
      <c r="M42" s="217" t="str">
        <f t="shared" si="73"/>
        <v>.</v>
      </c>
      <c r="N42" s="215" t="str">
        <f>IFERROR(IF(AND(L42="Yes",ISNUMBER(M42)),MAX(0,M42-SUMIFS(BU$3:BU41,L$3:L41,"Yes")),IF(OR(L42="No",M42="None"),"N/A","ERR")),"ERR")</f>
        <v>N/A</v>
      </c>
      <c r="O42" s="251" t="b">
        <f t="shared" si="46"/>
        <v>0</v>
      </c>
      <c r="P42" s="251" t="str">
        <f>IF(O42,BENEFIT_PARAMETERS!$C$76,"N/A")</f>
        <v>N/A</v>
      </c>
      <c r="Q42" s="288" t="str">
        <f>IF(P42="Yes", BENEFIT_PARAMETERS!$D$76,"N/A")</f>
        <v>N/A</v>
      </c>
      <c r="R42" s="253" t="str">
        <f t="shared" si="109"/>
        <v>N/A</v>
      </c>
      <c r="S42" s="217">
        <f t="shared" si="47"/>
        <v>0</v>
      </c>
      <c r="T42" s="215">
        <f t="shared" si="74"/>
        <v>0</v>
      </c>
      <c r="U42" s="214" t="b">
        <f t="shared" si="48"/>
        <v>0</v>
      </c>
      <c r="V42" s="251" t="str">
        <f>IF(O42,BENEFIT_PARAMETERS!$C$77,"N/A")</f>
        <v>N/A</v>
      </c>
      <c r="W42" s="288" t="str">
        <f>IF(V42="Yes", BENEFIT_PARAMETERS!$D$77,"N/A")</f>
        <v>N/A</v>
      </c>
      <c r="X42" s="253" t="str">
        <f>IF(O42,COUNTIF(Z$3:Z41,"&gt;0"),"N/A")</f>
        <v>N/A</v>
      </c>
      <c r="Y42" s="217" t="str">
        <f t="shared" si="75"/>
        <v>N/A</v>
      </c>
      <c r="Z42" s="293" t="str">
        <f t="shared" si="49"/>
        <v>N/A</v>
      </c>
      <c r="AA42" s="293">
        <f t="shared" si="50"/>
        <v>0</v>
      </c>
      <c r="AB42" s="293" t="str">
        <f t="shared" si="76"/>
        <v>N/A</v>
      </c>
      <c r="AC42" s="215">
        <f t="shared" si="51"/>
        <v>0</v>
      </c>
      <c r="AD42" s="214" t="b">
        <f t="shared" si="77"/>
        <v>0</v>
      </c>
      <c r="AE42" s="209" t="str">
        <f t="shared" si="78"/>
        <v>.</v>
      </c>
      <c r="AF42" s="216">
        <f t="shared" si="79"/>
        <v>0</v>
      </c>
      <c r="AG42" s="217" t="str">
        <f t="shared" si="80"/>
        <v>N/A</v>
      </c>
      <c r="AH42" s="217" t="b">
        <f t="shared" si="81"/>
        <v>0</v>
      </c>
      <c r="AI42" s="209" t="str">
        <f t="shared" si="82"/>
        <v>.</v>
      </c>
      <c r="AJ42" s="216">
        <f t="shared" si="83"/>
        <v>1</v>
      </c>
      <c r="AK42" s="217" t="str">
        <f t="shared" si="84"/>
        <v>N/A</v>
      </c>
      <c r="AL42" s="217">
        <f t="shared" si="52"/>
        <v>0</v>
      </c>
      <c r="AM42" s="215">
        <f t="shared" si="53"/>
        <v>0</v>
      </c>
      <c r="AN42" s="219" t="b">
        <f t="shared" si="85"/>
        <v>0</v>
      </c>
      <c r="AO42" s="217" t="str">
        <f t="shared" si="86"/>
        <v>N/A</v>
      </c>
      <c r="AP42" s="217" t="str">
        <f>IF(AND(ISNUMBER(AO42),AN42=TRUE),MAX(0,AO42-SUMIFS($AM$3:$AM41,AN$3:AN41,TRUE)),IF(AND(AN42=TRUE,ISNUMBER(AO42)=FALSE),"ERR","N/A"))</f>
        <v>N/A</v>
      </c>
      <c r="AQ42" s="215" t="str">
        <f t="shared" si="87"/>
        <v>N/A</v>
      </c>
      <c r="AR42" s="219" t="b">
        <f t="shared" si="88"/>
        <v>0</v>
      </c>
      <c r="AS42" s="217" t="str">
        <f t="shared" si="89"/>
        <v>N/A</v>
      </c>
      <c r="AT42" s="217" t="str">
        <f>IF(AND(AR42=TRUE,ISNUMBER(AS42)),MAX(0,AS42-SUMIFS($AM$3:$AM41,AR$3:AR41,TRUE)),IF(AND(AR42=TRUE,ISNUMBER(AS42)=FALSE),"ERR","N/A"))</f>
        <v>N/A</v>
      </c>
      <c r="AU42" s="215" t="str">
        <f t="shared" si="90"/>
        <v>N/A</v>
      </c>
      <c r="AV42" s="219" t="b">
        <f t="shared" si="91"/>
        <v>0</v>
      </c>
      <c r="AW42" s="217" t="str">
        <f t="shared" si="92"/>
        <v>N/A</v>
      </c>
      <c r="AX42" s="217" t="str">
        <f>IF(AND(AV42=TRUE,ISNUMBER(AW42)),MAX(0,AW42-SUMIFS($AM$3:$AM41,AV$3:AV41,TRUE)),IF(AND(AV42=TRUE,ISNUMBER(AW42)=FALSE),"ERR","N/A"))</f>
        <v>N/A</v>
      </c>
      <c r="AY42" s="215" t="str">
        <f t="shared" si="93"/>
        <v>N/A</v>
      </c>
      <c r="AZ42" s="219" t="b">
        <f t="shared" si="94"/>
        <v>0</v>
      </c>
      <c r="BA42" s="217" t="str">
        <f t="shared" si="95"/>
        <v>N/A</v>
      </c>
      <c r="BB42" s="217" t="str">
        <f>IF(AND(AZ42=TRUE,ISNUMBER(BA42)),MAX(0,BA42-SUMIFS($AM$3:$AM41,AZ$3:AZ41,TRUE)),IF(AND(AZ42=TRUE,ISNUMBER(BA42)=FALSE),"ERR","N/A"))</f>
        <v>N/A</v>
      </c>
      <c r="BC42" s="215" t="str">
        <f t="shared" si="96"/>
        <v>N/A</v>
      </c>
      <c r="BD42" s="219" t="b">
        <f t="shared" si="97"/>
        <v>0</v>
      </c>
      <c r="BE42" s="217" t="str">
        <f t="shared" si="98"/>
        <v>N/A</v>
      </c>
      <c r="BF42" s="217" t="str">
        <f>IF(AND(BD42=TRUE,ISNUMBER(BE42)=TRUE),MAX(0,BE42-SUMIFS(AM$3:AM41,BD$3:BD41,TRUE,F$3:F41,F42)),IF(AND(BD42=TRUE,ISNUMBER(BE42)=FALSE),"ERR","N/A"))</f>
        <v>N/A</v>
      </c>
      <c r="BG42" s="215" t="str">
        <f t="shared" si="99"/>
        <v>N/A</v>
      </c>
      <c r="BH42" s="214">
        <f t="shared" si="100"/>
        <v>0</v>
      </c>
      <c r="BI42" s="215">
        <f t="shared" si="54"/>
        <v>0</v>
      </c>
      <c r="BJ42" s="214" t="str">
        <f t="shared" si="55"/>
        <v>N/A</v>
      </c>
      <c r="BK42" s="217">
        <f t="shared" si="101"/>
        <v>0</v>
      </c>
      <c r="BL42" s="220" t="b">
        <f t="shared" si="102"/>
        <v>0</v>
      </c>
      <c r="BM42" s="217" t="str">
        <f t="shared" si="103"/>
        <v>N/A</v>
      </c>
      <c r="BN42" s="217" t="str">
        <f t="shared" si="56"/>
        <v>N/A</v>
      </c>
      <c r="BO42" s="220" t="b">
        <f t="shared" si="104"/>
        <v>0</v>
      </c>
      <c r="BP42" s="244" t="str">
        <f t="shared" si="105"/>
        <v>N/A</v>
      </c>
      <c r="BQ42" s="217" t="str">
        <f t="shared" si="57"/>
        <v>N/A</v>
      </c>
      <c r="BR42" s="215">
        <f t="shared" si="58"/>
        <v>0</v>
      </c>
      <c r="BS42" s="214" t="str">
        <f t="shared" si="59"/>
        <v>N/A</v>
      </c>
      <c r="BT42" s="217">
        <f t="shared" si="60"/>
        <v>0</v>
      </c>
      <c r="BU42" s="215">
        <f t="shared" si="61"/>
        <v>0</v>
      </c>
      <c r="BV42" s="214">
        <f t="shared" si="62"/>
        <v>0</v>
      </c>
      <c r="BW42" s="217">
        <f t="shared" si="106"/>
        <v>8.73</v>
      </c>
      <c r="BX42" s="217">
        <f t="shared" si="107"/>
        <v>0</v>
      </c>
      <c r="BY42" s="217">
        <f t="shared" si="63"/>
        <v>0</v>
      </c>
      <c r="BZ42" s="217">
        <f t="shared" si="42"/>
        <v>0</v>
      </c>
      <c r="CA42" s="217">
        <f t="shared" si="64"/>
        <v>0</v>
      </c>
      <c r="CB42" s="213" t="b">
        <f t="shared" si="108"/>
        <v>1</v>
      </c>
    </row>
    <row r="43" spans="1:80" x14ac:dyDescent="0.25">
      <c r="A43" s="207">
        <v>40</v>
      </c>
      <c r="B43" s="208">
        <v>42472</v>
      </c>
      <c r="C43" s="209">
        <v>4</v>
      </c>
      <c r="D43" s="210">
        <v>4</v>
      </c>
      <c r="E43" s="211" t="str">
        <f t="shared" si="65"/>
        <v xml:space="preserve">OneTouch Ultra Blue Test Strips (Rx - box of 100) [usage = 2 strips/day; 60 per month] </v>
      </c>
      <c r="F43" s="212" t="str">
        <f t="shared" si="66"/>
        <v>Medical Supplies</v>
      </c>
      <c r="G43" s="213" t="str">
        <f t="shared" si="67"/>
        <v>Not Covered</v>
      </c>
      <c r="H43" s="214">
        <f t="shared" si="68"/>
        <v>109.61</v>
      </c>
      <c r="I43" s="217">
        <f t="shared" si="69"/>
        <v>109.61</v>
      </c>
      <c r="J43" s="251">
        <f t="shared" si="70"/>
        <v>0</v>
      </c>
      <c r="K43" s="214" t="b">
        <f t="shared" si="71"/>
        <v>0</v>
      </c>
      <c r="L43" s="218" t="str">
        <f t="shared" si="72"/>
        <v>No</v>
      </c>
      <c r="M43" s="217" t="str">
        <f t="shared" si="73"/>
        <v>.</v>
      </c>
      <c r="N43" s="215" t="str">
        <f>IFERROR(IF(AND(L43="Yes",ISNUMBER(M43)),MAX(0,M43-SUMIFS(BU$3:BU42,L$3:L42,"Yes")),IF(OR(L43="No",M43="None"),"N/A","ERR")),"ERR")</f>
        <v>N/A</v>
      </c>
      <c r="O43" s="251" t="b">
        <f t="shared" si="46"/>
        <v>0</v>
      </c>
      <c r="P43" s="251" t="str">
        <f>IF(O43,BENEFIT_PARAMETERS!$C$76,"N/A")</f>
        <v>N/A</v>
      </c>
      <c r="Q43" s="288" t="str">
        <f>IF(P43="Yes", BENEFIT_PARAMETERS!$D$76,"N/A")</f>
        <v>N/A</v>
      </c>
      <c r="R43" s="253" t="str">
        <f t="shared" si="109"/>
        <v>N/A</v>
      </c>
      <c r="S43" s="217">
        <f t="shared" si="47"/>
        <v>0</v>
      </c>
      <c r="T43" s="215">
        <f t="shared" si="74"/>
        <v>0</v>
      </c>
      <c r="U43" s="214" t="b">
        <f t="shared" si="48"/>
        <v>0</v>
      </c>
      <c r="V43" s="251" t="str">
        <f>IF(O43,BENEFIT_PARAMETERS!$C$77,"N/A")</f>
        <v>N/A</v>
      </c>
      <c r="W43" s="288" t="str">
        <f>IF(V43="Yes", BENEFIT_PARAMETERS!$D$77,"N/A")</f>
        <v>N/A</v>
      </c>
      <c r="X43" s="253" t="str">
        <f>IF(O43,COUNTIF(Z$3:Z42,"&gt;0"),"N/A")</f>
        <v>N/A</v>
      </c>
      <c r="Y43" s="217" t="str">
        <f t="shared" si="75"/>
        <v>N/A</v>
      </c>
      <c r="Z43" s="293" t="str">
        <f t="shared" si="49"/>
        <v>N/A</v>
      </c>
      <c r="AA43" s="293">
        <f t="shared" si="50"/>
        <v>0</v>
      </c>
      <c r="AB43" s="293" t="str">
        <f t="shared" si="76"/>
        <v>N/A</v>
      </c>
      <c r="AC43" s="215">
        <f t="shared" si="51"/>
        <v>0</v>
      </c>
      <c r="AD43" s="214" t="b">
        <f t="shared" si="77"/>
        <v>0</v>
      </c>
      <c r="AE43" s="209" t="str">
        <f t="shared" si="78"/>
        <v>.</v>
      </c>
      <c r="AF43" s="216">
        <f t="shared" si="79"/>
        <v>0</v>
      </c>
      <c r="AG43" s="217" t="str">
        <f t="shared" si="80"/>
        <v>N/A</v>
      </c>
      <c r="AH43" s="217" t="b">
        <f t="shared" si="81"/>
        <v>0</v>
      </c>
      <c r="AI43" s="209" t="str">
        <f t="shared" si="82"/>
        <v>.</v>
      </c>
      <c r="AJ43" s="216">
        <f t="shared" si="83"/>
        <v>1</v>
      </c>
      <c r="AK43" s="217" t="str">
        <f t="shared" si="84"/>
        <v>N/A</v>
      </c>
      <c r="AL43" s="217">
        <f t="shared" si="52"/>
        <v>0</v>
      </c>
      <c r="AM43" s="215">
        <f t="shared" si="53"/>
        <v>0</v>
      </c>
      <c r="AN43" s="219" t="b">
        <f t="shared" si="85"/>
        <v>0</v>
      </c>
      <c r="AO43" s="217" t="str">
        <f t="shared" si="86"/>
        <v>N/A</v>
      </c>
      <c r="AP43" s="217" t="str">
        <f>IF(AND(ISNUMBER(AO43),AN43=TRUE),MAX(0,AO43-SUMIFS($AM$3:$AM42,AN$3:AN42,TRUE)),IF(AND(AN43=TRUE,ISNUMBER(AO43)=FALSE),"ERR","N/A"))</f>
        <v>N/A</v>
      </c>
      <c r="AQ43" s="215" t="str">
        <f t="shared" si="87"/>
        <v>N/A</v>
      </c>
      <c r="AR43" s="219" t="b">
        <f t="shared" si="88"/>
        <v>0</v>
      </c>
      <c r="AS43" s="217" t="str">
        <f t="shared" si="89"/>
        <v>N/A</v>
      </c>
      <c r="AT43" s="217" t="str">
        <f>IF(AND(AR43=TRUE,ISNUMBER(AS43)),MAX(0,AS43-SUMIFS($AM$3:$AM42,AR$3:AR42,TRUE)),IF(AND(AR43=TRUE,ISNUMBER(AS43)=FALSE),"ERR","N/A"))</f>
        <v>N/A</v>
      </c>
      <c r="AU43" s="215" t="str">
        <f t="shared" si="90"/>
        <v>N/A</v>
      </c>
      <c r="AV43" s="219" t="b">
        <f t="shared" si="91"/>
        <v>0</v>
      </c>
      <c r="AW43" s="217" t="str">
        <f t="shared" si="92"/>
        <v>N/A</v>
      </c>
      <c r="AX43" s="217" t="str">
        <f>IF(AND(AV43=TRUE,ISNUMBER(AW43)),MAX(0,AW43-SUMIFS($AM$3:$AM42,AV$3:AV42,TRUE)),IF(AND(AV43=TRUE,ISNUMBER(AW43)=FALSE),"ERR","N/A"))</f>
        <v>N/A</v>
      </c>
      <c r="AY43" s="215" t="str">
        <f t="shared" si="93"/>
        <v>N/A</v>
      </c>
      <c r="AZ43" s="219" t="b">
        <f t="shared" si="94"/>
        <v>0</v>
      </c>
      <c r="BA43" s="217" t="str">
        <f t="shared" si="95"/>
        <v>N/A</v>
      </c>
      <c r="BB43" s="217" t="str">
        <f>IF(AND(AZ43=TRUE,ISNUMBER(BA43)),MAX(0,BA43-SUMIFS($AM$3:$AM42,AZ$3:AZ42,TRUE)),IF(AND(AZ43=TRUE,ISNUMBER(BA43)=FALSE),"ERR","N/A"))</f>
        <v>N/A</v>
      </c>
      <c r="BC43" s="215" t="str">
        <f t="shared" si="96"/>
        <v>N/A</v>
      </c>
      <c r="BD43" s="219" t="b">
        <f t="shared" si="97"/>
        <v>0</v>
      </c>
      <c r="BE43" s="217" t="str">
        <f t="shared" si="98"/>
        <v>N/A</v>
      </c>
      <c r="BF43" s="217" t="str">
        <f>IF(AND(BD43=TRUE,ISNUMBER(BE43)=TRUE),MAX(0,BE43-SUMIFS(AM$3:AM42,BD$3:BD42,TRUE,F$3:F42,F43)),IF(AND(BD43=TRUE,ISNUMBER(BE43)=FALSE),"ERR","N/A"))</f>
        <v>N/A</v>
      </c>
      <c r="BG43" s="215" t="str">
        <f t="shared" si="99"/>
        <v>N/A</v>
      </c>
      <c r="BH43" s="214">
        <f t="shared" si="100"/>
        <v>0</v>
      </c>
      <c r="BI43" s="215">
        <f t="shared" si="54"/>
        <v>0</v>
      </c>
      <c r="BJ43" s="214" t="str">
        <f t="shared" si="55"/>
        <v>N/A</v>
      </c>
      <c r="BK43" s="217">
        <f t="shared" si="101"/>
        <v>0</v>
      </c>
      <c r="BL43" s="220" t="b">
        <f t="shared" si="102"/>
        <v>0</v>
      </c>
      <c r="BM43" s="217" t="str">
        <f t="shared" si="103"/>
        <v>N/A</v>
      </c>
      <c r="BN43" s="217" t="str">
        <f t="shared" si="56"/>
        <v>N/A</v>
      </c>
      <c r="BO43" s="220" t="b">
        <f t="shared" si="104"/>
        <v>0</v>
      </c>
      <c r="BP43" s="244" t="str">
        <f t="shared" si="105"/>
        <v>N/A</v>
      </c>
      <c r="BQ43" s="217" t="str">
        <f t="shared" si="57"/>
        <v>N/A</v>
      </c>
      <c r="BR43" s="215">
        <f t="shared" si="58"/>
        <v>0</v>
      </c>
      <c r="BS43" s="214" t="str">
        <f t="shared" si="59"/>
        <v>N/A</v>
      </c>
      <c r="BT43" s="217">
        <f t="shared" si="60"/>
        <v>0</v>
      </c>
      <c r="BU43" s="215">
        <f t="shared" si="61"/>
        <v>0</v>
      </c>
      <c r="BV43" s="214">
        <f t="shared" si="62"/>
        <v>0</v>
      </c>
      <c r="BW43" s="217">
        <f t="shared" si="106"/>
        <v>109.61</v>
      </c>
      <c r="BX43" s="217">
        <f t="shared" si="107"/>
        <v>0</v>
      </c>
      <c r="BY43" s="217">
        <f t="shared" si="63"/>
        <v>0</v>
      </c>
      <c r="BZ43" s="217">
        <f t="shared" si="42"/>
        <v>0</v>
      </c>
      <c r="CA43" s="217">
        <f t="shared" si="64"/>
        <v>0</v>
      </c>
      <c r="CB43" s="213" t="b">
        <f t="shared" si="108"/>
        <v>1</v>
      </c>
    </row>
    <row r="44" spans="1:80" x14ac:dyDescent="0.25">
      <c r="A44" s="207">
        <v>41</v>
      </c>
      <c r="B44" s="208">
        <v>42485</v>
      </c>
      <c r="C44" s="209">
        <v>4</v>
      </c>
      <c r="D44" s="210">
        <v>17</v>
      </c>
      <c r="E44" s="211" t="str">
        <f t="shared" si="65"/>
        <v>Insulin glargine 100 unit/ml injectable solution (Rx - 10ml vial)  [20 units QD; expires 28 days after first use]</v>
      </c>
      <c r="F44" s="212" t="str">
        <f t="shared" si="66"/>
        <v>Prescription Drugs: Insulin</v>
      </c>
      <c r="G44" s="213" t="str">
        <f t="shared" si="67"/>
        <v>Not Covered</v>
      </c>
      <c r="H44" s="214">
        <f t="shared" si="68"/>
        <v>240.37</v>
      </c>
      <c r="I44" s="217">
        <f t="shared" si="69"/>
        <v>240.37</v>
      </c>
      <c r="J44" s="251">
        <f t="shared" si="70"/>
        <v>0</v>
      </c>
      <c r="K44" s="214" t="b">
        <f t="shared" si="71"/>
        <v>0</v>
      </c>
      <c r="L44" s="218" t="str">
        <f t="shared" si="72"/>
        <v>No</v>
      </c>
      <c r="M44" s="217" t="str">
        <f t="shared" si="73"/>
        <v>.</v>
      </c>
      <c r="N44" s="215" t="str">
        <f>IFERROR(IF(AND(L44="Yes",ISNUMBER(M44)),MAX(0,M44-SUMIFS(BU$3:BU43,L$3:L43,"Yes")),IF(OR(L44="No",M44="None"),"N/A","ERR")),"ERR")</f>
        <v>N/A</v>
      </c>
      <c r="O44" s="251" t="b">
        <f t="shared" si="46"/>
        <v>0</v>
      </c>
      <c r="P44" s="251" t="str">
        <f>IF(O44,BENEFIT_PARAMETERS!$C$76,"N/A")</f>
        <v>N/A</v>
      </c>
      <c r="Q44" s="288" t="str">
        <f>IF(P44="Yes", BENEFIT_PARAMETERS!$D$76,"N/A")</f>
        <v>N/A</v>
      </c>
      <c r="R44" s="253" t="str">
        <f t="shared" si="109"/>
        <v>N/A</v>
      </c>
      <c r="S44" s="217">
        <f t="shared" si="47"/>
        <v>0</v>
      </c>
      <c r="T44" s="215">
        <f t="shared" si="74"/>
        <v>0</v>
      </c>
      <c r="U44" s="214" t="b">
        <f t="shared" si="48"/>
        <v>0</v>
      </c>
      <c r="V44" s="251" t="str">
        <f>IF(O44,BENEFIT_PARAMETERS!$C$77,"N/A")</f>
        <v>N/A</v>
      </c>
      <c r="W44" s="288" t="str">
        <f>IF(V44="Yes", BENEFIT_PARAMETERS!$D$77,"N/A")</f>
        <v>N/A</v>
      </c>
      <c r="X44" s="253" t="str">
        <f>IF(O44,COUNTIF(Z$3:Z43,"&gt;0"),"N/A")</f>
        <v>N/A</v>
      </c>
      <c r="Y44" s="217" t="str">
        <f t="shared" si="75"/>
        <v>N/A</v>
      </c>
      <c r="Z44" s="293" t="str">
        <f t="shared" si="49"/>
        <v>N/A</v>
      </c>
      <c r="AA44" s="293">
        <f t="shared" si="50"/>
        <v>0</v>
      </c>
      <c r="AB44" s="293" t="str">
        <f t="shared" si="76"/>
        <v>N/A</v>
      </c>
      <c r="AC44" s="215">
        <f t="shared" si="51"/>
        <v>0</v>
      </c>
      <c r="AD44" s="214" t="b">
        <f t="shared" si="77"/>
        <v>0</v>
      </c>
      <c r="AE44" s="209" t="str">
        <f t="shared" si="78"/>
        <v>.</v>
      </c>
      <c r="AF44" s="216">
        <f t="shared" si="79"/>
        <v>0</v>
      </c>
      <c r="AG44" s="217" t="str">
        <f t="shared" si="80"/>
        <v>N/A</v>
      </c>
      <c r="AH44" s="217" t="b">
        <f t="shared" si="81"/>
        <v>0</v>
      </c>
      <c r="AI44" s="209" t="str">
        <f t="shared" si="82"/>
        <v>.</v>
      </c>
      <c r="AJ44" s="216">
        <f t="shared" si="83"/>
        <v>4</v>
      </c>
      <c r="AK44" s="217" t="str">
        <f t="shared" si="84"/>
        <v>N/A</v>
      </c>
      <c r="AL44" s="217">
        <f t="shared" si="52"/>
        <v>0</v>
      </c>
      <c r="AM44" s="215">
        <f t="shared" si="53"/>
        <v>0</v>
      </c>
      <c r="AN44" s="219" t="b">
        <f t="shared" si="85"/>
        <v>0</v>
      </c>
      <c r="AO44" s="217" t="str">
        <f t="shared" si="86"/>
        <v>N/A</v>
      </c>
      <c r="AP44" s="217" t="str">
        <f>IF(AND(ISNUMBER(AO44),AN44=TRUE),MAX(0,AO44-SUMIFS($AM$3:$AM43,AN$3:AN43,TRUE)),IF(AND(AN44=TRUE,ISNUMBER(AO44)=FALSE),"ERR","N/A"))</f>
        <v>N/A</v>
      </c>
      <c r="AQ44" s="215" t="str">
        <f t="shared" si="87"/>
        <v>N/A</v>
      </c>
      <c r="AR44" s="219" t="b">
        <f t="shared" si="88"/>
        <v>0</v>
      </c>
      <c r="AS44" s="217" t="str">
        <f t="shared" si="89"/>
        <v>N/A</v>
      </c>
      <c r="AT44" s="217" t="str">
        <f>IF(AND(AR44=TRUE,ISNUMBER(AS44)),MAX(0,AS44-SUMIFS($AM$3:$AM43,AR$3:AR43,TRUE)),IF(AND(AR44=TRUE,ISNUMBER(AS44)=FALSE),"ERR","N/A"))</f>
        <v>N/A</v>
      </c>
      <c r="AU44" s="215" t="str">
        <f t="shared" si="90"/>
        <v>N/A</v>
      </c>
      <c r="AV44" s="219" t="b">
        <f t="shared" si="91"/>
        <v>0</v>
      </c>
      <c r="AW44" s="217" t="str">
        <f t="shared" si="92"/>
        <v>N/A</v>
      </c>
      <c r="AX44" s="217" t="str">
        <f>IF(AND(AV44=TRUE,ISNUMBER(AW44)),MAX(0,AW44-SUMIFS($AM$3:$AM43,AV$3:AV43,TRUE)),IF(AND(AV44=TRUE,ISNUMBER(AW44)=FALSE),"ERR","N/A"))</f>
        <v>N/A</v>
      </c>
      <c r="AY44" s="215" t="str">
        <f t="shared" si="93"/>
        <v>N/A</v>
      </c>
      <c r="AZ44" s="219" t="b">
        <f t="shared" si="94"/>
        <v>0</v>
      </c>
      <c r="BA44" s="217" t="str">
        <f t="shared" si="95"/>
        <v>N/A</v>
      </c>
      <c r="BB44" s="217" t="str">
        <f>IF(AND(AZ44=TRUE,ISNUMBER(BA44)),MAX(0,BA44-SUMIFS($AM$3:$AM43,AZ$3:AZ43,TRUE)),IF(AND(AZ44=TRUE,ISNUMBER(BA44)=FALSE),"ERR","N/A"))</f>
        <v>N/A</v>
      </c>
      <c r="BC44" s="215" t="str">
        <f t="shared" si="96"/>
        <v>N/A</v>
      </c>
      <c r="BD44" s="219" t="b">
        <f t="shared" si="97"/>
        <v>0</v>
      </c>
      <c r="BE44" s="217" t="str">
        <f t="shared" si="98"/>
        <v>N/A</v>
      </c>
      <c r="BF44" s="217" t="str">
        <f>IF(AND(BD44=TRUE,ISNUMBER(BE44)=TRUE),MAX(0,BE44-SUMIFS(AM$3:AM43,BD$3:BD43,TRUE,F$3:F43,F44)),IF(AND(BD44=TRUE,ISNUMBER(BE44)=FALSE),"ERR","N/A"))</f>
        <v>N/A</v>
      </c>
      <c r="BG44" s="215" t="str">
        <f t="shared" si="99"/>
        <v>N/A</v>
      </c>
      <c r="BH44" s="214">
        <f t="shared" si="100"/>
        <v>0</v>
      </c>
      <c r="BI44" s="215">
        <f t="shared" si="54"/>
        <v>0</v>
      </c>
      <c r="BJ44" s="214" t="str">
        <f t="shared" si="55"/>
        <v>N/A</v>
      </c>
      <c r="BK44" s="217">
        <f t="shared" si="101"/>
        <v>0</v>
      </c>
      <c r="BL44" s="220" t="b">
        <f t="shared" si="102"/>
        <v>0</v>
      </c>
      <c r="BM44" s="217" t="str">
        <f t="shared" si="103"/>
        <v>N/A</v>
      </c>
      <c r="BN44" s="217" t="str">
        <f t="shared" si="56"/>
        <v>N/A</v>
      </c>
      <c r="BO44" s="220" t="b">
        <f t="shared" si="104"/>
        <v>0</v>
      </c>
      <c r="BP44" s="244" t="str">
        <f t="shared" si="105"/>
        <v>N/A</v>
      </c>
      <c r="BQ44" s="217" t="str">
        <f t="shared" si="57"/>
        <v>N/A</v>
      </c>
      <c r="BR44" s="215">
        <f t="shared" si="58"/>
        <v>0</v>
      </c>
      <c r="BS44" s="214" t="str">
        <f t="shared" si="59"/>
        <v>N/A</v>
      </c>
      <c r="BT44" s="217">
        <f t="shared" si="60"/>
        <v>0</v>
      </c>
      <c r="BU44" s="215">
        <f t="shared" si="61"/>
        <v>0</v>
      </c>
      <c r="BV44" s="214">
        <f t="shared" si="62"/>
        <v>0</v>
      </c>
      <c r="BW44" s="217">
        <f t="shared" si="106"/>
        <v>240.37</v>
      </c>
      <c r="BX44" s="217">
        <f t="shared" si="107"/>
        <v>0</v>
      </c>
      <c r="BY44" s="217">
        <f t="shared" si="63"/>
        <v>0</v>
      </c>
      <c r="BZ44" s="217">
        <f t="shared" si="42"/>
        <v>0</v>
      </c>
      <c r="CA44" s="217">
        <f t="shared" si="64"/>
        <v>0</v>
      </c>
      <c r="CB44" s="213" t="b">
        <f t="shared" si="108"/>
        <v>1</v>
      </c>
    </row>
    <row r="45" spans="1:80" x14ac:dyDescent="0.25">
      <c r="A45" s="207">
        <v>42</v>
      </c>
      <c r="B45" s="208">
        <v>42493</v>
      </c>
      <c r="C45" s="209">
        <v>5</v>
      </c>
      <c r="D45" s="210">
        <v>14</v>
      </c>
      <c r="E45" s="211" t="str">
        <f t="shared" si="65"/>
        <v>BD Ultrafine Insulin Syringes / 30G/ 0.5cc  [usage = 30 syringes per month]</v>
      </c>
      <c r="F45" s="212" t="str">
        <f t="shared" si="66"/>
        <v>Medical Supplies</v>
      </c>
      <c r="G45" s="213" t="str">
        <f t="shared" si="67"/>
        <v>Not Covered</v>
      </c>
      <c r="H45" s="214">
        <f t="shared" si="68"/>
        <v>20.62</v>
      </c>
      <c r="I45" s="217">
        <f t="shared" si="69"/>
        <v>20.62</v>
      </c>
      <c r="J45" s="251">
        <f t="shared" si="70"/>
        <v>0</v>
      </c>
      <c r="K45" s="214" t="b">
        <f t="shared" si="71"/>
        <v>0</v>
      </c>
      <c r="L45" s="218" t="str">
        <f t="shared" si="72"/>
        <v>No</v>
      </c>
      <c r="M45" s="217" t="str">
        <f t="shared" si="73"/>
        <v>.</v>
      </c>
      <c r="N45" s="215" t="str">
        <f>IFERROR(IF(AND(L45="Yes",ISNUMBER(M45)),MAX(0,M45-SUMIFS(BU$3:BU44,L$3:L44,"Yes")),IF(OR(L45="No",M45="None"),"N/A","ERR")),"ERR")</f>
        <v>N/A</v>
      </c>
      <c r="O45" s="251" t="b">
        <f t="shared" si="46"/>
        <v>0</v>
      </c>
      <c r="P45" s="251" t="str">
        <f>IF(O45,BENEFIT_PARAMETERS!$C$76,"N/A")</f>
        <v>N/A</v>
      </c>
      <c r="Q45" s="288" t="str">
        <f>IF(P45="Yes", BENEFIT_PARAMETERS!$D$76,"N/A")</f>
        <v>N/A</v>
      </c>
      <c r="R45" s="253" t="str">
        <f t="shared" si="109"/>
        <v>N/A</v>
      </c>
      <c r="S45" s="217">
        <f t="shared" si="47"/>
        <v>0</v>
      </c>
      <c r="T45" s="215">
        <f t="shared" si="74"/>
        <v>0</v>
      </c>
      <c r="U45" s="214" t="b">
        <f t="shared" si="48"/>
        <v>0</v>
      </c>
      <c r="V45" s="251" t="str">
        <f>IF(O45,BENEFIT_PARAMETERS!$C$77,"N/A")</f>
        <v>N/A</v>
      </c>
      <c r="W45" s="288" t="str">
        <f>IF(V45="Yes", BENEFIT_PARAMETERS!$D$77,"N/A")</f>
        <v>N/A</v>
      </c>
      <c r="X45" s="253" t="str">
        <f>IF(O45,COUNTIF(Z$3:Z44,"&gt;0"),"N/A")</f>
        <v>N/A</v>
      </c>
      <c r="Y45" s="217" t="str">
        <f t="shared" si="75"/>
        <v>N/A</v>
      </c>
      <c r="Z45" s="293" t="str">
        <f t="shared" si="49"/>
        <v>N/A</v>
      </c>
      <c r="AA45" s="293">
        <f t="shared" si="50"/>
        <v>0</v>
      </c>
      <c r="AB45" s="293" t="str">
        <f t="shared" si="76"/>
        <v>N/A</v>
      </c>
      <c r="AC45" s="215">
        <f t="shared" si="51"/>
        <v>0</v>
      </c>
      <c r="AD45" s="214" t="b">
        <f t="shared" si="77"/>
        <v>0</v>
      </c>
      <c r="AE45" s="209" t="str">
        <f t="shared" si="78"/>
        <v>.</v>
      </c>
      <c r="AF45" s="216">
        <f t="shared" si="79"/>
        <v>0</v>
      </c>
      <c r="AG45" s="217" t="str">
        <f t="shared" si="80"/>
        <v>N/A</v>
      </c>
      <c r="AH45" s="217" t="b">
        <f t="shared" si="81"/>
        <v>0</v>
      </c>
      <c r="AI45" s="209" t="str">
        <f t="shared" si="82"/>
        <v>.</v>
      </c>
      <c r="AJ45" s="216">
        <f t="shared" si="83"/>
        <v>4</v>
      </c>
      <c r="AK45" s="217" t="str">
        <f t="shared" si="84"/>
        <v>N/A</v>
      </c>
      <c r="AL45" s="217">
        <f t="shared" si="52"/>
        <v>0</v>
      </c>
      <c r="AM45" s="215">
        <f t="shared" si="53"/>
        <v>0</v>
      </c>
      <c r="AN45" s="219" t="b">
        <f t="shared" si="85"/>
        <v>0</v>
      </c>
      <c r="AO45" s="217" t="str">
        <f t="shared" si="86"/>
        <v>N/A</v>
      </c>
      <c r="AP45" s="217" t="str">
        <f>IF(AND(ISNUMBER(AO45),AN45=TRUE),MAX(0,AO45-SUMIFS($AM$3:$AM44,AN$3:AN44,TRUE)),IF(AND(AN45=TRUE,ISNUMBER(AO45)=FALSE),"ERR","N/A"))</f>
        <v>N/A</v>
      </c>
      <c r="AQ45" s="215" t="str">
        <f t="shared" si="87"/>
        <v>N/A</v>
      </c>
      <c r="AR45" s="219" t="b">
        <f t="shared" si="88"/>
        <v>0</v>
      </c>
      <c r="AS45" s="217" t="str">
        <f t="shared" si="89"/>
        <v>N/A</v>
      </c>
      <c r="AT45" s="217" t="str">
        <f>IF(AND(AR45=TRUE,ISNUMBER(AS45)),MAX(0,AS45-SUMIFS($AM$3:$AM44,AR$3:AR44,TRUE)),IF(AND(AR45=TRUE,ISNUMBER(AS45)=FALSE),"ERR","N/A"))</f>
        <v>N/A</v>
      </c>
      <c r="AU45" s="215" t="str">
        <f t="shared" si="90"/>
        <v>N/A</v>
      </c>
      <c r="AV45" s="219" t="b">
        <f t="shared" si="91"/>
        <v>0</v>
      </c>
      <c r="AW45" s="217" t="str">
        <f t="shared" si="92"/>
        <v>N/A</v>
      </c>
      <c r="AX45" s="217" t="str">
        <f>IF(AND(AV45=TRUE,ISNUMBER(AW45)),MAX(0,AW45-SUMIFS($AM$3:$AM44,AV$3:AV44,TRUE)),IF(AND(AV45=TRUE,ISNUMBER(AW45)=FALSE),"ERR","N/A"))</f>
        <v>N/A</v>
      </c>
      <c r="AY45" s="215" t="str">
        <f t="shared" si="93"/>
        <v>N/A</v>
      </c>
      <c r="AZ45" s="219" t="b">
        <f t="shared" si="94"/>
        <v>0</v>
      </c>
      <c r="BA45" s="217" t="str">
        <f t="shared" si="95"/>
        <v>N/A</v>
      </c>
      <c r="BB45" s="217" t="str">
        <f>IF(AND(AZ45=TRUE,ISNUMBER(BA45)),MAX(0,BA45-SUMIFS($AM$3:$AM44,AZ$3:AZ44,TRUE)),IF(AND(AZ45=TRUE,ISNUMBER(BA45)=FALSE),"ERR","N/A"))</f>
        <v>N/A</v>
      </c>
      <c r="BC45" s="215" t="str">
        <f t="shared" si="96"/>
        <v>N/A</v>
      </c>
      <c r="BD45" s="219" t="b">
        <f t="shared" si="97"/>
        <v>0</v>
      </c>
      <c r="BE45" s="217" t="str">
        <f t="shared" si="98"/>
        <v>N/A</v>
      </c>
      <c r="BF45" s="217" t="str">
        <f>IF(AND(BD45=TRUE,ISNUMBER(BE45)=TRUE),MAX(0,BE45-SUMIFS(AM$3:AM44,BD$3:BD44,TRUE,F$3:F44,F45)),IF(AND(BD45=TRUE,ISNUMBER(BE45)=FALSE),"ERR","N/A"))</f>
        <v>N/A</v>
      </c>
      <c r="BG45" s="215" t="str">
        <f t="shared" si="99"/>
        <v>N/A</v>
      </c>
      <c r="BH45" s="214">
        <f t="shared" si="100"/>
        <v>0</v>
      </c>
      <c r="BI45" s="215">
        <f t="shared" si="54"/>
        <v>0</v>
      </c>
      <c r="BJ45" s="214" t="str">
        <f t="shared" si="55"/>
        <v>N/A</v>
      </c>
      <c r="BK45" s="217">
        <f t="shared" si="101"/>
        <v>0</v>
      </c>
      <c r="BL45" s="220" t="b">
        <f t="shared" si="102"/>
        <v>0</v>
      </c>
      <c r="BM45" s="217" t="str">
        <f t="shared" si="103"/>
        <v>N/A</v>
      </c>
      <c r="BN45" s="217" t="str">
        <f t="shared" si="56"/>
        <v>N/A</v>
      </c>
      <c r="BO45" s="220" t="b">
        <f t="shared" si="104"/>
        <v>0</v>
      </c>
      <c r="BP45" s="244" t="str">
        <f t="shared" si="105"/>
        <v>N/A</v>
      </c>
      <c r="BQ45" s="217" t="str">
        <f t="shared" si="57"/>
        <v>N/A</v>
      </c>
      <c r="BR45" s="215">
        <f t="shared" si="58"/>
        <v>0</v>
      </c>
      <c r="BS45" s="214" t="str">
        <f t="shared" si="59"/>
        <v>N/A</v>
      </c>
      <c r="BT45" s="217">
        <f t="shared" si="60"/>
        <v>0</v>
      </c>
      <c r="BU45" s="215">
        <f t="shared" si="61"/>
        <v>0</v>
      </c>
      <c r="BV45" s="214">
        <f t="shared" si="62"/>
        <v>0</v>
      </c>
      <c r="BW45" s="217">
        <f t="shared" si="106"/>
        <v>20.62</v>
      </c>
      <c r="BX45" s="217">
        <f t="shared" si="107"/>
        <v>0</v>
      </c>
      <c r="BY45" s="217">
        <f t="shared" si="63"/>
        <v>0</v>
      </c>
      <c r="BZ45" s="217">
        <f t="shared" si="42"/>
        <v>0</v>
      </c>
      <c r="CA45" s="217">
        <f t="shared" si="64"/>
        <v>0</v>
      </c>
      <c r="CB45" s="213" t="b">
        <f t="shared" si="108"/>
        <v>1</v>
      </c>
    </row>
    <row r="46" spans="1:80" x14ac:dyDescent="0.25">
      <c r="A46" s="207">
        <v>43</v>
      </c>
      <c r="B46" s="208">
        <v>42493</v>
      </c>
      <c r="C46" s="209">
        <v>5</v>
      </c>
      <c r="D46" s="210">
        <v>32</v>
      </c>
      <c r="E46" s="211" t="str">
        <f t="shared" si="65"/>
        <v>Metformin Hydrochloride 500 MG TABLET [ #60 pills/month]</v>
      </c>
      <c r="F46" s="212" t="str">
        <f t="shared" si="66"/>
        <v>Prescription Drugs: Generic</v>
      </c>
      <c r="G46" s="213" t="str">
        <f t="shared" si="67"/>
        <v>Not Covered</v>
      </c>
      <c r="H46" s="214">
        <f t="shared" si="68"/>
        <v>3.21</v>
      </c>
      <c r="I46" s="217">
        <f t="shared" si="69"/>
        <v>3.21</v>
      </c>
      <c r="J46" s="251">
        <f t="shared" si="70"/>
        <v>0</v>
      </c>
      <c r="K46" s="214" t="b">
        <f t="shared" si="71"/>
        <v>0</v>
      </c>
      <c r="L46" s="218" t="str">
        <f t="shared" si="72"/>
        <v>No</v>
      </c>
      <c r="M46" s="217" t="str">
        <f t="shared" si="73"/>
        <v>.</v>
      </c>
      <c r="N46" s="215" t="str">
        <f>IFERROR(IF(AND(L46="Yes",ISNUMBER(M46)),MAX(0,M46-SUMIFS(BU$3:BU45,L$3:L45,"Yes")),IF(OR(L46="No",M46="None"),"N/A","ERR")),"ERR")</f>
        <v>N/A</v>
      </c>
      <c r="O46" s="251" t="b">
        <f t="shared" si="46"/>
        <v>0</v>
      </c>
      <c r="P46" s="251" t="str">
        <f>IF(O46,BENEFIT_PARAMETERS!$C$76,"N/A")</f>
        <v>N/A</v>
      </c>
      <c r="Q46" s="288" t="str">
        <f>IF(P46="Yes", BENEFIT_PARAMETERS!$D$76,"N/A")</f>
        <v>N/A</v>
      </c>
      <c r="R46" s="253" t="str">
        <f t="shared" si="109"/>
        <v>N/A</v>
      </c>
      <c r="S46" s="217">
        <f t="shared" si="47"/>
        <v>0</v>
      </c>
      <c r="T46" s="215">
        <f t="shared" si="74"/>
        <v>0</v>
      </c>
      <c r="U46" s="214" t="b">
        <f t="shared" si="48"/>
        <v>0</v>
      </c>
      <c r="V46" s="251" t="str">
        <f>IF(O46,BENEFIT_PARAMETERS!$C$77,"N/A")</f>
        <v>N/A</v>
      </c>
      <c r="W46" s="288" t="str">
        <f>IF(V46="Yes", BENEFIT_PARAMETERS!$D$77,"N/A")</f>
        <v>N/A</v>
      </c>
      <c r="X46" s="253" t="str">
        <f>IF(O46,COUNTIF(Z$3:Z45,"&gt;0"),"N/A")</f>
        <v>N/A</v>
      </c>
      <c r="Y46" s="217" t="str">
        <f t="shared" si="75"/>
        <v>N/A</v>
      </c>
      <c r="Z46" s="293" t="str">
        <f t="shared" si="49"/>
        <v>N/A</v>
      </c>
      <c r="AA46" s="293">
        <f t="shared" si="50"/>
        <v>0</v>
      </c>
      <c r="AB46" s="293" t="str">
        <f t="shared" si="76"/>
        <v>N/A</v>
      </c>
      <c r="AC46" s="215">
        <f t="shared" si="51"/>
        <v>0</v>
      </c>
      <c r="AD46" s="214" t="b">
        <f t="shared" si="77"/>
        <v>0</v>
      </c>
      <c r="AE46" s="209" t="str">
        <f t="shared" si="78"/>
        <v>.</v>
      </c>
      <c r="AF46" s="216">
        <f t="shared" si="79"/>
        <v>0</v>
      </c>
      <c r="AG46" s="217" t="str">
        <f t="shared" si="80"/>
        <v>N/A</v>
      </c>
      <c r="AH46" s="217" t="b">
        <f t="shared" si="81"/>
        <v>0</v>
      </c>
      <c r="AI46" s="209" t="str">
        <f t="shared" si="82"/>
        <v>.</v>
      </c>
      <c r="AJ46" s="216">
        <f t="shared" si="83"/>
        <v>4</v>
      </c>
      <c r="AK46" s="217" t="str">
        <f t="shared" si="84"/>
        <v>N/A</v>
      </c>
      <c r="AL46" s="217">
        <f t="shared" si="52"/>
        <v>0</v>
      </c>
      <c r="AM46" s="215">
        <f t="shared" si="53"/>
        <v>0</v>
      </c>
      <c r="AN46" s="219" t="b">
        <f t="shared" si="85"/>
        <v>0</v>
      </c>
      <c r="AO46" s="217" t="str">
        <f t="shared" si="86"/>
        <v>N/A</v>
      </c>
      <c r="AP46" s="217" t="str">
        <f>IF(AND(ISNUMBER(AO46),AN46=TRUE),MAX(0,AO46-SUMIFS($AM$3:$AM45,AN$3:AN45,TRUE)),IF(AND(AN46=TRUE,ISNUMBER(AO46)=FALSE),"ERR","N/A"))</f>
        <v>N/A</v>
      </c>
      <c r="AQ46" s="215" t="str">
        <f t="shared" si="87"/>
        <v>N/A</v>
      </c>
      <c r="AR46" s="219" t="b">
        <f t="shared" si="88"/>
        <v>0</v>
      </c>
      <c r="AS46" s="217" t="str">
        <f t="shared" si="89"/>
        <v>N/A</v>
      </c>
      <c r="AT46" s="217" t="str">
        <f>IF(AND(AR46=TRUE,ISNUMBER(AS46)),MAX(0,AS46-SUMIFS($AM$3:$AM45,AR$3:AR45,TRUE)),IF(AND(AR46=TRUE,ISNUMBER(AS46)=FALSE),"ERR","N/A"))</f>
        <v>N/A</v>
      </c>
      <c r="AU46" s="215" t="str">
        <f t="shared" si="90"/>
        <v>N/A</v>
      </c>
      <c r="AV46" s="219" t="b">
        <f t="shared" si="91"/>
        <v>0</v>
      </c>
      <c r="AW46" s="217" t="str">
        <f t="shared" si="92"/>
        <v>N/A</v>
      </c>
      <c r="AX46" s="217" t="str">
        <f>IF(AND(AV46=TRUE,ISNUMBER(AW46)),MAX(0,AW46-SUMIFS($AM$3:$AM45,AV$3:AV45,TRUE)),IF(AND(AV46=TRUE,ISNUMBER(AW46)=FALSE),"ERR","N/A"))</f>
        <v>N/A</v>
      </c>
      <c r="AY46" s="215" t="str">
        <f t="shared" si="93"/>
        <v>N/A</v>
      </c>
      <c r="AZ46" s="219" t="b">
        <f t="shared" si="94"/>
        <v>0</v>
      </c>
      <c r="BA46" s="217" t="str">
        <f t="shared" si="95"/>
        <v>N/A</v>
      </c>
      <c r="BB46" s="217" t="str">
        <f>IF(AND(AZ46=TRUE,ISNUMBER(BA46)),MAX(0,BA46-SUMIFS($AM$3:$AM45,AZ$3:AZ45,TRUE)),IF(AND(AZ46=TRUE,ISNUMBER(BA46)=FALSE),"ERR","N/A"))</f>
        <v>N/A</v>
      </c>
      <c r="BC46" s="215" t="str">
        <f t="shared" si="96"/>
        <v>N/A</v>
      </c>
      <c r="BD46" s="219" t="b">
        <f t="shared" si="97"/>
        <v>0</v>
      </c>
      <c r="BE46" s="217" t="str">
        <f t="shared" si="98"/>
        <v>N/A</v>
      </c>
      <c r="BF46" s="217" t="str">
        <f>IF(AND(BD46=TRUE,ISNUMBER(BE46)=TRUE),MAX(0,BE46-SUMIFS(AM$3:AM45,BD$3:BD45,TRUE,F$3:F45,F46)),IF(AND(BD46=TRUE,ISNUMBER(BE46)=FALSE),"ERR","N/A"))</f>
        <v>N/A</v>
      </c>
      <c r="BG46" s="215" t="str">
        <f t="shared" si="99"/>
        <v>N/A</v>
      </c>
      <c r="BH46" s="214">
        <f t="shared" si="100"/>
        <v>0</v>
      </c>
      <c r="BI46" s="215">
        <f t="shared" si="54"/>
        <v>0</v>
      </c>
      <c r="BJ46" s="214" t="str">
        <f t="shared" si="55"/>
        <v>N/A</v>
      </c>
      <c r="BK46" s="217">
        <f t="shared" si="101"/>
        <v>0</v>
      </c>
      <c r="BL46" s="220" t="b">
        <f t="shared" si="102"/>
        <v>0</v>
      </c>
      <c r="BM46" s="217" t="str">
        <f t="shared" si="103"/>
        <v>N/A</v>
      </c>
      <c r="BN46" s="217" t="str">
        <f t="shared" si="56"/>
        <v>N/A</v>
      </c>
      <c r="BO46" s="220" t="b">
        <f t="shared" si="104"/>
        <v>0</v>
      </c>
      <c r="BP46" s="244" t="str">
        <f t="shared" si="105"/>
        <v>N/A</v>
      </c>
      <c r="BQ46" s="217" t="str">
        <f t="shared" si="57"/>
        <v>N/A</v>
      </c>
      <c r="BR46" s="215">
        <f t="shared" si="58"/>
        <v>0</v>
      </c>
      <c r="BS46" s="214" t="str">
        <f t="shared" si="59"/>
        <v>N/A</v>
      </c>
      <c r="BT46" s="217">
        <f t="shared" si="60"/>
        <v>0</v>
      </c>
      <c r="BU46" s="215">
        <f t="shared" si="61"/>
        <v>0</v>
      </c>
      <c r="BV46" s="214">
        <f t="shared" si="62"/>
        <v>0</v>
      </c>
      <c r="BW46" s="217">
        <f t="shared" si="106"/>
        <v>3.21</v>
      </c>
      <c r="BX46" s="217">
        <f t="shared" si="107"/>
        <v>0</v>
      </c>
      <c r="BY46" s="217">
        <f t="shared" si="63"/>
        <v>0</v>
      </c>
      <c r="BZ46" s="217">
        <f t="shared" si="42"/>
        <v>0</v>
      </c>
      <c r="CA46" s="217">
        <f t="shared" si="64"/>
        <v>0</v>
      </c>
      <c r="CB46" s="213" t="b">
        <f t="shared" si="108"/>
        <v>1</v>
      </c>
    </row>
    <row r="47" spans="1:80" x14ac:dyDescent="0.25">
      <c r="A47" s="207">
        <v>44</v>
      </c>
      <c r="B47" s="208">
        <v>42493</v>
      </c>
      <c r="C47" s="209">
        <v>5</v>
      </c>
      <c r="D47" s="210">
        <v>19</v>
      </c>
      <c r="E47" s="211" t="str">
        <f t="shared" si="65"/>
        <v>Lisinopril 20mg (Rx) [1 QD; #30 pills/month]</v>
      </c>
      <c r="F47" s="212" t="str">
        <f t="shared" si="66"/>
        <v>Prescription Drugs: Generic</v>
      </c>
      <c r="G47" s="213" t="str">
        <f t="shared" si="67"/>
        <v>Not Covered</v>
      </c>
      <c r="H47" s="214">
        <f t="shared" si="68"/>
        <v>3.38</v>
      </c>
      <c r="I47" s="217">
        <f t="shared" si="69"/>
        <v>3.38</v>
      </c>
      <c r="J47" s="251">
        <f t="shared" si="70"/>
        <v>0</v>
      </c>
      <c r="K47" s="214" t="b">
        <f t="shared" si="71"/>
        <v>0</v>
      </c>
      <c r="L47" s="218" t="str">
        <f t="shared" si="72"/>
        <v>No</v>
      </c>
      <c r="M47" s="217" t="str">
        <f t="shared" si="73"/>
        <v>.</v>
      </c>
      <c r="N47" s="215" t="str">
        <f>IFERROR(IF(AND(L47="Yes",ISNUMBER(M47)),MAX(0,M47-SUMIFS(BU$3:BU46,L$3:L46,"Yes")),IF(OR(L47="No",M47="None"),"N/A","ERR")),"ERR")</f>
        <v>N/A</v>
      </c>
      <c r="O47" s="251" t="b">
        <f t="shared" si="46"/>
        <v>0</v>
      </c>
      <c r="P47" s="251" t="str">
        <f>IF(O47,BENEFIT_PARAMETERS!$C$76,"N/A")</f>
        <v>N/A</v>
      </c>
      <c r="Q47" s="288" t="str">
        <f>IF(P47="Yes", BENEFIT_PARAMETERS!$D$76,"N/A")</f>
        <v>N/A</v>
      </c>
      <c r="R47" s="253" t="str">
        <f t="shared" si="109"/>
        <v>N/A</v>
      </c>
      <c r="S47" s="217">
        <f t="shared" si="47"/>
        <v>0</v>
      </c>
      <c r="T47" s="215">
        <f t="shared" si="74"/>
        <v>0</v>
      </c>
      <c r="U47" s="214" t="b">
        <f t="shared" si="48"/>
        <v>0</v>
      </c>
      <c r="V47" s="251" t="str">
        <f>IF(O47,BENEFIT_PARAMETERS!$C$77,"N/A")</f>
        <v>N/A</v>
      </c>
      <c r="W47" s="288" t="str">
        <f>IF(V47="Yes", BENEFIT_PARAMETERS!$D$77,"N/A")</f>
        <v>N/A</v>
      </c>
      <c r="X47" s="253" t="str">
        <f>IF(O47,COUNTIF(Z$3:Z46,"&gt;0"),"N/A")</f>
        <v>N/A</v>
      </c>
      <c r="Y47" s="217" t="str">
        <f t="shared" si="75"/>
        <v>N/A</v>
      </c>
      <c r="Z47" s="293" t="str">
        <f t="shared" si="49"/>
        <v>N/A</v>
      </c>
      <c r="AA47" s="293">
        <f t="shared" si="50"/>
        <v>0</v>
      </c>
      <c r="AB47" s="293" t="str">
        <f t="shared" si="76"/>
        <v>N/A</v>
      </c>
      <c r="AC47" s="215">
        <f t="shared" si="51"/>
        <v>0</v>
      </c>
      <c r="AD47" s="214" t="b">
        <f t="shared" si="77"/>
        <v>0</v>
      </c>
      <c r="AE47" s="209" t="str">
        <f t="shared" si="78"/>
        <v>.</v>
      </c>
      <c r="AF47" s="216">
        <f t="shared" si="79"/>
        <v>0</v>
      </c>
      <c r="AG47" s="217" t="str">
        <f t="shared" si="80"/>
        <v>N/A</v>
      </c>
      <c r="AH47" s="217" t="b">
        <f t="shared" si="81"/>
        <v>0</v>
      </c>
      <c r="AI47" s="209" t="str">
        <f t="shared" si="82"/>
        <v>.</v>
      </c>
      <c r="AJ47" s="216">
        <f t="shared" si="83"/>
        <v>4</v>
      </c>
      <c r="AK47" s="217" t="str">
        <f t="shared" si="84"/>
        <v>N/A</v>
      </c>
      <c r="AL47" s="217">
        <f t="shared" si="52"/>
        <v>0</v>
      </c>
      <c r="AM47" s="215">
        <f t="shared" si="53"/>
        <v>0</v>
      </c>
      <c r="AN47" s="219" t="b">
        <f t="shared" si="85"/>
        <v>0</v>
      </c>
      <c r="AO47" s="217" t="str">
        <f t="shared" si="86"/>
        <v>N/A</v>
      </c>
      <c r="AP47" s="217" t="str">
        <f>IF(AND(ISNUMBER(AO47),AN47=TRUE),MAX(0,AO47-SUMIFS($AM$3:$AM46,AN$3:AN46,TRUE)),IF(AND(AN47=TRUE,ISNUMBER(AO47)=FALSE),"ERR","N/A"))</f>
        <v>N/A</v>
      </c>
      <c r="AQ47" s="215" t="str">
        <f t="shared" si="87"/>
        <v>N/A</v>
      </c>
      <c r="AR47" s="219" t="b">
        <f t="shared" si="88"/>
        <v>0</v>
      </c>
      <c r="AS47" s="217" t="str">
        <f t="shared" si="89"/>
        <v>N/A</v>
      </c>
      <c r="AT47" s="217" t="str">
        <f>IF(AND(AR47=TRUE,ISNUMBER(AS47)),MAX(0,AS47-SUMIFS($AM$3:$AM46,AR$3:AR46,TRUE)),IF(AND(AR47=TRUE,ISNUMBER(AS47)=FALSE),"ERR","N/A"))</f>
        <v>N/A</v>
      </c>
      <c r="AU47" s="215" t="str">
        <f t="shared" si="90"/>
        <v>N/A</v>
      </c>
      <c r="AV47" s="219" t="b">
        <f t="shared" si="91"/>
        <v>0</v>
      </c>
      <c r="AW47" s="217" t="str">
        <f t="shared" si="92"/>
        <v>N/A</v>
      </c>
      <c r="AX47" s="217" t="str">
        <f>IF(AND(AV47=TRUE,ISNUMBER(AW47)),MAX(0,AW47-SUMIFS($AM$3:$AM46,AV$3:AV46,TRUE)),IF(AND(AV47=TRUE,ISNUMBER(AW47)=FALSE),"ERR","N/A"))</f>
        <v>N/A</v>
      </c>
      <c r="AY47" s="215" t="str">
        <f t="shared" si="93"/>
        <v>N/A</v>
      </c>
      <c r="AZ47" s="219" t="b">
        <f t="shared" si="94"/>
        <v>0</v>
      </c>
      <c r="BA47" s="217" t="str">
        <f t="shared" si="95"/>
        <v>N/A</v>
      </c>
      <c r="BB47" s="217" t="str">
        <f>IF(AND(AZ47=TRUE,ISNUMBER(BA47)),MAX(0,BA47-SUMIFS($AM$3:$AM46,AZ$3:AZ46,TRUE)),IF(AND(AZ47=TRUE,ISNUMBER(BA47)=FALSE),"ERR","N/A"))</f>
        <v>N/A</v>
      </c>
      <c r="BC47" s="215" t="str">
        <f t="shared" si="96"/>
        <v>N/A</v>
      </c>
      <c r="BD47" s="219" t="b">
        <f t="shared" si="97"/>
        <v>0</v>
      </c>
      <c r="BE47" s="217" t="str">
        <f t="shared" si="98"/>
        <v>N/A</v>
      </c>
      <c r="BF47" s="217" t="str">
        <f>IF(AND(BD47=TRUE,ISNUMBER(BE47)=TRUE),MAX(0,BE47-SUMIFS(AM$3:AM46,BD$3:BD46,TRUE,F$3:F46,F47)),IF(AND(BD47=TRUE,ISNUMBER(BE47)=FALSE),"ERR","N/A"))</f>
        <v>N/A</v>
      </c>
      <c r="BG47" s="215" t="str">
        <f t="shared" si="99"/>
        <v>N/A</v>
      </c>
      <c r="BH47" s="214">
        <f t="shared" si="100"/>
        <v>0</v>
      </c>
      <c r="BI47" s="215">
        <f t="shared" si="54"/>
        <v>0</v>
      </c>
      <c r="BJ47" s="214" t="str">
        <f t="shared" si="55"/>
        <v>N/A</v>
      </c>
      <c r="BK47" s="217">
        <f t="shared" si="101"/>
        <v>0</v>
      </c>
      <c r="BL47" s="220" t="b">
        <f t="shared" si="102"/>
        <v>0</v>
      </c>
      <c r="BM47" s="217" t="str">
        <f t="shared" si="103"/>
        <v>N/A</v>
      </c>
      <c r="BN47" s="217" t="str">
        <f t="shared" si="56"/>
        <v>N/A</v>
      </c>
      <c r="BO47" s="220" t="b">
        <f t="shared" si="104"/>
        <v>0</v>
      </c>
      <c r="BP47" s="244" t="str">
        <f t="shared" si="105"/>
        <v>N/A</v>
      </c>
      <c r="BQ47" s="217" t="str">
        <f t="shared" si="57"/>
        <v>N/A</v>
      </c>
      <c r="BR47" s="215">
        <f t="shared" si="58"/>
        <v>0</v>
      </c>
      <c r="BS47" s="214" t="str">
        <f t="shared" si="59"/>
        <v>N/A</v>
      </c>
      <c r="BT47" s="217">
        <f t="shared" si="60"/>
        <v>0</v>
      </c>
      <c r="BU47" s="215">
        <f t="shared" si="61"/>
        <v>0</v>
      </c>
      <c r="BV47" s="214">
        <f t="shared" si="62"/>
        <v>0</v>
      </c>
      <c r="BW47" s="217">
        <f t="shared" si="106"/>
        <v>3.38</v>
      </c>
      <c r="BX47" s="217">
        <f t="shared" si="107"/>
        <v>0</v>
      </c>
      <c r="BY47" s="217">
        <f t="shared" si="63"/>
        <v>0</v>
      </c>
      <c r="BZ47" s="217">
        <f t="shared" si="42"/>
        <v>0</v>
      </c>
      <c r="CA47" s="217">
        <f t="shared" si="64"/>
        <v>0</v>
      </c>
      <c r="CB47" s="213" t="b">
        <f t="shared" si="108"/>
        <v>1</v>
      </c>
    </row>
    <row r="48" spans="1:80" x14ac:dyDescent="0.25">
      <c r="A48" s="207">
        <v>45</v>
      </c>
      <c r="B48" s="208">
        <v>42513</v>
      </c>
      <c r="C48" s="209">
        <v>5</v>
      </c>
      <c r="D48" s="210">
        <v>17</v>
      </c>
      <c r="E48" s="211" t="str">
        <f t="shared" si="65"/>
        <v>Insulin glargine 100 unit/ml injectable solution (Rx - 10ml vial)  [20 units QD; expires 28 days after first use]</v>
      </c>
      <c r="F48" s="212" t="str">
        <f t="shared" si="66"/>
        <v>Prescription Drugs: Insulin</v>
      </c>
      <c r="G48" s="213" t="str">
        <f t="shared" si="67"/>
        <v>Not Covered</v>
      </c>
      <c r="H48" s="214">
        <f t="shared" si="68"/>
        <v>240.37</v>
      </c>
      <c r="I48" s="217">
        <f t="shared" si="69"/>
        <v>240.37</v>
      </c>
      <c r="J48" s="251">
        <f t="shared" si="70"/>
        <v>0</v>
      </c>
      <c r="K48" s="214" t="b">
        <f t="shared" si="71"/>
        <v>0</v>
      </c>
      <c r="L48" s="218" t="str">
        <f t="shared" si="72"/>
        <v>No</v>
      </c>
      <c r="M48" s="217" t="str">
        <f t="shared" si="73"/>
        <v>.</v>
      </c>
      <c r="N48" s="215" t="str">
        <f>IFERROR(IF(AND(L48="Yes",ISNUMBER(M48)),MAX(0,M48-SUMIFS(BU$3:BU47,L$3:L47,"Yes")),IF(OR(L48="No",M48="None"),"N/A","ERR")),"ERR")</f>
        <v>N/A</v>
      </c>
      <c r="O48" s="251" t="b">
        <f t="shared" si="46"/>
        <v>0</v>
      </c>
      <c r="P48" s="251" t="str">
        <f>IF(O48,BENEFIT_PARAMETERS!$C$76,"N/A")</f>
        <v>N/A</v>
      </c>
      <c r="Q48" s="288" t="str">
        <f>IF(P48="Yes", BENEFIT_PARAMETERS!$D$76,"N/A")</f>
        <v>N/A</v>
      </c>
      <c r="R48" s="253" t="str">
        <f t="shared" si="109"/>
        <v>N/A</v>
      </c>
      <c r="S48" s="217">
        <f t="shared" si="47"/>
        <v>0</v>
      </c>
      <c r="T48" s="215">
        <f t="shared" si="74"/>
        <v>0</v>
      </c>
      <c r="U48" s="214" t="b">
        <f t="shared" si="48"/>
        <v>0</v>
      </c>
      <c r="V48" s="251" t="str">
        <f>IF(O48,BENEFIT_PARAMETERS!$C$77,"N/A")</f>
        <v>N/A</v>
      </c>
      <c r="W48" s="288" t="str">
        <f>IF(V48="Yes", BENEFIT_PARAMETERS!$D$77,"N/A")</f>
        <v>N/A</v>
      </c>
      <c r="X48" s="253" t="str">
        <f>IF(O48,COUNTIF(Z$3:Z47,"&gt;0"),"N/A")</f>
        <v>N/A</v>
      </c>
      <c r="Y48" s="217" t="str">
        <f t="shared" si="75"/>
        <v>N/A</v>
      </c>
      <c r="Z48" s="293" t="str">
        <f t="shared" si="49"/>
        <v>N/A</v>
      </c>
      <c r="AA48" s="293">
        <f t="shared" si="50"/>
        <v>0</v>
      </c>
      <c r="AB48" s="293" t="str">
        <f t="shared" si="76"/>
        <v>N/A</v>
      </c>
      <c r="AC48" s="215">
        <f t="shared" si="51"/>
        <v>0</v>
      </c>
      <c r="AD48" s="214" t="b">
        <f t="shared" si="77"/>
        <v>0</v>
      </c>
      <c r="AE48" s="209" t="str">
        <f t="shared" si="78"/>
        <v>.</v>
      </c>
      <c r="AF48" s="216">
        <f t="shared" si="79"/>
        <v>0</v>
      </c>
      <c r="AG48" s="217" t="str">
        <f t="shared" si="80"/>
        <v>N/A</v>
      </c>
      <c r="AH48" s="217" t="b">
        <f t="shared" si="81"/>
        <v>0</v>
      </c>
      <c r="AI48" s="209" t="str">
        <f t="shared" si="82"/>
        <v>.</v>
      </c>
      <c r="AJ48" s="216">
        <f t="shared" si="83"/>
        <v>5</v>
      </c>
      <c r="AK48" s="217" t="str">
        <f t="shared" si="84"/>
        <v>N/A</v>
      </c>
      <c r="AL48" s="217">
        <f t="shared" si="52"/>
        <v>0</v>
      </c>
      <c r="AM48" s="215">
        <f t="shared" si="53"/>
        <v>0</v>
      </c>
      <c r="AN48" s="219" t="b">
        <f t="shared" si="85"/>
        <v>0</v>
      </c>
      <c r="AO48" s="217" t="str">
        <f t="shared" si="86"/>
        <v>N/A</v>
      </c>
      <c r="AP48" s="217" t="str">
        <f>IF(AND(ISNUMBER(AO48),AN48=TRUE),MAX(0,AO48-SUMIFS($AM$3:$AM47,AN$3:AN47,TRUE)),IF(AND(AN48=TRUE,ISNUMBER(AO48)=FALSE),"ERR","N/A"))</f>
        <v>N/A</v>
      </c>
      <c r="AQ48" s="215" t="str">
        <f t="shared" si="87"/>
        <v>N/A</v>
      </c>
      <c r="AR48" s="219" t="b">
        <f t="shared" si="88"/>
        <v>0</v>
      </c>
      <c r="AS48" s="217" t="str">
        <f t="shared" si="89"/>
        <v>N/A</v>
      </c>
      <c r="AT48" s="217" t="str">
        <f>IF(AND(AR48=TRUE,ISNUMBER(AS48)),MAX(0,AS48-SUMIFS($AM$3:$AM47,AR$3:AR47,TRUE)),IF(AND(AR48=TRUE,ISNUMBER(AS48)=FALSE),"ERR","N/A"))</f>
        <v>N/A</v>
      </c>
      <c r="AU48" s="215" t="str">
        <f t="shared" si="90"/>
        <v>N/A</v>
      </c>
      <c r="AV48" s="219" t="b">
        <f t="shared" si="91"/>
        <v>0</v>
      </c>
      <c r="AW48" s="217" t="str">
        <f t="shared" si="92"/>
        <v>N/A</v>
      </c>
      <c r="AX48" s="217" t="str">
        <f>IF(AND(AV48=TRUE,ISNUMBER(AW48)),MAX(0,AW48-SUMIFS($AM$3:$AM47,AV$3:AV47,TRUE)),IF(AND(AV48=TRUE,ISNUMBER(AW48)=FALSE),"ERR","N/A"))</f>
        <v>N/A</v>
      </c>
      <c r="AY48" s="215" t="str">
        <f t="shared" si="93"/>
        <v>N/A</v>
      </c>
      <c r="AZ48" s="219" t="b">
        <f t="shared" si="94"/>
        <v>0</v>
      </c>
      <c r="BA48" s="217" t="str">
        <f t="shared" si="95"/>
        <v>N/A</v>
      </c>
      <c r="BB48" s="217" t="str">
        <f>IF(AND(AZ48=TRUE,ISNUMBER(BA48)),MAX(0,BA48-SUMIFS($AM$3:$AM47,AZ$3:AZ47,TRUE)),IF(AND(AZ48=TRUE,ISNUMBER(BA48)=FALSE),"ERR","N/A"))</f>
        <v>N/A</v>
      </c>
      <c r="BC48" s="215" t="str">
        <f t="shared" si="96"/>
        <v>N/A</v>
      </c>
      <c r="BD48" s="219" t="b">
        <f t="shared" si="97"/>
        <v>0</v>
      </c>
      <c r="BE48" s="217" t="str">
        <f t="shared" si="98"/>
        <v>N/A</v>
      </c>
      <c r="BF48" s="217" t="str">
        <f>IF(AND(BD48=TRUE,ISNUMBER(BE48)=TRUE),MAX(0,BE48-SUMIFS(AM$3:AM47,BD$3:BD47,TRUE,F$3:F47,F48)),IF(AND(BD48=TRUE,ISNUMBER(BE48)=FALSE),"ERR","N/A"))</f>
        <v>N/A</v>
      </c>
      <c r="BG48" s="215" t="str">
        <f t="shared" si="99"/>
        <v>N/A</v>
      </c>
      <c r="BH48" s="214">
        <f t="shared" si="100"/>
        <v>0</v>
      </c>
      <c r="BI48" s="215">
        <f t="shared" si="54"/>
        <v>0</v>
      </c>
      <c r="BJ48" s="214" t="str">
        <f t="shared" si="55"/>
        <v>N/A</v>
      </c>
      <c r="BK48" s="217">
        <f t="shared" si="101"/>
        <v>0</v>
      </c>
      <c r="BL48" s="220" t="b">
        <f t="shared" si="102"/>
        <v>0</v>
      </c>
      <c r="BM48" s="217" t="str">
        <f t="shared" si="103"/>
        <v>N/A</v>
      </c>
      <c r="BN48" s="217" t="str">
        <f t="shared" si="56"/>
        <v>N/A</v>
      </c>
      <c r="BO48" s="220" t="b">
        <f t="shared" si="104"/>
        <v>0</v>
      </c>
      <c r="BP48" s="244" t="str">
        <f t="shared" si="105"/>
        <v>N/A</v>
      </c>
      <c r="BQ48" s="217" t="str">
        <f t="shared" si="57"/>
        <v>N/A</v>
      </c>
      <c r="BR48" s="215">
        <f t="shared" si="58"/>
        <v>0</v>
      </c>
      <c r="BS48" s="214" t="str">
        <f t="shared" si="59"/>
        <v>N/A</v>
      </c>
      <c r="BT48" s="217">
        <f t="shared" si="60"/>
        <v>0</v>
      </c>
      <c r="BU48" s="215">
        <f t="shared" si="61"/>
        <v>0</v>
      </c>
      <c r="BV48" s="214">
        <f t="shared" si="62"/>
        <v>0</v>
      </c>
      <c r="BW48" s="217">
        <f t="shared" si="106"/>
        <v>240.37</v>
      </c>
      <c r="BX48" s="217">
        <f t="shared" si="107"/>
        <v>0</v>
      </c>
      <c r="BY48" s="217">
        <f t="shared" si="63"/>
        <v>0</v>
      </c>
      <c r="BZ48" s="217">
        <f t="shared" si="42"/>
        <v>0</v>
      </c>
      <c r="CA48" s="217">
        <f t="shared" si="64"/>
        <v>0</v>
      </c>
      <c r="CB48" s="213" t="b">
        <f t="shared" si="108"/>
        <v>1</v>
      </c>
    </row>
    <row r="49" spans="1:80" x14ac:dyDescent="0.25">
      <c r="A49" s="207">
        <v>46</v>
      </c>
      <c r="B49" s="208">
        <v>42523</v>
      </c>
      <c r="C49" s="209">
        <v>6</v>
      </c>
      <c r="D49" s="210">
        <v>14</v>
      </c>
      <c r="E49" s="211" t="str">
        <f t="shared" si="65"/>
        <v>BD Ultrafine Insulin Syringes / 30G/ 0.5cc  [usage = 30 syringes per month]</v>
      </c>
      <c r="F49" s="212" t="str">
        <f t="shared" si="66"/>
        <v>Medical Supplies</v>
      </c>
      <c r="G49" s="213" t="str">
        <f t="shared" si="67"/>
        <v>Not Covered</v>
      </c>
      <c r="H49" s="214">
        <f t="shared" si="68"/>
        <v>20.62</v>
      </c>
      <c r="I49" s="217">
        <f t="shared" si="69"/>
        <v>20.62</v>
      </c>
      <c r="J49" s="251">
        <f t="shared" si="70"/>
        <v>0</v>
      </c>
      <c r="K49" s="214" t="b">
        <f t="shared" si="71"/>
        <v>0</v>
      </c>
      <c r="L49" s="218" t="str">
        <f t="shared" si="72"/>
        <v>No</v>
      </c>
      <c r="M49" s="217" t="str">
        <f t="shared" si="73"/>
        <v>.</v>
      </c>
      <c r="N49" s="215" t="str">
        <f>IFERROR(IF(AND(L49="Yes",ISNUMBER(M49)),MAX(0,M49-SUMIFS(BU$3:BU48,L$3:L48,"Yes")),IF(OR(L49="No",M49="None"),"N/A","ERR")),"ERR")</f>
        <v>N/A</v>
      </c>
      <c r="O49" s="251" t="b">
        <f t="shared" si="46"/>
        <v>0</v>
      </c>
      <c r="P49" s="251" t="str">
        <f>IF(O49,BENEFIT_PARAMETERS!$C$76,"N/A")</f>
        <v>N/A</v>
      </c>
      <c r="Q49" s="288" t="str">
        <f>IF(P49="Yes", BENEFIT_PARAMETERS!$D$76,"N/A")</f>
        <v>N/A</v>
      </c>
      <c r="R49" s="253" t="str">
        <f t="shared" si="109"/>
        <v>N/A</v>
      </c>
      <c r="S49" s="217">
        <f t="shared" si="47"/>
        <v>0</v>
      </c>
      <c r="T49" s="215">
        <f t="shared" si="74"/>
        <v>0</v>
      </c>
      <c r="U49" s="214" t="b">
        <f t="shared" si="48"/>
        <v>0</v>
      </c>
      <c r="V49" s="251" t="str">
        <f>IF(O49,BENEFIT_PARAMETERS!$C$77,"N/A")</f>
        <v>N/A</v>
      </c>
      <c r="W49" s="288" t="str">
        <f>IF(V49="Yes", BENEFIT_PARAMETERS!$D$77,"N/A")</f>
        <v>N/A</v>
      </c>
      <c r="X49" s="253" t="str">
        <f>IF(O49,COUNTIF(Z$3:Z48,"&gt;0"),"N/A")</f>
        <v>N/A</v>
      </c>
      <c r="Y49" s="217" t="str">
        <f t="shared" si="75"/>
        <v>N/A</v>
      </c>
      <c r="Z49" s="293" t="str">
        <f t="shared" si="49"/>
        <v>N/A</v>
      </c>
      <c r="AA49" s="293">
        <f t="shared" si="50"/>
        <v>0</v>
      </c>
      <c r="AB49" s="293" t="str">
        <f t="shared" si="76"/>
        <v>N/A</v>
      </c>
      <c r="AC49" s="215">
        <f t="shared" si="51"/>
        <v>0</v>
      </c>
      <c r="AD49" s="214" t="b">
        <f t="shared" si="77"/>
        <v>0</v>
      </c>
      <c r="AE49" s="209" t="str">
        <f t="shared" si="78"/>
        <v>.</v>
      </c>
      <c r="AF49" s="216">
        <f t="shared" si="79"/>
        <v>0</v>
      </c>
      <c r="AG49" s="217" t="str">
        <f t="shared" si="80"/>
        <v>N/A</v>
      </c>
      <c r="AH49" s="217" t="b">
        <f t="shared" si="81"/>
        <v>0</v>
      </c>
      <c r="AI49" s="209" t="str">
        <f t="shared" si="82"/>
        <v>.</v>
      </c>
      <c r="AJ49" s="216">
        <f t="shared" si="83"/>
        <v>5</v>
      </c>
      <c r="AK49" s="217" t="str">
        <f t="shared" si="84"/>
        <v>N/A</v>
      </c>
      <c r="AL49" s="217">
        <f t="shared" si="52"/>
        <v>0</v>
      </c>
      <c r="AM49" s="215">
        <f t="shared" si="53"/>
        <v>0</v>
      </c>
      <c r="AN49" s="219" t="b">
        <f t="shared" si="85"/>
        <v>0</v>
      </c>
      <c r="AO49" s="217" t="str">
        <f t="shared" si="86"/>
        <v>N/A</v>
      </c>
      <c r="AP49" s="217" t="str">
        <f>IF(AND(ISNUMBER(AO49),AN49=TRUE),MAX(0,AO49-SUMIFS($AM$3:$AM48,AN$3:AN48,TRUE)),IF(AND(AN49=TRUE,ISNUMBER(AO49)=FALSE),"ERR","N/A"))</f>
        <v>N/A</v>
      </c>
      <c r="AQ49" s="215" t="str">
        <f t="shared" si="87"/>
        <v>N/A</v>
      </c>
      <c r="AR49" s="219" t="b">
        <f t="shared" si="88"/>
        <v>0</v>
      </c>
      <c r="AS49" s="217" t="str">
        <f t="shared" si="89"/>
        <v>N/A</v>
      </c>
      <c r="AT49" s="217" t="str">
        <f>IF(AND(AR49=TRUE,ISNUMBER(AS49)),MAX(0,AS49-SUMIFS($AM$3:$AM48,AR$3:AR48,TRUE)),IF(AND(AR49=TRUE,ISNUMBER(AS49)=FALSE),"ERR","N/A"))</f>
        <v>N/A</v>
      </c>
      <c r="AU49" s="215" t="str">
        <f t="shared" si="90"/>
        <v>N/A</v>
      </c>
      <c r="AV49" s="219" t="b">
        <f t="shared" si="91"/>
        <v>0</v>
      </c>
      <c r="AW49" s="217" t="str">
        <f t="shared" si="92"/>
        <v>N/A</v>
      </c>
      <c r="AX49" s="217" t="str">
        <f>IF(AND(AV49=TRUE,ISNUMBER(AW49)),MAX(0,AW49-SUMIFS($AM$3:$AM48,AV$3:AV48,TRUE)),IF(AND(AV49=TRUE,ISNUMBER(AW49)=FALSE),"ERR","N/A"))</f>
        <v>N/A</v>
      </c>
      <c r="AY49" s="215" t="str">
        <f t="shared" si="93"/>
        <v>N/A</v>
      </c>
      <c r="AZ49" s="219" t="b">
        <f t="shared" si="94"/>
        <v>0</v>
      </c>
      <c r="BA49" s="217" t="str">
        <f t="shared" si="95"/>
        <v>N/A</v>
      </c>
      <c r="BB49" s="217" t="str">
        <f>IF(AND(AZ49=TRUE,ISNUMBER(BA49)),MAX(0,BA49-SUMIFS($AM$3:$AM48,AZ$3:AZ48,TRUE)),IF(AND(AZ49=TRUE,ISNUMBER(BA49)=FALSE),"ERR","N/A"))</f>
        <v>N/A</v>
      </c>
      <c r="BC49" s="215" t="str">
        <f t="shared" si="96"/>
        <v>N/A</v>
      </c>
      <c r="BD49" s="219" t="b">
        <f t="shared" si="97"/>
        <v>0</v>
      </c>
      <c r="BE49" s="217" t="str">
        <f t="shared" si="98"/>
        <v>N/A</v>
      </c>
      <c r="BF49" s="217" t="str">
        <f>IF(AND(BD49=TRUE,ISNUMBER(BE49)=TRUE),MAX(0,BE49-SUMIFS(AM$3:AM48,BD$3:BD48,TRUE,F$3:F48,F49)),IF(AND(BD49=TRUE,ISNUMBER(BE49)=FALSE),"ERR","N/A"))</f>
        <v>N/A</v>
      </c>
      <c r="BG49" s="215" t="str">
        <f t="shared" si="99"/>
        <v>N/A</v>
      </c>
      <c r="BH49" s="214">
        <f t="shared" si="100"/>
        <v>0</v>
      </c>
      <c r="BI49" s="215">
        <f t="shared" si="54"/>
        <v>0</v>
      </c>
      <c r="BJ49" s="214" t="str">
        <f t="shared" si="55"/>
        <v>N/A</v>
      </c>
      <c r="BK49" s="217">
        <f t="shared" si="101"/>
        <v>0</v>
      </c>
      <c r="BL49" s="220" t="b">
        <f t="shared" si="102"/>
        <v>0</v>
      </c>
      <c r="BM49" s="217" t="str">
        <f t="shared" si="103"/>
        <v>N/A</v>
      </c>
      <c r="BN49" s="217" t="str">
        <f t="shared" si="56"/>
        <v>N/A</v>
      </c>
      <c r="BO49" s="220" t="b">
        <f t="shared" si="104"/>
        <v>0</v>
      </c>
      <c r="BP49" s="244" t="str">
        <f t="shared" si="105"/>
        <v>N/A</v>
      </c>
      <c r="BQ49" s="217" t="str">
        <f t="shared" si="57"/>
        <v>N/A</v>
      </c>
      <c r="BR49" s="215">
        <f t="shared" si="58"/>
        <v>0</v>
      </c>
      <c r="BS49" s="214" t="str">
        <f t="shared" si="59"/>
        <v>N/A</v>
      </c>
      <c r="BT49" s="217">
        <f t="shared" si="60"/>
        <v>0</v>
      </c>
      <c r="BU49" s="215">
        <f t="shared" si="61"/>
        <v>0</v>
      </c>
      <c r="BV49" s="214">
        <f t="shared" si="62"/>
        <v>0</v>
      </c>
      <c r="BW49" s="217">
        <f t="shared" si="106"/>
        <v>20.62</v>
      </c>
      <c r="BX49" s="217">
        <f t="shared" si="107"/>
        <v>0</v>
      </c>
      <c r="BY49" s="217">
        <f t="shared" si="63"/>
        <v>0</v>
      </c>
      <c r="BZ49" s="217">
        <f t="shared" si="42"/>
        <v>0</v>
      </c>
      <c r="CA49" s="217">
        <f t="shared" si="64"/>
        <v>0</v>
      </c>
      <c r="CB49" s="213" t="b">
        <f t="shared" si="108"/>
        <v>1</v>
      </c>
    </row>
    <row r="50" spans="1:80" x14ac:dyDescent="0.25">
      <c r="A50" s="207">
        <v>47</v>
      </c>
      <c r="B50" s="208">
        <v>42523</v>
      </c>
      <c r="C50" s="209">
        <v>6</v>
      </c>
      <c r="D50" s="210">
        <v>32</v>
      </c>
      <c r="E50" s="211" t="str">
        <f t="shared" si="65"/>
        <v>Metformin Hydrochloride 500 MG TABLET [ #60 pills/month]</v>
      </c>
      <c r="F50" s="212" t="str">
        <f t="shared" si="66"/>
        <v>Prescription Drugs: Generic</v>
      </c>
      <c r="G50" s="213" t="str">
        <f t="shared" si="67"/>
        <v>Not Covered</v>
      </c>
      <c r="H50" s="214">
        <f t="shared" si="68"/>
        <v>3.21</v>
      </c>
      <c r="I50" s="217">
        <f t="shared" si="69"/>
        <v>3.21</v>
      </c>
      <c r="J50" s="251">
        <f t="shared" si="70"/>
        <v>0</v>
      </c>
      <c r="K50" s="214" t="b">
        <f t="shared" si="71"/>
        <v>0</v>
      </c>
      <c r="L50" s="218" t="str">
        <f t="shared" si="72"/>
        <v>No</v>
      </c>
      <c r="M50" s="217" t="str">
        <f t="shared" si="73"/>
        <v>.</v>
      </c>
      <c r="N50" s="215" t="str">
        <f>IFERROR(IF(AND(L50="Yes",ISNUMBER(M50)),MAX(0,M50-SUMIFS(BU$3:BU49,L$3:L49,"Yes")),IF(OR(L50="No",M50="None"),"N/A","ERR")),"ERR")</f>
        <v>N/A</v>
      </c>
      <c r="O50" s="251" t="b">
        <f t="shared" si="46"/>
        <v>0</v>
      </c>
      <c r="P50" s="251" t="str">
        <f>IF(O50,BENEFIT_PARAMETERS!$C$76,"N/A")</f>
        <v>N/A</v>
      </c>
      <c r="Q50" s="288" t="str">
        <f>IF(P50="Yes", BENEFIT_PARAMETERS!$D$76,"N/A")</f>
        <v>N/A</v>
      </c>
      <c r="R50" s="253" t="str">
        <f t="shared" si="109"/>
        <v>N/A</v>
      </c>
      <c r="S50" s="217">
        <f t="shared" si="47"/>
        <v>0</v>
      </c>
      <c r="T50" s="215">
        <f t="shared" si="74"/>
        <v>0</v>
      </c>
      <c r="U50" s="214" t="b">
        <f t="shared" si="48"/>
        <v>0</v>
      </c>
      <c r="V50" s="251" t="str">
        <f>IF(O50,BENEFIT_PARAMETERS!$C$77,"N/A")</f>
        <v>N/A</v>
      </c>
      <c r="W50" s="288" t="str">
        <f>IF(V50="Yes", BENEFIT_PARAMETERS!$D$77,"N/A")</f>
        <v>N/A</v>
      </c>
      <c r="X50" s="253" t="str">
        <f>IF(O50,COUNTIF(Z$3:Z49,"&gt;0"),"N/A")</f>
        <v>N/A</v>
      </c>
      <c r="Y50" s="217" t="str">
        <f t="shared" si="75"/>
        <v>N/A</v>
      </c>
      <c r="Z50" s="293" t="str">
        <f t="shared" si="49"/>
        <v>N/A</v>
      </c>
      <c r="AA50" s="293">
        <f t="shared" si="50"/>
        <v>0</v>
      </c>
      <c r="AB50" s="293" t="str">
        <f t="shared" si="76"/>
        <v>N/A</v>
      </c>
      <c r="AC50" s="215">
        <f t="shared" si="51"/>
        <v>0</v>
      </c>
      <c r="AD50" s="214" t="b">
        <f t="shared" si="77"/>
        <v>0</v>
      </c>
      <c r="AE50" s="209" t="str">
        <f t="shared" si="78"/>
        <v>.</v>
      </c>
      <c r="AF50" s="216">
        <f t="shared" si="79"/>
        <v>0</v>
      </c>
      <c r="AG50" s="217" t="str">
        <f t="shared" si="80"/>
        <v>N/A</v>
      </c>
      <c r="AH50" s="217" t="b">
        <f t="shared" si="81"/>
        <v>0</v>
      </c>
      <c r="AI50" s="209" t="str">
        <f t="shared" si="82"/>
        <v>.</v>
      </c>
      <c r="AJ50" s="216">
        <f t="shared" si="83"/>
        <v>5</v>
      </c>
      <c r="AK50" s="217" t="str">
        <f t="shared" si="84"/>
        <v>N/A</v>
      </c>
      <c r="AL50" s="217">
        <f t="shared" si="52"/>
        <v>0</v>
      </c>
      <c r="AM50" s="215">
        <f t="shared" si="53"/>
        <v>0</v>
      </c>
      <c r="AN50" s="219" t="b">
        <f t="shared" si="85"/>
        <v>0</v>
      </c>
      <c r="AO50" s="217" t="str">
        <f t="shared" si="86"/>
        <v>N/A</v>
      </c>
      <c r="AP50" s="217" t="str">
        <f>IF(AND(ISNUMBER(AO50),AN50=TRUE),MAX(0,AO50-SUMIFS($AM$3:$AM49,AN$3:AN49,TRUE)),IF(AND(AN50=TRUE,ISNUMBER(AO50)=FALSE),"ERR","N/A"))</f>
        <v>N/A</v>
      </c>
      <c r="AQ50" s="215" t="str">
        <f t="shared" si="87"/>
        <v>N/A</v>
      </c>
      <c r="AR50" s="219" t="b">
        <f t="shared" si="88"/>
        <v>0</v>
      </c>
      <c r="AS50" s="217" t="str">
        <f t="shared" si="89"/>
        <v>N/A</v>
      </c>
      <c r="AT50" s="217" t="str">
        <f>IF(AND(AR50=TRUE,ISNUMBER(AS50)),MAX(0,AS50-SUMIFS($AM$3:$AM49,AR$3:AR49,TRUE)),IF(AND(AR50=TRUE,ISNUMBER(AS50)=FALSE),"ERR","N/A"))</f>
        <v>N/A</v>
      </c>
      <c r="AU50" s="215" t="str">
        <f t="shared" si="90"/>
        <v>N/A</v>
      </c>
      <c r="AV50" s="219" t="b">
        <f t="shared" si="91"/>
        <v>0</v>
      </c>
      <c r="AW50" s="217" t="str">
        <f t="shared" si="92"/>
        <v>N/A</v>
      </c>
      <c r="AX50" s="217" t="str">
        <f>IF(AND(AV50=TRUE,ISNUMBER(AW50)),MAX(0,AW50-SUMIFS($AM$3:$AM49,AV$3:AV49,TRUE)),IF(AND(AV50=TRUE,ISNUMBER(AW50)=FALSE),"ERR","N/A"))</f>
        <v>N/A</v>
      </c>
      <c r="AY50" s="215" t="str">
        <f t="shared" si="93"/>
        <v>N/A</v>
      </c>
      <c r="AZ50" s="219" t="b">
        <f t="shared" si="94"/>
        <v>0</v>
      </c>
      <c r="BA50" s="217" t="str">
        <f t="shared" si="95"/>
        <v>N/A</v>
      </c>
      <c r="BB50" s="217" t="str">
        <f>IF(AND(AZ50=TRUE,ISNUMBER(BA50)),MAX(0,BA50-SUMIFS($AM$3:$AM49,AZ$3:AZ49,TRUE)),IF(AND(AZ50=TRUE,ISNUMBER(BA50)=FALSE),"ERR","N/A"))</f>
        <v>N/A</v>
      </c>
      <c r="BC50" s="215" t="str">
        <f t="shared" si="96"/>
        <v>N/A</v>
      </c>
      <c r="BD50" s="219" t="b">
        <f t="shared" si="97"/>
        <v>0</v>
      </c>
      <c r="BE50" s="217" t="str">
        <f t="shared" si="98"/>
        <v>N/A</v>
      </c>
      <c r="BF50" s="217" t="str">
        <f>IF(AND(BD50=TRUE,ISNUMBER(BE50)=TRUE),MAX(0,BE50-SUMIFS(AM$3:AM49,BD$3:BD49,TRUE,F$3:F49,F50)),IF(AND(BD50=TRUE,ISNUMBER(BE50)=FALSE),"ERR","N/A"))</f>
        <v>N/A</v>
      </c>
      <c r="BG50" s="215" t="str">
        <f t="shared" si="99"/>
        <v>N/A</v>
      </c>
      <c r="BH50" s="214">
        <f t="shared" si="100"/>
        <v>0</v>
      </c>
      <c r="BI50" s="215">
        <f t="shared" si="54"/>
        <v>0</v>
      </c>
      <c r="BJ50" s="214" t="str">
        <f t="shared" si="55"/>
        <v>N/A</v>
      </c>
      <c r="BK50" s="217">
        <f t="shared" si="101"/>
        <v>0</v>
      </c>
      <c r="BL50" s="220" t="b">
        <f t="shared" si="102"/>
        <v>0</v>
      </c>
      <c r="BM50" s="217" t="str">
        <f t="shared" si="103"/>
        <v>N/A</v>
      </c>
      <c r="BN50" s="217" t="str">
        <f t="shared" si="56"/>
        <v>N/A</v>
      </c>
      <c r="BO50" s="220" t="b">
        <f t="shared" si="104"/>
        <v>0</v>
      </c>
      <c r="BP50" s="244" t="str">
        <f t="shared" si="105"/>
        <v>N/A</v>
      </c>
      <c r="BQ50" s="217" t="str">
        <f t="shared" si="57"/>
        <v>N/A</v>
      </c>
      <c r="BR50" s="215">
        <f t="shared" si="58"/>
        <v>0</v>
      </c>
      <c r="BS50" s="214" t="str">
        <f t="shared" si="59"/>
        <v>N/A</v>
      </c>
      <c r="BT50" s="217">
        <f t="shared" si="60"/>
        <v>0</v>
      </c>
      <c r="BU50" s="215">
        <f t="shared" si="61"/>
        <v>0</v>
      </c>
      <c r="BV50" s="214">
        <f t="shared" si="62"/>
        <v>0</v>
      </c>
      <c r="BW50" s="217">
        <f t="shared" si="106"/>
        <v>3.21</v>
      </c>
      <c r="BX50" s="217">
        <f t="shared" si="107"/>
        <v>0</v>
      </c>
      <c r="BY50" s="217">
        <f t="shared" si="63"/>
        <v>0</v>
      </c>
      <c r="BZ50" s="217">
        <f t="shared" si="42"/>
        <v>0</v>
      </c>
      <c r="CA50" s="217">
        <f t="shared" si="64"/>
        <v>0</v>
      </c>
      <c r="CB50" s="213" t="b">
        <f t="shared" si="108"/>
        <v>1</v>
      </c>
    </row>
    <row r="51" spans="1:80" x14ac:dyDescent="0.25">
      <c r="A51" s="207">
        <v>48</v>
      </c>
      <c r="B51" s="208">
        <v>42523</v>
      </c>
      <c r="C51" s="209">
        <v>6</v>
      </c>
      <c r="D51" s="210">
        <v>19</v>
      </c>
      <c r="E51" s="211" t="str">
        <f t="shared" si="65"/>
        <v>Lisinopril 20mg (Rx) [1 QD; #30 pills/month]</v>
      </c>
      <c r="F51" s="212" t="str">
        <f t="shared" si="66"/>
        <v>Prescription Drugs: Generic</v>
      </c>
      <c r="G51" s="213" t="str">
        <f t="shared" si="67"/>
        <v>Not Covered</v>
      </c>
      <c r="H51" s="214">
        <f t="shared" si="68"/>
        <v>3.38</v>
      </c>
      <c r="I51" s="217">
        <f t="shared" si="69"/>
        <v>3.38</v>
      </c>
      <c r="J51" s="251">
        <f t="shared" si="70"/>
        <v>0</v>
      </c>
      <c r="K51" s="214" t="b">
        <f t="shared" si="71"/>
        <v>0</v>
      </c>
      <c r="L51" s="218" t="str">
        <f t="shared" si="72"/>
        <v>No</v>
      </c>
      <c r="M51" s="217" t="str">
        <f t="shared" si="73"/>
        <v>.</v>
      </c>
      <c r="N51" s="215" t="str">
        <f>IFERROR(IF(AND(L51="Yes",ISNUMBER(M51)),MAX(0,M51-SUMIFS(BU$3:BU50,L$3:L50,"Yes")),IF(OR(L51="No",M51="None"),"N/A","ERR")),"ERR")</f>
        <v>N/A</v>
      </c>
      <c r="O51" s="251" t="b">
        <f t="shared" si="46"/>
        <v>0</v>
      </c>
      <c r="P51" s="251" t="str">
        <f>IF(O51,BENEFIT_PARAMETERS!$C$76,"N/A")</f>
        <v>N/A</v>
      </c>
      <c r="Q51" s="288" t="str">
        <f>IF(P51="Yes", BENEFIT_PARAMETERS!$D$76,"N/A")</f>
        <v>N/A</v>
      </c>
      <c r="R51" s="253" t="str">
        <f t="shared" si="109"/>
        <v>N/A</v>
      </c>
      <c r="S51" s="217">
        <f t="shared" si="47"/>
        <v>0</v>
      </c>
      <c r="T51" s="215">
        <f t="shared" si="74"/>
        <v>0</v>
      </c>
      <c r="U51" s="214" t="b">
        <f t="shared" si="48"/>
        <v>0</v>
      </c>
      <c r="V51" s="251" t="str">
        <f>IF(O51,BENEFIT_PARAMETERS!$C$77,"N/A")</f>
        <v>N/A</v>
      </c>
      <c r="W51" s="288" t="str">
        <f>IF(V51="Yes", BENEFIT_PARAMETERS!$D$77,"N/A")</f>
        <v>N/A</v>
      </c>
      <c r="X51" s="253" t="str">
        <f>IF(O51,COUNTIF(Z$3:Z50,"&gt;0"),"N/A")</f>
        <v>N/A</v>
      </c>
      <c r="Y51" s="217" t="str">
        <f t="shared" si="75"/>
        <v>N/A</v>
      </c>
      <c r="Z51" s="293" t="str">
        <f t="shared" si="49"/>
        <v>N/A</v>
      </c>
      <c r="AA51" s="293">
        <f t="shared" si="50"/>
        <v>0</v>
      </c>
      <c r="AB51" s="293" t="str">
        <f t="shared" si="76"/>
        <v>N/A</v>
      </c>
      <c r="AC51" s="215">
        <f t="shared" si="51"/>
        <v>0</v>
      </c>
      <c r="AD51" s="214" t="b">
        <f t="shared" si="77"/>
        <v>0</v>
      </c>
      <c r="AE51" s="209" t="str">
        <f t="shared" si="78"/>
        <v>.</v>
      </c>
      <c r="AF51" s="216">
        <f t="shared" si="79"/>
        <v>0</v>
      </c>
      <c r="AG51" s="217" t="str">
        <f t="shared" si="80"/>
        <v>N/A</v>
      </c>
      <c r="AH51" s="217" t="b">
        <f t="shared" si="81"/>
        <v>0</v>
      </c>
      <c r="AI51" s="209" t="str">
        <f t="shared" si="82"/>
        <v>.</v>
      </c>
      <c r="AJ51" s="216">
        <f t="shared" si="83"/>
        <v>5</v>
      </c>
      <c r="AK51" s="217" t="str">
        <f t="shared" si="84"/>
        <v>N/A</v>
      </c>
      <c r="AL51" s="217">
        <f t="shared" si="52"/>
        <v>0</v>
      </c>
      <c r="AM51" s="215">
        <f t="shared" si="53"/>
        <v>0</v>
      </c>
      <c r="AN51" s="219" t="b">
        <f t="shared" si="85"/>
        <v>0</v>
      </c>
      <c r="AO51" s="217" t="str">
        <f t="shared" si="86"/>
        <v>N/A</v>
      </c>
      <c r="AP51" s="217" t="str">
        <f>IF(AND(ISNUMBER(AO51),AN51=TRUE),MAX(0,AO51-SUMIFS($AM$3:$AM50,AN$3:AN50,TRUE)),IF(AND(AN51=TRUE,ISNUMBER(AO51)=FALSE),"ERR","N/A"))</f>
        <v>N/A</v>
      </c>
      <c r="AQ51" s="215" t="str">
        <f t="shared" si="87"/>
        <v>N/A</v>
      </c>
      <c r="AR51" s="219" t="b">
        <f t="shared" si="88"/>
        <v>0</v>
      </c>
      <c r="AS51" s="217" t="str">
        <f t="shared" si="89"/>
        <v>N/A</v>
      </c>
      <c r="AT51" s="217" t="str">
        <f>IF(AND(AR51=TRUE,ISNUMBER(AS51)),MAX(0,AS51-SUMIFS($AM$3:$AM50,AR$3:AR50,TRUE)),IF(AND(AR51=TRUE,ISNUMBER(AS51)=FALSE),"ERR","N/A"))</f>
        <v>N/A</v>
      </c>
      <c r="AU51" s="215" t="str">
        <f t="shared" si="90"/>
        <v>N/A</v>
      </c>
      <c r="AV51" s="219" t="b">
        <f t="shared" si="91"/>
        <v>0</v>
      </c>
      <c r="AW51" s="217" t="str">
        <f t="shared" si="92"/>
        <v>N/A</v>
      </c>
      <c r="AX51" s="217" t="str">
        <f>IF(AND(AV51=TRUE,ISNUMBER(AW51)),MAX(0,AW51-SUMIFS($AM$3:$AM50,AV$3:AV50,TRUE)),IF(AND(AV51=TRUE,ISNUMBER(AW51)=FALSE),"ERR","N/A"))</f>
        <v>N/A</v>
      </c>
      <c r="AY51" s="215" t="str">
        <f t="shared" si="93"/>
        <v>N/A</v>
      </c>
      <c r="AZ51" s="219" t="b">
        <f t="shared" si="94"/>
        <v>0</v>
      </c>
      <c r="BA51" s="217" t="str">
        <f t="shared" si="95"/>
        <v>N/A</v>
      </c>
      <c r="BB51" s="217" t="str">
        <f>IF(AND(AZ51=TRUE,ISNUMBER(BA51)),MAX(0,BA51-SUMIFS($AM$3:$AM50,AZ$3:AZ50,TRUE)),IF(AND(AZ51=TRUE,ISNUMBER(BA51)=FALSE),"ERR","N/A"))</f>
        <v>N/A</v>
      </c>
      <c r="BC51" s="215" t="str">
        <f t="shared" si="96"/>
        <v>N/A</v>
      </c>
      <c r="BD51" s="219" t="b">
        <f t="shared" si="97"/>
        <v>0</v>
      </c>
      <c r="BE51" s="217" t="str">
        <f t="shared" si="98"/>
        <v>N/A</v>
      </c>
      <c r="BF51" s="217" t="str">
        <f>IF(AND(BD51=TRUE,ISNUMBER(BE51)=TRUE),MAX(0,BE51-SUMIFS(AM$3:AM50,BD$3:BD50,TRUE,F$3:F50,F51)),IF(AND(BD51=TRUE,ISNUMBER(BE51)=FALSE),"ERR","N/A"))</f>
        <v>N/A</v>
      </c>
      <c r="BG51" s="215" t="str">
        <f t="shared" si="99"/>
        <v>N/A</v>
      </c>
      <c r="BH51" s="214">
        <f t="shared" si="100"/>
        <v>0</v>
      </c>
      <c r="BI51" s="215">
        <f t="shared" si="54"/>
        <v>0</v>
      </c>
      <c r="BJ51" s="214" t="str">
        <f t="shared" si="55"/>
        <v>N/A</v>
      </c>
      <c r="BK51" s="217">
        <f t="shared" si="101"/>
        <v>0</v>
      </c>
      <c r="BL51" s="220" t="b">
        <f t="shared" si="102"/>
        <v>0</v>
      </c>
      <c r="BM51" s="217" t="str">
        <f t="shared" si="103"/>
        <v>N/A</v>
      </c>
      <c r="BN51" s="217" t="str">
        <f t="shared" si="56"/>
        <v>N/A</v>
      </c>
      <c r="BO51" s="220" t="b">
        <f t="shared" si="104"/>
        <v>0</v>
      </c>
      <c r="BP51" s="244" t="str">
        <f t="shared" si="105"/>
        <v>N/A</v>
      </c>
      <c r="BQ51" s="217" t="str">
        <f t="shared" si="57"/>
        <v>N/A</v>
      </c>
      <c r="BR51" s="215">
        <f t="shared" si="58"/>
        <v>0</v>
      </c>
      <c r="BS51" s="214" t="str">
        <f t="shared" si="59"/>
        <v>N/A</v>
      </c>
      <c r="BT51" s="217">
        <f t="shared" si="60"/>
        <v>0</v>
      </c>
      <c r="BU51" s="215">
        <f t="shared" si="61"/>
        <v>0</v>
      </c>
      <c r="BV51" s="214">
        <f t="shared" si="62"/>
        <v>0</v>
      </c>
      <c r="BW51" s="217">
        <f t="shared" si="106"/>
        <v>3.38</v>
      </c>
      <c r="BX51" s="217">
        <f t="shared" si="107"/>
        <v>0</v>
      </c>
      <c r="BY51" s="217">
        <f t="shared" si="63"/>
        <v>0</v>
      </c>
      <c r="BZ51" s="217">
        <f t="shared" si="42"/>
        <v>0</v>
      </c>
      <c r="CA51" s="217">
        <f t="shared" si="64"/>
        <v>0</v>
      </c>
      <c r="CB51" s="213" t="b">
        <f t="shared" si="108"/>
        <v>1</v>
      </c>
    </row>
    <row r="52" spans="1:80" x14ac:dyDescent="0.25">
      <c r="A52" s="207">
        <v>49</v>
      </c>
      <c r="B52" s="208">
        <v>42541</v>
      </c>
      <c r="C52" s="209">
        <v>6</v>
      </c>
      <c r="D52" s="210">
        <v>26</v>
      </c>
      <c r="E52" s="211" t="str">
        <f t="shared" si="65"/>
        <v>Aspirin 81mg (OTC - bottle 100) [usage = 1 QD; #30 pills per month]</v>
      </c>
      <c r="F52" s="212" t="str">
        <f t="shared" si="66"/>
        <v>Over-the-counter Drugs</v>
      </c>
      <c r="G52" s="213" t="str">
        <f t="shared" si="67"/>
        <v>Not Covered</v>
      </c>
      <c r="H52" s="214">
        <f t="shared" si="68"/>
        <v>4.47</v>
      </c>
      <c r="I52" s="217">
        <f t="shared" si="69"/>
        <v>4.47</v>
      </c>
      <c r="J52" s="251">
        <f t="shared" si="70"/>
        <v>0</v>
      </c>
      <c r="K52" s="214" t="b">
        <f t="shared" si="71"/>
        <v>0</v>
      </c>
      <c r="L52" s="218" t="str">
        <f t="shared" si="72"/>
        <v>No</v>
      </c>
      <c r="M52" s="217" t="str">
        <f t="shared" si="73"/>
        <v>.</v>
      </c>
      <c r="N52" s="215" t="str">
        <f>IFERROR(IF(AND(L52="Yes",ISNUMBER(M52)),MAX(0,M52-SUMIFS(BU$3:BU51,L$3:L51,"Yes")),IF(OR(L52="No",M52="None"),"N/A","ERR")),"ERR")</f>
        <v>N/A</v>
      </c>
      <c r="O52" s="251" t="b">
        <f t="shared" si="46"/>
        <v>0</v>
      </c>
      <c r="P52" s="251" t="str">
        <f>IF(O52,BENEFIT_PARAMETERS!$C$76,"N/A")</f>
        <v>N/A</v>
      </c>
      <c r="Q52" s="288" t="str">
        <f>IF(P52="Yes", BENEFIT_PARAMETERS!$D$76,"N/A")</f>
        <v>N/A</v>
      </c>
      <c r="R52" s="253" t="str">
        <f t="shared" si="109"/>
        <v>N/A</v>
      </c>
      <c r="S52" s="217">
        <f t="shared" si="47"/>
        <v>0</v>
      </c>
      <c r="T52" s="215">
        <f t="shared" si="74"/>
        <v>0</v>
      </c>
      <c r="U52" s="214" t="b">
        <f t="shared" si="48"/>
        <v>0</v>
      </c>
      <c r="V52" s="251" t="str">
        <f>IF(O52,BENEFIT_PARAMETERS!$C$77,"N/A")</f>
        <v>N/A</v>
      </c>
      <c r="W52" s="288" t="str">
        <f>IF(V52="Yes", BENEFIT_PARAMETERS!$D$77,"N/A")</f>
        <v>N/A</v>
      </c>
      <c r="X52" s="253" t="str">
        <f>IF(O52,COUNTIF(Z$3:Z51,"&gt;0"),"N/A")</f>
        <v>N/A</v>
      </c>
      <c r="Y52" s="217" t="str">
        <f t="shared" si="75"/>
        <v>N/A</v>
      </c>
      <c r="Z52" s="293" t="str">
        <f t="shared" si="49"/>
        <v>N/A</v>
      </c>
      <c r="AA52" s="293">
        <f t="shared" si="50"/>
        <v>0</v>
      </c>
      <c r="AB52" s="293" t="str">
        <f t="shared" si="76"/>
        <v>N/A</v>
      </c>
      <c r="AC52" s="215">
        <f t="shared" si="51"/>
        <v>0</v>
      </c>
      <c r="AD52" s="214" t="b">
        <f t="shared" si="77"/>
        <v>0</v>
      </c>
      <c r="AE52" s="209" t="str">
        <f t="shared" si="78"/>
        <v>.</v>
      </c>
      <c r="AF52" s="216">
        <f t="shared" si="79"/>
        <v>0</v>
      </c>
      <c r="AG52" s="217" t="str">
        <f t="shared" si="80"/>
        <v>N/A</v>
      </c>
      <c r="AH52" s="217" t="b">
        <f t="shared" si="81"/>
        <v>0</v>
      </c>
      <c r="AI52" s="209" t="str">
        <f t="shared" si="82"/>
        <v>.</v>
      </c>
      <c r="AJ52" s="216">
        <f t="shared" si="83"/>
        <v>2</v>
      </c>
      <c r="AK52" s="217" t="str">
        <f t="shared" si="84"/>
        <v>N/A</v>
      </c>
      <c r="AL52" s="217">
        <f t="shared" si="52"/>
        <v>0</v>
      </c>
      <c r="AM52" s="215">
        <f t="shared" si="53"/>
        <v>0</v>
      </c>
      <c r="AN52" s="219" t="b">
        <f t="shared" si="85"/>
        <v>0</v>
      </c>
      <c r="AO52" s="217" t="str">
        <f t="shared" si="86"/>
        <v>N/A</v>
      </c>
      <c r="AP52" s="217" t="str">
        <f>IF(AND(ISNUMBER(AO52),AN52=TRUE),MAX(0,AO52-SUMIFS($AM$3:$AM51,AN$3:AN51,TRUE)),IF(AND(AN52=TRUE,ISNUMBER(AO52)=FALSE),"ERR","N/A"))</f>
        <v>N/A</v>
      </c>
      <c r="AQ52" s="215" t="str">
        <f t="shared" si="87"/>
        <v>N/A</v>
      </c>
      <c r="AR52" s="219" t="b">
        <f t="shared" si="88"/>
        <v>0</v>
      </c>
      <c r="AS52" s="217" t="str">
        <f t="shared" si="89"/>
        <v>N/A</v>
      </c>
      <c r="AT52" s="217" t="str">
        <f>IF(AND(AR52=TRUE,ISNUMBER(AS52)),MAX(0,AS52-SUMIFS($AM$3:$AM51,AR$3:AR51,TRUE)),IF(AND(AR52=TRUE,ISNUMBER(AS52)=FALSE),"ERR","N/A"))</f>
        <v>N/A</v>
      </c>
      <c r="AU52" s="215" t="str">
        <f t="shared" si="90"/>
        <v>N/A</v>
      </c>
      <c r="AV52" s="219" t="b">
        <f t="shared" si="91"/>
        <v>0</v>
      </c>
      <c r="AW52" s="217" t="str">
        <f t="shared" si="92"/>
        <v>N/A</v>
      </c>
      <c r="AX52" s="217" t="str">
        <f>IF(AND(AV52=TRUE,ISNUMBER(AW52)),MAX(0,AW52-SUMIFS($AM$3:$AM51,AV$3:AV51,TRUE)),IF(AND(AV52=TRUE,ISNUMBER(AW52)=FALSE),"ERR","N/A"))</f>
        <v>N/A</v>
      </c>
      <c r="AY52" s="215" t="str">
        <f t="shared" si="93"/>
        <v>N/A</v>
      </c>
      <c r="AZ52" s="219" t="b">
        <f t="shared" si="94"/>
        <v>0</v>
      </c>
      <c r="BA52" s="217" t="str">
        <f t="shared" si="95"/>
        <v>N/A</v>
      </c>
      <c r="BB52" s="217" t="str">
        <f>IF(AND(AZ52=TRUE,ISNUMBER(BA52)),MAX(0,BA52-SUMIFS($AM$3:$AM51,AZ$3:AZ51,TRUE)),IF(AND(AZ52=TRUE,ISNUMBER(BA52)=FALSE),"ERR","N/A"))</f>
        <v>N/A</v>
      </c>
      <c r="BC52" s="215" t="str">
        <f t="shared" si="96"/>
        <v>N/A</v>
      </c>
      <c r="BD52" s="219" t="b">
        <f t="shared" si="97"/>
        <v>0</v>
      </c>
      <c r="BE52" s="217" t="str">
        <f t="shared" si="98"/>
        <v>N/A</v>
      </c>
      <c r="BF52" s="217" t="str">
        <f>IF(AND(BD52=TRUE,ISNUMBER(BE52)=TRUE),MAX(0,BE52-SUMIFS(AM$3:AM51,BD$3:BD51,TRUE,F$3:F51,F52)),IF(AND(BD52=TRUE,ISNUMBER(BE52)=FALSE),"ERR","N/A"))</f>
        <v>N/A</v>
      </c>
      <c r="BG52" s="215" t="str">
        <f t="shared" si="99"/>
        <v>N/A</v>
      </c>
      <c r="BH52" s="214">
        <f t="shared" si="100"/>
        <v>0</v>
      </c>
      <c r="BI52" s="215">
        <f t="shared" si="54"/>
        <v>0</v>
      </c>
      <c r="BJ52" s="214" t="str">
        <f t="shared" si="55"/>
        <v>N/A</v>
      </c>
      <c r="BK52" s="217">
        <f t="shared" si="101"/>
        <v>0</v>
      </c>
      <c r="BL52" s="220" t="b">
        <f t="shared" si="102"/>
        <v>0</v>
      </c>
      <c r="BM52" s="217" t="str">
        <f t="shared" si="103"/>
        <v>N/A</v>
      </c>
      <c r="BN52" s="217" t="str">
        <f t="shared" si="56"/>
        <v>N/A</v>
      </c>
      <c r="BO52" s="220" t="b">
        <f t="shared" si="104"/>
        <v>0</v>
      </c>
      <c r="BP52" s="244" t="str">
        <f t="shared" si="105"/>
        <v>N/A</v>
      </c>
      <c r="BQ52" s="217" t="str">
        <f t="shared" si="57"/>
        <v>N/A</v>
      </c>
      <c r="BR52" s="215">
        <f t="shared" si="58"/>
        <v>0</v>
      </c>
      <c r="BS52" s="214" t="str">
        <f t="shared" si="59"/>
        <v>N/A</v>
      </c>
      <c r="BT52" s="217">
        <f t="shared" si="60"/>
        <v>0</v>
      </c>
      <c r="BU52" s="215">
        <f t="shared" si="61"/>
        <v>0</v>
      </c>
      <c r="BV52" s="214">
        <f t="shared" si="62"/>
        <v>0</v>
      </c>
      <c r="BW52" s="217">
        <f t="shared" si="106"/>
        <v>4.47</v>
      </c>
      <c r="BX52" s="217">
        <f t="shared" si="107"/>
        <v>0</v>
      </c>
      <c r="BY52" s="217">
        <f t="shared" si="63"/>
        <v>0</v>
      </c>
      <c r="BZ52" s="217">
        <f t="shared" si="42"/>
        <v>0</v>
      </c>
      <c r="CA52" s="217">
        <f t="shared" si="64"/>
        <v>0</v>
      </c>
      <c r="CB52" s="213" t="b">
        <f t="shared" si="108"/>
        <v>1</v>
      </c>
    </row>
    <row r="53" spans="1:80" x14ac:dyDescent="0.25">
      <c r="A53" s="207">
        <v>50</v>
      </c>
      <c r="B53" s="208">
        <v>42541</v>
      </c>
      <c r="C53" s="209">
        <v>6</v>
      </c>
      <c r="D53" s="210">
        <v>17</v>
      </c>
      <c r="E53" s="211" t="str">
        <f t="shared" si="65"/>
        <v>Insulin glargine 100 unit/ml injectable solution (Rx - 10ml vial)  [20 units QD; expires 28 days after first use]</v>
      </c>
      <c r="F53" s="212" t="str">
        <f t="shared" si="66"/>
        <v>Prescription Drugs: Insulin</v>
      </c>
      <c r="G53" s="213" t="str">
        <f t="shared" si="67"/>
        <v>Not Covered</v>
      </c>
      <c r="H53" s="214">
        <f t="shared" si="68"/>
        <v>240.37</v>
      </c>
      <c r="I53" s="217">
        <f t="shared" si="69"/>
        <v>240.37</v>
      </c>
      <c r="J53" s="251">
        <f t="shared" si="70"/>
        <v>0</v>
      </c>
      <c r="K53" s="214" t="b">
        <f t="shared" si="71"/>
        <v>0</v>
      </c>
      <c r="L53" s="218" t="str">
        <f t="shared" si="72"/>
        <v>No</v>
      </c>
      <c r="M53" s="217" t="str">
        <f t="shared" si="73"/>
        <v>.</v>
      </c>
      <c r="N53" s="215" t="str">
        <f>IFERROR(IF(AND(L53="Yes",ISNUMBER(M53)),MAX(0,M53-SUMIFS(BU$3:BU52,L$3:L52,"Yes")),IF(OR(L53="No",M53="None"),"N/A","ERR")),"ERR")</f>
        <v>N/A</v>
      </c>
      <c r="O53" s="251" t="b">
        <f t="shared" si="46"/>
        <v>0</v>
      </c>
      <c r="P53" s="251" t="str">
        <f>IF(O53,BENEFIT_PARAMETERS!$C$76,"N/A")</f>
        <v>N/A</v>
      </c>
      <c r="Q53" s="288" t="str">
        <f>IF(P53="Yes", BENEFIT_PARAMETERS!$D$76,"N/A")</f>
        <v>N/A</v>
      </c>
      <c r="R53" s="253" t="str">
        <f t="shared" si="109"/>
        <v>N/A</v>
      </c>
      <c r="S53" s="217">
        <f t="shared" si="47"/>
        <v>0</v>
      </c>
      <c r="T53" s="215">
        <f t="shared" si="74"/>
        <v>0</v>
      </c>
      <c r="U53" s="214" t="b">
        <f t="shared" si="48"/>
        <v>0</v>
      </c>
      <c r="V53" s="251" t="str">
        <f>IF(O53,BENEFIT_PARAMETERS!$C$77,"N/A")</f>
        <v>N/A</v>
      </c>
      <c r="W53" s="288" t="str">
        <f>IF(V53="Yes", BENEFIT_PARAMETERS!$D$77,"N/A")</f>
        <v>N/A</v>
      </c>
      <c r="X53" s="253" t="str">
        <f>IF(O53,COUNTIF(Z$3:Z52,"&gt;0"),"N/A")</f>
        <v>N/A</v>
      </c>
      <c r="Y53" s="217" t="str">
        <f t="shared" si="75"/>
        <v>N/A</v>
      </c>
      <c r="Z53" s="293" t="str">
        <f t="shared" si="49"/>
        <v>N/A</v>
      </c>
      <c r="AA53" s="293">
        <f t="shared" si="50"/>
        <v>0</v>
      </c>
      <c r="AB53" s="293" t="str">
        <f t="shared" si="76"/>
        <v>N/A</v>
      </c>
      <c r="AC53" s="215">
        <f t="shared" si="51"/>
        <v>0</v>
      </c>
      <c r="AD53" s="214" t="b">
        <f t="shared" si="77"/>
        <v>0</v>
      </c>
      <c r="AE53" s="209" t="str">
        <f t="shared" si="78"/>
        <v>.</v>
      </c>
      <c r="AF53" s="216">
        <f t="shared" si="79"/>
        <v>0</v>
      </c>
      <c r="AG53" s="217" t="str">
        <f t="shared" si="80"/>
        <v>N/A</v>
      </c>
      <c r="AH53" s="217" t="b">
        <f t="shared" si="81"/>
        <v>0</v>
      </c>
      <c r="AI53" s="209" t="str">
        <f t="shared" si="82"/>
        <v>.</v>
      </c>
      <c r="AJ53" s="216">
        <f t="shared" si="83"/>
        <v>6</v>
      </c>
      <c r="AK53" s="217" t="str">
        <f t="shared" si="84"/>
        <v>N/A</v>
      </c>
      <c r="AL53" s="217">
        <f t="shared" si="52"/>
        <v>0</v>
      </c>
      <c r="AM53" s="215">
        <f t="shared" si="53"/>
        <v>0</v>
      </c>
      <c r="AN53" s="219" t="b">
        <f t="shared" si="85"/>
        <v>0</v>
      </c>
      <c r="AO53" s="217" t="str">
        <f t="shared" si="86"/>
        <v>N/A</v>
      </c>
      <c r="AP53" s="217" t="str">
        <f>IF(AND(ISNUMBER(AO53),AN53=TRUE),MAX(0,AO53-SUMIFS($AM$3:$AM52,AN$3:AN52,TRUE)),IF(AND(AN53=TRUE,ISNUMBER(AO53)=FALSE),"ERR","N/A"))</f>
        <v>N/A</v>
      </c>
      <c r="AQ53" s="215" t="str">
        <f t="shared" si="87"/>
        <v>N/A</v>
      </c>
      <c r="AR53" s="219" t="b">
        <f t="shared" si="88"/>
        <v>0</v>
      </c>
      <c r="AS53" s="217" t="str">
        <f t="shared" si="89"/>
        <v>N/A</v>
      </c>
      <c r="AT53" s="217" t="str">
        <f>IF(AND(AR53=TRUE,ISNUMBER(AS53)),MAX(0,AS53-SUMIFS($AM$3:$AM52,AR$3:AR52,TRUE)),IF(AND(AR53=TRUE,ISNUMBER(AS53)=FALSE),"ERR","N/A"))</f>
        <v>N/A</v>
      </c>
      <c r="AU53" s="215" t="str">
        <f t="shared" si="90"/>
        <v>N/A</v>
      </c>
      <c r="AV53" s="219" t="b">
        <f t="shared" si="91"/>
        <v>0</v>
      </c>
      <c r="AW53" s="217" t="str">
        <f t="shared" si="92"/>
        <v>N/A</v>
      </c>
      <c r="AX53" s="217" t="str">
        <f>IF(AND(AV53=TRUE,ISNUMBER(AW53)),MAX(0,AW53-SUMIFS($AM$3:$AM52,AV$3:AV52,TRUE)),IF(AND(AV53=TRUE,ISNUMBER(AW53)=FALSE),"ERR","N/A"))</f>
        <v>N/A</v>
      </c>
      <c r="AY53" s="215" t="str">
        <f t="shared" si="93"/>
        <v>N/A</v>
      </c>
      <c r="AZ53" s="219" t="b">
        <f t="shared" si="94"/>
        <v>0</v>
      </c>
      <c r="BA53" s="217" t="str">
        <f t="shared" si="95"/>
        <v>N/A</v>
      </c>
      <c r="BB53" s="217" t="str">
        <f>IF(AND(AZ53=TRUE,ISNUMBER(BA53)),MAX(0,BA53-SUMIFS($AM$3:$AM52,AZ$3:AZ52,TRUE)),IF(AND(AZ53=TRUE,ISNUMBER(BA53)=FALSE),"ERR","N/A"))</f>
        <v>N/A</v>
      </c>
      <c r="BC53" s="215" t="str">
        <f t="shared" si="96"/>
        <v>N/A</v>
      </c>
      <c r="BD53" s="219" t="b">
        <f t="shared" si="97"/>
        <v>0</v>
      </c>
      <c r="BE53" s="217" t="str">
        <f t="shared" si="98"/>
        <v>N/A</v>
      </c>
      <c r="BF53" s="217" t="str">
        <f>IF(AND(BD53=TRUE,ISNUMBER(BE53)=TRUE),MAX(0,BE53-SUMIFS(AM$3:AM52,BD$3:BD52,TRUE,F$3:F52,F53)),IF(AND(BD53=TRUE,ISNUMBER(BE53)=FALSE),"ERR","N/A"))</f>
        <v>N/A</v>
      </c>
      <c r="BG53" s="215" t="str">
        <f t="shared" si="99"/>
        <v>N/A</v>
      </c>
      <c r="BH53" s="214">
        <f t="shared" si="100"/>
        <v>0</v>
      </c>
      <c r="BI53" s="215">
        <f t="shared" si="54"/>
        <v>0</v>
      </c>
      <c r="BJ53" s="214" t="str">
        <f t="shared" si="55"/>
        <v>N/A</v>
      </c>
      <c r="BK53" s="217">
        <f t="shared" si="101"/>
        <v>0</v>
      </c>
      <c r="BL53" s="220" t="b">
        <f t="shared" si="102"/>
        <v>0</v>
      </c>
      <c r="BM53" s="217" t="str">
        <f t="shared" si="103"/>
        <v>N/A</v>
      </c>
      <c r="BN53" s="217" t="str">
        <f t="shared" si="56"/>
        <v>N/A</v>
      </c>
      <c r="BO53" s="220" t="b">
        <f t="shared" si="104"/>
        <v>0</v>
      </c>
      <c r="BP53" s="244" t="str">
        <f t="shared" si="105"/>
        <v>N/A</v>
      </c>
      <c r="BQ53" s="217" t="str">
        <f t="shared" si="57"/>
        <v>N/A</v>
      </c>
      <c r="BR53" s="215">
        <f t="shared" si="58"/>
        <v>0</v>
      </c>
      <c r="BS53" s="214" t="str">
        <f t="shared" si="59"/>
        <v>N/A</v>
      </c>
      <c r="BT53" s="217">
        <f t="shared" si="60"/>
        <v>0</v>
      </c>
      <c r="BU53" s="215">
        <f t="shared" si="61"/>
        <v>0</v>
      </c>
      <c r="BV53" s="214">
        <f t="shared" si="62"/>
        <v>0</v>
      </c>
      <c r="BW53" s="217">
        <f t="shared" si="106"/>
        <v>240.37</v>
      </c>
      <c r="BX53" s="217">
        <f t="shared" si="107"/>
        <v>0</v>
      </c>
      <c r="BY53" s="217">
        <f t="shared" si="63"/>
        <v>0</v>
      </c>
      <c r="BZ53" s="217">
        <f t="shared" si="42"/>
        <v>0</v>
      </c>
      <c r="CA53" s="217">
        <f t="shared" si="64"/>
        <v>0</v>
      </c>
      <c r="CB53" s="213" t="b">
        <f t="shared" si="108"/>
        <v>1</v>
      </c>
    </row>
    <row r="54" spans="1:80" x14ac:dyDescent="0.25">
      <c r="A54" s="207">
        <v>51</v>
      </c>
      <c r="B54" s="208">
        <v>42548</v>
      </c>
      <c r="C54" s="209">
        <v>6</v>
      </c>
      <c r="D54" s="210">
        <v>16</v>
      </c>
      <c r="E54" s="211" t="str">
        <f t="shared" si="65"/>
        <v>Glycosylated Hemoglobin Test</v>
      </c>
      <c r="F54" s="212" t="str">
        <f t="shared" si="66"/>
        <v>Diagnostic Services: Laboratory</v>
      </c>
      <c r="G54" s="213" t="str">
        <f t="shared" si="67"/>
        <v>Not Covered</v>
      </c>
      <c r="H54" s="214">
        <f t="shared" si="68"/>
        <v>16.98</v>
      </c>
      <c r="I54" s="217">
        <f t="shared" si="69"/>
        <v>16.98</v>
      </c>
      <c r="J54" s="251">
        <f t="shared" si="70"/>
        <v>0</v>
      </c>
      <c r="K54" s="214" t="b">
        <f t="shared" si="71"/>
        <v>0</v>
      </c>
      <c r="L54" s="218" t="str">
        <f t="shared" si="72"/>
        <v>No</v>
      </c>
      <c r="M54" s="217" t="str">
        <f t="shared" si="73"/>
        <v>.</v>
      </c>
      <c r="N54" s="215" t="str">
        <f>IFERROR(IF(AND(L54="Yes",ISNUMBER(M54)),MAX(0,M54-SUMIFS(BU$3:BU53,L$3:L53,"Yes")),IF(OR(L54="No",M54="None"),"N/A","ERR")),"ERR")</f>
        <v>N/A</v>
      </c>
      <c r="O54" s="251" t="b">
        <f t="shared" si="46"/>
        <v>0</v>
      </c>
      <c r="P54" s="251" t="str">
        <f>IF(O54,BENEFIT_PARAMETERS!$C$76,"N/A")</f>
        <v>N/A</v>
      </c>
      <c r="Q54" s="288" t="str">
        <f>IF(P54="Yes", BENEFIT_PARAMETERS!$D$76,"N/A")</f>
        <v>N/A</v>
      </c>
      <c r="R54" s="253" t="str">
        <f t="shared" si="109"/>
        <v>N/A</v>
      </c>
      <c r="S54" s="217">
        <f t="shared" si="47"/>
        <v>0</v>
      </c>
      <c r="T54" s="215">
        <f t="shared" si="74"/>
        <v>0</v>
      </c>
      <c r="U54" s="214" t="b">
        <f t="shared" si="48"/>
        <v>0</v>
      </c>
      <c r="V54" s="251" t="str">
        <f>IF(O54,BENEFIT_PARAMETERS!$C$77,"N/A")</f>
        <v>N/A</v>
      </c>
      <c r="W54" s="288" t="str">
        <f>IF(V54="Yes", BENEFIT_PARAMETERS!$D$77,"N/A")</f>
        <v>N/A</v>
      </c>
      <c r="X54" s="253" t="str">
        <f>IF(O54,COUNTIF(Z$3:Z53,"&gt;0"),"N/A")</f>
        <v>N/A</v>
      </c>
      <c r="Y54" s="217" t="str">
        <f t="shared" si="75"/>
        <v>N/A</v>
      </c>
      <c r="Z54" s="293" t="str">
        <f t="shared" si="49"/>
        <v>N/A</v>
      </c>
      <c r="AA54" s="293">
        <f t="shared" si="50"/>
        <v>0</v>
      </c>
      <c r="AB54" s="293" t="str">
        <f t="shared" si="76"/>
        <v>N/A</v>
      </c>
      <c r="AC54" s="215">
        <f t="shared" si="51"/>
        <v>0</v>
      </c>
      <c r="AD54" s="214" t="b">
        <f t="shared" si="77"/>
        <v>0</v>
      </c>
      <c r="AE54" s="209" t="str">
        <f t="shared" si="78"/>
        <v>.</v>
      </c>
      <c r="AF54" s="216">
        <f t="shared" si="79"/>
        <v>0</v>
      </c>
      <c r="AG54" s="217" t="str">
        <f t="shared" si="80"/>
        <v>N/A</v>
      </c>
      <c r="AH54" s="217" t="b">
        <f t="shared" si="81"/>
        <v>0</v>
      </c>
      <c r="AI54" s="209" t="str">
        <f t="shared" si="82"/>
        <v>.</v>
      </c>
      <c r="AJ54" s="216">
        <f t="shared" si="83"/>
        <v>1</v>
      </c>
      <c r="AK54" s="217" t="str">
        <f t="shared" si="84"/>
        <v>N/A</v>
      </c>
      <c r="AL54" s="217">
        <f t="shared" si="52"/>
        <v>0</v>
      </c>
      <c r="AM54" s="215">
        <f t="shared" si="53"/>
        <v>0</v>
      </c>
      <c r="AN54" s="219" t="b">
        <f t="shared" si="85"/>
        <v>0</v>
      </c>
      <c r="AO54" s="217" t="str">
        <f t="shared" si="86"/>
        <v>N/A</v>
      </c>
      <c r="AP54" s="217" t="str">
        <f>IF(AND(ISNUMBER(AO54),AN54=TRUE),MAX(0,AO54-SUMIFS($AM$3:$AM53,AN$3:AN53,TRUE)),IF(AND(AN54=TRUE,ISNUMBER(AO54)=FALSE),"ERR","N/A"))</f>
        <v>N/A</v>
      </c>
      <c r="AQ54" s="215" t="str">
        <f t="shared" si="87"/>
        <v>N/A</v>
      </c>
      <c r="AR54" s="219" t="b">
        <f t="shared" si="88"/>
        <v>0</v>
      </c>
      <c r="AS54" s="217" t="str">
        <f t="shared" si="89"/>
        <v>N/A</v>
      </c>
      <c r="AT54" s="217" t="str">
        <f>IF(AND(AR54=TRUE,ISNUMBER(AS54)),MAX(0,AS54-SUMIFS($AM$3:$AM53,AR$3:AR53,TRUE)),IF(AND(AR54=TRUE,ISNUMBER(AS54)=FALSE),"ERR","N/A"))</f>
        <v>N/A</v>
      </c>
      <c r="AU54" s="215" t="str">
        <f t="shared" si="90"/>
        <v>N/A</v>
      </c>
      <c r="AV54" s="219" t="b">
        <f t="shared" si="91"/>
        <v>0</v>
      </c>
      <c r="AW54" s="217" t="str">
        <f t="shared" si="92"/>
        <v>N/A</v>
      </c>
      <c r="AX54" s="217" t="str">
        <f>IF(AND(AV54=TRUE,ISNUMBER(AW54)),MAX(0,AW54-SUMIFS($AM$3:$AM53,AV$3:AV53,TRUE)),IF(AND(AV54=TRUE,ISNUMBER(AW54)=FALSE),"ERR","N/A"))</f>
        <v>N/A</v>
      </c>
      <c r="AY54" s="215" t="str">
        <f t="shared" si="93"/>
        <v>N/A</v>
      </c>
      <c r="AZ54" s="219" t="b">
        <f t="shared" si="94"/>
        <v>0</v>
      </c>
      <c r="BA54" s="217" t="str">
        <f t="shared" si="95"/>
        <v>N/A</v>
      </c>
      <c r="BB54" s="217" t="str">
        <f>IF(AND(AZ54=TRUE,ISNUMBER(BA54)),MAX(0,BA54-SUMIFS($AM$3:$AM53,AZ$3:AZ53,TRUE)),IF(AND(AZ54=TRUE,ISNUMBER(BA54)=FALSE),"ERR","N/A"))</f>
        <v>N/A</v>
      </c>
      <c r="BC54" s="215" t="str">
        <f t="shared" si="96"/>
        <v>N/A</v>
      </c>
      <c r="BD54" s="219" t="b">
        <f t="shared" si="97"/>
        <v>0</v>
      </c>
      <c r="BE54" s="217" t="str">
        <f t="shared" si="98"/>
        <v>N/A</v>
      </c>
      <c r="BF54" s="217" t="str">
        <f>IF(AND(BD54=TRUE,ISNUMBER(BE54)=TRUE),MAX(0,BE54-SUMIFS(AM$3:AM53,BD$3:BD53,TRUE,F$3:F53,F54)),IF(AND(BD54=TRUE,ISNUMBER(BE54)=FALSE),"ERR","N/A"))</f>
        <v>N/A</v>
      </c>
      <c r="BG54" s="215" t="str">
        <f t="shared" si="99"/>
        <v>N/A</v>
      </c>
      <c r="BH54" s="214">
        <f t="shared" si="100"/>
        <v>0</v>
      </c>
      <c r="BI54" s="215">
        <f t="shared" si="54"/>
        <v>0</v>
      </c>
      <c r="BJ54" s="214" t="str">
        <f t="shared" si="55"/>
        <v>N/A</v>
      </c>
      <c r="BK54" s="217">
        <f t="shared" si="101"/>
        <v>0</v>
      </c>
      <c r="BL54" s="220" t="b">
        <f t="shared" si="102"/>
        <v>0</v>
      </c>
      <c r="BM54" s="217" t="str">
        <f t="shared" si="103"/>
        <v>N/A</v>
      </c>
      <c r="BN54" s="217" t="str">
        <f t="shared" si="56"/>
        <v>N/A</v>
      </c>
      <c r="BO54" s="220" t="b">
        <f t="shared" si="104"/>
        <v>0</v>
      </c>
      <c r="BP54" s="244" t="str">
        <f t="shared" si="105"/>
        <v>N/A</v>
      </c>
      <c r="BQ54" s="217" t="str">
        <f t="shared" si="57"/>
        <v>N/A</v>
      </c>
      <c r="BR54" s="215">
        <f t="shared" si="58"/>
        <v>0</v>
      </c>
      <c r="BS54" s="214" t="str">
        <f t="shared" si="59"/>
        <v>N/A</v>
      </c>
      <c r="BT54" s="217">
        <f t="shared" si="60"/>
        <v>0</v>
      </c>
      <c r="BU54" s="215">
        <f t="shared" si="61"/>
        <v>0</v>
      </c>
      <c r="BV54" s="214">
        <f t="shared" si="62"/>
        <v>0</v>
      </c>
      <c r="BW54" s="217">
        <f t="shared" si="106"/>
        <v>16.98</v>
      </c>
      <c r="BX54" s="217">
        <f t="shared" si="107"/>
        <v>0</v>
      </c>
      <c r="BY54" s="217">
        <f t="shared" si="63"/>
        <v>0</v>
      </c>
      <c r="BZ54" s="217">
        <f t="shared" si="42"/>
        <v>0</v>
      </c>
      <c r="CA54" s="217">
        <f t="shared" si="64"/>
        <v>0</v>
      </c>
      <c r="CB54" s="213" t="b">
        <f t="shared" si="108"/>
        <v>1</v>
      </c>
    </row>
    <row r="55" spans="1:80" x14ac:dyDescent="0.25">
      <c r="A55" s="207">
        <v>52</v>
      </c>
      <c r="B55" s="208">
        <v>42548</v>
      </c>
      <c r="C55" s="209">
        <v>6</v>
      </c>
      <c r="D55" s="210">
        <v>2</v>
      </c>
      <c r="E55" s="211" t="str">
        <f t="shared" si="65"/>
        <v>Routine Venipuncture</v>
      </c>
      <c r="F55" s="212" t="str">
        <f t="shared" si="66"/>
        <v>Diagnostic Services: Laboratory</v>
      </c>
      <c r="G55" s="213" t="str">
        <f t="shared" si="67"/>
        <v>Not Covered</v>
      </c>
      <c r="H55" s="214">
        <f t="shared" si="68"/>
        <v>6.43</v>
      </c>
      <c r="I55" s="217">
        <f t="shared" si="69"/>
        <v>6.43</v>
      </c>
      <c r="J55" s="251">
        <f t="shared" si="70"/>
        <v>0</v>
      </c>
      <c r="K55" s="214" t="b">
        <f t="shared" si="71"/>
        <v>0</v>
      </c>
      <c r="L55" s="218" t="str">
        <f t="shared" si="72"/>
        <v>No</v>
      </c>
      <c r="M55" s="217" t="str">
        <f t="shared" si="73"/>
        <v>.</v>
      </c>
      <c r="N55" s="215" t="str">
        <f>IFERROR(IF(AND(L55="Yes",ISNUMBER(M55)),MAX(0,M55-SUMIFS(BU$3:BU54,L$3:L54,"Yes")),IF(OR(L55="No",M55="None"),"N/A","ERR")),"ERR")</f>
        <v>N/A</v>
      </c>
      <c r="O55" s="251" t="b">
        <f t="shared" si="46"/>
        <v>0</v>
      </c>
      <c r="P55" s="251" t="str">
        <f>IF(O55,BENEFIT_PARAMETERS!$C$76,"N/A")</f>
        <v>N/A</v>
      </c>
      <c r="Q55" s="288" t="str">
        <f>IF(P55="Yes", BENEFIT_PARAMETERS!$D$76,"N/A")</f>
        <v>N/A</v>
      </c>
      <c r="R55" s="253" t="str">
        <f t="shared" si="109"/>
        <v>N/A</v>
      </c>
      <c r="S55" s="217">
        <f t="shared" si="47"/>
        <v>0</v>
      </c>
      <c r="T55" s="215">
        <f t="shared" si="74"/>
        <v>0</v>
      </c>
      <c r="U55" s="214" t="b">
        <f t="shared" si="48"/>
        <v>0</v>
      </c>
      <c r="V55" s="251" t="str">
        <f>IF(O55,BENEFIT_PARAMETERS!$C$77,"N/A")</f>
        <v>N/A</v>
      </c>
      <c r="W55" s="288" t="str">
        <f>IF(V55="Yes", BENEFIT_PARAMETERS!$D$77,"N/A")</f>
        <v>N/A</v>
      </c>
      <c r="X55" s="253" t="str">
        <f>IF(O55,COUNTIF(Z$3:Z54,"&gt;0"),"N/A")</f>
        <v>N/A</v>
      </c>
      <c r="Y55" s="217" t="str">
        <f t="shared" si="75"/>
        <v>N/A</v>
      </c>
      <c r="Z55" s="293" t="str">
        <f t="shared" si="49"/>
        <v>N/A</v>
      </c>
      <c r="AA55" s="293">
        <f t="shared" si="50"/>
        <v>0</v>
      </c>
      <c r="AB55" s="293" t="str">
        <f t="shared" si="76"/>
        <v>N/A</v>
      </c>
      <c r="AC55" s="215">
        <f t="shared" si="51"/>
        <v>0</v>
      </c>
      <c r="AD55" s="214" t="b">
        <f t="shared" si="77"/>
        <v>0</v>
      </c>
      <c r="AE55" s="209" t="str">
        <f t="shared" si="78"/>
        <v>.</v>
      </c>
      <c r="AF55" s="216">
        <f t="shared" si="79"/>
        <v>0</v>
      </c>
      <c r="AG55" s="217" t="str">
        <f t="shared" si="80"/>
        <v>N/A</v>
      </c>
      <c r="AH55" s="217" t="b">
        <f t="shared" si="81"/>
        <v>0</v>
      </c>
      <c r="AI55" s="209" t="str">
        <f t="shared" si="82"/>
        <v>.</v>
      </c>
      <c r="AJ55" s="216">
        <f t="shared" si="83"/>
        <v>1</v>
      </c>
      <c r="AK55" s="217" t="str">
        <f t="shared" si="84"/>
        <v>N/A</v>
      </c>
      <c r="AL55" s="217">
        <f t="shared" si="52"/>
        <v>0</v>
      </c>
      <c r="AM55" s="215">
        <f t="shared" si="53"/>
        <v>0</v>
      </c>
      <c r="AN55" s="219" t="b">
        <f t="shared" si="85"/>
        <v>0</v>
      </c>
      <c r="AO55" s="217" t="str">
        <f t="shared" si="86"/>
        <v>N/A</v>
      </c>
      <c r="AP55" s="217" t="str">
        <f>IF(AND(ISNUMBER(AO55),AN55=TRUE),MAX(0,AO55-SUMIFS($AM$3:$AM54,AN$3:AN54,TRUE)),IF(AND(AN55=TRUE,ISNUMBER(AO55)=FALSE),"ERR","N/A"))</f>
        <v>N/A</v>
      </c>
      <c r="AQ55" s="215" t="str">
        <f t="shared" si="87"/>
        <v>N/A</v>
      </c>
      <c r="AR55" s="219" t="b">
        <f t="shared" si="88"/>
        <v>0</v>
      </c>
      <c r="AS55" s="217" t="str">
        <f t="shared" si="89"/>
        <v>N/A</v>
      </c>
      <c r="AT55" s="217" t="str">
        <f>IF(AND(AR55=TRUE,ISNUMBER(AS55)),MAX(0,AS55-SUMIFS($AM$3:$AM54,AR$3:AR54,TRUE)),IF(AND(AR55=TRUE,ISNUMBER(AS55)=FALSE),"ERR","N/A"))</f>
        <v>N/A</v>
      </c>
      <c r="AU55" s="215" t="str">
        <f t="shared" si="90"/>
        <v>N/A</v>
      </c>
      <c r="AV55" s="219" t="b">
        <f t="shared" si="91"/>
        <v>0</v>
      </c>
      <c r="AW55" s="217" t="str">
        <f t="shared" si="92"/>
        <v>N/A</v>
      </c>
      <c r="AX55" s="217" t="str">
        <f>IF(AND(AV55=TRUE,ISNUMBER(AW55)),MAX(0,AW55-SUMIFS($AM$3:$AM54,AV$3:AV54,TRUE)),IF(AND(AV55=TRUE,ISNUMBER(AW55)=FALSE),"ERR","N/A"))</f>
        <v>N/A</v>
      </c>
      <c r="AY55" s="215" t="str">
        <f t="shared" si="93"/>
        <v>N/A</v>
      </c>
      <c r="AZ55" s="219" t="b">
        <f t="shared" si="94"/>
        <v>0</v>
      </c>
      <c r="BA55" s="217" t="str">
        <f t="shared" si="95"/>
        <v>N/A</v>
      </c>
      <c r="BB55" s="217" t="str">
        <f>IF(AND(AZ55=TRUE,ISNUMBER(BA55)),MAX(0,BA55-SUMIFS($AM$3:$AM54,AZ$3:AZ54,TRUE)),IF(AND(AZ55=TRUE,ISNUMBER(BA55)=FALSE),"ERR","N/A"))</f>
        <v>N/A</v>
      </c>
      <c r="BC55" s="215" t="str">
        <f t="shared" si="96"/>
        <v>N/A</v>
      </c>
      <c r="BD55" s="219" t="b">
        <f t="shared" si="97"/>
        <v>0</v>
      </c>
      <c r="BE55" s="217" t="str">
        <f t="shared" si="98"/>
        <v>N/A</v>
      </c>
      <c r="BF55" s="217" t="str">
        <f>IF(AND(BD55=TRUE,ISNUMBER(BE55)=TRUE),MAX(0,BE55-SUMIFS(AM$3:AM54,BD$3:BD54,TRUE,F$3:F54,F55)),IF(AND(BD55=TRUE,ISNUMBER(BE55)=FALSE),"ERR","N/A"))</f>
        <v>N/A</v>
      </c>
      <c r="BG55" s="215" t="str">
        <f t="shared" si="99"/>
        <v>N/A</v>
      </c>
      <c r="BH55" s="214">
        <f t="shared" si="100"/>
        <v>0</v>
      </c>
      <c r="BI55" s="215">
        <f t="shared" si="54"/>
        <v>0</v>
      </c>
      <c r="BJ55" s="214" t="str">
        <f t="shared" si="55"/>
        <v>N/A</v>
      </c>
      <c r="BK55" s="217">
        <f t="shared" si="101"/>
        <v>0</v>
      </c>
      <c r="BL55" s="220" t="b">
        <f t="shared" si="102"/>
        <v>0</v>
      </c>
      <c r="BM55" s="217" t="str">
        <f t="shared" si="103"/>
        <v>N/A</v>
      </c>
      <c r="BN55" s="217" t="str">
        <f t="shared" si="56"/>
        <v>N/A</v>
      </c>
      <c r="BO55" s="220" t="b">
        <f t="shared" si="104"/>
        <v>0</v>
      </c>
      <c r="BP55" s="244" t="str">
        <f t="shared" si="105"/>
        <v>N/A</v>
      </c>
      <c r="BQ55" s="217" t="str">
        <f t="shared" si="57"/>
        <v>N/A</v>
      </c>
      <c r="BR55" s="215">
        <f t="shared" si="58"/>
        <v>0</v>
      </c>
      <c r="BS55" s="214" t="str">
        <f t="shared" si="59"/>
        <v>N/A</v>
      </c>
      <c r="BT55" s="217">
        <f t="shared" si="60"/>
        <v>0</v>
      </c>
      <c r="BU55" s="215">
        <f t="shared" si="61"/>
        <v>0</v>
      </c>
      <c r="BV55" s="214">
        <f t="shared" si="62"/>
        <v>0</v>
      </c>
      <c r="BW55" s="217">
        <f t="shared" si="106"/>
        <v>6.43</v>
      </c>
      <c r="BX55" s="217">
        <f t="shared" si="107"/>
        <v>0</v>
      </c>
      <c r="BY55" s="217">
        <f t="shared" si="63"/>
        <v>0</v>
      </c>
      <c r="BZ55" s="217">
        <f t="shared" si="42"/>
        <v>0</v>
      </c>
      <c r="CA55" s="217">
        <f t="shared" si="64"/>
        <v>0</v>
      </c>
      <c r="CB55" s="213" t="b">
        <f t="shared" si="108"/>
        <v>1</v>
      </c>
    </row>
    <row r="56" spans="1:80" x14ac:dyDescent="0.25">
      <c r="A56" s="207">
        <v>53</v>
      </c>
      <c r="B56" s="208">
        <v>42548</v>
      </c>
      <c r="C56" s="209">
        <v>6</v>
      </c>
      <c r="D56" s="210">
        <v>24</v>
      </c>
      <c r="E56" s="211" t="str">
        <f t="shared" si="65"/>
        <v>Office/Outpatient Visit Est</v>
      </c>
      <c r="F56" s="212" t="str">
        <f t="shared" si="66"/>
        <v>Professional Services: Primary Care</v>
      </c>
      <c r="G56" s="213" t="str">
        <f t="shared" si="67"/>
        <v>Not Covered</v>
      </c>
      <c r="H56" s="214">
        <f t="shared" si="68"/>
        <v>121.7</v>
      </c>
      <c r="I56" s="217">
        <f t="shared" si="69"/>
        <v>121.7</v>
      </c>
      <c r="J56" s="251">
        <f t="shared" si="70"/>
        <v>0</v>
      </c>
      <c r="K56" s="214" t="b">
        <f t="shared" si="71"/>
        <v>0</v>
      </c>
      <c r="L56" s="218" t="str">
        <f t="shared" si="72"/>
        <v>No</v>
      </c>
      <c r="M56" s="217" t="str">
        <f t="shared" si="73"/>
        <v>.</v>
      </c>
      <c r="N56" s="215" t="str">
        <f>IFERROR(IF(AND(L56="Yes",ISNUMBER(M56)),MAX(0,M56-SUMIFS(BU$3:BU55,L$3:L55,"Yes")),IF(OR(L56="No",M56="None"),"N/A","ERR")),"ERR")</f>
        <v>N/A</v>
      </c>
      <c r="O56" s="251" t="b">
        <f t="shared" si="46"/>
        <v>1</v>
      </c>
      <c r="P56" s="251" t="str">
        <f>IF(O56,BENEFIT_PARAMETERS!$C$76,"N/A")</f>
        <v>.</v>
      </c>
      <c r="Q56" s="288" t="str">
        <f>IF(P56="Yes", BENEFIT_PARAMETERS!$D$76,"N/A")</f>
        <v>N/A</v>
      </c>
      <c r="R56" s="253">
        <f t="shared" si="109"/>
        <v>4</v>
      </c>
      <c r="S56" s="217">
        <f t="shared" si="47"/>
        <v>0</v>
      </c>
      <c r="T56" s="215">
        <f t="shared" si="74"/>
        <v>0</v>
      </c>
      <c r="U56" s="214" t="b">
        <f t="shared" si="48"/>
        <v>1</v>
      </c>
      <c r="V56" s="251" t="str">
        <f>IF(O56,BENEFIT_PARAMETERS!$C$77,"N/A")</f>
        <v>.</v>
      </c>
      <c r="W56" s="288" t="str">
        <f>IF(V56="Yes", BENEFIT_PARAMETERS!$D$77,"N/A")</f>
        <v>N/A</v>
      </c>
      <c r="X56" s="253">
        <f>IF(O56,COUNTIF(Z$3:Z55,"&gt;0"),"N/A")</f>
        <v>0</v>
      </c>
      <c r="Y56" s="217" t="str">
        <f t="shared" si="75"/>
        <v>N/A</v>
      </c>
      <c r="Z56" s="293" t="str">
        <f t="shared" si="49"/>
        <v>N/A</v>
      </c>
      <c r="AA56" s="293">
        <f t="shared" si="50"/>
        <v>0</v>
      </c>
      <c r="AB56" s="293" t="str">
        <f t="shared" si="76"/>
        <v>N/A</v>
      </c>
      <c r="AC56" s="215">
        <f t="shared" si="51"/>
        <v>0</v>
      </c>
      <c r="AD56" s="214" t="b">
        <f t="shared" si="77"/>
        <v>0</v>
      </c>
      <c r="AE56" s="209" t="str">
        <f t="shared" si="78"/>
        <v>.</v>
      </c>
      <c r="AF56" s="216">
        <f t="shared" si="79"/>
        <v>0</v>
      </c>
      <c r="AG56" s="217" t="str">
        <f t="shared" si="80"/>
        <v>N/A</v>
      </c>
      <c r="AH56" s="217" t="b">
        <f t="shared" si="81"/>
        <v>0</v>
      </c>
      <c r="AI56" s="209" t="str">
        <f t="shared" si="82"/>
        <v>.</v>
      </c>
      <c r="AJ56" s="216">
        <f t="shared" si="83"/>
        <v>2</v>
      </c>
      <c r="AK56" s="217" t="str">
        <f t="shared" si="84"/>
        <v>N/A</v>
      </c>
      <c r="AL56" s="217">
        <f t="shared" si="52"/>
        <v>0</v>
      </c>
      <c r="AM56" s="215">
        <f t="shared" si="53"/>
        <v>0</v>
      </c>
      <c r="AN56" s="219" t="b">
        <f t="shared" si="85"/>
        <v>0</v>
      </c>
      <c r="AO56" s="217" t="str">
        <f t="shared" si="86"/>
        <v>N/A</v>
      </c>
      <c r="AP56" s="217" t="str">
        <f>IF(AND(ISNUMBER(AO56),AN56=TRUE),MAX(0,AO56-SUMIFS($AM$3:$AM55,AN$3:AN55,TRUE)),IF(AND(AN56=TRUE,ISNUMBER(AO56)=FALSE),"ERR","N/A"))</f>
        <v>N/A</v>
      </c>
      <c r="AQ56" s="215" t="str">
        <f t="shared" si="87"/>
        <v>N/A</v>
      </c>
      <c r="AR56" s="219" t="b">
        <f t="shared" si="88"/>
        <v>0</v>
      </c>
      <c r="AS56" s="217" t="str">
        <f t="shared" si="89"/>
        <v>N/A</v>
      </c>
      <c r="AT56" s="217" t="str">
        <f>IF(AND(AR56=TRUE,ISNUMBER(AS56)),MAX(0,AS56-SUMIFS($AM$3:$AM55,AR$3:AR55,TRUE)),IF(AND(AR56=TRUE,ISNUMBER(AS56)=FALSE),"ERR","N/A"))</f>
        <v>N/A</v>
      </c>
      <c r="AU56" s="215" t="str">
        <f t="shared" si="90"/>
        <v>N/A</v>
      </c>
      <c r="AV56" s="219" t="b">
        <f t="shared" si="91"/>
        <v>0</v>
      </c>
      <c r="AW56" s="217" t="str">
        <f t="shared" si="92"/>
        <v>N/A</v>
      </c>
      <c r="AX56" s="217" t="str">
        <f>IF(AND(AV56=TRUE,ISNUMBER(AW56)),MAX(0,AW56-SUMIFS($AM$3:$AM55,AV$3:AV55,TRUE)),IF(AND(AV56=TRUE,ISNUMBER(AW56)=FALSE),"ERR","N/A"))</f>
        <v>N/A</v>
      </c>
      <c r="AY56" s="215" t="str">
        <f t="shared" si="93"/>
        <v>N/A</v>
      </c>
      <c r="AZ56" s="219" t="b">
        <f t="shared" si="94"/>
        <v>0</v>
      </c>
      <c r="BA56" s="217" t="str">
        <f t="shared" si="95"/>
        <v>N/A</v>
      </c>
      <c r="BB56" s="217" t="str">
        <f>IF(AND(AZ56=TRUE,ISNUMBER(BA56)),MAX(0,BA56-SUMIFS($AM$3:$AM55,AZ$3:AZ55,TRUE)),IF(AND(AZ56=TRUE,ISNUMBER(BA56)=FALSE),"ERR","N/A"))</f>
        <v>N/A</v>
      </c>
      <c r="BC56" s="215" t="str">
        <f t="shared" si="96"/>
        <v>N/A</v>
      </c>
      <c r="BD56" s="219" t="b">
        <f t="shared" si="97"/>
        <v>0</v>
      </c>
      <c r="BE56" s="217" t="str">
        <f t="shared" si="98"/>
        <v>N/A</v>
      </c>
      <c r="BF56" s="217" t="str">
        <f>IF(AND(BD56=TRUE,ISNUMBER(BE56)=TRUE),MAX(0,BE56-SUMIFS(AM$3:AM55,BD$3:BD55,TRUE,F$3:F55,F56)),IF(AND(BD56=TRUE,ISNUMBER(BE56)=FALSE),"ERR","N/A"))</f>
        <v>N/A</v>
      </c>
      <c r="BG56" s="215" t="str">
        <f t="shared" si="99"/>
        <v>N/A</v>
      </c>
      <c r="BH56" s="214">
        <f t="shared" si="100"/>
        <v>0</v>
      </c>
      <c r="BI56" s="215">
        <f t="shared" si="54"/>
        <v>0</v>
      </c>
      <c r="BJ56" s="214" t="str">
        <f t="shared" si="55"/>
        <v>N/A</v>
      </c>
      <c r="BK56" s="217">
        <f t="shared" si="101"/>
        <v>0</v>
      </c>
      <c r="BL56" s="220" t="b">
        <f t="shared" si="102"/>
        <v>0</v>
      </c>
      <c r="BM56" s="217" t="str">
        <f t="shared" si="103"/>
        <v>N/A</v>
      </c>
      <c r="BN56" s="217" t="str">
        <f t="shared" si="56"/>
        <v>N/A</v>
      </c>
      <c r="BO56" s="220" t="b">
        <f t="shared" si="104"/>
        <v>0</v>
      </c>
      <c r="BP56" s="244" t="str">
        <f t="shared" si="105"/>
        <v>N/A</v>
      </c>
      <c r="BQ56" s="217" t="str">
        <f t="shared" si="57"/>
        <v>N/A</v>
      </c>
      <c r="BR56" s="215">
        <f t="shared" si="58"/>
        <v>0</v>
      </c>
      <c r="BS56" s="214" t="str">
        <f t="shared" si="59"/>
        <v>N/A</v>
      </c>
      <c r="BT56" s="217">
        <f t="shared" si="60"/>
        <v>0</v>
      </c>
      <c r="BU56" s="215">
        <f t="shared" si="61"/>
        <v>0</v>
      </c>
      <c r="BV56" s="214">
        <f t="shared" si="62"/>
        <v>0</v>
      </c>
      <c r="BW56" s="217">
        <f t="shared" si="106"/>
        <v>121.7</v>
      </c>
      <c r="BX56" s="217">
        <f t="shared" si="107"/>
        <v>0</v>
      </c>
      <c r="BY56" s="217">
        <f t="shared" si="63"/>
        <v>0</v>
      </c>
      <c r="BZ56" s="217">
        <f t="shared" si="42"/>
        <v>0</v>
      </c>
      <c r="CA56" s="217">
        <f t="shared" si="64"/>
        <v>0</v>
      </c>
      <c r="CB56" s="213" t="b">
        <f t="shared" si="108"/>
        <v>1</v>
      </c>
    </row>
    <row r="57" spans="1:80" x14ac:dyDescent="0.25">
      <c r="A57" s="207">
        <v>54</v>
      </c>
      <c r="B57" s="208">
        <v>42549</v>
      </c>
      <c r="C57" s="209">
        <v>6</v>
      </c>
      <c r="D57" s="210">
        <v>21</v>
      </c>
      <c r="E57" s="211" t="str">
        <f t="shared" si="65"/>
        <v>Diabetes outpatient self-management training services, individual, per 30 minutes</v>
      </c>
      <c r="F57" s="212" t="str">
        <f t="shared" si="66"/>
        <v>Professional Services: Primary Care</v>
      </c>
      <c r="G57" s="213" t="str">
        <f t="shared" si="67"/>
        <v>Not Covered</v>
      </c>
      <c r="H57" s="214">
        <f t="shared" si="68"/>
        <v>77.819999999999993</v>
      </c>
      <c r="I57" s="217">
        <f t="shared" si="69"/>
        <v>77.819999999999993</v>
      </c>
      <c r="J57" s="251">
        <f t="shared" si="70"/>
        <v>0</v>
      </c>
      <c r="K57" s="214" t="b">
        <f t="shared" si="71"/>
        <v>0</v>
      </c>
      <c r="L57" s="218" t="str">
        <f t="shared" si="72"/>
        <v>No</v>
      </c>
      <c r="M57" s="217" t="str">
        <f t="shared" si="73"/>
        <v>.</v>
      </c>
      <c r="N57" s="215" t="str">
        <f>IFERROR(IF(AND(L57="Yes",ISNUMBER(M57)),MAX(0,M57-SUMIFS(BU$3:BU56,L$3:L56,"Yes")),IF(OR(L57="No",M57="None"),"N/A","ERR")),"ERR")</f>
        <v>N/A</v>
      </c>
      <c r="O57" s="251" t="b">
        <f t="shared" si="46"/>
        <v>1</v>
      </c>
      <c r="P57" s="251" t="str">
        <f>IF(O57,BENEFIT_PARAMETERS!$C$76,"N/A")</f>
        <v>.</v>
      </c>
      <c r="Q57" s="288" t="str">
        <f>IF(P57="Yes", BENEFIT_PARAMETERS!$D$76,"N/A")</f>
        <v>N/A</v>
      </c>
      <c r="R57" s="253">
        <f t="shared" si="109"/>
        <v>5</v>
      </c>
      <c r="S57" s="217">
        <f t="shared" si="47"/>
        <v>0</v>
      </c>
      <c r="T57" s="215">
        <f t="shared" si="74"/>
        <v>0</v>
      </c>
      <c r="U57" s="214" t="b">
        <f t="shared" si="48"/>
        <v>1</v>
      </c>
      <c r="V57" s="251" t="str">
        <f>IF(O57,BENEFIT_PARAMETERS!$C$77,"N/A")</f>
        <v>.</v>
      </c>
      <c r="W57" s="288" t="str">
        <f>IF(V57="Yes", BENEFIT_PARAMETERS!$D$77,"N/A")</f>
        <v>N/A</v>
      </c>
      <c r="X57" s="253">
        <f>IF(O57,COUNTIF(Z$3:Z56,"&gt;0"),"N/A")</f>
        <v>0</v>
      </c>
      <c r="Y57" s="217" t="str">
        <f t="shared" si="75"/>
        <v>N/A</v>
      </c>
      <c r="Z57" s="293" t="str">
        <f t="shared" si="49"/>
        <v>N/A</v>
      </c>
      <c r="AA57" s="293">
        <f t="shared" si="50"/>
        <v>0</v>
      </c>
      <c r="AB57" s="293" t="str">
        <f t="shared" si="76"/>
        <v>N/A</v>
      </c>
      <c r="AC57" s="215">
        <f t="shared" si="51"/>
        <v>0</v>
      </c>
      <c r="AD57" s="214" t="b">
        <f t="shared" si="77"/>
        <v>0</v>
      </c>
      <c r="AE57" s="209" t="str">
        <f t="shared" si="78"/>
        <v>.</v>
      </c>
      <c r="AF57" s="216">
        <f t="shared" si="79"/>
        <v>0</v>
      </c>
      <c r="AG57" s="217" t="str">
        <f t="shared" si="80"/>
        <v>N/A</v>
      </c>
      <c r="AH57" s="217" t="b">
        <f t="shared" si="81"/>
        <v>0</v>
      </c>
      <c r="AI57" s="209" t="str">
        <f t="shared" si="82"/>
        <v>.</v>
      </c>
      <c r="AJ57" s="216">
        <f t="shared" si="83"/>
        <v>1</v>
      </c>
      <c r="AK57" s="217" t="str">
        <f t="shared" si="84"/>
        <v>N/A</v>
      </c>
      <c r="AL57" s="217">
        <f t="shared" si="52"/>
        <v>0</v>
      </c>
      <c r="AM57" s="215">
        <f t="shared" si="53"/>
        <v>0</v>
      </c>
      <c r="AN57" s="219" t="b">
        <f t="shared" si="85"/>
        <v>0</v>
      </c>
      <c r="AO57" s="217" t="str">
        <f t="shared" si="86"/>
        <v>N/A</v>
      </c>
      <c r="AP57" s="217" t="str">
        <f>IF(AND(ISNUMBER(AO57),AN57=TRUE),MAX(0,AO57-SUMIFS($AM$3:$AM56,AN$3:AN56,TRUE)),IF(AND(AN57=TRUE,ISNUMBER(AO57)=FALSE),"ERR","N/A"))</f>
        <v>N/A</v>
      </c>
      <c r="AQ57" s="215" t="str">
        <f t="shared" si="87"/>
        <v>N/A</v>
      </c>
      <c r="AR57" s="219" t="b">
        <f t="shared" si="88"/>
        <v>0</v>
      </c>
      <c r="AS57" s="217" t="str">
        <f t="shared" si="89"/>
        <v>N/A</v>
      </c>
      <c r="AT57" s="217" t="str">
        <f>IF(AND(AR57=TRUE,ISNUMBER(AS57)),MAX(0,AS57-SUMIFS($AM$3:$AM56,AR$3:AR56,TRUE)),IF(AND(AR57=TRUE,ISNUMBER(AS57)=FALSE),"ERR","N/A"))</f>
        <v>N/A</v>
      </c>
      <c r="AU57" s="215" t="str">
        <f t="shared" si="90"/>
        <v>N/A</v>
      </c>
      <c r="AV57" s="219" t="b">
        <f t="shared" si="91"/>
        <v>0</v>
      </c>
      <c r="AW57" s="217" t="str">
        <f t="shared" si="92"/>
        <v>N/A</v>
      </c>
      <c r="AX57" s="217" t="str">
        <f>IF(AND(AV57=TRUE,ISNUMBER(AW57)),MAX(0,AW57-SUMIFS($AM$3:$AM56,AV$3:AV56,TRUE)),IF(AND(AV57=TRUE,ISNUMBER(AW57)=FALSE),"ERR","N/A"))</f>
        <v>N/A</v>
      </c>
      <c r="AY57" s="215" t="str">
        <f t="shared" si="93"/>
        <v>N/A</v>
      </c>
      <c r="AZ57" s="219" t="b">
        <f t="shared" si="94"/>
        <v>0</v>
      </c>
      <c r="BA57" s="217" t="str">
        <f t="shared" si="95"/>
        <v>N/A</v>
      </c>
      <c r="BB57" s="217" t="str">
        <f>IF(AND(AZ57=TRUE,ISNUMBER(BA57)),MAX(0,BA57-SUMIFS($AM$3:$AM56,AZ$3:AZ56,TRUE)),IF(AND(AZ57=TRUE,ISNUMBER(BA57)=FALSE),"ERR","N/A"))</f>
        <v>N/A</v>
      </c>
      <c r="BC57" s="215" t="str">
        <f t="shared" si="96"/>
        <v>N/A</v>
      </c>
      <c r="BD57" s="219" t="b">
        <f t="shared" si="97"/>
        <v>0</v>
      </c>
      <c r="BE57" s="217" t="str">
        <f t="shared" si="98"/>
        <v>N/A</v>
      </c>
      <c r="BF57" s="217" t="str">
        <f>IF(AND(BD57=TRUE,ISNUMBER(BE57)=TRUE),MAX(0,BE57-SUMIFS(AM$3:AM56,BD$3:BD56,TRUE,F$3:F56,F57)),IF(AND(BD57=TRUE,ISNUMBER(BE57)=FALSE),"ERR","N/A"))</f>
        <v>N/A</v>
      </c>
      <c r="BG57" s="215" t="str">
        <f t="shared" si="99"/>
        <v>N/A</v>
      </c>
      <c r="BH57" s="214">
        <f t="shared" si="100"/>
        <v>0</v>
      </c>
      <c r="BI57" s="215">
        <f t="shared" si="54"/>
        <v>0</v>
      </c>
      <c r="BJ57" s="214" t="str">
        <f t="shared" si="55"/>
        <v>N/A</v>
      </c>
      <c r="BK57" s="217">
        <f t="shared" si="101"/>
        <v>0</v>
      </c>
      <c r="BL57" s="220" t="b">
        <f t="shared" si="102"/>
        <v>0</v>
      </c>
      <c r="BM57" s="217" t="str">
        <f t="shared" si="103"/>
        <v>N/A</v>
      </c>
      <c r="BN57" s="217" t="str">
        <f t="shared" si="56"/>
        <v>N/A</v>
      </c>
      <c r="BO57" s="220" t="b">
        <f t="shared" si="104"/>
        <v>0</v>
      </c>
      <c r="BP57" s="244" t="str">
        <f t="shared" si="105"/>
        <v>N/A</v>
      </c>
      <c r="BQ57" s="217" t="str">
        <f t="shared" si="57"/>
        <v>N/A</v>
      </c>
      <c r="BR57" s="215">
        <f t="shared" si="58"/>
        <v>0</v>
      </c>
      <c r="BS57" s="214" t="str">
        <f t="shared" si="59"/>
        <v>N/A</v>
      </c>
      <c r="BT57" s="217">
        <f t="shared" si="60"/>
        <v>0</v>
      </c>
      <c r="BU57" s="215">
        <f t="shared" si="61"/>
        <v>0</v>
      </c>
      <c r="BV57" s="214">
        <f t="shared" si="62"/>
        <v>0</v>
      </c>
      <c r="BW57" s="217">
        <f t="shared" si="106"/>
        <v>77.819999999999993</v>
      </c>
      <c r="BX57" s="217">
        <f t="shared" si="107"/>
        <v>0</v>
      </c>
      <c r="BY57" s="217">
        <f t="shared" si="63"/>
        <v>0</v>
      </c>
      <c r="BZ57" s="217">
        <f t="shared" si="42"/>
        <v>0</v>
      </c>
      <c r="CA57" s="217">
        <f t="shared" si="64"/>
        <v>0</v>
      </c>
      <c r="CB57" s="213" t="b">
        <f t="shared" si="108"/>
        <v>1</v>
      </c>
    </row>
    <row r="58" spans="1:80" x14ac:dyDescent="0.25">
      <c r="A58" s="207">
        <v>55</v>
      </c>
      <c r="B58" s="208">
        <v>42549</v>
      </c>
      <c r="C58" s="209">
        <v>6</v>
      </c>
      <c r="D58" s="210">
        <v>20</v>
      </c>
      <c r="E58" s="211" t="str">
        <f t="shared" ref="E58:E80" si="110">VLOOKUP(ServiceCode,DiabetesFeeSchedule,6,FALSE)</f>
        <v>Med Nutrition Indiv Subseq</v>
      </c>
      <c r="F58" s="212" t="str">
        <f t="shared" ref="F58:F80" si="111">VLOOKUP(ServiceCode,DiabetesFeeSchedule,5,FALSE)</f>
        <v>Professional Services: Primary Care</v>
      </c>
      <c r="G58" s="213" t="str">
        <f t="shared" ref="G58:G80" si="112">VLOOKUP(BenefitCategory,BenefitDesignTable,COLUMN(BenefitCostSharing),FALSE)</f>
        <v>Not Covered</v>
      </c>
      <c r="H58" s="214">
        <f t="shared" ref="H58:H80" si="113">VLOOKUP(D58,DiabetesFeeSchedule,7,FALSE)</f>
        <v>36.83</v>
      </c>
      <c r="I58" s="217">
        <f t="shared" ref="I58:I80" si="114">IF(G58="Not Covered",H58,0)</f>
        <v>36.83</v>
      </c>
      <c r="J58" s="251">
        <f t="shared" ref="J58:J80" si="115">H58-I58</f>
        <v>0</v>
      </c>
      <c r="K58" s="214" t="b">
        <f t="shared" ref="K58:K80" si="116">VLOOKUP(F58,nrCoverageTable,COLUMN(nrOOPLimitValid),FALSE)</f>
        <v>0</v>
      </c>
      <c r="L58" s="218" t="str">
        <f t="shared" ref="L58:L80" si="117">IF(K58,VLOOKUP(F58,BenefitDesignTable,COLUMN(BenefitOOPLimitApplies),FALSE),"No")</f>
        <v>No</v>
      </c>
      <c r="M58" s="217" t="str">
        <f t="shared" ref="M58:M80" si="118">VLOOKUP(F58,BenefitDesignTable,COLUMN(OPLimit),FALSE)</f>
        <v>.</v>
      </c>
      <c r="N58" s="215" t="str">
        <f>IFERROR(IF(AND(L58="Yes",ISNUMBER(M58)),MAX(0,M58-SUMIFS(BU$3:BU57,L$3:L57,"Yes")),IF(OR(L58="No",M58="None"),"N/A","ERR")),"ERR")</f>
        <v>N/A</v>
      </c>
      <c r="O58" s="251" t="b">
        <f t="shared" si="46"/>
        <v>1</v>
      </c>
      <c r="P58" s="251" t="str">
        <f>IF(O58,BENEFIT_PARAMETERS!$C$76,"N/A")</f>
        <v>.</v>
      </c>
      <c r="Q58" s="288" t="str">
        <f>IF(P58="Yes", BENEFIT_PARAMETERS!$D$76,"N/A")</f>
        <v>N/A</v>
      </c>
      <c r="R58" s="253">
        <f t="shared" si="109"/>
        <v>6</v>
      </c>
      <c r="S58" s="217">
        <f t="shared" si="47"/>
        <v>0</v>
      </c>
      <c r="T58" s="215">
        <f t="shared" ref="T58:T80" si="119">J58-S58</f>
        <v>0</v>
      </c>
      <c r="U58" s="214" t="b">
        <f t="shared" si="48"/>
        <v>1</v>
      </c>
      <c r="V58" s="251" t="str">
        <f>IF(O58,BENEFIT_PARAMETERS!$C$77,"N/A")</f>
        <v>.</v>
      </c>
      <c r="W58" s="288" t="str">
        <f>IF(V58="Yes", BENEFIT_PARAMETERS!$D$77,"N/A")</f>
        <v>N/A</v>
      </c>
      <c r="X58" s="253">
        <f>IF(O58,COUNTIF(Z$3:Z57,"&gt;0"),"N/A")</f>
        <v>0</v>
      </c>
      <c r="Y58" s="217" t="str">
        <f t="shared" ref="Y58:Y80" si="120">IF(V58="Yes",VLOOKUP("Professional Services: Primary Care",BenefitDesignTable,COLUMN(BenefitCopay),FALSE),"N/A")</f>
        <v>N/A</v>
      </c>
      <c r="Z58" s="293" t="str">
        <f t="shared" si="49"/>
        <v>N/A</v>
      </c>
      <c r="AA58" s="293">
        <f t="shared" si="50"/>
        <v>0</v>
      </c>
      <c r="AB58" s="293" t="str">
        <f t="shared" ref="AB58:AB80" si="121">IF(L58="Yes",IF(Z58="N/A",N58,N58-Z58),"N/A")</f>
        <v>N/A</v>
      </c>
      <c r="AC58" s="215">
        <f t="shared" si="51"/>
        <v>0</v>
      </c>
      <c r="AD58" s="214" t="b">
        <f t="shared" ref="AD58:AD80" si="122">VLOOKUP(F58,nrCoverageTable,COLUMN(nrMonthlyLimitValid),FALSE)</f>
        <v>0</v>
      </c>
      <c r="AE58" s="209" t="str">
        <f t="shared" ref="AE58:AE80" si="123">IF(AD58,VLOOKUP(F58,BenefitDesignTable,COLUMN(BenefitLimithMonth),FALSE),".")</f>
        <v>.</v>
      </c>
      <c r="AF58" s="216">
        <f t="shared" ref="AF58:AF80" si="124">COUNTIFS(ServiceCode,D58,ClaimMonth,C58,ClaimNumber,"&lt;"&amp;A58)</f>
        <v>0</v>
      </c>
      <c r="AG58" s="217" t="str">
        <f t="shared" ref="AG58:AG80" si="125">IF(AD58,IF(OR(AE58="None",ISNUMBER(AE58)),IF(AF58&gt;=AE58,H58,0),"ERR"),"N/A")</f>
        <v>N/A</v>
      </c>
      <c r="AH58" s="217" t="b">
        <f t="shared" ref="AH58:AH80" si="126">VLOOKUP(F58,nrCoverageTable,COLUMN(nrAnnualLimitValid),FALSE)</f>
        <v>0</v>
      </c>
      <c r="AI58" s="209" t="str">
        <f t="shared" ref="AI58:AI80" si="127">IF(AH58,VLOOKUP(F58,BenefitDesignTable,COLUMN(BenefitLimitAnnual),FALSE),".")</f>
        <v>.</v>
      </c>
      <c r="AJ58" s="216">
        <f t="shared" ref="AJ58:AJ80" si="128">COUNTIFS(ServiceCode,D58,ClaimNumber,"&lt;"&amp;A58)</f>
        <v>1</v>
      </c>
      <c r="AK58" s="217" t="str">
        <f t="shared" ref="AK58:AK80" si="129">IF(AH58,IF(OR(AI58="None",ISNUMBER(AI58)),IF(AJ58&gt;=AI58,H58,0),"ERR"),"N/A")</f>
        <v>N/A</v>
      </c>
      <c r="AL58" s="217">
        <f t="shared" si="52"/>
        <v>0</v>
      </c>
      <c r="AM58" s="215">
        <f t="shared" si="53"/>
        <v>0</v>
      </c>
      <c r="AN58" s="219" t="b">
        <f t="shared" ref="AN58:AN80" si="130">VLOOKUP(F58,nrCoverageTable,COLUMN(nrUsesPlanDeduct),FALSE)</f>
        <v>0</v>
      </c>
      <c r="AO58" s="217" t="str">
        <f t="shared" ref="AO58:AO80" si="131">IF(AN58,VLOOKUP(F58,BenefitDesignTable,COLUMN(PlanDeductible),FALSE),"N/A")</f>
        <v>N/A</v>
      </c>
      <c r="AP58" s="217" t="str">
        <f>IF(AND(ISNUMBER(AO58),AN58=TRUE),MAX(0,AO58-SUMIFS($AM$3:$AM57,AN$3:AN57,TRUE)),IF(AND(AN58=TRUE,ISNUMBER(AO58)=FALSE),"ERR","N/A"))</f>
        <v>N/A</v>
      </c>
      <c r="AQ58" s="215" t="str">
        <f t="shared" ref="AQ58:AQ80" si="132">IF(ISNUMBER(AP58),MIN($AM58,AP58),"N/A")</f>
        <v>N/A</v>
      </c>
      <c r="AR58" s="219" t="b">
        <f t="shared" ref="AR58:AR80" si="133">VLOOKUP(F58,nrCoverageTable,COLUMN(nrUsesRxDeduct),FALSE)</f>
        <v>0</v>
      </c>
      <c r="AS58" s="217" t="str">
        <f t="shared" ref="AS58:AS80" si="134">IF(AR58,VLOOKUP(F58,BenefitDesignTable,COLUMN(RxDeductible),FALSE),"N/A")</f>
        <v>N/A</v>
      </c>
      <c r="AT58" s="217" t="str">
        <f>IF(AND(AR58=TRUE,ISNUMBER(AS58)),MAX(0,AS58-SUMIFS($AM$3:$AM57,AR$3:AR57,TRUE)),IF(AND(AR58=TRUE,ISNUMBER(AS58)=FALSE),"ERR","N/A"))</f>
        <v>N/A</v>
      </c>
      <c r="AU58" s="215" t="str">
        <f t="shared" ref="AU58:AU80" si="135">IF(ISNUMBER(AT58),MIN($AM58,AT58),"N/A")</f>
        <v>N/A</v>
      </c>
      <c r="AV58" s="219" t="b">
        <f t="shared" ref="AV58:AV80" si="136">VLOOKUP(F58,nrCoverageTable,COLUMN(nrUsesDeductC),FALSE)</f>
        <v>0</v>
      </c>
      <c r="AW58" s="217" t="str">
        <f t="shared" ref="AW58:AW80" si="137">IF(AV58,VLOOKUP(F58,BenefitDesignTable,COLUMN(OptDeductibleC),FALSE),"N/A")</f>
        <v>N/A</v>
      </c>
      <c r="AX58" s="217" t="str">
        <f>IF(AND(AV58=TRUE,ISNUMBER(AW58)),MAX(0,AW58-SUMIFS($AM$3:$AM57,AV$3:AV57,TRUE)),IF(AND(AV58=TRUE,ISNUMBER(AW58)=FALSE),"ERR","N/A"))</f>
        <v>N/A</v>
      </c>
      <c r="AY58" s="215" t="str">
        <f t="shared" ref="AY58:AY80" si="138">IF(ISNUMBER(AX58),MIN($AM58,AX58),"N/A")</f>
        <v>N/A</v>
      </c>
      <c r="AZ58" s="219" t="b">
        <f t="shared" ref="AZ58:AZ80" si="139">VLOOKUP(F58,nrCoverageTable,COLUMN(nrUsesDeductD),FALSE)</f>
        <v>0</v>
      </c>
      <c r="BA58" s="217" t="str">
        <f t="shared" ref="BA58:BA80" si="140">IF(AZ58,VLOOKUP(F58,BenefitDesignTable,COLUMN(OptDeductibleD),FALSE),"N/A")</f>
        <v>N/A</v>
      </c>
      <c r="BB58" s="217" t="str">
        <f>IF(AND(AZ58=TRUE,ISNUMBER(BA58)),MAX(0,BA58-SUMIFS($AM$3:$AM57,AZ$3:AZ57,TRUE)),IF(AND(AZ58=TRUE,ISNUMBER(BA58)=FALSE),"ERR","N/A"))</f>
        <v>N/A</v>
      </c>
      <c r="BC58" s="215" t="str">
        <f t="shared" ref="BC58:BC80" si="141">IF(ISNUMBER(BB58),MIN($AM58,BB58),"N/A")</f>
        <v>N/A</v>
      </c>
      <c r="BD58" s="219" t="b">
        <f t="shared" ref="BD58:BD80" si="142">VLOOKUP(F58,nrCoverageTable,COLUMN(nrUsesBenDeduct),FALSE)</f>
        <v>0</v>
      </c>
      <c r="BE58" s="217" t="str">
        <f t="shared" ref="BE58:BE80" si="143">IF(BD58,VLOOKUP(F58,BenefitDesignTable,COLUMN(BenefitDeductible),FALSE),"N/A")</f>
        <v>N/A</v>
      </c>
      <c r="BF58" s="217" t="str">
        <f>IF(AND(BD58=TRUE,ISNUMBER(BE58)=TRUE),MAX(0,BE58-SUMIFS(AM$3:AM57,BD$3:BD57,TRUE,F$3:F57,F58)),IF(AND(BD58=TRUE,ISNUMBER(BE58)=FALSE),"ERR","N/A"))</f>
        <v>N/A</v>
      </c>
      <c r="BG58" s="215" t="str">
        <f t="shared" ref="BG58:BG80" si="144">IF(ISNUMBER(BF58),MIN($AM58,BF58),"N/A")</f>
        <v>N/A</v>
      </c>
      <c r="BH58" s="214">
        <f t="shared" ref="BH58:BH80" si="145">SUM(AQ58,AU58,AY58,BC58,BG58)</f>
        <v>0</v>
      </c>
      <c r="BI58" s="215">
        <f t="shared" si="54"/>
        <v>0</v>
      </c>
      <c r="BJ58" s="214" t="str">
        <f t="shared" si="55"/>
        <v>N/A</v>
      </c>
      <c r="BK58" s="217">
        <f t="shared" ref="BK58:BK80" si="146">IF(OR(BI58="ERR",AM58="ERR"),"ERR",MAX(0,AM58-BI58))</f>
        <v>0</v>
      </c>
      <c r="BL58" s="220" t="b">
        <f t="shared" ref="BL58:BL80" si="147">VLOOKUP(F58,nrCoverageTable,COLUMN(nrUsesCopay),FALSE)</f>
        <v>0</v>
      </c>
      <c r="BM58" s="217" t="str">
        <f t="shared" ref="BM58:BM80" si="148">IF(BL58,VLOOKUP(F58,BenefitDesignTable,COLUMN(BenefitCopay),FALSE),"N/A")</f>
        <v>N/A</v>
      </c>
      <c r="BN58" s="217" t="str">
        <f t="shared" si="56"/>
        <v>N/A</v>
      </c>
      <c r="BO58" s="220" t="b">
        <f t="shared" ref="BO58:BO80" si="149">VLOOKUP(F58,nrCoverageTable,COLUMN(nrUsesCoins),FALSE)</f>
        <v>0</v>
      </c>
      <c r="BP58" s="244" t="str">
        <f t="shared" ref="BP58:BP80" si="150">IF(BO58,VLOOKUP(F58,BenefitDesignTable,COLUMN(BenefitCoins),FALSE),"N/A")</f>
        <v>N/A</v>
      </c>
      <c r="BQ58" s="217" t="str">
        <f t="shared" si="57"/>
        <v>N/A</v>
      </c>
      <c r="BR58" s="215">
        <f t="shared" si="58"/>
        <v>0</v>
      </c>
      <c r="BS58" s="214" t="str">
        <f t="shared" si="59"/>
        <v>N/A</v>
      </c>
      <c r="BT58" s="217">
        <f t="shared" si="60"/>
        <v>0</v>
      </c>
      <c r="BU58" s="215">
        <f t="shared" si="61"/>
        <v>0</v>
      </c>
      <c r="BV58" s="214">
        <f t="shared" si="62"/>
        <v>0</v>
      </c>
      <c r="BW58" s="217">
        <f t="shared" ref="BW58:BW80" si="151">I58</f>
        <v>36.83</v>
      </c>
      <c r="BX58" s="217">
        <f t="shared" ref="BX58:BX80" si="152">IF(OR(AG58="ERR",AK58="ERR"),"ERR",SUM(AG58,AK58))</f>
        <v>0</v>
      </c>
      <c r="BY58" s="217">
        <f t="shared" si="63"/>
        <v>0</v>
      </c>
      <c r="BZ58" s="217">
        <f t="shared" ref="BZ58:BZ79" si="153">IF(V58="Yes",IF(Z58="N/A",0,Z58),0)+IF(BL58,BN58,0)</f>
        <v>0</v>
      </c>
      <c r="CA58" s="217">
        <f t="shared" si="64"/>
        <v>0</v>
      </c>
      <c r="CB58" s="213" t="b">
        <f t="shared" ref="CB58:CB80" si="154">SUM(BV58:CA58)=H58</f>
        <v>1</v>
      </c>
    </row>
    <row r="59" spans="1:80" x14ac:dyDescent="0.25">
      <c r="A59" s="207">
        <v>56</v>
      </c>
      <c r="B59" s="208">
        <v>42553</v>
      </c>
      <c r="C59" s="209">
        <v>7</v>
      </c>
      <c r="D59" s="210">
        <v>14</v>
      </c>
      <c r="E59" s="211" t="str">
        <f t="shared" si="110"/>
        <v>BD Ultrafine Insulin Syringes / 30G/ 0.5cc  [usage = 30 syringes per month]</v>
      </c>
      <c r="F59" s="212" t="str">
        <f t="shared" si="111"/>
        <v>Medical Supplies</v>
      </c>
      <c r="G59" s="213" t="str">
        <f t="shared" si="112"/>
        <v>Not Covered</v>
      </c>
      <c r="H59" s="214">
        <f t="shared" si="113"/>
        <v>20.62</v>
      </c>
      <c r="I59" s="217">
        <f t="shared" si="114"/>
        <v>20.62</v>
      </c>
      <c r="J59" s="251">
        <f t="shared" si="115"/>
        <v>0</v>
      </c>
      <c r="K59" s="214" t="b">
        <f t="shared" si="116"/>
        <v>0</v>
      </c>
      <c r="L59" s="218" t="str">
        <f t="shared" si="117"/>
        <v>No</v>
      </c>
      <c r="M59" s="217" t="str">
        <f t="shared" si="118"/>
        <v>.</v>
      </c>
      <c r="N59" s="215" t="str">
        <f>IFERROR(IF(AND(L59="Yes",ISNUMBER(M59)),MAX(0,M59-SUMIFS(BU$3:BU58,L$3:L58,"Yes")),IF(OR(L59="No",M59="None"),"N/A","ERR")),"ERR")</f>
        <v>N/A</v>
      </c>
      <c r="O59" s="251" t="b">
        <f t="shared" si="46"/>
        <v>0</v>
      </c>
      <c r="P59" s="251" t="str">
        <f>IF(O59,BENEFIT_PARAMETERS!$C$76,"N/A")</f>
        <v>N/A</v>
      </c>
      <c r="Q59" s="288" t="str">
        <f>IF(P59="Yes", BENEFIT_PARAMETERS!$D$76,"N/A")</f>
        <v>N/A</v>
      </c>
      <c r="R59" s="253" t="str">
        <f t="shared" si="109"/>
        <v>N/A</v>
      </c>
      <c r="S59" s="217">
        <f t="shared" ref="S59:S100" si="155">IF(P59="Yes",IF(R59&lt;Q59,MIN(J59,N59),0),0)</f>
        <v>0</v>
      </c>
      <c r="T59" s="215">
        <f t="shared" si="119"/>
        <v>0</v>
      </c>
      <c r="U59" s="214" t="b">
        <f t="shared" si="48"/>
        <v>0</v>
      </c>
      <c r="V59" s="251" t="str">
        <f>IF(O59,BENEFIT_PARAMETERS!$C$77,"N/A")</f>
        <v>N/A</v>
      </c>
      <c r="W59" s="288" t="str">
        <f>IF(V59="Yes", BENEFIT_PARAMETERS!$D$77,"N/A")</f>
        <v>N/A</v>
      </c>
      <c r="X59" s="253" t="str">
        <f>IF(O59,COUNTIF(Z$3:Z58,"&gt;0"),"N/A")</f>
        <v>N/A</v>
      </c>
      <c r="Y59" s="217" t="str">
        <f t="shared" si="120"/>
        <v>N/A</v>
      </c>
      <c r="Z59" s="293" t="str">
        <f t="shared" ref="Z59:Z100" si="156">IF(AND(V59="Yes",U59=TRUE,X59&lt;W59), MIN(Y59,T59,N59),"N/A")</f>
        <v>N/A</v>
      </c>
      <c r="AA59" s="293">
        <f t="shared" ref="AA59:AA100" si="157">IF(Z59="N/A",0,T59-Z59)</f>
        <v>0</v>
      </c>
      <c r="AB59" s="293" t="str">
        <f t="shared" si="121"/>
        <v>N/A</v>
      </c>
      <c r="AC59" s="215">
        <f t="shared" ref="AC59:AC100" si="158">IF(Z59="N/A",T59,0)</f>
        <v>0</v>
      </c>
      <c r="AD59" s="214" t="b">
        <f t="shared" si="122"/>
        <v>0</v>
      </c>
      <c r="AE59" s="209" t="str">
        <f t="shared" si="123"/>
        <v>.</v>
      </c>
      <c r="AF59" s="216">
        <f t="shared" si="124"/>
        <v>0</v>
      </c>
      <c r="AG59" s="217" t="str">
        <f t="shared" si="125"/>
        <v>N/A</v>
      </c>
      <c r="AH59" s="217" t="b">
        <f t="shared" si="126"/>
        <v>0</v>
      </c>
      <c r="AI59" s="209" t="str">
        <f t="shared" si="127"/>
        <v>.</v>
      </c>
      <c r="AJ59" s="216">
        <f t="shared" si="128"/>
        <v>6</v>
      </c>
      <c r="AK59" s="217" t="str">
        <f t="shared" si="129"/>
        <v>N/A</v>
      </c>
      <c r="AL59" s="217">
        <f t="shared" ref="AL59:AL100" si="159">IF(OR(AG59="ERR",AK59="ERR"),"ERR",MAX(AG59,AK59))</f>
        <v>0</v>
      </c>
      <c r="AM59" s="215">
        <f t="shared" ref="AM59:AM100" si="160">IFERROR(AC59-AL59,"ERR")</f>
        <v>0</v>
      </c>
      <c r="AN59" s="219" t="b">
        <f t="shared" si="130"/>
        <v>0</v>
      </c>
      <c r="AO59" s="217" t="str">
        <f t="shared" si="131"/>
        <v>N/A</v>
      </c>
      <c r="AP59" s="217" t="str">
        <f>IF(AND(ISNUMBER(AO59),AN59=TRUE),MAX(0,AO59-SUMIFS($AM$3:$AM58,AN$3:AN58,TRUE)),IF(AND(AN59=TRUE,ISNUMBER(AO59)=FALSE),"ERR","N/A"))</f>
        <v>N/A</v>
      </c>
      <c r="AQ59" s="215" t="str">
        <f t="shared" si="132"/>
        <v>N/A</v>
      </c>
      <c r="AR59" s="219" t="b">
        <f t="shared" si="133"/>
        <v>0</v>
      </c>
      <c r="AS59" s="217" t="str">
        <f t="shared" si="134"/>
        <v>N/A</v>
      </c>
      <c r="AT59" s="217" t="str">
        <f>IF(AND(AR59=TRUE,ISNUMBER(AS59)),MAX(0,AS59-SUMIFS($AM$3:$AM58,AR$3:AR58,TRUE)),IF(AND(AR59=TRUE,ISNUMBER(AS59)=FALSE),"ERR","N/A"))</f>
        <v>N/A</v>
      </c>
      <c r="AU59" s="215" t="str">
        <f t="shared" si="135"/>
        <v>N/A</v>
      </c>
      <c r="AV59" s="219" t="b">
        <f t="shared" si="136"/>
        <v>0</v>
      </c>
      <c r="AW59" s="217" t="str">
        <f t="shared" si="137"/>
        <v>N/A</v>
      </c>
      <c r="AX59" s="217" t="str">
        <f>IF(AND(AV59=TRUE,ISNUMBER(AW59)),MAX(0,AW59-SUMIFS($AM$3:$AM58,AV$3:AV58,TRUE)),IF(AND(AV59=TRUE,ISNUMBER(AW59)=FALSE),"ERR","N/A"))</f>
        <v>N/A</v>
      </c>
      <c r="AY59" s="215" t="str">
        <f t="shared" si="138"/>
        <v>N/A</v>
      </c>
      <c r="AZ59" s="219" t="b">
        <f t="shared" si="139"/>
        <v>0</v>
      </c>
      <c r="BA59" s="217" t="str">
        <f t="shared" si="140"/>
        <v>N/A</v>
      </c>
      <c r="BB59" s="217" t="str">
        <f>IF(AND(AZ59=TRUE,ISNUMBER(BA59)),MAX(0,BA59-SUMIFS($AM$3:$AM58,AZ$3:AZ58,TRUE)),IF(AND(AZ59=TRUE,ISNUMBER(BA59)=FALSE),"ERR","N/A"))</f>
        <v>N/A</v>
      </c>
      <c r="BC59" s="215" t="str">
        <f t="shared" si="141"/>
        <v>N/A</v>
      </c>
      <c r="BD59" s="219" t="b">
        <f t="shared" si="142"/>
        <v>0</v>
      </c>
      <c r="BE59" s="217" t="str">
        <f t="shared" si="143"/>
        <v>N/A</v>
      </c>
      <c r="BF59" s="217" t="str">
        <f>IF(AND(BD59=TRUE,ISNUMBER(BE59)=TRUE),MAX(0,BE59-SUMIFS(AM$3:AM58,BD$3:BD58,TRUE,F$3:F58,F59)),IF(AND(BD59=TRUE,ISNUMBER(BE59)=FALSE),"ERR","N/A"))</f>
        <v>N/A</v>
      </c>
      <c r="BG59" s="215" t="str">
        <f t="shared" si="144"/>
        <v>N/A</v>
      </c>
      <c r="BH59" s="214">
        <f t="shared" si="145"/>
        <v>0</v>
      </c>
      <c r="BI59" s="215">
        <f t="shared" ref="BI59:BI100" si="161">IF(OR(AB59="ERR",BH59="ERR"),"ERR",MIN(BH59,AB59))</f>
        <v>0</v>
      </c>
      <c r="BJ59" s="214" t="str">
        <f t="shared" si="55"/>
        <v>N/A</v>
      </c>
      <c r="BK59" s="217">
        <f t="shared" si="146"/>
        <v>0</v>
      </c>
      <c r="BL59" s="220" t="b">
        <f t="shared" si="147"/>
        <v>0</v>
      </c>
      <c r="BM59" s="217" t="str">
        <f t="shared" si="148"/>
        <v>N/A</v>
      </c>
      <c r="BN59" s="217" t="str">
        <f t="shared" ref="BN59:BN100" si="162">IF(BK59="ERR","ERR",IF(AND(BL59=TRUE,ISNUMBER(BM59)),MIN(BK59,BM59,BJ59),IF(AND(BL59=TRUE,ISNUMBER(BM59)=FALSE),"ERR","N/A")))</f>
        <v>N/A</v>
      </c>
      <c r="BO59" s="220" t="b">
        <f t="shared" si="149"/>
        <v>0</v>
      </c>
      <c r="BP59" s="244" t="str">
        <f t="shared" si="150"/>
        <v>N/A</v>
      </c>
      <c r="BQ59" s="217" t="str">
        <f t="shared" ref="BQ59:BQ100" si="163">IF(BK59="ERR","ERR",IF(AND(BO59=TRUE,ISNUMBER(BP59)=TRUE),MIN(BJ59,BK59*BP59),IF(AND(BO59=TRUE,ISNUMBER(BP59)=FALSE),"ERR","N/A")))</f>
        <v>N/A</v>
      </c>
      <c r="BR59" s="215">
        <f t="shared" ref="BR59:BR100" si="164">IF(OR(BJ59="ERR",BN59="ERR",BQ59="ERR"),"ERR",MIN(BJ59,SUM(BN59,BQ59)))</f>
        <v>0</v>
      </c>
      <c r="BS59" s="214" t="str">
        <f t="shared" si="59"/>
        <v>N/A</v>
      </c>
      <c r="BT59" s="217">
        <f t="shared" ref="BT59:BT100" si="165">IF(OR(BK59="ERR",BR59="ERR"),"ERR",MAX(BK59-BR59,0))</f>
        <v>0</v>
      </c>
      <c r="BU59" s="215">
        <f t="shared" si="61"/>
        <v>0</v>
      </c>
      <c r="BV59" s="214">
        <f t="shared" si="62"/>
        <v>0</v>
      </c>
      <c r="BW59" s="217">
        <f t="shared" si="151"/>
        <v>20.62</v>
      </c>
      <c r="BX59" s="217">
        <f t="shared" si="152"/>
        <v>0</v>
      </c>
      <c r="BY59" s="217">
        <f t="shared" ref="BY59:BY100" si="166">BI59</f>
        <v>0</v>
      </c>
      <c r="BZ59" s="217">
        <f t="shared" si="153"/>
        <v>0</v>
      </c>
      <c r="CA59" s="217">
        <f t="shared" ref="CA59:CA100" si="167">IF(BO59,BQ59,0)</f>
        <v>0</v>
      </c>
      <c r="CB59" s="213" t="b">
        <f t="shared" si="154"/>
        <v>1</v>
      </c>
    </row>
    <row r="60" spans="1:80" x14ac:dyDescent="0.25">
      <c r="A60" s="207">
        <v>57</v>
      </c>
      <c r="B60" s="208">
        <v>42553</v>
      </c>
      <c r="C60" s="209">
        <v>7</v>
      </c>
      <c r="D60" s="210">
        <v>6</v>
      </c>
      <c r="E60" s="211" t="str">
        <f t="shared" si="110"/>
        <v>OneTouch Ultra Control Solution (2 vials/box)</v>
      </c>
      <c r="F60" s="212" t="str">
        <f t="shared" si="111"/>
        <v>Medical Supplies</v>
      </c>
      <c r="G60" s="213" t="str">
        <f t="shared" si="112"/>
        <v>Not Covered</v>
      </c>
      <c r="H60" s="214">
        <f t="shared" si="113"/>
        <v>6.63</v>
      </c>
      <c r="I60" s="217">
        <f t="shared" si="114"/>
        <v>6.63</v>
      </c>
      <c r="J60" s="251">
        <f t="shared" si="115"/>
        <v>0</v>
      </c>
      <c r="K60" s="214" t="b">
        <f t="shared" si="116"/>
        <v>0</v>
      </c>
      <c r="L60" s="218" t="str">
        <f t="shared" si="117"/>
        <v>No</v>
      </c>
      <c r="M60" s="217" t="str">
        <f t="shared" si="118"/>
        <v>.</v>
      </c>
      <c r="N60" s="215" t="str">
        <f>IFERROR(IF(AND(L60="Yes",ISNUMBER(M60)),MAX(0,M60-SUMIFS(BU$3:BU59,L$3:L59,"Yes")),IF(OR(L60="No",M60="None"),"N/A","ERR")),"ERR")</f>
        <v>N/A</v>
      </c>
      <c r="O60" s="251" t="b">
        <f t="shared" si="46"/>
        <v>0</v>
      </c>
      <c r="P60" s="251" t="str">
        <f>IF(O60,BENEFIT_PARAMETERS!$C$76,"N/A")</f>
        <v>N/A</v>
      </c>
      <c r="Q60" s="288" t="str">
        <f>IF(P60="Yes", BENEFIT_PARAMETERS!$D$76,"N/A")</f>
        <v>N/A</v>
      </c>
      <c r="R60" s="253" t="str">
        <f t="shared" si="109"/>
        <v>N/A</v>
      </c>
      <c r="S60" s="217">
        <f t="shared" si="155"/>
        <v>0</v>
      </c>
      <c r="T60" s="215">
        <f t="shared" si="119"/>
        <v>0</v>
      </c>
      <c r="U60" s="214" t="b">
        <f t="shared" si="48"/>
        <v>0</v>
      </c>
      <c r="V60" s="251" t="str">
        <f>IF(O60,BENEFIT_PARAMETERS!$C$77,"N/A")</f>
        <v>N/A</v>
      </c>
      <c r="W60" s="288" t="str">
        <f>IF(V60="Yes", BENEFIT_PARAMETERS!$D$77,"N/A")</f>
        <v>N/A</v>
      </c>
      <c r="X60" s="253" t="str">
        <f>IF(O60,COUNTIF(Z$3:Z59,"&gt;0"),"N/A")</f>
        <v>N/A</v>
      </c>
      <c r="Y60" s="217" t="str">
        <f t="shared" si="120"/>
        <v>N/A</v>
      </c>
      <c r="Z60" s="293" t="str">
        <f t="shared" si="156"/>
        <v>N/A</v>
      </c>
      <c r="AA60" s="293">
        <f t="shared" si="157"/>
        <v>0</v>
      </c>
      <c r="AB60" s="293" t="str">
        <f t="shared" si="121"/>
        <v>N/A</v>
      </c>
      <c r="AC60" s="215">
        <f t="shared" si="158"/>
        <v>0</v>
      </c>
      <c r="AD60" s="214" t="b">
        <f t="shared" si="122"/>
        <v>0</v>
      </c>
      <c r="AE60" s="209" t="str">
        <f t="shared" si="123"/>
        <v>.</v>
      </c>
      <c r="AF60" s="216">
        <f t="shared" si="124"/>
        <v>0</v>
      </c>
      <c r="AG60" s="217" t="str">
        <f t="shared" si="125"/>
        <v>N/A</v>
      </c>
      <c r="AH60" s="217" t="b">
        <f t="shared" si="126"/>
        <v>0</v>
      </c>
      <c r="AI60" s="209" t="str">
        <f t="shared" si="127"/>
        <v>.</v>
      </c>
      <c r="AJ60" s="216">
        <f t="shared" si="128"/>
        <v>1</v>
      </c>
      <c r="AK60" s="217" t="str">
        <f t="shared" si="129"/>
        <v>N/A</v>
      </c>
      <c r="AL60" s="217">
        <f t="shared" si="159"/>
        <v>0</v>
      </c>
      <c r="AM60" s="215">
        <f t="shared" si="160"/>
        <v>0</v>
      </c>
      <c r="AN60" s="219" t="b">
        <f t="shared" si="130"/>
        <v>0</v>
      </c>
      <c r="AO60" s="217" t="str">
        <f t="shared" si="131"/>
        <v>N/A</v>
      </c>
      <c r="AP60" s="217" t="str">
        <f>IF(AND(ISNUMBER(AO60),AN60=TRUE),MAX(0,AO60-SUMIFS($AM$3:$AM59,AN$3:AN59,TRUE)),IF(AND(AN60=TRUE,ISNUMBER(AO60)=FALSE),"ERR","N/A"))</f>
        <v>N/A</v>
      </c>
      <c r="AQ60" s="215" t="str">
        <f t="shared" si="132"/>
        <v>N/A</v>
      </c>
      <c r="AR60" s="219" t="b">
        <f t="shared" si="133"/>
        <v>0</v>
      </c>
      <c r="AS60" s="217" t="str">
        <f t="shared" si="134"/>
        <v>N/A</v>
      </c>
      <c r="AT60" s="217" t="str">
        <f>IF(AND(AR60=TRUE,ISNUMBER(AS60)),MAX(0,AS60-SUMIFS($AM$3:$AM59,AR$3:AR59,TRUE)),IF(AND(AR60=TRUE,ISNUMBER(AS60)=FALSE),"ERR","N/A"))</f>
        <v>N/A</v>
      </c>
      <c r="AU60" s="215" t="str">
        <f t="shared" si="135"/>
        <v>N/A</v>
      </c>
      <c r="AV60" s="219" t="b">
        <f t="shared" si="136"/>
        <v>0</v>
      </c>
      <c r="AW60" s="217" t="str">
        <f t="shared" si="137"/>
        <v>N/A</v>
      </c>
      <c r="AX60" s="217" t="str">
        <f>IF(AND(AV60=TRUE,ISNUMBER(AW60)),MAX(0,AW60-SUMIFS($AM$3:$AM59,AV$3:AV59,TRUE)),IF(AND(AV60=TRUE,ISNUMBER(AW60)=FALSE),"ERR","N/A"))</f>
        <v>N/A</v>
      </c>
      <c r="AY60" s="215" t="str">
        <f t="shared" si="138"/>
        <v>N/A</v>
      </c>
      <c r="AZ60" s="219" t="b">
        <f t="shared" si="139"/>
        <v>0</v>
      </c>
      <c r="BA60" s="217" t="str">
        <f t="shared" si="140"/>
        <v>N/A</v>
      </c>
      <c r="BB60" s="217" t="str">
        <f>IF(AND(AZ60=TRUE,ISNUMBER(BA60)),MAX(0,BA60-SUMIFS($AM$3:$AM59,AZ$3:AZ59,TRUE)),IF(AND(AZ60=TRUE,ISNUMBER(BA60)=FALSE),"ERR","N/A"))</f>
        <v>N/A</v>
      </c>
      <c r="BC60" s="215" t="str">
        <f t="shared" si="141"/>
        <v>N/A</v>
      </c>
      <c r="BD60" s="219" t="b">
        <f t="shared" si="142"/>
        <v>0</v>
      </c>
      <c r="BE60" s="217" t="str">
        <f t="shared" si="143"/>
        <v>N/A</v>
      </c>
      <c r="BF60" s="217" t="str">
        <f>IF(AND(BD60=TRUE,ISNUMBER(BE60)=TRUE),MAX(0,BE60-SUMIFS(AM$3:AM59,BD$3:BD59,TRUE,F$3:F59,F60)),IF(AND(BD60=TRUE,ISNUMBER(BE60)=FALSE),"ERR","N/A"))</f>
        <v>N/A</v>
      </c>
      <c r="BG60" s="215" t="str">
        <f t="shared" si="144"/>
        <v>N/A</v>
      </c>
      <c r="BH60" s="214">
        <f t="shared" si="145"/>
        <v>0</v>
      </c>
      <c r="BI60" s="215">
        <f t="shared" si="161"/>
        <v>0</v>
      </c>
      <c r="BJ60" s="214" t="str">
        <f t="shared" si="55"/>
        <v>N/A</v>
      </c>
      <c r="BK60" s="217">
        <f t="shared" si="146"/>
        <v>0</v>
      </c>
      <c r="BL60" s="220" t="b">
        <f t="shared" si="147"/>
        <v>0</v>
      </c>
      <c r="BM60" s="217" t="str">
        <f t="shared" si="148"/>
        <v>N/A</v>
      </c>
      <c r="BN60" s="217" t="str">
        <f t="shared" si="162"/>
        <v>N/A</v>
      </c>
      <c r="BO60" s="220" t="b">
        <f t="shared" si="149"/>
        <v>0</v>
      </c>
      <c r="BP60" s="244" t="str">
        <f t="shared" si="150"/>
        <v>N/A</v>
      </c>
      <c r="BQ60" s="217" t="str">
        <f t="shared" si="163"/>
        <v>N/A</v>
      </c>
      <c r="BR60" s="215">
        <f t="shared" si="164"/>
        <v>0</v>
      </c>
      <c r="BS60" s="214" t="str">
        <f t="shared" si="59"/>
        <v>N/A</v>
      </c>
      <c r="BT60" s="217">
        <f t="shared" si="165"/>
        <v>0</v>
      </c>
      <c r="BU60" s="215">
        <f t="shared" si="61"/>
        <v>0</v>
      </c>
      <c r="BV60" s="214">
        <f t="shared" si="62"/>
        <v>0</v>
      </c>
      <c r="BW60" s="217">
        <f t="shared" si="151"/>
        <v>6.63</v>
      </c>
      <c r="BX60" s="217">
        <f t="shared" si="152"/>
        <v>0</v>
      </c>
      <c r="BY60" s="217">
        <f t="shared" si="166"/>
        <v>0</v>
      </c>
      <c r="BZ60" s="217">
        <f t="shared" si="153"/>
        <v>0</v>
      </c>
      <c r="CA60" s="217">
        <f t="shared" si="167"/>
        <v>0</v>
      </c>
      <c r="CB60" s="213" t="b">
        <f t="shared" si="154"/>
        <v>1</v>
      </c>
    </row>
    <row r="61" spans="1:80" x14ac:dyDescent="0.25">
      <c r="A61" s="207">
        <v>58</v>
      </c>
      <c r="B61" s="208">
        <v>42553</v>
      </c>
      <c r="C61" s="209">
        <v>7</v>
      </c>
      <c r="D61" s="210">
        <v>32</v>
      </c>
      <c r="E61" s="211" t="str">
        <f t="shared" si="110"/>
        <v>Metformin Hydrochloride 500 MG TABLET [ #60 pills/month]</v>
      </c>
      <c r="F61" s="212" t="str">
        <f t="shared" si="111"/>
        <v>Prescription Drugs: Generic</v>
      </c>
      <c r="G61" s="213" t="str">
        <f t="shared" si="112"/>
        <v>Not Covered</v>
      </c>
      <c r="H61" s="214">
        <f t="shared" si="113"/>
        <v>3.21</v>
      </c>
      <c r="I61" s="217">
        <f t="shared" si="114"/>
        <v>3.21</v>
      </c>
      <c r="J61" s="251">
        <f t="shared" si="115"/>
        <v>0</v>
      </c>
      <c r="K61" s="214" t="b">
        <f t="shared" si="116"/>
        <v>0</v>
      </c>
      <c r="L61" s="218" t="str">
        <f t="shared" si="117"/>
        <v>No</v>
      </c>
      <c r="M61" s="217" t="str">
        <f t="shared" si="118"/>
        <v>.</v>
      </c>
      <c r="N61" s="215" t="str">
        <f>IFERROR(IF(AND(L61="Yes",ISNUMBER(M61)),MAX(0,M61-SUMIFS(BU$3:BU60,L$3:L60,"Yes")),IF(OR(L61="No",M61="None"),"N/A","ERR")),"ERR")</f>
        <v>N/A</v>
      </c>
      <c r="O61" s="251" t="b">
        <f t="shared" si="46"/>
        <v>0</v>
      </c>
      <c r="P61" s="251" t="str">
        <f>IF(O61,BENEFIT_PARAMETERS!$C$76,"N/A")</f>
        <v>N/A</v>
      </c>
      <c r="Q61" s="288" t="str">
        <f>IF(P61="Yes", BENEFIT_PARAMETERS!$D$76,"N/A")</f>
        <v>N/A</v>
      </c>
      <c r="R61" s="253" t="str">
        <f t="shared" si="109"/>
        <v>N/A</v>
      </c>
      <c r="S61" s="217">
        <f t="shared" si="155"/>
        <v>0</v>
      </c>
      <c r="T61" s="215">
        <f t="shared" si="119"/>
        <v>0</v>
      </c>
      <c r="U61" s="214" t="b">
        <f t="shared" si="48"/>
        <v>0</v>
      </c>
      <c r="V61" s="251" t="str">
        <f>IF(O61,BENEFIT_PARAMETERS!$C$77,"N/A")</f>
        <v>N/A</v>
      </c>
      <c r="W61" s="288" t="str">
        <f>IF(V61="Yes", BENEFIT_PARAMETERS!$D$77,"N/A")</f>
        <v>N/A</v>
      </c>
      <c r="X61" s="253" t="str">
        <f>IF(O61,COUNTIF(Z$3:Z60,"&gt;0"),"N/A")</f>
        <v>N/A</v>
      </c>
      <c r="Y61" s="217" t="str">
        <f t="shared" si="120"/>
        <v>N/A</v>
      </c>
      <c r="Z61" s="293" t="str">
        <f t="shared" si="156"/>
        <v>N/A</v>
      </c>
      <c r="AA61" s="293">
        <f t="shared" si="157"/>
        <v>0</v>
      </c>
      <c r="AB61" s="293" t="str">
        <f t="shared" si="121"/>
        <v>N/A</v>
      </c>
      <c r="AC61" s="215">
        <f t="shared" si="158"/>
        <v>0</v>
      </c>
      <c r="AD61" s="214" t="b">
        <f t="shared" si="122"/>
        <v>0</v>
      </c>
      <c r="AE61" s="209" t="str">
        <f t="shared" si="123"/>
        <v>.</v>
      </c>
      <c r="AF61" s="216">
        <f t="shared" si="124"/>
        <v>0</v>
      </c>
      <c r="AG61" s="217" t="str">
        <f t="shared" si="125"/>
        <v>N/A</v>
      </c>
      <c r="AH61" s="217" t="b">
        <f t="shared" si="126"/>
        <v>0</v>
      </c>
      <c r="AI61" s="209" t="str">
        <f t="shared" si="127"/>
        <v>.</v>
      </c>
      <c r="AJ61" s="216">
        <f t="shared" si="128"/>
        <v>6</v>
      </c>
      <c r="AK61" s="217" t="str">
        <f t="shared" si="129"/>
        <v>N/A</v>
      </c>
      <c r="AL61" s="217">
        <f t="shared" si="159"/>
        <v>0</v>
      </c>
      <c r="AM61" s="215">
        <f t="shared" si="160"/>
        <v>0</v>
      </c>
      <c r="AN61" s="219" t="b">
        <f t="shared" si="130"/>
        <v>0</v>
      </c>
      <c r="AO61" s="217" t="str">
        <f t="shared" si="131"/>
        <v>N/A</v>
      </c>
      <c r="AP61" s="217" t="str">
        <f>IF(AND(ISNUMBER(AO61),AN61=TRUE),MAX(0,AO61-SUMIFS($AM$3:$AM60,AN$3:AN60,TRUE)),IF(AND(AN61=TRUE,ISNUMBER(AO61)=FALSE),"ERR","N/A"))</f>
        <v>N/A</v>
      </c>
      <c r="AQ61" s="215" t="str">
        <f t="shared" si="132"/>
        <v>N/A</v>
      </c>
      <c r="AR61" s="219" t="b">
        <f t="shared" si="133"/>
        <v>0</v>
      </c>
      <c r="AS61" s="217" t="str">
        <f t="shared" si="134"/>
        <v>N/A</v>
      </c>
      <c r="AT61" s="217" t="str">
        <f>IF(AND(AR61=TRUE,ISNUMBER(AS61)),MAX(0,AS61-SUMIFS($AM$3:$AM60,AR$3:AR60,TRUE)),IF(AND(AR61=TRUE,ISNUMBER(AS61)=FALSE),"ERR","N/A"))</f>
        <v>N/A</v>
      </c>
      <c r="AU61" s="215" t="str">
        <f t="shared" si="135"/>
        <v>N/A</v>
      </c>
      <c r="AV61" s="219" t="b">
        <f t="shared" si="136"/>
        <v>0</v>
      </c>
      <c r="AW61" s="217" t="str">
        <f t="shared" si="137"/>
        <v>N/A</v>
      </c>
      <c r="AX61" s="217" t="str">
        <f>IF(AND(AV61=TRUE,ISNUMBER(AW61)),MAX(0,AW61-SUMIFS($AM$3:$AM60,AV$3:AV60,TRUE)),IF(AND(AV61=TRUE,ISNUMBER(AW61)=FALSE),"ERR","N/A"))</f>
        <v>N/A</v>
      </c>
      <c r="AY61" s="215" t="str">
        <f t="shared" si="138"/>
        <v>N/A</v>
      </c>
      <c r="AZ61" s="219" t="b">
        <f t="shared" si="139"/>
        <v>0</v>
      </c>
      <c r="BA61" s="217" t="str">
        <f t="shared" si="140"/>
        <v>N/A</v>
      </c>
      <c r="BB61" s="217" t="str">
        <f>IF(AND(AZ61=TRUE,ISNUMBER(BA61)),MAX(0,BA61-SUMIFS($AM$3:$AM60,AZ$3:AZ60,TRUE)),IF(AND(AZ61=TRUE,ISNUMBER(BA61)=FALSE),"ERR","N/A"))</f>
        <v>N/A</v>
      </c>
      <c r="BC61" s="215" t="str">
        <f t="shared" si="141"/>
        <v>N/A</v>
      </c>
      <c r="BD61" s="219" t="b">
        <f t="shared" si="142"/>
        <v>0</v>
      </c>
      <c r="BE61" s="217" t="str">
        <f t="shared" si="143"/>
        <v>N/A</v>
      </c>
      <c r="BF61" s="217" t="str">
        <f>IF(AND(BD61=TRUE,ISNUMBER(BE61)=TRUE),MAX(0,BE61-SUMIFS(AM$3:AM60,BD$3:BD60,TRUE,F$3:F60,F61)),IF(AND(BD61=TRUE,ISNUMBER(BE61)=FALSE),"ERR","N/A"))</f>
        <v>N/A</v>
      </c>
      <c r="BG61" s="215" t="str">
        <f t="shared" si="144"/>
        <v>N/A</v>
      </c>
      <c r="BH61" s="214">
        <f t="shared" si="145"/>
        <v>0</v>
      </c>
      <c r="BI61" s="215">
        <f t="shared" si="161"/>
        <v>0</v>
      </c>
      <c r="BJ61" s="214" t="str">
        <f t="shared" si="55"/>
        <v>N/A</v>
      </c>
      <c r="BK61" s="217">
        <f t="shared" si="146"/>
        <v>0</v>
      </c>
      <c r="BL61" s="220" t="b">
        <f t="shared" si="147"/>
        <v>0</v>
      </c>
      <c r="BM61" s="217" t="str">
        <f t="shared" si="148"/>
        <v>N/A</v>
      </c>
      <c r="BN61" s="217" t="str">
        <f t="shared" si="162"/>
        <v>N/A</v>
      </c>
      <c r="BO61" s="220" t="b">
        <f t="shared" si="149"/>
        <v>0</v>
      </c>
      <c r="BP61" s="244" t="str">
        <f t="shared" si="150"/>
        <v>N/A</v>
      </c>
      <c r="BQ61" s="217" t="str">
        <f t="shared" si="163"/>
        <v>N/A</v>
      </c>
      <c r="BR61" s="215">
        <f t="shared" si="164"/>
        <v>0</v>
      </c>
      <c r="BS61" s="214" t="str">
        <f t="shared" si="59"/>
        <v>N/A</v>
      </c>
      <c r="BT61" s="217">
        <f t="shared" si="165"/>
        <v>0</v>
      </c>
      <c r="BU61" s="215">
        <f t="shared" si="61"/>
        <v>0</v>
      </c>
      <c r="BV61" s="214">
        <f t="shared" si="62"/>
        <v>0</v>
      </c>
      <c r="BW61" s="217">
        <f t="shared" si="151"/>
        <v>3.21</v>
      </c>
      <c r="BX61" s="217">
        <f t="shared" si="152"/>
        <v>0</v>
      </c>
      <c r="BY61" s="217">
        <f t="shared" si="166"/>
        <v>0</v>
      </c>
      <c r="BZ61" s="217">
        <f t="shared" si="153"/>
        <v>0</v>
      </c>
      <c r="CA61" s="217">
        <f t="shared" si="167"/>
        <v>0</v>
      </c>
      <c r="CB61" s="213" t="b">
        <f t="shared" si="154"/>
        <v>1</v>
      </c>
    </row>
    <row r="62" spans="1:80" x14ac:dyDescent="0.25">
      <c r="A62" s="207">
        <v>59</v>
      </c>
      <c r="B62" s="208">
        <v>42553</v>
      </c>
      <c r="C62" s="209">
        <v>7</v>
      </c>
      <c r="D62" s="210">
        <v>19</v>
      </c>
      <c r="E62" s="211" t="str">
        <f t="shared" si="110"/>
        <v>Lisinopril 20mg (Rx) [1 QD; #30 pills/month]</v>
      </c>
      <c r="F62" s="212" t="str">
        <f t="shared" si="111"/>
        <v>Prescription Drugs: Generic</v>
      </c>
      <c r="G62" s="213" t="str">
        <f t="shared" si="112"/>
        <v>Not Covered</v>
      </c>
      <c r="H62" s="214">
        <f t="shared" si="113"/>
        <v>3.38</v>
      </c>
      <c r="I62" s="217">
        <f t="shared" si="114"/>
        <v>3.38</v>
      </c>
      <c r="J62" s="251">
        <f t="shared" si="115"/>
        <v>0</v>
      </c>
      <c r="K62" s="214" t="b">
        <f t="shared" si="116"/>
        <v>0</v>
      </c>
      <c r="L62" s="218" t="str">
        <f t="shared" si="117"/>
        <v>No</v>
      </c>
      <c r="M62" s="217" t="str">
        <f t="shared" si="118"/>
        <v>.</v>
      </c>
      <c r="N62" s="215" t="str">
        <f>IFERROR(IF(AND(L62="Yes",ISNUMBER(M62)),MAX(0,M62-SUMIFS(BU$3:BU61,L$3:L61,"Yes")),IF(OR(L62="No",M62="None"),"N/A","ERR")),"ERR")</f>
        <v>N/A</v>
      </c>
      <c r="O62" s="251" t="b">
        <f t="shared" si="46"/>
        <v>0</v>
      </c>
      <c r="P62" s="251" t="str">
        <f>IF(O62,BENEFIT_PARAMETERS!$C$76,"N/A")</f>
        <v>N/A</v>
      </c>
      <c r="Q62" s="288" t="str">
        <f>IF(P62="Yes", BENEFIT_PARAMETERS!$D$76,"N/A")</f>
        <v>N/A</v>
      </c>
      <c r="R62" s="253" t="str">
        <f t="shared" si="109"/>
        <v>N/A</v>
      </c>
      <c r="S62" s="217">
        <f t="shared" si="155"/>
        <v>0</v>
      </c>
      <c r="T62" s="215">
        <f t="shared" si="119"/>
        <v>0</v>
      </c>
      <c r="U62" s="214" t="b">
        <f t="shared" si="48"/>
        <v>0</v>
      </c>
      <c r="V62" s="251" t="str">
        <f>IF(O62,BENEFIT_PARAMETERS!$C$77,"N/A")</f>
        <v>N/A</v>
      </c>
      <c r="W62" s="288" t="str">
        <f>IF(V62="Yes", BENEFIT_PARAMETERS!$D$77,"N/A")</f>
        <v>N/A</v>
      </c>
      <c r="X62" s="253" t="str">
        <f>IF(O62,COUNTIF(Z$3:Z61,"&gt;0"),"N/A")</f>
        <v>N/A</v>
      </c>
      <c r="Y62" s="217" t="str">
        <f t="shared" si="120"/>
        <v>N/A</v>
      </c>
      <c r="Z62" s="293" t="str">
        <f t="shared" si="156"/>
        <v>N/A</v>
      </c>
      <c r="AA62" s="293">
        <f t="shared" si="157"/>
        <v>0</v>
      </c>
      <c r="AB62" s="293" t="str">
        <f t="shared" si="121"/>
        <v>N/A</v>
      </c>
      <c r="AC62" s="215">
        <f t="shared" si="158"/>
        <v>0</v>
      </c>
      <c r="AD62" s="214" t="b">
        <f t="shared" si="122"/>
        <v>0</v>
      </c>
      <c r="AE62" s="209" t="str">
        <f t="shared" si="123"/>
        <v>.</v>
      </c>
      <c r="AF62" s="216">
        <f t="shared" si="124"/>
        <v>0</v>
      </c>
      <c r="AG62" s="217" t="str">
        <f t="shared" si="125"/>
        <v>N/A</v>
      </c>
      <c r="AH62" s="217" t="b">
        <f t="shared" si="126"/>
        <v>0</v>
      </c>
      <c r="AI62" s="209" t="str">
        <f t="shared" si="127"/>
        <v>.</v>
      </c>
      <c r="AJ62" s="216">
        <f t="shared" si="128"/>
        <v>6</v>
      </c>
      <c r="AK62" s="217" t="str">
        <f t="shared" si="129"/>
        <v>N/A</v>
      </c>
      <c r="AL62" s="217">
        <f t="shared" si="159"/>
        <v>0</v>
      </c>
      <c r="AM62" s="215">
        <f t="shared" si="160"/>
        <v>0</v>
      </c>
      <c r="AN62" s="219" t="b">
        <f t="shared" si="130"/>
        <v>0</v>
      </c>
      <c r="AO62" s="217" t="str">
        <f t="shared" si="131"/>
        <v>N/A</v>
      </c>
      <c r="AP62" s="217" t="str">
        <f>IF(AND(ISNUMBER(AO62),AN62=TRUE),MAX(0,AO62-SUMIFS($AM$3:$AM61,AN$3:AN61,TRUE)),IF(AND(AN62=TRUE,ISNUMBER(AO62)=FALSE),"ERR","N/A"))</f>
        <v>N/A</v>
      </c>
      <c r="AQ62" s="215" t="str">
        <f t="shared" si="132"/>
        <v>N/A</v>
      </c>
      <c r="AR62" s="219" t="b">
        <f t="shared" si="133"/>
        <v>0</v>
      </c>
      <c r="AS62" s="217" t="str">
        <f t="shared" si="134"/>
        <v>N/A</v>
      </c>
      <c r="AT62" s="217" t="str">
        <f>IF(AND(AR62=TRUE,ISNUMBER(AS62)),MAX(0,AS62-SUMIFS($AM$3:$AM61,AR$3:AR61,TRUE)),IF(AND(AR62=TRUE,ISNUMBER(AS62)=FALSE),"ERR","N/A"))</f>
        <v>N/A</v>
      </c>
      <c r="AU62" s="215" t="str">
        <f t="shared" si="135"/>
        <v>N/A</v>
      </c>
      <c r="AV62" s="219" t="b">
        <f t="shared" si="136"/>
        <v>0</v>
      </c>
      <c r="AW62" s="217" t="str">
        <f t="shared" si="137"/>
        <v>N/A</v>
      </c>
      <c r="AX62" s="217" t="str">
        <f>IF(AND(AV62=TRUE,ISNUMBER(AW62)),MAX(0,AW62-SUMIFS($AM$3:$AM61,AV$3:AV61,TRUE)),IF(AND(AV62=TRUE,ISNUMBER(AW62)=FALSE),"ERR","N/A"))</f>
        <v>N/A</v>
      </c>
      <c r="AY62" s="215" t="str">
        <f t="shared" si="138"/>
        <v>N/A</v>
      </c>
      <c r="AZ62" s="219" t="b">
        <f t="shared" si="139"/>
        <v>0</v>
      </c>
      <c r="BA62" s="217" t="str">
        <f t="shared" si="140"/>
        <v>N/A</v>
      </c>
      <c r="BB62" s="217" t="str">
        <f>IF(AND(AZ62=TRUE,ISNUMBER(BA62)),MAX(0,BA62-SUMIFS($AM$3:$AM61,AZ$3:AZ61,TRUE)),IF(AND(AZ62=TRUE,ISNUMBER(BA62)=FALSE),"ERR","N/A"))</f>
        <v>N/A</v>
      </c>
      <c r="BC62" s="215" t="str">
        <f t="shared" si="141"/>
        <v>N/A</v>
      </c>
      <c r="BD62" s="219" t="b">
        <f t="shared" si="142"/>
        <v>0</v>
      </c>
      <c r="BE62" s="217" t="str">
        <f t="shared" si="143"/>
        <v>N/A</v>
      </c>
      <c r="BF62" s="217" t="str">
        <f>IF(AND(BD62=TRUE,ISNUMBER(BE62)=TRUE),MAX(0,BE62-SUMIFS(AM$3:AM61,BD$3:BD61,TRUE,F$3:F61,F62)),IF(AND(BD62=TRUE,ISNUMBER(BE62)=FALSE),"ERR","N/A"))</f>
        <v>N/A</v>
      </c>
      <c r="BG62" s="215" t="str">
        <f t="shared" si="144"/>
        <v>N/A</v>
      </c>
      <c r="BH62" s="214">
        <f t="shared" si="145"/>
        <v>0</v>
      </c>
      <c r="BI62" s="215">
        <f t="shared" si="161"/>
        <v>0</v>
      </c>
      <c r="BJ62" s="214" t="str">
        <f t="shared" si="55"/>
        <v>N/A</v>
      </c>
      <c r="BK62" s="217">
        <f t="shared" si="146"/>
        <v>0</v>
      </c>
      <c r="BL62" s="220" t="b">
        <f t="shared" si="147"/>
        <v>0</v>
      </c>
      <c r="BM62" s="217" t="str">
        <f t="shared" si="148"/>
        <v>N/A</v>
      </c>
      <c r="BN62" s="217" t="str">
        <f t="shared" si="162"/>
        <v>N/A</v>
      </c>
      <c r="BO62" s="220" t="b">
        <f t="shared" si="149"/>
        <v>0</v>
      </c>
      <c r="BP62" s="244" t="str">
        <f t="shared" si="150"/>
        <v>N/A</v>
      </c>
      <c r="BQ62" s="217" t="str">
        <f t="shared" si="163"/>
        <v>N/A</v>
      </c>
      <c r="BR62" s="215">
        <f t="shared" si="164"/>
        <v>0</v>
      </c>
      <c r="BS62" s="214" t="str">
        <f t="shared" si="59"/>
        <v>N/A</v>
      </c>
      <c r="BT62" s="217">
        <f t="shared" si="165"/>
        <v>0</v>
      </c>
      <c r="BU62" s="215">
        <f t="shared" si="61"/>
        <v>0</v>
      </c>
      <c r="BV62" s="214">
        <f t="shared" si="62"/>
        <v>0</v>
      </c>
      <c r="BW62" s="217">
        <f t="shared" si="151"/>
        <v>3.38</v>
      </c>
      <c r="BX62" s="217">
        <f t="shared" si="152"/>
        <v>0</v>
      </c>
      <c r="BY62" s="217">
        <f t="shared" si="166"/>
        <v>0</v>
      </c>
      <c r="BZ62" s="217">
        <f t="shared" si="153"/>
        <v>0</v>
      </c>
      <c r="CA62" s="217">
        <f t="shared" si="167"/>
        <v>0</v>
      </c>
      <c r="CB62" s="213" t="b">
        <f t="shared" si="154"/>
        <v>1</v>
      </c>
    </row>
    <row r="63" spans="1:80" x14ac:dyDescent="0.25">
      <c r="A63" s="207">
        <v>60</v>
      </c>
      <c r="B63" s="208">
        <v>42553</v>
      </c>
      <c r="C63" s="209">
        <v>7</v>
      </c>
      <c r="D63" s="210">
        <v>33</v>
      </c>
      <c r="E63" s="211" t="str">
        <f t="shared" si="110"/>
        <v>Atorvastatin 40 MG tablet 90 CT [ #30 pills/month]</v>
      </c>
      <c r="F63" s="212" t="str">
        <f t="shared" si="111"/>
        <v>Prescription Drugs: Generic</v>
      </c>
      <c r="G63" s="213" t="str">
        <f t="shared" si="112"/>
        <v>Not Covered</v>
      </c>
      <c r="H63" s="214">
        <f t="shared" si="113"/>
        <v>9.66</v>
      </c>
      <c r="I63" s="217">
        <f t="shared" si="114"/>
        <v>9.66</v>
      </c>
      <c r="J63" s="251">
        <f t="shared" si="115"/>
        <v>0</v>
      </c>
      <c r="K63" s="214" t="b">
        <f t="shared" si="116"/>
        <v>0</v>
      </c>
      <c r="L63" s="218" t="str">
        <f t="shared" si="117"/>
        <v>No</v>
      </c>
      <c r="M63" s="217" t="str">
        <f t="shared" si="118"/>
        <v>.</v>
      </c>
      <c r="N63" s="215" t="str">
        <f>IFERROR(IF(AND(L63="Yes",ISNUMBER(M63)),MAX(0,M63-SUMIFS(BU$3:BU62,L$3:L62,"Yes")),IF(OR(L63="No",M63="None"),"N/A","ERR")),"ERR")</f>
        <v>N/A</v>
      </c>
      <c r="O63" s="251" t="b">
        <f t="shared" si="46"/>
        <v>0</v>
      </c>
      <c r="P63" s="251" t="str">
        <f>IF(O63,BENEFIT_PARAMETERS!$C$76,"N/A")</f>
        <v>N/A</v>
      </c>
      <c r="Q63" s="288" t="str">
        <f>IF(P63="Yes", BENEFIT_PARAMETERS!$D$76,"N/A")</f>
        <v>N/A</v>
      </c>
      <c r="R63" s="253" t="str">
        <f t="shared" si="109"/>
        <v>N/A</v>
      </c>
      <c r="S63" s="217">
        <f t="shared" si="155"/>
        <v>0</v>
      </c>
      <c r="T63" s="215">
        <f t="shared" si="119"/>
        <v>0</v>
      </c>
      <c r="U63" s="214" t="b">
        <f t="shared" si="48"/>
        <v>0</v>
      </c>
      <c r="V63" s="251" t="str">
        <f>IF(O63,BENEFIT_PARAMETERS!$C$77,"N/A")</f>
        <v>N/A</v>
      </c>
      <c r="W63" s="288" t="str">
        <f>IF(V63="Yes", BENEFIT_PARAMETERS!$D$77,"N/A")</f>
        <v>N/A</v>
      </c>
      <c r="X63" s="253" t="str">
        <f>IF(O63,COUNTIF(Z$3:Z62,"&gt;0"),"N/A")</f>
        <v>N/A</v>
      </c>
      <c r="Y63" s="217" t="str">
        <f t="shared" si="120"/>
        <v>N/A</v>
      </c>
      <c r="Z63" s="293" t="str">
        <f t="shared" si="156"/>
        <v>N/A</v>
      </c>
      <c r="AA63" s="293">
        <f t="shared" si="157"/>
        <v>0</v>
      </c>
      <c r="AB63" s="293" t="str">
        <f t="shared" si="121"/>
        <v>N/A</v>
      </c>
      <c r="AC63" s="215">
        <f t="shared" si="158"/>
        <v>0</v>
      </c>
      <c r="AD63" s="214" t="b">
        <f t="shared" si="122"/>
        <v>0</v>
      </c>
      <c r="AE63" s="209" t="str">
        <f t="shared" si="123"/>
        <v>.</v>
      </c>
      <c r="AF63" s="216">
        <f t="shared" si="124"/>
        <v>0</v>
      </c>
      <c r="AG63" s="217" t="str">
        <f t="shared" si="125"/>
        <v>N/A</v>
      </c>
      <c r="AH63" s="217" t="b">
        <f t="shared" si="126"/>
        <v>0</v>
      </c>
      <c r="AI63" s="209" t="str">
        <f t="shared" si="127"/>
        <v>.</v>
      </c>
      <c r="AJ63" s="216">
        <f t="shared" si="128"/>
        <v>2</v>
      </c>
      <c r="AK63" s="217" t="str">
        <f t="shared" si="129"/>
        <v>N/A</v>
      </c>
      <c r="AL63" s="217">
        <f t="shared" si="159"/>
        <v>0</v>
      </c>
      <c r="AM63" s="215">
        <f t="shared" si="160"/>
        <v>0</v>
      </c>
      <c r="AN63" s="219" t="b">
        <f t="shared" si="130"/>
        <v>0</v>
      </c>
      <c r="AO63" s="217" t="str">
        <f t="shared" si="131"/>
        <v>N/A</v>
      </c>
      <c r="AP63" s="217" t="str">
        <f>IF(AND(ISNUMBER(AO63),AN63=TRUE),MAX(0,AO63-SUMIFS($AM$3:$AM62,AN$3:AN62,TRUE)),IF(AND(AN63=TRUE,ISNUMBER(AO63)=FALSE),"ERR","N/A"))</f>
        <v>N/A</v>
      </c>
      <c r="AQ63" s="215" t="str">
        <f t="shared" si="132"/>
        <v>N/A</v>
      </c>
      <c r="AR63" s="219" t="b">
        <f t="shared" si="133"/>
        <v>0</v>
      </c>
      <c r="AS63" s="217" t="str">
        <f t="shared" si="134"/>
        <v>N/A</v>
      </c>
      <c r="AT63" s="217" t="str">
        <f>IF(AND(AR63=TRUE,ISNUMBER(AS63)),MAX(0,AS63-SUMIFS($AM$3:$AM62,AR$3:AR62,TRUE)),IF(AND(AR63=TRUE,ISNUMBER(AS63)=FALSE),"ERR","N/A"))</f>
        <v>N/A</v>
      </c>
      <c r="AU63" s="215" t="str">
        <f t="shared" si="135"/>
        <v>N/A</v>
      </c>
      <c r="AV63" s="219" t="b">
        <f t="shared" si="136"/>
        <v>0</v>
      </c>
      <c r="AW63" s="217" t="str">
        <f t="shared" si="137"/>
        <v>N/A</v>
      </c>
      <c r="AX63" s="217" t="str">
        <f>IF(AND(AV63=TRUE,ISNUMBER(AW63)),MAX(0,AW63-SUMIFS($AM$3:$AM62,AV$3:AV62,TRUE)),IF(AND(AV63=TRUE,ISNUMBER(AW63)=FALSE),"ERR","N/A"))</f>
        <v>N/A</v>
      </c>
      <c r="AY63" s="215" t="str">
        <f t="shared" si="138"/>
        <v>N/A</v>
      </c>
      <c r="AZ63" s="219" t="b">
        <f t="shared" si="139"/>
        <v>0</v>
      </c>
      <c r="BA63" s="217" t="str">
        <f t="shared" si="140"/>
        <v>N/A</v>
      </c>
      <c r="BB63" s="217" t="str">
        <f>IF(AND(AZ63=TRUE,ISNUMBER(BA63)),MAX(0,BA63-SUMIFS($AM$3:$AM62,AZ$3:AZ62,TRUE)),IF(AND(AZ63=TRUE,ISNUMBER(BA63)=FALSE),"ERR","N/A"))</f>
        <v>N/A</v>
      </c>
      <c r="BC63" s="215" t="str">
        <f t="shared" si="141"/>
        <v>N/A</v>
      </c>
      <c r="BD63" s="219" t="b">
        <f t="shared" si="142"/>
        <v>0</v>
      </c>
      <c r="BE63" s="217" t="str">
        <f t="shared" si="143"/>
        <v>N/A</v>
      </c>
      <c r="BF63" s="217" t="str">
        <f>IF(AND(BD63=TRUE,ISNUMBER(BE63)=TRUE),MAX(0,BE63-SUMIFS(AM$3:AM62,BD$3:BD62,TRUE,F$3:F62,F63)),IF(AND(BD63=TRUE,ISNUMBER(BE63)=FALSE),"ERR","N/A"))</f>
        <v>N/A</v>
      </c>
      <c r="BG63" s="215" t="str">
        <f t="shared" si="144"/>
        <v>N/A</v>
      </c>
      <c r="BH63" s="214">
        <f t="shared" si="145"/>
        <v>0</v>
      </c>
      <c r="BI63" s="215">
        <f t="shared" si="161"/>
        <v>0</v>
      </c>
      <c r="BJ63" s="214" t="str">
        <f t="shared" si="55"/>
        <v>N/A</v>
      </c>
      <c r="BK63" s="217">
        <f t="shared" si="146"/>
        <v>0</v>
      </c>
      <c r="BL63" s="220" t="b">
        <f t="shared" si="147"/>
        <v>0</v>
      </c>
      <c r="BM63" s="217" t="str">
        <f t="shared" si="148"/>
        <v>N/A</v>
      </c>
      <c r="BN63" s="217" t="str">
        <f t="shared" si="162"/>
        <v>N/A</v>
      </c>
      <c r="BO63" s="220" t="b">
        <f t="shared" si="149"/>
        <v>0</v>
      </c>
      <c r="BP63" s="244" t="str">
        <f t="shared" si="150"/>
        <v>N/A</v>
      </c>
      <c r="BQ63" s="217" t="str">
        <f t="shared" si="163"/>
        <v>N/A</v>
      </c>
      <c r="BR63" s="215">
        <f t="shared" si="164"/>
        <v>0</v>
      </c>
      <c r="BS63" s="214" t="str">
        <f t="shared" si="59"/>
        <v>N/A</v>
      </c>
      <c r="BT63" s="217">
        <f t="shared" si="165"/>
        <v>0</v>
      </c>
      <c r="BU63" s="215">
        <f t="shared" si="61"/>
        <v>0</v>
      </c>
      <c r="BV63" s="214">
        <f t="shared" si="62"/>
        <v>0</v>
      </c>
      <c r="BW63" s="217">
        <f t="shared" si="151"/>
        <v>9.66</v>
      </c>
      <c r="BX63" s="217">
        <f t="shared" si="152"/>
        <v>0</v>
      </c>
      <c r="BY63" s="217">
        <f t="shared" si="166"/>
        <v>0</v>
      </c>
      <c r="BZ63" s="217">
        <f t="shared" si="153"/>
        <v>0</v>
      </c>
      <c r="CA63" s="217">
        <f t="shared" si="167"/>
        <v>0</v>
      </c>
      <c r="CB63" s="213" t="b">
        <f t="shared" si="154"/>
        <v>1</v>
      </c>
    </row>
    <row r="64" spans="1:80" x14ac:dyDescent="0.25">
      <c r="A64" s="207">
        <v>61</v>
      </c>
      <c r="B64" s="208">
        <v>42569</v>
      </c>
      <c r="C64" s="209">
        <v>7</v>
      </c>
      <c r="D64" s="210">
        <v>17</v>
      </c>
      <c r="E64" s="211" t="str">
        <f t="shared" si="110"/>
        <v>Insulin glargine 100 unit/ml injectable solution (Rx - 10ml vial)  [20 units QD; expires 28 days after first use]</v>
      </c>
      <c r="F64" s="212" t="str">
        <f t="shared" si="111"/>
        <v>Prescription Drugs: Insulin</v>
      </c>
      <c r="G64" s="213" t="str">
        <f t="shared" si="112"/>
        <v>Not Covered</v>
      </c>
      <c r="H64" s="214">
        <f t="shared" si="113"/>
        <v>240.37</v>
      </c>
      <c r="I64" s="217">
        <f t="shared" si="114"/>
        <v>240.37</v>
      </c>
      <c r="J64" s="251">
        <f t="shared" si="115"/>
        <v>0</v>
      </c>
      <c r="K64" s="214" t="b">
        <f t="shared" si="116"/>
        <v>0</v>
      </c>
      <c r="L64" s="218" t="str">
        <f t="shared" si="117"/>
        <v>No</v>
      </c>
      <c r="M64" s="217" t="str">
        <f t="shared" si="118"/>
        <v>.</v>
      </c>
      <c r="N64" s="215" t="str">
        <f>IFERROR(IF(AND(L64="Yes",ISNUMBER(M64)),MAX(0,M64-SUMIFS(BU$3:BU63,L$3:L63,"Yes")),IF(OR(L64="No",M64="None"),"N/A","ERR")),"ERR")</f>
        <v>N/A</v>
      </c>
      <c r="O64" s="251" t="b">
        <f t="shared" si="46"/>
        <v>0</v>
      </c>
      <c r="P64" s="251" t="str">
        <f>IF(O64,BENEFIT_PARAMETERS!$C$76,"N/A")</f>
        <v>N/A</v>
      </c>
      <c r="Q64" s="288" t="str">
        <f>IF(P64="Yes", BENEFIT_PARAMETERS!$D$76,"N/A")</f>
        <v>N/A</v>
      </c>
      <c r="R64" s="253" t="str">
        <f t="shared" si="109"/>
        <v>N/A</v>
      </c>
      <c r="S64" s="217">
        <f t="shared" si="155"/>
        <v>0</v>
      </c>
      <c r="T64" s="215">
        <f t="shared" si="119"/>
        <v>0</v>
      </c>
      <c r="U64" s="214" t="b">
        <f t="shared" si="48"/>
        <v>0</v>
      </c>
      <c r="V64" s="251" t="str">
        <f>IF(O64,BENEFIT_PARAMETERS!$C$77,"N/A")</f>
        <v>N/A</v>
      </c>
      <c r="W64" s="288" t="str">
        <f>IF(V64="Yes", BENEFIT_PARAMETERS!$D$77,"N/A")</f>
        <v>N/A</v>
      </c>
      <c r="X64" s="253" t="str">
        <f>IF(O64,COUNTIF(Z$3:Z63,"&gt;0"),"N/A")</f>
        <v>N/A</v>
      </c>
      <c r="Y64" s="217" t="str">
        <f t="shared" si="120"/>
        <v>N/A</v>
      </c>
      <c r="Z64" s="293" t="str">
        <f t="shared" si="156"/>
        <v>N/A</v>
      </c>
      <c r="AA64" s="293">
        <f t="shared" si="157"/>
        <v>0</v>
      </c>
      <c r="AB64" s="293" t="str">
        <f t="shared" si="121"/>
        <v>N/A</v>
      </c>
      <c r="AC64" s="215">
        <f t="shared" si="158"/>
        <v>0</v>
      </c>
      <c r="AD64" s="214" t="b">
        <f t="shared" si="122"/>
        <v>0</v>
      </c>
      <c r="AE64" s="209" t="str">
        <f t="shared" si="123"/>
        <v>.</v>
      </c>
      <c r="AF64" s="216">
        <f t="shared" si="124"/>
        <v>0</v>
      </c>
      <c r="AG64" s="217" t="str">
        <f t="shared" si="125"/>
        <v>N/A</v>
      </c>
      <c r="AH64" s="217" t="b">
        <f t="shared" si="126"/>
        <v>0</v>
      </c>
      <c r="AI64" s="209" t="str">
        <f t="shared" si="127"/>
        <v>.</v>
      </c>
      <c r="AJ64" s="216">
        <f t="shared" si="128"/>
        <v>7</v>
      </c>
      <c r="AK64" s="217" t="str">
        <f t="shared" si="129"/>
        <v>N/A</v>
      </c>
      <c r="AL64" s="217">
        <f t="shared" si="159"/>
        <v>0</v>
      </c>
      <c r="AM64" s="215">
        <f t="shared" si="160"/>
        <v>0</v>
      </c>
      <c r="AN64" s="219" t="b">
        <f t="shared" si="130"/>
        <v>0</v>
      </c>
      <c r="AO64" s="217" t="str">
        <f t="shared" si="131"/>
        <v>N/A</v>
      </c>
      <c r="AP64" s="217" t="str">
        <f>IF(AND(ISNUMBER(AO64),AN64=TRUE),MAX(0,AO64-SUMIFS($AM$3:$AM63,AN$3:AN63,TRUE)),IF(AND(AN64=TRUE,ISNUMBER(AO64)=FALSE),"ERR","N/A"))</f>
        <v>N/A</v>
      </c>
      <c r="AQ64" s="215" t="str">
        <f t="shared" si="132"/>
        <v>N/A</v>
      </c>
      <c r="AR64" s="219" t="b">
        <f t="shared" si="133"/>
        <v>0</v>
      </c>
      <c r="AS64" s="217" t="str">
        <f t="shared" si="134"/>
        <v>N/A</v>
      </c>
      <c r="AT64" s="217" t="str">
        <f>IF(AND(AR64=TRUE,ISNUMBER(AS64)),MAX(0,AS64-SUMIFS($AM$3:$AM63,AR$3:AR63,TRUE)),IF(AND(AR64=TRUE,ISNUMBER(AS64)=FALSE),"ERR","N/A"))</f>
        <v>N/A</v>
      </c>
      <c r="AU64" s="215" t="str">
        <f t="shared" si="135"/>
        <v>N/A</v>
      </c>
      <c r="AV64" s="219" t="b">
        <f t="shared" si="136"/>
        <v>0</v>
      </c>
      <c r="AW64" s="217" t="str">
        <f t="shared" si="137"/>
        <v>N/A</v>
      </c>
      <c r="AX64" s="217" t="str">
        <f>IF(AND(AV64=TRUE,ISNUMBER(AW64)),MAX(0,AW64-SUMIFS($AM$3:$AM63,AV$3:AV63,TRUE)),IF(AND(AV64=TRUE,ISNUMBER(AW64)=FALSE),"ERR","N/A"))</f>
        <v>N/A</v>
      </c>
      <c r="AY64" s="215" t="str">
        <f t="shared" si="138"/>
        <v>N/A</v>
      </c>
      <c r="AZ64" s="219" t="b">
        <f t="shared" si="139"/>
        <v>0</v>
      </c>
      <c r="BA64" s="217" t="str">
        <f t="shared" si="140"/>
        <v>N/A</v>
      </c>
      <c r="BB64" s="217" t="str">
        <f>IF(AND(AZ64=TRUE,ISNUMBER(BA64)),MAX(0,BA64-SUMIFS($AM$3:$AM63,AZ$3:AZ63,TRUE)),IF(AND(AZ64=TRUE,ISNUMBER(BA64)=FALSE),"ERR","N/A"))</f>
        <v>N/A</v>
      </c>
      <c r="BC64" s="215" t="str">
        <f t="shared" si="141"/>
        <v>N/A</v>
      </c>
      <c r="BD64" s="219" t="b">
        <f t="shared" si="142"/>
        <v>0</v>
      </c>
      <c r="BE64" s="217" t="str">
        <f t="shared" si="143"/>
        <v>N/A</v>
      </c>
      <c r="BF64" s="217" t="str">
        <f>IF(AND(BD64=TRUE,ISNUMBER(BE64)=TRUE),MAX(0,BE64-SUMIFS(AM$3:AM63,BD$3:BD63,TRUE,F$3:F63,F64)),IF(AND(BD64=TRUE,ISNUMBER(BE64)=FALSE),"ERR","N/A"))</f>
        <v>N/A</v>
      </c>
      <c r="BG64" s="215" t="str">
        <f t="shared" si="144"/>
        <v>N/A</v>
      </c>
      <c r="BH64" s="214">
        <f t="shared" si="145"/>
        <v>0</v>
      </c>
      <c r="BI64" s="215">
        <f t="shared" si="161"/>
        <v>0</v>
      </c>
      <c r="BJ64" s="214" t="str">
        <f t="shared" si="55"/>
        <v>N/A</v>
      </c>
      <c r="BK64" s="217">
        <f t="shared" si="146"/>
        <v>0</v>
      </c>
      <c r="BL64" s="220" t="b">
        <f t="shared" si="147"/>
        <v>0</v>
      </c>
      <c r="BM64" s="217" t="str">
        <f t="shared" si="148"/>
        <v>N/A</v>
      </c>
      <c r="BN64" s="217" t="str">
        <f t="shared" si="162"/>
        <v>N/A</v>
      </c>
      <c r="BO64" s="220" t="b">
        <f t="shared" si="149"/>
        <v>0</v>
      </c>
      <c r="BP64" s="244" t="str">
        <f t="shared" si="150"/>
        <v>N/A</v>
      </c>
      <c r="BQ64" s="217" t="str">
        <f t="shared" si="163"/>
        <v>N/A</v>
      </c>
      <c r="BR64" s="215">
        <f t="shared" si="164"/>
        <v>0</v>
      </c>
      <c r="BS64" s="214" t="str">
        <f t="shared" si="59"/>
        <v>N/A</v>
      </c>
      <c r="BT64" s="217">
        <f t="shared" si="165"/>
        <v>0</v>
      </c>
      <c r="BU64" s="215">
        <f t="shared" si="61"/>
        <v>0</v>
      </c>
      <c r="BV64" s="214">
        <f t="shared" si="62"/>
        <v>0</v>
      </c>
      <c r="BW64" s="217">
        <f t="shared" si="151"/>
        <v>240.37</v>
      </c>
      <c r="BX64" s="217">
        <f t="shared" si="152"/>
        <v>0</v>
      </c>
      <c r="BY64" s="217">
        <f t="shared" si="166"/>
        <v>0</v>
      </c>
      <c r="BZ64" s="217">
        <f t="shared" si="153"/>
        <v>0</v>
      </c>
      <c r="CA64" s="217">
        <f t="shared" si="167"/>
        <v>0</v>
      </c>
      <c r="CB64" s="213" t="b">
        <f t="shared" si="154"/>
        <v>1</v>
      </c>
    </row>
    <row r="65" spans="1:80" x14ac:dyDescent="0.25">
      <c r="A65" s="207">
        <v>62</v>
      </c>
      <c r="B65" s="208">
        <v>42572</v>
      </c>
      <c r="C65" s="209">
        <v>7</v>
      </c>
      <c r="D65" s="210">
        <v>5</v>
      </c>
      <c r="E65" s="211" t="str">
        <f t="shared" si="110"/>
        <v>OneTouch Delica Lancets (100 per box)  [usage = 60 lancets per month]</v>
      </c>
      <c r="F65" s="212" t="str">
        <f t="shared" si="111"/>
        <v>Medical Supplies</v>
      </c>
      <c r="G65" s="213" t="str">
        <f t="shared" si="112"/>
        <v>Not Covered</v>
      </c>
      <c r="H65" s="214">
        <f t="shared" si="113"/>
        <v>8.73</v>
      </c>
      <c r="I65" s="217">
        <f t="shared" si="114"/>
        <v>8.73</v>
      </c>
      <c r="J65" s="251">
        <f t="shared" si="115"/>
        <v>0</v>
      </c>
      <c r="K65" s="214" t="b">
        <f t="shared" si="116"/>
        <v>0</v>
      </c>
      <c r="L65" s="218" t="str">
        <f t="shared" si="117"/>
        <v>No</v>
      </c>
      <c r="M65" s="217" t="str">
        <f t="shared" si="118"/>
        <v>.</v>
      </c>
      <c r="N65" s="215" t="str">
        <f>IFERROR(IF(AND(L65="Yes",ISNUMBER(M65)),MAX(0,M65-SUMIFS(BU$3:BU64,L$3:L64,"Yes")),IF(OR(L65="No",M65="None"),"N/A","ERR")),"ERR")</f>
        <v>N/A</v>
      </c>
      <c r="O65" s="251" t="b">
        <f t="shared" si="46"/>
        <v>0</v>
      </c>
      <c r="P65" s="251" t="str">
        <f>IF(O65,BENEFIT_PARAMETERS!$C$76,"N/A")</f>
        <v>N/A</v>
      </c>
      <c r="Q65" s="288" t="str">
        <f>IF(P65="Yes", BENEFIT_PARAMETERS!$D$76,"N/A")</f>
        <v>N/A</v>
      </c>
      <c r="R65" s="253" t="str">
        <f t="shared" si="109"/>
        <v>N/A</v>
      </c>
      <c r="S65" s="217">
        <f t="shared" si="155"/>
        <v>0</v>
      </c>
      <c r="T65" s="215">
        <f t="shared" si="119"/>
        <v>0</v>
      </c>
      <c r="U65" s="214" t="b">
        <f t="shared" si="48"/>
        <v>0</v>
      </c>
      <c r="V65" s="251" t="str">
        <f>IF(O65,BENEFIT_PARAMETERS!$C$77,"N/A")</f>
        <v>N/A</v>
      </c>
      <c r="W65" s="288" t="str">
        <f>IF(V65="Yes", BENEFIT_PARAMETERS!$D$77,"N/A")</f>
        <v>N/A</v>
      </c>
      <c r="X65" s="253" t="str">
        <f>IF(O65,COUNTIF(Z$3:Z64,"&gt;0"),"N/A")</f>
        <v>N/A</v>
      </c>
      <c r="Y65" s="217" t="str">
        <f t="shared" si="120"/>
        <v>N/A</v>
      </c>
      <c r="Z65" s="293" t="str">
        <f t="shared" si="156"/>
        <v>N/A</v>
      </c>
      <c r="AA65" s="293">
        <f t="shared" si="157"/>
        <v>0</v>
      </c>
      <c r="AB65" s="293" t="str">
        <f t="shared" si="121"/>
        <v>N/A</v>
      </c>
      <c r="AC65" s="215">
        <f t="shared" si="158"/>
        <v>0</v>
      </c>
      <c r="AD65" s="214" t="b">
        <f t="shared" si="122"/>
        <v>0</v>
      </c>
      <c r="AE65" s="209" t="str">
        <f t="shared" si="123"/>
        <v>.</v>
      </c>
      <c r="AF65" s="216">
        <f t="shared" si="124"/>
        <v>0</v>
      </c>
      <c r="AG65" s="217" t="str">
        <f t="shared" si="125"/>
        <v>N/A</v>
      </c>
      <c r="AH65" s="217" t="b">
        <f t="shared" si="126"/>
        <v>0</v>
      </c>
      <c r="AI65" s="209" t="str">
        <f t="shared" si="127"/>
        <v>.</v>
      </c>
      <c r="AJ65" s="216">
        <f t="shared" si="128"/>
        <v>2</v>
      </c>
      <c r="AK65" s="217" t="str">
        <f t="shared" si="129"/>
        <v>N/A</v>
      </c>
      <c r="AL65" s="217">
        <f t="shared" si="159"/>
        <v>0</v>
      </c>
      <c r="AM65" s="215">
        <f t="shared" si="160"/>
        <v>0</v>
      </c>
      <c r="AN65" s="219" t="b">
        <f t="shared" si="130"/>
        <v>0</v>
      </c>
      <c r="AO65" s="217" t="str">
        <f t="shared" si="131"/>
        <v>N/A</v>
      </c>
      <c r="AP65" s="217" t="str">
        <f>IF(AND(ISNUMBER(AO65),AN65=TRUE),MAX(0,AO65-SUMIFS($AM$3:$AM64,AN$3:AN64,TRUE)),IF(AND(AN65=TRUE,ISNUMBER(AO65)=FALSE),"ERR","N/A"))</f>
        <v>N/A</v>
      </c>
      <c r="AQ65" s="215" t="str">
        <f t="shared" si="132"/>
        <v>N/A</v>
      </c>
      <c r="AR65" s="219" t="b">
        <f t="shared" si="133"/>
        <v>0</v>
      </c>
      <c r="AS65" s="217" t="str">
        <f t="shared" si="134"/>
        <v>N/A</v>
      </c>
      <c r="AT65" s="217" t="str">
        <f>IF(AND(AR65=TRUE,ISNUMBER(AS65)),MAX(0,AS65-SUMIFS($AM$3:$AM64,AR$3:AR64,TRUE)),IF(AND(AR65=TRUE,ISNUMBER(AS65)=FALSE),"ERR","N/A"))</f>
        <v>N/A</v>
      </c>
      <c r="AU65" s="215" t="str">
        <f t="shared" si="135"/>
        <v>N/A</v>
      </c>
      <c r="AV65" s="219" t="b">
        <f t="shared" si="136"/>
        <v>0</v>
      </c>
      <c r="AW65" s="217" t="str">
        <f t="shared" si="137"/>
        <v>N/A</v>
      </c>
      <c r="AX65" s="217" t="str">
        <f>IF(AND(AV65=TRUE,ISNUMBER(AW65)),MAX(0,AW65-SUMIFS($AM$3:$AM64,AV$3:AV64,TRUE)),IF(AND(AV65=TRUE,ISNUMBER(AW65)=FALSE),"ERR","N/A"))</f>
        <v>N/A</v>
      </c>
      <c r="AY65" s="215" t="str">
        <f t="shared" si="138"/>
        <v>N/A</v>
      </c>
      <c r="AZ65" s="219" t="b">
        <f t="shared" si="139"/>
        <v>0</v>
      </c>
      <c r="BA65" s="217" t="str">
        <f t="shared" si="140"/>
        <v>N/A</v>
      </c>
      <c r="BB65" s="217" t="str">
        <f>IF(AND(AZ65=TRUE,ISNUMBER(BA65)),MAX(0,BA65-SUMIFS($AM$3:$AM64,AZ$3:AZ64,TRUE)),IF(AND(AZ65=TRUE,ISNUMBER(BA65)=FALSE),"ERR","N/A"))</f>
        <v>N/A</v>
      </c>
      <c r="BC65" s="215" t="str">
        <f t="shared" si="141"/>
        <v>N/A</v>
      </c>
      <c r="BD65" s="219" t="b">
        <f t="shared" si="142"/>
        <v>0</v>
      </c>
      <c r="BE65" s="217" t="str">
        <f t="shared" si="143"/>
        <v>N/A</v>
      </c>
      <c r="BF65" s="217" t="str">
        <f>IF(AND(BD65=TRUE,ISNUMBER(BE65)=TRUE),MAX(0,BE65-SUMIFS(AM$3:AM64,BD$3:BD64,TRUE,F$3:F64,F65)),IF(AND(BD65=TRUE,ISNUMBER(BE65)=FALSE),"ERR","N/A"))</f>
        <v>N/A</v>
      </c>
      <c r="BG65" s="215" t="str">
        <f t="shared" si="144"/>
        <v>N/A</v>
      </c>
      <c r="BH65" s="214">
        <f t="shared" si="145"/>
        <v>0</v>
      </c>
      <c r="BI65" s="215">
        <f t="shared" si="161"/>
        <v>0</v>
      </c>
      <c r="BJ65" s="214" t="str">
        <f t="shared" si="55"/>
        <v>N/A</v>
      </c>
      <c r="BK65" s="217">
        <f t="shared" si="146"/>
        <v>0</v>
      </c>
      <c r="BL65" s="220" t="b">
        <f t="shared" si="147"/>
        <v>0</v>
      </c>
      <c r="BM65" s="217" t="str">
        <f t="shared" si="148"/>
        <v>N/A</v>
      </c>
      <c r="BN65" s="217" t="str">
        <f t="shared" si="162"/>
        <v>N/A</v>
      </c>
      <c r="BO65" s="220" t="b">
        <f t="shared" si="149"/>
        <v>0</v>
      </c>
      <c r="BP65" s="244" t="str">
        <f t="shared" si="150"/>
        <v>N/A</v>
      </c>
      <c r="BQ65" s="217" t="str">
        <f t="shared" si="163"/>
        <v>N/A</v>
      </c>
      <c r="BR65" s="215">
        <f t="shared" si="164"/>
        <v>0</v>
      </c>
      <c r="BS65" s="214" t="str">
        <f t="shared" si="59"/>
        <v>N/A</v>
      </c>
      <c r="BT65" s="217">
        <f t="shared" si="165"/>
        <v>0</v>
      </c>
      <c r="BU65" s="215">
        <f t="shared" si="61"/>
        <v>0</v>
      </c>
      <c r="BV65" s="214">
        <f t="shared" si="62"/>
        <v>0</v>
      </c>
      <c r="BW65" s="217">
        <f t="shared" si="151"/>
        <v>8.73</v>
      </c>
      <c r="BX65" s="217">
        <f t="shared" si="152"/>
        <v>0</v>
      </c>
      <c r="BY65" s="217">
        <f t="shared" si="166"/>
        <v>0</v>
      </c>
      <c r="BZ65" s="217">
        <f t="shared" si="153"/>
        <v>0</v>
      </c>
      <c r="CA65" s="217">
        <f t="shared" si="167"/>
        <v>0</v>
      </c>
      <c r="CB65" s="213" t="b">
        <f t="shared" si="154"/>
        <v>1</v>
      </c>
    </row>
    <row r="66" spans="1:80" x14ac:dyDescent="0.25">
      <c r="A66" s="207">
        <v>63</v>
      </c>
      <c r="B66" s="208">
        <v>42572</v>
      </c>
      <c r="C66" s="209">
        <v>7</v>
      </c>
      <c r="D66" s="210">
        <v>4</v>
      </c>
      <c r="E66" s="211" t="str">
        <f t="shared" si="110"/>
        <v xml:space="preserve">OneTouch Ultra Blue Test Strips (Rx - box of 100) [usage = 2 strips/day; 60 per month] </v>
      </c>
      <c r="F66" s="212" t="str">
        <f t="shared" si="111"/>
        <v>Medical Supplies</v>
      </c>
      <c r="G66" s="213" t="str">
        <f t="shared" si="112"/>
        <v>Not Covered</v>
      </c>
      <c r="H66" s="214">
        <f t="shared" si="113"/>
        <v>109.61</v>
      </c>
      <c r="I66" s="217">
        <f t="shared" si="114"/>
        <v>109.61</v>
      </c>
      <c r="J66" s="251">
        <f t="shared" si="115"/>
        <v>0</v>
      </c>
      <c r="K66" s="214" t="b">
        <f t="shared" si="116"/>
        <v>0</v>
      </c>
      <c r="L66" s="218" t="str">
        <f t="shared" si="117"/>
        <v>No</v>
      </c>
      <c r="M66" s="217" t="str">
        <f t="shared" si="118"/>
        <v>.</v>
      </c>
      <c r="N66" s="215" t="str">
        <f>IFERROR(IF(AND(L66="Yes",ISNUMBER(M66)),MAX(0,M66-SUMIFS(BU$3:BU65,L$3:L65,"Yes")),IF(OR(L66="No",M66="None"),"N/A","ERR")),"ERR")</f>
        <v>N/A</v>
      </c>
      <c r="O66" s="251" t="b">
        <f t="shared" si="46"/>
        <v>0</v>
      </c>
      <c r="P66" s="251" t="str">
        <f>IF(O66,BENEFIT_PARAMETERS!$C$76,"N/A")</f>
        <v>N/A</v>
      </c>
      <c r="Q66" s="288" t="str">
        <f>IF(P66="Yes", BENEFIT_PARAMETERS!$D$76,"N/A")</f>
        <v>N/A</v>
      </c>
      <c r="R66" s="253" t="str">
        <f t="shared" si="109"/>
        <v>N/A</v>
      </c>
      <c r="S66" s="217">
        <f t="shared" si="155"/>
        <v>0</v>
      </c>
      <c r="T66" s="215">
        <f t="shared" si="119"/>
        <v>0</v>
      </c>
      <c r="U66" s="214" t="b">
        <f t="shared" si="48"/>
        <v>0</v>
      </c>
      <c r="V66" s="251" t="str">
        <f>IF(O66,BENEFIT_PARAMETERS!$C$77,"N/A")</f>
        <v>N/A</v>
      </c>
      <c r="W66" s="288" t="str">
        <f>IF(V66="Yes", BENEFIT_PARAMETERS!$D$77,"N/A")</f>
        <v>N/A</v>
      </c>
      <c r="X66" s="253" t="str">
        <f>IF(O66,COUNTIF(Z$3:Z65,"&gt;0"),"N/A")</f>
        <v>N/A</v>
      </c>
      <c r="Y66" s="217" t="str">
        <f t="shared" si="120"/>
        <v>N/A</v>
      </c>
      <c r="Z66" s="293" t="str">
        <f t="shared" si="156"/>
        <v>N/A</v>
      </c>
      <c r="AA66" s="293">
        <f t="shared" si="157"/>
        <v>0</v>
      </c>
      <c r="AB66" s="293" t="str">
        <f t="shared" si="121"/>
        <v>N/A</v>
      </c>
      <c r="AC66" s="215">
        <f t="shared" si="158"/>
        <v>0</v>
      </c>
      <c r="AD66" s="214" t="b">
        <f t="shared" si="122"/>
        <v>0</v>
      </c>
      <c r="AE66" s="209" t="str">
        <f t="shared" si="123"/>
        <v>.</v>
      </c>
      <c r="AF66" s="216">
        <f t="shared" si="124"/>
        <v>0</v>
      </c>
      <c r="AG66" s="217" t="str">
        <f t="shared" si="125"/>
        <v>N/A</v>
      </c>
      <c r="AH66" s="217" t="b">
        <f t="shared" si="126"/>
        <v>0</v>
      </c>
      <c r="AI66" s="209" t="str">
        <f t="shared" si="127"/>
        <v>.</v>
      </c>
      <c r="AJ66" s="216">
        <f t="shared" si="128"/>
        <v>2</v>
      </c>
      <c r="AK66" s="217" t="str">
        <f t="shared" si="129"/>
        <v>N/A</v>
      </c>
      <c r="AL66" s="217">
        <f t="shared" si="159"/>
        <v>0</v>
      </c>
      <c r="AM66" s="215">
        <f t="shared" si="160"/>
        <v>0</v>
      </c>
      <c r="AN66" s="219" t="b">
        <f t="shared" si="130"/>
        <v>0</v>
      </c>
      <c r="AO66" s="217" t="str">
        <f t="shared" si="131"/>
        <v>N/A</v>
      </c>
      <c r="AP66" s="217" t="str">
        <f>IF(AND(ISNUMBER(AO66),AN66=TRUE),MAX(0,AO66-SUMIFS($AM$3:$AM65,AN$3:AN65,TRUE)),IF(AND(AN66=TRUE,ISNUMBER(AO66)=FALSE),"ERR","N/A"))</f>
        <v>N/A</v>
      </c>
      <c r="AQ66" s="215" t="str">
        <f t="shared" si="132"/>
        <v>N/A</v>
      </c>
      <c r="AR66" s="219" t="b">
        <f t="shared" si="133"/>
        <v>0</v>
      </c>
      <c r="AS66" s="217" t="str">
        <f t="shared" si="134"/>
        <v>N/A</v>
      </c>
      <c r="AT66" s="217" t="str">
        <f>IF(AND(AR66=TRUE,ISNUMBER(AS66)),MAX(0,AS66-SUMIFS($AM$3:$AM65,AR$3:AR65,TRUE)),IF(AND(AR66=TRUE,ISNUMBER(AS66)=FALSE),"ERR","N/A"))</f>
        <v>N/A</v>
      </c>
      <c r="AU66" s="215" t="str">
        <f t="shared" si="135"/>
        <v>N/A</v>
      </c>
      <c r="AV66" s="219" t="b">
        <f t="shared" si="136"/>
        <v>0</v>
      </c>
      <c r="AW66" s="217" t="str">
        <f t="shared" si="137"/>
        <v>N/A</v>
      </c>
      <c r="AX66" s="217" t="str">
        <f>IF(AND(AV66=TRUE,ISNUMBER(AW66)),MAX(0,AW66-SUMIFS($AM$3:$AM65,AV$3:AV65,TRUE)),IF(AND(AV66=TRUE,ISNUMBER(AW66)=FALSE),"ERR","N/A"))</f>
        <v>N/A</v>
      </c>
      <c r="AY66" s="215" t="str">
        <f t="shared" si="138"/>
        <v>N/A</v>
      </c>
      <c r="AZ66" s="219" t="b">
        <f t="shared" si="139"/>
        <v>0</v>
      </c>
      <c r="BA66" s="217" t="str">
        <f t="shared" si="140"/>
        <v>N/A</v>
      </c>
      <c r="BB66" s="217" t="str">
        <f>IF(AND(AZ66=TRUE,ISNUMBER(BA66)),MAX(0,BA66-SUMIFS($AM$3:$AM65,AZ$3:AZ65,TRUE)),IF(AND(AZ66=TRUE,ISNUMBER(BA66)=FALSE),"ERR","N/A"))</f>
        <v>N/A</v>
      </c>
      <c r="BC66" s="215" t="str">
        <f t="shared" si="141"/>
        <v>N/A</v>
      </c>
      <c r="BD66" s="219" t="b">
        <f t="shared" si="142"/>
        <v>0</v>
      </c>
      <c r="BE66" s="217" t="str">
        <f t="shared" si="143"/>
        <v>N/A</v>
      </c>
      <c r="BF66" s="217" t="str">
        <f>IF(AND(BD66=TRUE,ISNUMBER(BE66)=TRUE),MAX(0,BE66-SUMIFS(AM$3:AM65,BD$3:BD65,TRUE,F$3:F65,F66)),IF(AND(BD66=TRUE,ISNUMBER(BE66)=FALSE),"ERR","N/A"))</f>
        <v>N/A</v>
      </c>
      <c r="BG66" s="215" t="str">
        <f t="shared" si="144"/>
        <v>N/A</v>
      </c>
      <c r="BH66" s="214">
        <f t="shared" si="145"/>
        <v>0</v>
      </c>
      <c r="BI66" s="215">
        <f t="shared" si="161"/>
        <v>0</v>
      </c>
      <c r="BJ66" s="214" t="str">
        <f t="shared" si="55"/>
        <v>N/A</v>
      </c>
      <c r="BK66" s="217">
        <f t="shared" si="146"/>
        <v>0</v>
      </c>
      <c r="BL66" s="220" t="b">
        <f t="shared" si="147"/>
        <v>0</v>
      </c>
      <c r="BM66" s="217" t="str">
        <f t="shared" si="148"/>
        <v>N/A</v>
      </c>
      <c r="BN66" s="217" t="str">
        <f t="shared" si="162"/>
        <v>N/A</v>
      </c>
      <c r="BO66" s="220" t="b">
        <f t="shared" si="149"/>
        <v>0</v>
      </c>
      <c r="BP66" s="244" t="str">
        <f t="shared" si="150"/>
        <v>N/A</v>
      </c>
      <c r="BQ66" s="217" t="str">
        <f t="shared" si="163"/>
        <v>N/A</v>
      </c>
      <c r="BR66" s="215">
        <f t="shared" si="164"/>
        <v>0</v>
      </c>
      <c r="BS66" s="214" t="str">
        <f t="shared" si="59"/>
        <v>N/A</v>
      </c>
      <c r="BT66" s="217">
        <f t="shared" si="165"/>
        <v>0</v>
      </c>
      <c r="BU66" s="215">
        <f t="shared" si="61"/>
        <v>0</v>
      </c>
      <c r="BV66" s="214">
        <f t="shared" si="62"/>
        <v>0</v>
      </c>
      <c r="BW66" s="217">
        <f t="shared" si="151"/>
        <v>109.61</v>
      </c>
      <c r="BX66" s="217">
        <f t="shared" si="152"/>
        <v>0</v>
      </c>
      <c r="BY66" s="217">
        <f t="shared" si="166"/>
        <v>0</v>
      </c>
      <c r="BZ66" s="217">
        <f t="shared" si="153"/>
        <v>0</v>
      </c>
      <c r="CA66" s="217">
        <f t="shared" si="167"/>
        <v>0</v>
      </c>
      <c r="CB66" s="213" t="b">
        <f t="shared" si="154"/>
        <v>1</v>
      </c>
    </row>
    <row r="67" spans="1:80" x14ac:dyDescent="0.25">
      <c r="A67" s="207">
        <v>64</v>
      </c>
      <c r="B67" s="208">
        <v>42583</v>
      </c>
      <c r="C67" s="209">
        <v>8</v>
      </c>
      <c r="D67" s="210">
        <v>14</v>
      </c>
      <c r="E67" s="211" t="str">
        <f t="shared" si="110"/>
        <v>BD Ultrafine Insulin Syringes / 30G/ 0.5cc  [usage = 30 syringes per month]</v>
      </c>
      <c r="F67" s="212" t="str">
        <f t="shared" si="111"/>
        <v>Medical Supplies</v>
      </c>
      <c r="G67" s="213" t="str">
        <f t="shared" si="112"/>
        <v>Not Covered</v>
      </c>
      <c r="H67" s="214">
        <f t="shared" si="113"/>
        <v>20.62</v>
      </c>
      <c r="I67" s="217">
        <f t="shared" si="114"/>
        <v>20.62</v>
      </c>
      <c r="J67" s="251">
        <f t="shared" si="115"/>
        <v>0</v>
      </c>
      <c r="K67" s="214" t="b">
        <f t="shared" si="116"/>
        <v>0</v>
      </c>
      <c r="L67" s="218" t="str">
        <f t="shared" si="117"/>
        <v>No</v>
      </c>
      <c r="M67" s="217" t="str">
        <f t="shared" si="118"/>
        <v>.</v>
      </c>
      <c r="N67" s="215" t="str">
        <f>IFERROR(IF(AND(L67="Yes",ISNUMBER(M67)),MAX(0,M67-SUMIFS(BU$3:BU66,L$3:L66,"Yes")),IF(OR(L67="No",M67="None"),"N/A","ERR")),"ERR")</f>
        <v>N/A</v>
      </c>
      <c r="O67" s="251" t="b">
        <f t="shared" si="46"/>
        <v>0</v>
      </c>
      <c r="P67" s="251" t="str">
        <f>IF(O67,BENEFIT_PARAMETERS!$C$76,"N/A")</f>
        <v>N/A</v>
      </c>
      <c r="Q67" s="288" t="str">
        <f>IF(P67="Yes", BENEFIT_PARAMETERS!$D$76,"N/A")</f>
        <v>N/A</v>
      </c>
      <c r="R67" s="253" t="str">
        <f t="shared" si="109"/>
        <v>N/A</v>
      </c>
      <c r="S67" s="217">
        <f t="shared" si="155"/>
        <v>0</v>
      </c>
      <c r="T67" s="215">
        <f t="shared" si="119"/>
        <v>0</v>
      </c>
      <c r="U67" s="214" t="b">
        <f t="shared" si="48"/>
        <v>0</v>
      </c>
      <c r="V67" s="251" t="str">
        <f>IF(O67,BENEFIT_PARAMETERS!$C$77,"N/A")</f>
        <v>N/A</v>
      </c>
      <c r="W67" s="288" t="str">
        <f>IF(V67="Yes", BENEFIT_PARAMETERS!$D$77,"N/A")</f>
        <v>N/A</v>
      </c>
      <c r="X67" s="253" t="str">
        <f>IF(O67,COUNTIF(Z$3:Z66,"&gt;0"),"N/A")</f>
        <v>N/A</v>
      </c>
      <c r="Y67" s="217" t="str">
        <f t="shared" si="120"/>
        <v>N/A</v>
      </c>
      <c r="Z67" s="293" t="str">
        <f t="shared" si="156"/>
        <v>N/A</v>
      </c>
      <c r="AA67" s="293">
        <f t="shared" si="157"/>
        <v>0</v>
      </c>
      <c r="AB67" s="293" t="str">
        <f t="shared" si="121"/>
        <v>N/A</v>
      </c>
      <c r="AC67" s="215">
        <f t="shared" si="158"/>
        <v>0</v>
      </c>
      <c r="AD67" s="214" t="b">
        <f t="shared" si="122"/>
        <v>0</v>
      </c>
      <c r="AE67" s="209" t="str">
        <f t="shared" si="123"/>
        <v>.</v>
      </c>
      <c r="AF67" s="216">
        <f t="shared" si="124"/>
        <v>0</v>
      </c>
      <c r="AG67" s="217" t="str">
        <f t="shared" si="125"/>
        <v>N/A</v>
      </c>
      <c r="AH67" s="217" t="b">
        <f t="shared" si="126"/>
        <v>0</v>
      </c>
      <c r="AI67" s="209" t="str">
        <f t="shared" si="127"/>
        <v>.</v>
      </c>
      <c r="AJ67" s="216">
        <f t="shared" si="128"/>
        <v>7</v>
      </c>
      <c r="AK67" s="217" t="str">
        <f t="shared" si="129"/>
        <v>N/A</v>
      </c>
      <c r="AL67" s="217">
        <f t="shared" si="159"/>
        <v>0</v>
      </c>
      <c r="AM67" s="215">
        <f t="shared" si="160"/>
        <v>0</v>
      </c>
      <c r="AN67" s="219" t="b">
        <f t="shared" si="130"/>
        <v>0</v>
      </c>
      <c r="AO67" s="217" t="str">
        <f t="shared" si="131"/>
        <v>N/A</v>
      </c>
      <c r="AP67" s="217" t="str">
        <f>IF(AND(ISNUMBER(AO67),AN67=TRUE),MAX(0,AO67-SUMIFS($AM$3:$AM66,AN$3:AN66,TRUE)),IF(AND(AN67=TRUE,ISNUMBER(AO67)=FALSE),"ERR","N/A"))</f>
        <v>N/A</v>
      </c>
      <c r="AQ67" s="215" t="str">
        <f t="shared" si="132"/>
        <v>N/A</v>
      </c>
      <c r="AR67" s="219" t="b">
        <f t="shared" si="133"/>
        <v>0</v>
      </c>
      <c r="AS67" s="217" t="str">
        <f t="shared" si="134"/>
        <v>N/A</v>
      </c>
      <c r="AT67" s="217" t="str">
        <f>IF(AND(AR67=TRUE,ISNUMBER(AS67)),MAX(0,AS67-SUMIFS($AM$3:$AM66,AR$3:AR66,TRUE)),IF(AND(AR67=TRUE,ISNUMBER(AS67)=FALSE),"ERR","N/A"))</f>
        <v>N/A</v>
      </c>
      <c r="AU67" s="215" t="str">
        <f t="shared" si="135"/>
        <v>N/A</v>
      </c>
      <c r="AV67" s="219" t="b">
        <f t="shared" si="136"/>
        <v>0</v>
      </c>
      <c r="AW67" s="217" t="str">
        <f t="shared" si="137"/>
        <v>N/A</v>
      </c>
      <c r="AX67" s="217" t="str">
        <f>IF(AND(AV67=TRUE,ISNUMBER(AW67)),MAX(0,AW67-SUMIFS($AM$3:$AM66,AV$3:AV66,TRUE)),IF(AND(AV67=TRUE,ISNUMBER(AW67)=FALSE),"ERR","N/A"))</f>
        <v>N/A</v>
      </c>
      <c r="AY67" s="215" t="str">
        <f t="shared" si="138"/>
        <v>N/A</v>
      </c>
      <c r="AZ67" s="219" t="b">
        <f t="shared" si="139"/>
        <v>0</v>
      </c>
      <c r="BA67" s="217" t="str">
        <f t="shared" si="140"/>
        <v>N/A</v>
      </c>
      <c r="BB67" s="217" t="str">
        <f>IF(AND(AZ67=TRUE,ISNUMBER(BA67)),MAX(0,BA67-SUMIFS($AM$3:$AM66,AZ$3:AZ66,TRUE)),IF(AND(AZ67=TRUE,ISNUMBER(BA67)=FALSE),"ERR","N/A"))</f>
        <v>N/A</v>
      </c>
      <c r="BC67" s="215" t="str">
        <f t="shared" si="141"/>
        <v>N/A</v>
      </c>
      <c r="BD67" s="219" t="b">
        <f t="shared" si="142"/>
        <v>0</v>
      </c>
      <c r="BE67" s="217" t="str">
        <f t="shared" si="143"/>
        <v>N/A</v>
      </c>
      <c r="BF67" s="217" t="str">
        <f>IF(AND(BD67=TRUE,ISNUMBER(BE67)=TRUE),MAX(0,BE67-SUMIFS(AM$3:AM66,BD$3:BD66,TRUE,F$3:F66,F67)),IF(AND(BD67=TRUE,ISNUMBER(BE67)=FALSE),"ERR","N/A"))</f>
        <v>N/A</v>
      </c>
      <c r="BG67" s="215" t="str">
        <f t="shared" si="144"/>
        <v>N/A</v>
      </c>
      <c r="BH67" s="214">
        <f t="shared" si="145"/>
        <v>0</v>
      </c>
      <c r="BI67" s="215">
        <f t="shared" si="161"/>
        <v>0</v>
      </c>
      <c r="BJ67" s="214" t="str">
        <f t="shared" si="55"/>
        <v>N/A</v>
      </c>
      <c r="BK67" s="217">
        <f t="shared" si="146"/>
        <v>0</v>
      </c>
      <c r="BL67" s="220" t="b">
        <f t="shared" si="147"/>
        <v>0</v>
      </c>
      <c r="BM67" s="217" t="str">
        <f t="shared" si="148"/>
        <v>N/A</v>
      </c>
      <c r="BN67" s="217" t="str">
        <f t="shared" si="162"/>
        <v>N/A</v>
      </c>
      <c r="BO67" s="220" t="b">
        <f t="shared" si="149"/>
        <v>0</v>
      </c>
      <c r="BP67" s="244" t="str">
        <f t="shared" si="150"/>
        <v>N/A</v>
      </c>
      <c r="BQ67" s="217" t="str">
        <f t="shared" si="163"/>
        <v>N/A</v>
      </c>
      <c r="BR67" s="215">
        <f t="shared" si="164"/>
        <v>0</v>
      </c>
      <c r="BS67" s="214" t="str">
        <f t="shared" si="59"/>
        <v>N/A</v>
      </c>
      <c r="BT67" s="217">
        <f t="shared" si="165"/>
        <v>0</v>
      </c>
      <c r="BU67" s="215">
        <f t="shared" si="61"/>
        <v>0</v>
      </c>
      <c r="BV67" s="214">
        <f t="shared" si="62"/>
        <v>0</v>
      </c>
      <c r="BW67" s="217">
        <f t="shared" si="151"/>
        <v>20.62</v>
      </c>
      <c r="BX67" s="217">
        <f t="shared" si="152"/>
        <v>0</v>
      </c>
      <c r="BY67" s="217">
        <f t="shared" si="166"/>
        <v>0</v>
      </c>
      <c r="BZ67" s="217">
        <f t="shared" si="153"/>
        <v>0</v>
      </c>
      <c r="CA67" s="217">
        <f t="shared" si="167"/>
        <v>0</v>
      </c>
      <c r="CB67" s="213" t="b">
        <f t="shared" si="154"/>
        <v>1</v>
      </c>
    </row>
    <row r="68" spans="1:80" x14ac:dyDescent="0.25">
      <c r="A68" s="207">
        <v>65</v>
      </c>
      <c r="B68" s="208">
        <v>42583</v>
      </c>
      <c r="C68" s="209">
        <v>8</v>
      </c>
      <c r="D68" s="210">
        <v>32</v>
      </c>
      <c r="E68" s="211" t="str">
        <f t="shared" si="110"/>
        <v>Metformin Hydrochloride 500 MG TABLET [ #60 pills/month]</v>
      </c>
      <c r="F68" s="212" t="str">
        <f t="shared" si="111"/>
        <v>Prescription Drugs: Generic</v>
      </c>
      <c r="G68" s="213" t="str">
        <f t="shared" si="112"/>
        <v>Not Covered</v>
      </c>
      <c r="H68" s="214">
        <f t="shared" si="113"/>
        <v>3.21</v>
      </c>
      <c r="I68" s="217">
        <f t="shared" si="114"/>
        <v>3.21</v>
      </c>
      <c r="J68" s="251">
        <f t="shared" si="115"/>
        <v>0</v>
      </c>
      <c r="K68" s="214" t="b">
        <f t="shared" si="116"/>
        <v>0</v>
      </c>
      <c r="L68" s="218" t="str">
        <f t="shared" si="117"/>
        <v>No</v>
      </c>
      <c r="M68" s="217" t="str">
        <f t="shared" si="118"/>
        <v>.</v>
      </c>
      <c r="N68" s="215" t="str">
        <f>IFERROR(IF(AND(L68="Yes",ISNUMBER(M68)),MAX(0,M68-SUMIFS(BU$3:BU67,L$3:L67,"Yes")),IF(OR(L68="No",M68="None"),"N/A","ERR")),"ERR")</f>
        <v>N/A</v>
      </c>
      <c r="O68" s="251" t="b">
        <f t="shared" si="46"/>
        <v>0</v>
      </c>
      <c r="P68" s="251" t="str">
        <f>IF(O68,BENEFIT_PARAMETERS!$C$76,"N/A")</f>
        <v>N/A</v>
      </c>
      <c r="Q68" s="288" t="str">
        <f>IF(P68="Yes", BENEFIT_PARAMETERS!$D$76,"N/A")</f>
        <v>N/A</v>
      </c>
      <c r="R68" s="253" t="str">
        <f t="shared" ref="R68:R100" si="168">IF(O68,COUNTIFS(BenefitCategory,"Professional Services: Primary Care",ClaimNumber,"&lt;"&amp;A68),"N/A")</f>
        <v>N/A</v>
      </c>
      <c r="S68" s="217">
        <f t="shared" si="155"/>
        <v>0</v>
      </c>
      <c r="T68" s="215">
        <f t="shared" si="119"/>
        <v>0</v>
      </c>
      <c r="U68" s="214" t="b">
        <f t="shared" si="48"/>
        <v>0</v>
      </c>
      <c r="V68" s="251" t="str">
        <f>IF(O68,BENEFIT_PARAMETERS!$C$77,"N/A")</f>
        <v>N/A</v>
      </c>
      <c r="W68" s="288" t="str">
        <f>IF(V68="Yes", BENEFIT_PARAMETERS!$D$77,"N/A")</f>
        <v>N/A</v>
      </c>
      <c r="X68" s="253" t="str">
        <f>IF(O68,COUNTIF(Z$3:Z67,"&gt;0"),"N/A")</f>
        <v>N/A</v>
      </c>
      <c r="Y68" s="217" t="str">
        <f t="shared" si="120"/>
        <v>N/A</v>
      </c>
      <c r="Z68" s="293" t="str">
        <f t="shared" si="156"/>
        <v>N/A</v>
      </c>
      <c r="AA68" s="293">
        <f t="shared" si="157"/>
        <v>0</v>
      </c>
      <c r="AB68" s="293" t="str">
        <f t="shared" si="121"/>
        <v>N/A</v>
      </c>
      <c r="AC68" s="215">
        <f t="shared" si="158"/>
        <v>0</v>
      </c>
      <c r="AD68" s="214" t="b">
        <f t="shared" si="122"/>
        <v>0</v>
      </c>
      <c r="AE68" s="209" t="str">
        <f t="shared" si="123"/>
        <v>.</v>
      </c>
      <c r="AF68" s="216">
        <f t="shared" si="124"/>
        <v>0</v>
      </c>
      <c r="AG68" s="217" t="str">
        <f t="shared" si="125"/>
        <v>N/A</v>
      </c>
      <c r="AH68" s="217" t="b">
        <f t="shared" si="126"/>
        <v>0</v>
      </c>
      <c r="AI68" s="209" t="str">
        <f t="shared" si="127"/>
        <v>.</v>
      </c>
      <c r="AJ68" s="216">
        <f t="shared" si="128"/>
        <v>7</v>
      </c>
      <c r="AK68" s="217" t="str">
        <f t="shared" si="129"/>
        <v>N/A</v>
      </c>
      <c r="AL68" s="217">
        <f t="shared" si="159"/>
        <v>0</v>
      </c>
      <c r="AM68" s="215">
        <f t="shared" si="160"/>
        <v>0</v>
      </c>
      <c r="AN68" s="219" t="b">
        <f t="shared" si="130"/>
        <v>0</v>
      </c>
      <c r="AO68" s="217" t="str">
        <f t="shared" si="131"/>
        <v>N/A</v>
      </c>
      <c r="AP68" s="217" t="str">
        <f>IF(AND(ISNUMBER(AO68),AN68=TRUE),MAX(0,AO68-SUMIFS($AM$3:$AM67,AN$3:AN67,TRUE)),IF(AND(AN68=TRUE,ISNUMBER(AO68)=FALSE),"ERR","N/A"))</f>
        <v>N/A</v>
      </c>
      <c r="AQ68" s="215" t="str">
        <f t="shared" si="132"/>
        <v>N/A</v>
      </c>
      <c r="AR68" s="219" t="b">
        <f t="shared" si="133"/>
        <v>0</v>
      </c>
      <c r="AS68" s="217" t="str">
        <f t="shared" si="134"/>
        <v>N/A</v>
      </c>
      <c r="AT68" s="217" t="str">
        <f>IF(AND(AR68=TRUE,ISNUMBER(AS68)),MAX(0,AS68-SUMIFS($AM$3:$AM67,AR$3:AR67,TRUE)),IF(AND(AR68=TRUE,ISNUMBER(AS68)=FALSE),"ERR","N/A"))</f>
        <v>N/A</v>
      </c>
      <c r="AU68" s="215" t="str">
        <f t="shared" si="135"/>
        <v>N/A</v>
      </c>
      <c r="AV68" s="219" t="b">
        <f t="shared" si="136"/>
        <v>0</v>
      </c>
      <c r="AW68" s="217" t="str">
        <f t="shared" si="137"/>
        <v>N/A</v>
      </c>
      <c r="AX68" s="217" t="str">
        <f>IF(AND(AV68=TRUE,ISNUMBER(AW68)),MAX(0,AW68-SUMIFS($AM$3:$AM67,AV$3:AV67,TRUE)),IF(AND(AV68=TRUE,ISNUMBER(AW68)=FALSE),"ERR","N/A"))</f>
        <v>N/A</v>
      </c>
      <c r="AY68" s="215" t="str">
        <f t="shared" si="138"/>
        <v>N/A</v>
      </c>
      <c r="AZ68" s="219" t="b">
        <f t="shared" si="139"/>
        <v>0</v>
      </c>
      <c r="BA68" s="217" t="str">
        <f t="shared" si="140"/>
        <v>N/A</v>
      </c>
      <c r="BB68" s="217" t="str">
        <f>IF(AND(AZ68=TRUE,ISNUMBER(BA68)),MAX(0,BA68-SUMIFS($AM$3:$AM67,AZ$3:AZ67,TRUE)),IF(AND(AZ68=TRUE,ISNUMBER(BA68)=FALSE),"ERR","N/A"))</f>
        <v>N/A</v>
      </c>
      <c r="BC68" s="215" t="str">
        <f t="shared" si="141"/>
        <v>N/A</v>
      </c>
      <c r="BD68" s="219" t="b">
        <f t="shared" si="142"/>
        <v>0</v>
      </c>
      <c r="BE68" s="217" t="str">
        <f t="shared" si="143"/>
        <v>N/A</v>
      </c>
      <c r="BF68" s="217" t="str">
        <f>IF(AND(BD68=TRUE,ISNUMBER(BE68)=TRUE),MAX(0,BE68-SUMIFS(AM$3:AM67,BD$3:BD67,TRUE,F$3:F67,F68)),IF(AND(BD68=TRUE,ISNUMBER(BE68)=FALSE),"ERR","N/A"))</f>
        <v>N/A</v>
      </c>
      <c r="BG68" s="215" t="str">
        <f t="shared" si="144"/>
        <v>N/A</v>
      </c>
      <c r="BH68" s="214">
        <f t="shared" si="145"/>
        <v>0</v>
      </c>
      <c r="BI68" s="215">
        <f t="shared" si="161"/>
        <v>0</v>
      </c>
      <c r="BJ68" s="214" t="str">
        <f t="shared" si="55"/>
        <v>N/A</v>
      </c>
      <c r="BK68" s="217">
        <f t="shared" si="146"/>
        <v>0</v>
      </c>
      <c r="BL68" s="220" t="b">
        <f t="shared" si="147"/>
        <v>0</v>
      </c>
      <c r="BM68" s="217" t="str">
        <f t="shared" si="148"/>
        <v>N/A</v>
      </c>
      <c r="BN68" s="217" t="str">
        <f t="shared" si="162"/>
        <v>N/A</v>
      </c>
      <c r="BO68" s="220" t="b">
        <f t="shared" si="149"/>
        <v>0</v>
      </c>
      <c r="BP68" s="244" t="str">
        <f t="shared" si="150"/>
        <v>N/A</v>
      </c>
      <c r="BQ68" s="217" t="str">
        <f t="shared" si="163"/>
        <v>N/A</v>
      </c>
      <c r="BR68" s="215">
        <f t="shared" si="164"/>
        <v>0</v>
      </c>
      <c r="BS68" s="214" t="str">
        <f t="shared" si="59"/>
        <v>N/A</v>
      </c>
      <c r="BT68" s="217">
        <f t="shared" si="165"/>
        <v>0</v>
      </c>
      <c r="BU68" s="215">
        <f t="shared" si="61"/>
        <v>0</v>
      </c>
      <c r="BV68" s="214">
        <f t="shared" si="62"/>
        <v>0</v>
      </c>
      <c r="BW68" s="217">
        <f t="shared" si="151"/>
        <v>3.21</v>
      </c>
      <c r="BX68" s="217">
        <f t="shared" si="152"/>
        <v>0</v>
      </c>
      <c r="BY68" s="217">
        <f t="shared" si="166"/>
        <v>0</v>
      </c>
      <c r="BZ68" s="217">
        <f t="shared" si="153"/>
        <v>0</v>
      </c>
      <c r="CA68" s="217">
        <f t="shared" si="167"/>
        <v>0</v>
      </c>
      <c r="CB68" s="213" t="b">
        <f t="shared" si="154"/>
        <v>1</v>
      </c>
    </row>
    <row r="69" spans="1:80" x14ac:dyDescent="0.25">
      <c r="A69" s="207">
        <v>66</v>
      </c>
      <c r="B69" s="208">
        <v>42583</v>
      </c>
      <c r="C69" s="209">
        <v>8</v>
      </c>
      <c r="D69" s="210">
        <v>19</v>
      </c>
      <c r="E69" s="211" t="str">
        <f t="shared" si="110"/>
        <v>Lisinopril 20mg (Rx) [1 QD; #30 pills/month]</v>
      </c>
      <c r="F69" s="212" t="str">
        <f t="shared" si="111"/>
        <v>Prescription Drugs: Generic</v>
      </c>
      <c r="G69" s="213" t="str">
        <f t="shared" si="112"/>
        <v>Not Covered</v>
      </c>
      <c r="H69" s="214">
        <f t="shared" si="113"/>
        <v>3.38</v>
      </c>
      <c r="I69" s="217">
        <f t="shared" si="114"/>
        <v>3.38</v>
      </c>
      <c r="J69" s="251">
        <f t="shared" si="115"/>
        <v>0</v>
      </c>
      <c r="K69" s="214" t="b">
        <f t="shared" si="116"/>
        <v>0</v>
      </c>
      <c r="L69" s="218" t="str">
        <f t="shared" si="117"/>
        <v>No</v>
      </c>
      <c r="M69" s="217" t="str">
        <f t="shared" si="118"/>
        <v>.</v>
      </c>
      <c r="N69" s="215" t="str">
        <f>IFERROR(IF(AND(L69="Yes",ISNUMBER(M69)),MAX(0,M69-SUMIFS(BU$3:BU68,L$3:L68,"Yes")),IF(OR(L69="No",M69="None"),"N/A","ERR")),"ERR")</f>
        <v>N/A</v>
      </c>
      <c r="O69" s="251" t="b">
        <f t="shared" ref="O69:O100" si="169">IF(F69="Professional Services: Primary Care",TRUE, FALSE)</f>
        <v>0</v>
      </c>
      <c r="P69" s="251" t="str">
        <f>IF(O69,BENEFIT_PARAMETERS!$C$76,"N/A")</f>
        <v>N/A</v>
      </c>
      <c r="Q69" s="288" t="str">
        <f>IF(P69="Yes", BENEFIT_PARAMETERS!$D$76,"N/A")</f>
        <v>N/A</v>
      </c>
      <c r="R69" s="253" t="str">
        <f t="shared" si="168"/>
        <v>N/A</v>
      </c>
      <c r="S69" s="217">
        <f t="shared" si="155"/>
        <v>0</v>
      </c>
      <c r="T69" s="215">
        <f t="shared" si="119"/>
        <v>0</v>
      </c>
      <c r="U69" s="214" t="b">
        <f t="shared" ref="U69:U100" si="170">IF(F69="Professional Services: Primary Care",TRUE, FALSE)</f>
        <v>0</v>
      </c>
      <c r="V69" s="251" t="str">
        <f>IF(O69,BENEFIT_PARAMETERS!$C$77,"N/A")</f>
        <v>N/A</v>
      </c>
      <c r="W69" s="288" t="str">
        <f>IF(V69="Yes", BENEFIT_PARAMETERS!$D$77,"N/A")</f>
        <v>N/A</v>
      </c>
      <c r="X69" s="253" t="str">
        <f>IF(O69,COUNTIF(Z$3:Z68,"&gt;0"),"N/A")</f>
        <v>N/A</v>
      </c>
      <c r="Y69" s="217" t="str">
        <f t="shared" si="120"/>
        <v>N/A</v>
      </c>
      <c r="Z69" s="293" t="str">
        <f t="shared" si="156"/>
        <v>N/A</v>
      </c>
      <c r="AA69" s="293">
        <f t="shared" si="157"/>
        <v>0</v>
      </c>
      <c r="AB69" s="293" t="str">
        <f t="shared" si="121"/>
        <v>N/A</v>
      </c>
      <c r="AC69" s="215">
        <f t="shared" si="158"/>
        <v>0</v>
      </c>
      <c r="AD69" s="214" t="b">
        <f t="shared" si="122"/>
        <v>0</v>
      </c>
      <c r="AE69" s="209" t="str">
        <f t="shared" si="123"/>
        <v>.</v>
      </c>
      <c r="AF69" s="216">
        <f t="shared" si="124"/>
        <v>0</v>
      </c>
      <c r="AG69" s="217" t="str">
        <f t="shared" si="125"/>
        <v>N/A</v>
      </c>
      <c r="AH69" s="217" t="b">
        <f t="shared" si="126"/>
        <v>0</v>
      </c>
      <c r="AI69" s="209" t="str">
        <f t="shared" si="127"/>
        <v>.</v>
      </c>
      <c r="AJ69" s="216">
        <f t="shared" si="128"/>
        <v>7</v>
      </c>
      <c r="AK69" s="217" t="str">
        <f t="shared" si="129"/>
        <v>N/A</v>
      </c>
      <c r="AL69" s="217">
        <f t="shared" si="159"/>
        <v>0</v>
      </c>
      <c r="AM69" s="215">
        <f t="shared" si="160"/>
        <v>0</v>
      </c>
      <c r="AN69" s="219" t="b">
        <f t="shared" si="130"/>
        <v>0</v>
      </c>
      <c r="AO69" s="217" t="str">
        <f t="shared" si="131"/>
        <v>N/A</v>
      </c>
      <c r="AP69" s="217" t="str">
        <f>IF(AND(ISNUMBER(AO69),AN69=TRUE),MAX(0,AO69-SUMIFS($AM$3:$AM68,AN$3:AN68,TRUE)),IF(AND(AN69=TRUE,ISNUMBER(AO69)=FALSE),"ERR","N/A"))</f>
        <v>N/A</v>
      </c>
      <c r="AQ69" s="215" t="str">
        <f t="shared" si="132"/>
        <v>N/A</v>
      </c>
      <c r="AR69" s="219" t="b">
        <f t="shared" si="133"/>
        <v>0</v>
      </c>
      <c r="AS69" s="217" t="str">
        <f t="shared" si="134"/>
        <v>N/A</v>
      </c>
      <c r="AT69" s="217" t="str">
        <f>IF(AND(AR69=TRUE,ISNUMBER(AS69)),MAX(0,AS69-SUMIFS($AM$3:$AM68,AR$3:AR68,TRUE)),IF(AND(AR69=TRUE,ISNUMBER(AS69)=FALSE),"ERR","N/A"))</f>
        <v>N/A</v>
      </c>
      <c r="AU69" s="215" t="str">
        <f t="shared" si="135"/>
        <v>N/A</v>
      </c>
      <c r="AV69" s="219" t="b">
        <f t="shared" si="136"/>
        <v>0</v>
      </c>
      <c r="AW69" s="217" t="str">
        <f t="shared" si="137"/>
        <v>N/A</v>
      </c>
      <c r="AX69" s="217" t="str">
        <f>IF(AND(AV69=TRUE,ISNUMBER(AW69)),MAX(0,AW69-SUMIFS($AM$3:$AM68,AV$3:AV68,TRUE)),IF(AND(AV69=TRUE,ISNUMBER(AW69)=FALSE),"ERR","N/A"))</f>
        <v>N/A</v>
      </c>
      <c r="AY69" s="215" t="str">
        <f t="shared" si="138"/>
        <v>N/A</v>
      </c>
      <c r="AZ69" s="219" t="b">
        <f t="shared" si="139"/>
        <v>0</v>
      </c>
      <c r="BA69" s="217" t="str">
        <f t="shared" si="140"/>
        <v>N/A</v>
      </c>
      <c r="BB69" s="217" t="str">
        <f>IF(AND(AZ69=TRUE,ISNUMBER(BA69)),MAX(0,BA69-SUMIFS($AM$3:$AM68,AZ$3:AZ68,TRUE)),IF(AND(AZ69=TRUE,ISNUMBER(BA69)=FALSE),"ERR","N/A"))</f>
        <v>N/A</v>
      </c>
      <c r="BC69" s="215" t="str">
        <f t="shared" si="141"/>
        <v>N/A</v>
      </c>
      <c r="BD69" s="219" t="b">
        <f t="shared" si="142"/>
        <v>0</v>
      </c>
      <c r="BE69" s="217" t="str">
        <f t="shared" si="143"/>
        <v>N/A</v>
      </c>
      <c r="BF69" s="217" t="str">
        <f>IF(AND(BD69=TRUE,ISNUMBER(BE69)=TRUE),MAX(0,BE69-SUMIFS(AM$3:AM68,BD$3:BD68,TRUE,F$3:F68,F69)),IF(AND(BD69=TRUE,ISNUMBER(BE69)=FALSE),"ERR","N/A"))</f>
        <v>N/A</v>
      </c>
      <c r="BG69" s="215" t="str">
        <f t="shared" si="144"/>
        <v>N/A</v>
      </c>
      <c r="BH69" s="214">
        <f t="shared" si="145"/>
        <v>0</v>
      </c>
      <c r="BI69" s="215">
        <f t="shared" si="161"/>
        <v>0</v>
      </c>
      <c r="BJ69" s="214" t="str">
        <f t="shared" ref="BJ69:BJ100" si="171">IF(AND(L69="Yes",ISNUMBER(M69)),IF(OR(BI69="ERR",AB69="ERR"),"ERR",MAX($AB69-BI69,0)),"N/A")</f>
        <v>N/A</v>
      </c>
      <c r="BK69" s="217">
        <f t="shared" si="146"/>
        <v>0</v>
      </c>
      <c r="BL69" s="220" t="b">
        <f t="shared" si="147"/>
        <v>0</v>
      </c>
      <c r="BM69" s="217" t="str">
        <f t="shared" si="148"/>
        <v>N/A</v>
      </c>
      <c r="BN69" s="217" t="str">
        <f t="shared" si="162"/>
        <v>N/A</v>
      </c>
      <c r="BO69" s="220" t="b">
        <f t="shared" si="149"/>
        <v>0</v>
      </c>
      <c r="BP69" s="244" t="str">
        <f t="shared" si="150"/>
        <v>N/A</v>
      </c>
      <c r="BQ69" s="217" t="str">
        <f t="shared" si="163"/>
        <v>N/A</v>
      </c>
      <c r="BR69" s="215">
        <f t="shared" si="164"/>
        <v>0</v>
      </c>
      <c r="BS69" s="214" t="str">
        <f t="shared" ref="BS69:BS100" si="172">IF(AND(L69="Yes",ISNUMBER(M69)),IF(OR(BJ69="ERR",BR69="ERR"),"ERR",MAX(BJ69-BR69,0)),"N/A")</f>
        <v>N/A</v>
      </c>
      <c r="BT69" s="217">
        <f t="shared" si="165"/>
        <v>0</v>
      </c>
      <c r="BU69" s="215">
        <f t="shared" ref="BU69:BU100" si="173">IF(OR(BI69="ERR",BR69="ERR"),"ERR",SUM(BI69,BR69,Z69))</f>
        <v>0</v>
      </c>
      <c r="BV69" s="214">
        <f t="shared" ref="BV69:BV100" si="174">IF(OR(AM69="ERR",BU69="ERR"),"ERR",MAX(S69+AA69+AM69-BI69-BR69,0))</f>
        <v>0</v>
      </c>
      <c r="BW69" s="217">
        <f t="shared" si="151"/>
        <v>3.38</v>
      </c>
      <c r="BX69" s="217">
        <f t="shared" si="152"/>
        <v>0</v>
      </c>
      <c r="BY69" s="217">
        <f t="shared" si="166"/>
        <v>0</v>
      </c>
      <c r="BZ69" s="217">
        <f t="shared" si="153"/>
        <v>0</v>
      </c>
      <c r="CA69" s="217">
        <f t="shared" si="167"/>
        <v>0</v>
      </c>
      <c r="CB69" s="213" t="b">
        <f t="shared" si="154"/>
        <v>1</v>
      </c>
    </row>
    <row r="70" spans="1:80" x14ac:dyDescent="0.25">
      <c r="A70" s="207">
        <v>67</v>
      </c>
      <c r="B70" s="208">
        <v>42597</v>
      </c>
      <c r="C70" s="209">
        <v>8</v>
      </c>
      <c r="D70" s="210">
        <v>17</v>
      </c>
      <c r="E70" s="211" t="str">
        <f t="shared" si="110"/>
        <v>Insulin glargine 100 unit/ml injectable solution (Rx - 10ml vial)  [20 units QD; expires 28 days after first use]</v>
      </c>
      <c r="F70" s="212" t="str">
        <f t="shared" si="111"/>
        <v>Prescription Drugs: Insulin</v>
      </c>
      <c r="G70" s="213" t="str">
        <f t="shared" si="112"/>
        <v>Not Covered</v>
      </c>
      <c r="H70" s="214">
        <f t="shared" si="113"/>
        <v>240.37</v>
      </c>
      <c r="I70" s="217">
        <f t="shared" si="114"/>
        <v>240.37</v>
      </c>
      <c r="J70" s="251">
        <f t="shared" si="115"/>
        <v>0</v>
      </c>
      <c r="K70" s="214" t="b">
        <f t="shared" si="116"/>
        <v>0</v>
      </c>
      <c r="L70" s="218" t="str">
        <f t="shared" si="117"/>
        <v>No</v>
      </c>
      <c r="M70" s="217" t="str">
        <f t="shared" si="118"/>
        <v>.</v>
      </c>
      <c r="N70" s="215" t="str">
        <f>IFERROR(IF(AND(L70="Yes",ISNUMBER(M70)),MAX(0,M70-SUMIFS(BU$3:BU69,L$3:L69,"Yes")),IF(OR(L70="No",M70="None"),"N/A","ERR")),"ERR")</f>
        <v>N/A</v>
      </c>
      <c r="O70" s="251" t="b">
        <f t="shared" si="169"/>
        <v>0</v>
      </c>
      <c r="P70" s="251" t="str">
        <f>IF(O70,BENEFIT_PARAMETERS!$C$76,"N/A")</f>
        <v>N/A</v>
      </c>
      <c r="Q70" s="288" t="str">
        <f>IF(P70="Yes", BENEFIT_PARAMETERS!$D$76,"N/A")</f>
        <v>N/A</v>
      </c>
      <c r="R70" s="253" t="str">
        <f t="shared" si="168"/>
        <v>N/A</v>
      </c>
      <c r="S70" s="217">
        <f t="shared" si="155"/>
        <v>0</v>
      </c>
      <c r="T70" s="215">
        <f t="shared" si="119"/>
        <v>0</v>
      </c>
      <c r="U70" s="214" t="b">
        <f t="shared" si="170"/>
        <v>0</v>
      </c>
      <c r="V70" s="251" t="str">
        <f>IF(O70,BENEFIT_PARAMETERS!$C$77,"N/A")</f>
        <v>N/A</v>
      </c>
      <c r="W70" s="288" t="str">
        <f>IF(V70="Yes", BENEFIT_PARAMETERS!$D$77,"N/A")</f>
        <v>N/A</v>
      </c>
      <c r="X70" s="253" t="str">
        <f>IF(O70,COUNTIF(Z$3:Z69,"&gt;0"),"N/A")</f>
        <v>N/A</v>
      </c>
      <c r="Y70" s="217" t="str">
        <f t="shared" si="120"/>
        <v>N/A</v>
      </c>
      <c r="Z70" s="293" t="str">
        <f t="shared" si="156"/>
        <v>N/A</v>
      </c>
      <c r="AA70" s="293">
        <f t="shared" si="157"/>
        <v>0</v>
      </c>
      <c r="AB70" s="293" t="str">
        <f t="shared" si="121"/>
        <v>N/A</v>
      </c>
      <c r="AC70" s="215">
        <f t="shared" si="158"/>
        <v>0</v>
      </c>
      <c r="AD70" s="214" t="b">
        <f t="shared" si="122"/>
        <v>0</v>
      </c>
      <c r="AE70" s="209" t="str">
        <f t="shared" si="123"/>
        <v>.</v>
      </c>
      <c r="AF70" s="216">
        <f t="shared" si="124"/>
        <v>0</v>
      </c>
      <c r="AG70" s="217" t="str">
        <f t="shared" si="125"/>
        <v>N/A</v>
      </c>
      <c r="AH70" s="217" t="b">
        <f t="shared" si="126"/>
        <v>0</v>
      </c>
      <c r="AI70" s="209" t="str">
        <f t="shared" si="127"/>
        <v>.</v>
      </c>
      <c r="AJ70" s="216">
        <f t="shared" si="128"/>
        <v>8</v>
      </c>
      <c r="AK70" s="217" t="str">
        <f t="shared" si="129"/>
        <v>N/A</v>
      </c>
      <c r="AL70" s="217">
        <f t="shared" si="159"/>
        <v>0</v>
      </c>
      <c r="AM70" s="215">
        <f t="shared" si="160"/>
        <v>0</v>
      </c>
      <c r="AN70" s="219" t="b">
        <f t="shared" si="130"/>
        <v>0</v>
      </c>
      <c r="AO70" s="217" t="str">
        <f t="shared" si="131"/>
        <v>N/A</v>
      </c>
      <c r="AP70" s="217" t="str">
        <f>IF(AND(ISNUMBER(AO70),AN70=TRUE),MAX(0,AO70-SUMIFS($AM$3:$AM69,AN$3:AN69,TRUE)),IF(AND(AN70=TRUE,ISNUMBER(AO70)=FALSE),"ERR","N/A"))</f>
        <v>N/A</v>
      </c>
      <c r="AQ70" s="215" t="str">
        <f t="shared" si="132"/>
        <v>N/A</v>
      </c>
      <c r="AR70" s="219" t="b">
        <f t="shared" si="133"/>
        <v>0</v>
      </c>
      <c r="AS70" s="217" t="str">
        <f t="shared" si="134"/>
        <v>N/A</v>
      </c>
      <c r="AT70" s="217" t="str">
        <f>IF(AND(AR70=TRUE,ISNUMBER(AS70)),MAX(0,AS70-SUMIFS($AM$3:$AM69,AR$3:AR69,TRUE)),IF(AND(AR70=TRUE,ISNUMBER(AS70)=FALSE),"ERR","N/A"))</f>
        <v>N/A</v>
      </c>
      <c r="AU70" s="215" t="str">
        <f t="shared" si="135"/>
        <v>N/A</v>
      </c>
      <c r="AV70" s="219" t="b">
        <f t="shared" si="136"/>
        <v>0</v>
      </c>
      <c r="AW70" s="217" t="str">
        <f t="shared" si="137"/>
        <v>N/A</v>
      </c>
      <c r="AX70" s="217" t="str">
        <f>IF(AND(AV70=TRUE,ISNUMBER(AW70)),MAX(0,AW70-SUMIFS($AM$3:$AM69,AV$3:AV69,TRUE)),IF(AND(AV70=TRUE,ISNUMBER(AW70)=FALSE),"ERR","N/A"))</f>
        <v>N/A</v>
      </c>
      <c r="AY70" s="215" t="str">
        <f t="shared" si="138"/>
        <v>N/A</v>
      </c>
      <c r="AZ70" s="219" t="b">
        <f t="shared" si="139"/>
        <v>0</v>
      </c>
      <c r="BA70" s="217" t="str">
        <f t="shared" si="140"/>
        <v>N/A</v>
      </c>
      <c r="BB70" s="217" t="str">
        <f>IF(AND(AZ70=TRUE,ISNUMBER(BA70)),MAX(0,BA70-SUMIFS($AM$3:$AM69,AZ$3:AZ69,TRUE)),IF(AND(AZ70=TRUE,ISNUMBER(BA70)=FALSE),"ERR","N/A"))</f>
        <v>N/A</v>
      </c>
      <c r="BC70" s="215" t="str">
        <f t="shared" si="141"/>
        <v>N/A</v>
      </c>
      <c r="BD70" s="219" t="b">
        <f t="shared" si="142"/>
        <v>0</v>
      </c>
      <c r="BE70" s="217" t="str">
        <f t="shared" si="143"/>
        <v>N/A</v>
      </c>
      <c r="BF70" s="217" t="str">
        <f>IF(AND(BD70=TRUE,ISNUMBER(BE70)=TRUE),MAX(0,BE70-SUMIFS(AM$3:AM69,BD$3:BD69,TRUE,F$3:F69,F70)),IF(AND(BD70=TRUE,ISNUMBER(BE70)=FALSE),"ERR","N/A"))</f>
        <v>N/A</v>
      </c>
      <c r="BG70" s="215" t="str">
        <f t="shared" si="144"/>
        <v>N/A</v>
      </c>
      <c r="BH70" s="214">
        <f t="shared" si="145"/>
        <v>0</v>
      </c>
      <c r="BI70" s="215">
        <f t="shared" si="161"/>
        <v>0</v>
      </c>
      <c r="BJ70" s="214" t="str">
        <f t="shared" si="171"/>
        <v>N/A</v>
      </c>
      <c r="BK70" s="217">
        <f t="shared" si="146"/>
        <v>0</v>
      </c>
      <c r="BL70" s="220" t="b">
        <f t="shared" si="147"/>
        <v>0</v>
      </c>
      <c r="BM70" s="217" t="str">
        <f t="shared" si="148"/>
        <v>N/A</v>
      </c>
      <c r="BN70" s="217" t="str">
        <f t="shared" si="162"/>
        <v>N/A</v>
      </c>
      <c r="BO70" s="220" t="b">
        <f t="shared" si="149"/>
        <v>0</v>
      </c>
      <c r="BP70" s="244" t="str">
        <f t="shared" si="150"/>
        <v>N/A</v>
      </c>
      <c r="BQ70" s="217" t="str">
        <f t="shared" si="163"/>
        <v>N/A</v>
      </c>
      <c r="BR70" s="215">
        <f t="shared" si="164"/>
        <v>0</v>
      </c>
      <c r="BS70" s="214" t="str">
        <f t="shared" si="172"/>
        <v>N/A</v>
      </c>
      <c r="BT70" s="217">
        <f t="shared" si="165"/>
        <v>0</v>
      </c>
      <c r="BU70" s="215">
        <f t="shared" si="173"/>
        <v>0</v>
      </c>
      <c r="BV70" s="214">
        <f t="shared" si="174"/>
        <v>0</v>
      </c>
      <c r="BW70" s="217">
        <f t="shared" si="151"/>
        <v>240.37</v>
      </c>
      <c r="BX70" s="217">
        <f t="shared" si="152"/>
        <v>0</v>
      </c>
      <c r="BY70" s="217">
        <f t="shared" si="166"/>
        <v>0</v>
      </c>
      <c r="BZ70" s="217">
        <f t="shared" si="153"/>
        <v>0</v>
      </c>
      <c r="CA70" s="217">
        <f t="shared" si="167"/>
        <v>0</v>
      </c>
      <c r="CB70" s="213" t="b">
        <f t="shared" si="154"/>
        <v>1</v>
      </c>
    </row>
    <row r="71" spans="1:80" x14ac:dyDescent="0.25">
      <c r="A71" s="207">
        <v>68</v>
      </c>
      <c r="B71" s="208">
        <v>42613</v>
      </c>
      <c r="C71" s="209">
        <v>8</v>
      </c>
      <c r="D71" s="210">
        <v>14</v>
      </c>
      <c r="E71" s="211" t="str">
        <f t="shared" si="110"/>
        <v>BD Ultrafine Insulin Syringes / 30G/ 0.5cc  [usage = 30 syringes per month]</v>
      </c>
      <c r="F71" s="212" t="str">
        <f t="shared" si="111"/>
        <v>Medical Supplies</v>
      </c>
      <c r="G71" s="213" t="str">
        <f t="shared" si="112"/>
        <v>Not Covered</v>
      </c>
      <c r="H71" s="214">
        <f t="shared" si="113"/>
        <v>20.62</v>
      </c>
      <c r="I71" s="217">
        <f t="shared" si="114"/>
        <v>20.62</v>
      </c>
      <c r="J71" s="251">
        <f t="shared" si="115"/>
        <v>0</v>
      </c>
      <c r="K71" s="214" t="b">
        <f t="shared" si="116"/>
        <v>0</v>
      </c>
      <c r="L71" s="218" t="str">
        <f t="shared" si="117"/>
        <v>No</v>
      </c>
      <c r="M71" s="217" t="str">
        <f t="shared" si="118"/>
        <v>.</v>
      </c>
      <c r="N71" s="215" t="str">
        <f>IFERROR(IF(AND(L71="Yes",ISNUMBER(M71)),MAX(0,M71-SUMIFS(BU$3:BU70,L$3:L70,"Yes")),IF(OR(L71="No",M71="None"),"N/A","ERR")),"ERR")</f>
        <v>N/A</v>
      </c>
      <c r="O71" s="251" t="b">
        <f t="shared" si="169"/>
        <v>0</v>
      </c>
      <c r="P71" s="251" t="str">
        <f>IF(O71,BENEFIT_PARAMETERS!$C$76,"N/A")</f>
        <v>N/A</v>
      </c>
      <c r="Q71" s="288" t="str">
        <f>IF(P71="Yes", BENEFIT_PARAMETERS!$D$76,"N/A")</f>
        <v>N/A</v>
      </c>
      <c r="R71" s="253" t="str">
        <f t="shared" si="168"/>
        <v>N/A</v>
      </c>
      <c r="S71" s="217">
        <f t="shared" si="155"/>
        <v>0</v>
      </c>
      <c r="T71" s="215">
        <f t="shared" si="119"/>
        <v>0</v>
      </c>
      <c r="U71" s="214" t="b">
        <f t="shared" si="170"/>
        <v>0</v>
      </c>
      <c r="V71" s="251" t="str">
        <f>IF(O71,BENEFIT_PARAMETERS!$C$77,"N/A")</f>
        <v>N/A</v>
      </c>
      <c r="W71" s="288" t="str">
        <f>IF(V71="Yes", BENEFIT_PARAMETERS!$D$77,"N/A")</f>
        <v>N/A</v>
      </c>
      <c r="X71" s="253" t="str">
        <f>IF(O71,COUNTIF(Z$3:Z70,"&gt;0"),"N/A")</f>
        <v>N/A</v>
      </c>
      <c r="Y71" s="217" t="str">
        <f t="shared" si="120"/>
        <v>N/A</v>
      </c>
      <c r="Z71" s="293" t="str">
        <f t="shared" si="156"/>
        <v>N/A</v>
      </c>
      <c r="AA71" s="293">
        <f t="shared" si="157"/>
        <v>0</v>
      </c>
      <c r="AB71" s="293" t="str">
        <f t="shared" si="121"/>
        <v>N/A</v>
      </c>
      <c r="AC71" s="215">
        <f t="shared" si="158"/>
        <v>0</v>
      </c>
      <c r="AD71" s="214" t="b">
        <f t="shared" si="122"/>
        <v>0</v>
      </c>
      <c r="AE71" s="209" t="str">
        <f t="shared" si="123"/>
        <v>.</v>
      </c>
      <c r="AF71" s="216">
        <f t="shared" si="124"/>
        <v>1</v>
      </c>
      <c r="AG71" s="217" t="str">
        <f t="shared" si="125"/>
        <v>N/A</v>
      </c>
      <c r="AH71" s="217" t="b">
        <f t="shared" si="126"/>
        <v>0</v>
      </c>
      <c r="AI71" s="209" t="str">
        <f t="shared" si="127"/>
        <v>.</v>
      </c>
      <c r="AJ71" s="216">
        <f t="shared" si="128"/>
        <v>8</v>
      </c>
      <c r="AK71" s="217" t="str">
        <f t="shared" si="129"/>
        <v>N/A</v>
      </c>
      <c r="AL71" s="217">
        <f t="shared" si="159"/>
        <v>0</v>
      </c>
      <c r="AM71" s="215">
        <f t="shared" si="160"/>
        <v>0</v>
      </c>
      <c r="AN71" s="219" t="b">
        <f t="shared" si="130"/>
        <v>0</v>
      </c>
      <c r="AO71" s="217" t="str">
        <f t="shared" si="131"/>
        <v>N/A</v>
      </c>
      <c r="AP71" s="217" t="str">
        <f>IF(AND(ISNUMBER(AO71),AN71=TRUE),MAX(0,AO71-SUMIFS($AM$3:$AM70,AN$3:AN70,TRUE)),IF(AND(AN71=TRUE,ISNUMBER(AO71)=FALSE),"ERR","N/A"))</f>
        <v>N/A</v>
      </c>
      <c r="AQ71" s="215" t="str">
        <f t="shared" si="132"/>
        <v>N/A</v>
      </c>
      <c r="AR71" s="219" t="b">
        <f t="shared" si="133"/>
        <v>0</v>
      </c>
      <c r="AS71" s="217" t="str">
        <f t="shared" si="134"/>
        <v>N/A</v>
      </c>
      <c r="AT71" s="217" t="str">
        <f>IF(AND(AR71=TRUE,ISNUMBER(AS71)),MAX(0,AS71-SUMIFS($AM$3:$AM70,AR$3:AR70,TRUE)),IF(AND(AR71=TRUE,ISNUMBER(AS71)=FALSE),"ERR","N/A"))</f>
        <v>N/A</v>
      </c>
      <c r="AU71" s="215" t="str">
        <f t="shared" si="135"/>
        <v>N/A</v>
      </c>
      <c r="AV71" s="219" t="b">
        <f t="shared" si="136"/>
        <v>0</v>
      </c>
      <c r="AW71" s="217" t="str">
        <f t="shared" si="137"/>
        <v>N/A</v>
      </c>
      <c r="AX71" s="217" t="str">
        <f>IF(AND(AV71=TRUE,ISNUMBER(AW71)),MAX(0,AW71-SUMIFS($AM$3:$AM70,AV$3:AV70,TRUE)),IF(AND(AV71=TRUE,ISNUMBER(AW71)=FALSE),"ERR","N/A"))</f>
        <v>N/A</v>
      </c>
      <c r="AY71" s="215" t="str">
        <f t="shared" si="138"/>
        <v>N/A</v>
      </c>
      <c r="AZ71" s="219" t="b">
        <f t="shared" si="139"/>
        <v>0</v>
      </c>
      <c r="BA71" s="217" t="str">
        <f t="shared" si="140"/>
        <v>N/A</v>
      </c>
      <c r="BB71" s="217" t="str">
        <f>IF(AND(AZ71=TRUE,ISNUMBER(BA71)),MAX(0,BA71-SUMIFS($AM$3:$AM70,AZ$3:AZ70,TRUE)),IF(AND(AZ71=TRUE,ISNUMBER(BA71)=FALSE),"ERR","N/A"))</f>
        <v>N/A</v>
      </c>
      <c r="BC71" s="215" t="str">
        <f t="shared" si="141"/>
        <v>N/A</v>
      </c>
      <c r="BD71" s="219" t="b">
        <f t="shared" si="142"/>
        <v>0</v>
      </c>
      <c r="BE71" s="217" t="str">
        <f t="shared" si="143"/>
        <v>N/A</v>
      </c>
      <c r="BF71" s="217" t="str">
        <f>IF(AND(BD71=TRUE,ISNUMBER(BE71)=TRUE),MAX(0,BE71-SUMIFS(AM$3:AM70,BD$3:BD70,TRUE,F$3:F70,F71)),IF(AND(BD71=TRUE,ISNUMBER(BE71)=FALSE),"ERR","N/A"))</f>
        <v>N/A</v>
      </c>
      <c r="BG71" s="215" t="str">
        <f t="shared" si="144"/>
        <v>N/A</v>
      </c>
      <c r="BH71" s="214">
        <f t="shared" si="145"/>
        <v>0</v>
      </c>
      <c r="BI71" s="215">
        <f t="shared" si="161"/>
        <v>0</v>
      </c>
      <c r="BJ71" s="214" t="str">
        <f t="shared" si="171"/>
        <v>N/A</v>
      </c>
      <c r="BK71" s="217">
        <f t="shared" si="146"/>
        <v>0</v>
      </c>
      <c r="BL71" s="220" t="b">
        <f t="shared" si="147"/>
        <v>0</v>
      </c>
      <c r="BM71" s="217" t="str">
        <f t="shared" si="148"/>
        <v>N/A</v>
      </c>
      <c r="BN71" s="217" t="str">
        <f t="shared" si="162"/>
        <v>N/A</v>
      </c>
      <c r="BO71" s="220" t="b">
        <f t="shared" si="149"/>
        <v>0</v>
      </c>
      <c r="BP71" s="244" t="str">
        <f t="shared" si="150"/>
        <v>N/A</v>
      </c>
      <c r="BQ71" s="217" t="str">
        <f t="shared" si="163"/>
        <v>N/A</v>
      </c>
      <c r="BR71" s="215">
        <f t="shared" si="164"/>
        <v>0</v>
      </c>
      <c r="BS71" s="214" t="str">
        <f t="shared" si="172"/>
        <v>N/A</v>
      </c>
      <c r="BT71" s="217">
        <f t="shared" si="165"/>
        <v>0</v>
      </c>
      <c r="BU71" s="215">
        <f t="shared" si="173"/>
        <v>0</v>
      </c>
      <c r="BV71" s="214">
        <f t="shared" si="174"/>
        <v>0</v>
      </c>
      <c r="BW71" s="217">
        <f t="shared" si="151"/>
        <v>20.62</v>
      </c>
      <c r="BX71" s="217">
        <f t="shared" si="152"/>
        <v>0</v>
      </c>
      <c r="BY71" s="217">
        <f t="shared" si="166"/>
        <v>0</v>
      </c>
      <c r="BZ71" s="217">
        <f t="shared" si="153"/>
        <v>0</v>
      </c>
      <c r="CA71" s="217">
        <f t="shared" si="167"/>
        <v>0</v>
      </c>
      <c r="CB71" s="213" t="b">
        <f t="shared" si="154"/>
        <v>1</v>
      </c>
    </row>
    <row r="72" spans="1:80" x14ac:dyDescent="0.25">
      <c r="A72" s="207">
        <v>69</v>
      </c>
      <c r="B72" s="208">
        <v>42613</v>
      </c>
      <c r="C72" s="209">
        <v>8</v>
      </c>
      <c r="D72" s="210">
        <v>32</v>
      </c>
      <c r="E72" s="211" t="str">
        <f t="shared" si="110"/>
        <v>Metformin Hydrochloride 500 MG TABLET [ #60 pills/month]</v>
      </c>
      <c r="F72" s="212" t="str">
        <f t="shared" si="111"/>
        <v>Prescription Drugs: Generic</v>
      </c>
      <c r="G72" s="213" t="str">
        <f t="shared" si="112"/>
        <v>Not Covered</v>
      </c>
      <c r="H72" s="214">
        <f t="shared" si="113"/>
        <v>3.21</v>
      </c>
      <c r="I72" s="217">
        <f t="shared" si="114"/>
        <v>3.21</v>
      </c>
      <c r="J72" s="251">
        <f t="shared" si="115"/>
        <v>0</v>
      </c>
      <c r="K72" s="214" t="b">
        <f t="shared" si="116"/>
        <v>0</v>
      </c>
      <c r="L72" s="218" t="str">
        <f t="shared" si="117"/>
        <v>No</v>
      </c>
      <c r="M72" s="217" t="str">
        <f t="shared" si="118"/>
        <v>.</v>
      </c>
      <c r="N72" s="215" t="str">
        <f>IFERROR(IF(AND(L72="Yes",ISNUMBER(M72)),MAX(0,M72-SUMIFS(BU$3:BU71,L$3:L71,"Yes")),IF(OR(L72="No",M72="None"),"N/A","ERR")),"ERR")</f>
        <v>N/A</v>
      </c>
      <c r="O72" s="251" t="b">
        <f t="shared" si="169"/>
        <v>0</v>
      </c>
      <c r="P72" s="251" t="str">
        <f>IF(O72,BENEFIT_PARAMETERS!$C$76,"N/A")</f>
        <v>N/A</v>
      </c>
      <c r="Q72" s="288" t="str">
        <f>IF(P72="Yes", BENEFIT_PARAMETERS!$D$76,"N/A")</f>
        <v>N/A</v>
      </c>
      <c r="R72" s="253" t="str">
        <f t="shared" si="168"/>
        <v>N/A</v>
      </c>
      <c r="S72" s="217">
        <f t="shared" si="155"/>
        <v>0</v>
      </c>
      <c r="T72" s="215">
        <f t="shared" si="119"/>
        <v>0</v>
      </c>
      <c r="U72" s="214" t="b">
        <f t="shared" si="170"/>
        <v>0</v>
      </c>
      <c r="V72" s="251" t="str">
        <f>IF(O72,BENEFIT_PARAMETERS!$C$77,"N/A")</f>
        <v>N/A</v>
      </c>
      <c r="W72" s="288" t="str">
        <f>IF(V72="Yes", BENEFIT_PARAMETERS!$D$77,"N/A")</f>
        <v>N/A</v>
      </c>
      <c r="X72" s="253" t="str">
        <f>IF(O72,COUNTIF(Z$3:Z71,"&gt;0"),"N/A")</f>
        <v>N/A</v>
      </c>
      <c r="Y72" s="217" t="str">
        <f t="shared" si="120"/>
        <v>N/A</v>
      </c>
      <c r="Z72" s="293" t="str">
        <f t="shared" si="156"/>
        <v>N/A</v>
      </c>
      <c r="AA72" s="293">
        <f t="shared" si="157"/>
        <v>0</v>
      </c>
      <c r="AB72" s="293" t="str">
        <f t="shared" si="121"/>
        <v>N/A</v>
      </c>
      <c r="AC72" s="215">
        <f t="shared" si="158"/>
        <v>0</v>
      </c>
      <c r="AD72" s="214" t="b">
        <f t="shared" si="122"/>
        <v>0</v>
      </c>
      <c r="AE72" s="209" t="str">
        <f t="shared" si="123"/>
        <v>.</v>
      </c>
      <c r="AF72" s="216">
        <f t="shared" si="124"/>
        <v>1</v>
      </c>
      <c r="AG72" s="217" t="str">
        <f t="shared" si="125"/>
        <v>N/A</v>
      </c>
      <c r="AH72" s="217" t="b">
        <f t="shared" si="126"/>
        <v>0</v>
      </c>
      <c r="AI72" s="209" t="str">
        <f t="shared" si="127"/>
        <v>.</v>
      </c>
      <c r="AJ72" s="216">
        <f t="shared" si="128"/>
        <v>8</v>
      </c>
      <c r="AK72" s="217" t="str">
        <f t="shared" si="129"/>
        <v>N/A</v>
      </c>
      <c r="AL72" s="217">
        <f t="shared" si="159"/>
        <v>0</v>
      </c>
      <c r="AM72" s="215">
        <f t="shared" si="160"/>
        <v>0</v>
      </c>
      <c r="AN72" s="219" t="b">
        <f t="shared" si="130"/>
        <v>0</v>
      </c>
      <c r="AO72" s="217" t="str">
        <f t="shared" si="131"/>
        <v>N/A</v>
      </c>
      <c r="AP72" s="217" t="str">
        <f>IF(AND(ISNUMBER(AO72),AN72=TRUE),MAX(0,AO72-SUMIFS($AM$3:$AM71,AN$3:AN71,TRUE)),IF(AND(AN72=TRUE,ISNUMBER(AO72)=FALSE),"ERR","N/A"))</f>
        <v>N/A</v>
      </c>
      <c r="AQ72" s="215" t="str">
        <f t="shared" si="132"/>
        <v>N/A</v>
      </c>
      <c r="AR72" s="219" t="b">
        <f t="shared" si="133"/>
        <v>0</v>
      </c>
      <c r="AS72" s="217" t="str">
        <f t="shared" si="134"/>
        <v>N/A</v>
      </c>
      <c r="AT72" s="217" t="str">
        <f>IF(AND(AR72=TRUE,ISNUMBER(AS72)),MAX(0,AS72-SUMIFS($AM$3:$AM71,AR$3:AR71,TRUE)),IF(AND(AR72=TRUE,ISNUMBER(AS72)=FALSE),"ERR","N/A"))</f>
        <v>N/A</v>
      </c>
      <c r="AU72" s="215" t="str">
        <f t="shared" si="135"/>
        <v>N/A</v>
      </c>
      <c r="AV72" s="219" t="b">
        <f t="shared" si="136"/>
        <v>0</v>
      </c>
      <c r="AW72" s="217" t="str">
        <f t="shared" si="137"/>
        <v>N/A</v>
      </c>
      <c r="AX72" s="217" t="str">
        <f>IF(AND(AV72=TRUE,ISNUMBER(AW72)),MAX(0,AW72-SUMIFS($AM$3:$AM71,AV$3:AV71,TRUE)),IF(AND(AV72=TRUE,ISNUMBER(AW72)=FALSE),"ERR","N/A"))</f>
        <v>N/A</v>
      </c>
      <c r="AY72" s="215" t="str">
        <f t="shared" si="138"/>
        <v>N/A</v>
      </c>
      <c r="AZ72" s="219" t="b">
        <f t="shared" si="139"/>
        <v>0</v>
      </c>
      <c r="BA72" s="217" t="str">
        <f t="shared" si="140"/>
        <v>N/A</v>
      </c>
      <c r="BB72" s="217" t="str">
        <f>IF(AND(AZ72=TRUE,ISNUMBER(BA72)),MAX(0,BA72-SUMIFS($AM$3:$AM71,AZ$3:AZ71,TRUE)),IF(AND(AZ72=TRUE,ISNUMBER(BA72)=FALSE),"ERR","N/A"))</f>
        <v>N/A</v>
      </c>
      <c r="BC72" s="215" t="str">
        <f t="shared" si="141"/>
        <v>N/A</v>
      </c>
      <c r="BD72" s="219" t="b">
        <f t="shared" si="142"/>
        <v>0</v>
      </c>
      <c r="BE72" s="217" t="str">
        <f t="shared" si="143"/>
        <v>N/A</v>
      </c>
      <c r="BF72" s="217" t="str">
        <f>IF(AND(BD72=TRUE,ISNUMBER(BE72)=TRUE),MAX(0,BE72-SUMIFS(AM$3:AM71,BD$3:BD71,TRUE,F$3:F71,F72)),IF(AND(BD72=TRUE,ISNUMBER(BE72)=FALSE),"ERR","N/A"))</f>
        <v>N/A</v>
      </c>
      <c r="BG72" s="215" t="str">
        <f t="shared" si="144"/>
        <v>N/A</v>
      </c>
      <c r="BH72" s="214">
        <f t="shared" si="145"/>
        <v>0</v>
      </c>
      <c r="BI72" s="215">
        <f t="shared" si="161"/>
        <v>0</v>
      </c>
      <c r="BJ72" s="214" t="str">
        <f t="shared" si="171"/>
        <v>N/A</v>
      </c>
      <c r="BK72" s="217">
        <f t="shared" si="146"/>
        <v>0</v>
      </c>
      <c r="BL72" s="220" t="b">
        <f t="shared" si="147"/>
        <v>0</v>
      </c>
      <c r="BM72" s="217" t="str">
        <f t="shared" si="148"/>
        <v>N/A</v>
      </c>
      <c r="BN72" s="217" t="str">
        <f t="shared" si="162"/>
        <v>N/A</v>
      </c>
      <c r="BO72" s="220" t="b">
        <f t="shared" si="149"/>
        <v>0</v>
      </c>
      <c r="BP72" s="244" t="str">
        <f t="shared" si="150"/>
        <v>N/A</v>
      </c>
      <c r="BQ72" s="217" t="str">
        <f t="shared" si="163"/>
        <v>N/A</v>
      </c>
      <c r="BR72" s="215">
        <f t="shared" si="164"/>
        <v>0</v>
      </c>
      <c r="BS72" s="214" t="str">
        <f t="shared" si="172"/>
        <v>N/A</v>
      </c>
      <c r="BT72" s="217">
        <f t="shared" si="165"/>
        <v>0</v>
      </c>
      <c r="BU72" s="215">
        <f t="shared" si="173"/>
        <v>0</v>
      </c>
      <c r="BV72" s="214">
        <f t="shared" si="174"/>
        <v>0</v>
      </c>
      <c r="BW72" s="217">
        <f t="shared" si="151"/>
        <v>3.21</v>
      </c>
      <c r="BX72" s="217">
        <f t="shared" si="152"/>
        <v>0</v>
      </c>
      <c r="BY72" s="217">
        <f t="shared" si="166"/>
        <v>0</v>
      </c>
      <c r="BZ72" s="217">
        <f t="shared" si="153"/>
        <v>0</v>
      </c>
      <c r="CA72" s="217">
        <f t="shared" si="167"/>
        <v>0</v>
      </c>
      <c r="CB72" s="213" t="b">
        <f t="shared" si="154"/>
        <v>1</v>
      </c>
    </row>
    <row r="73" spans="1:80" x14ac:dyDescent="0.25">
      <c r="A73" s="207">
        <v>70</v>
      </c>
      <c r="B73" s="208">
        <v>42613</v>
      </c>
      <c r="C73" s="209">
        <v>8</v>
      </c>
      <c r="D73" s="210">
        <v>19</v>
      </c>
      <c r="E73" s="211" t="str">
        <f t="shared" si="110"/>
        <v>Lisinopril 20mg (Rx) [1 QD; #30 pills/month]</v>
      </c>
      <c r="F73" s="212" t="str">
        <f t="shared" si="111"/>
        <v>Prescription Drugs: Generic</v>
      </c>
      <c r="G73" s="213" t="str">
        <f t="shared" si="112"/>
        <v>Not Covered</v>
      </c>
      <c r="H73" s="214">
        <f t="shared" si="113"/>
        <v>3.38</v>
      </c>
      <c r="I73" s="217">
        <f t="shared" si="114"/>
        <v>3.38</v>
      </c>
      <c r="J73" s="251">
        <f t="shared" si="115"/>
        <v>0</v>
      </c>
      <c r="K73" s="214" t="b">
        <f t="shared" si="116"/>
        <v>0</v>
      </c>
      <c r="L73" s="218" t="str">
        <f t="shared" si="117"/>
        <v>No</v>
      </c>
      <c r="M73" s="217" t="str">
        <f t="shared" si="118"/>
        <v>.</v>
      </c>
      <c r="N73" s="215" t="str">
        <f>IFERROR(IF(AND(L73="Yes",ISNUMBER(M73)),MAX(0,M73-SUMIFS(BU$3:BU72,L$3:L72,"Yes")),IF(OR(L73="No",M73="None"),"N/A","ERR")),"ERR")</f>
        <v>N/A</v>
      </c>
      <c r="O73" s="251" t="b">
        <f t="shared" si="169"/>
        <v>0</v>
      </c>
      <c r="P73" s="251" t="str">
        <f>IF(O73,BENEFIT_PARAMETERS!$C$76,"N/A")</f>
        <v>N/A</v>
      </c>
      <c r="Q73" s="288" t="str">
        <f>IF(P73="Yes", BENEFIT_PARAMETERS!$D$76,"N/A")</f>
        <v>N/A</v>
      </c>
      <c r="R73" s="253" t="str">
        <f t="shared" si="168"/>
        <v>N/A</v>
      </c>
      <c r="S73" s="217">
        <f t="shared" si="155"/>
        <v>0</v>
      </c>
      <c r="T73" s="215">
        <f t="shared" si="119"/>
        <v>0</v>
      </c>
      <c r="U73" s="214" t="b">
        <f t="shared" si="170"/>
        <v>0</v>
      </c>
      <c r="V73" s="251" t="str">
        <f>IF(O73,BENEFIT_PARAMETERS!$C$77,"N/A")</f>
        <v>N/A</v>
      </c>
      <c r="W73" s="288" t="str">
        <f>IF(V73="Yes", BENEFIT_PARAMETERS!$D$77,"N/A")</f>
        <v>N/A</v>
      </c>
      <c r="X73" s="253" t="str">
        <f>IF(O73,COUNTIF(Z$3:Z72,"&gt;0"),"N/A")</f>
        <v>N/A</v>
      </c>
      <c r="Y73" s="217" t="str">
        <f t="shared" si="120"/>
        <v>N/A</v>
      </c>
      <c r="Z73" s="293" t="str">
        <f t="shared" si="156"/>
        <v>N/A</v>
      </c>
      <c r="AA73" s="293">
        <f t="shared" si="157"/>
        <v>0</v>
      </c>
      <c r="AB73" s="293" t="str">
        <f t="shared" si="121"/>
        <v>N/A</v>
      </c>
      <c r="AC73" s="215">
        <f t="shared" si="158"/>
        <v>0</v>
      </c>
      <c r="AD73" s="214" t="b">
        <f t="shared" si="122"/>
        <v>0</v>
      </c>
      <c r="AE73" s="209" t="str">
        <f t="shared" si="123"/>
        <v>.</v>
      </c>
      <c r="AF73" s="216">
        <f t="shared" si="124"/>
        <v>1</v>
      </c>
      <c r="AG73" s="217" t="str">
        <f t="shared" si="125"/>
        <v>N/A</v>
      </c>
      <c r="AH73" s="217" t="b">
        <f t="shared" si="126"/>
        <v>0</v>
      </c>
      <c r="AI73" s="209" t="str">
        <f t="shared" si="127"/>
        <v>.</v>
      </c>
      <c r="AJ73" s="216">
        <f t="shared" si="128"/>
        <v>8</v>
      </c>
      <c r="AK73" s="217" t="str">
        <f t="shared" si="129"/>
        <v>N/A</v>
      </c>
      <c r="AL73" s="217">
        <f t="shared" si="159"/>
        <v>0</v>
      </c>
      <c r="AM73" s="215">
        <f t="shared" si="160"/>
        <v>0</v>
      </c>
      <c r="AN73" s="219" t="b">
        <f t="shared" si="130"/>
        <v>0</v>
      </c>
      <c r="AO73" s="217" t="str">
        <f t="shared" si="131"/>
        <v>N/A</v>
      </c>
      <c r="AP73" s="217" t="str">
        <f>IF(AND(ISNUMBER(AO73),AN73=TRUE),MAX(0,AO73-SUMIFS($AM$3:$AM72,AN$3:AN72,TRUE)),IF(AND(AN73=TRUE,ISNUMBER(AO73)=FALSE),"ERR","N/A"))</f>
        <v>N/A</v>
      </c>
      <c r="AQ73" s="215" t="str">
        <f t="shared" si="132"/>
        <v>N/A</v>
      </c>
      <c r="AR73" s="219" t="b">
        <f t="shared" si="133"/>
        <v>0</v>
      </c>
      <c r="AS73" s="217" t="str">
        <f t="shared" si="134"/>
        <v>N/A</v>
      </c>
      <c r="AT73" s="217" t="str">
        <f>IF(AND(AR73=TRUE,ISNUMBER(AS73)),MAX(0,AS73-SUMIFS($AM$3:$AM72,AR$3:AR72,TRUE)),IF(AND(AR73=TRUE,ISNUMBER(AS73)=FALSE),"ERR","N/A"))</f>
        <v>N/A</v>
      </c>
      <c r="AU73" s="215" t="str">
        <f t="shared" si="135"/>
        <v>N/A</v>
      </c>
      <c r="AV73" s="219" t="b">
        <f t="shared" si="136"/>
        <v>0</v>
      </c>
      <c r="AW73" s="217" t="str">
        <f t="shared" si="137"/>
        <v>N/A</v>
      </c>
      <c r="AX73" s="217" t="str">
        <f>IF(AND(AV73=TRUE,ISNUMBER(AW73)),MAX(0,AW73-SUMIFS($AM$3:$AM72,AV$3:AV72,TRUE)),IF(AND(AV73=TRUE,ISNUMBER(AW73)=FALSE),"ERR","N/A"))</f>
        <v>N/A</v>
      </c>
      <c r="AY73" s="215" t="str">
        <f t="shared" si="138"/>
        <v>N/A</v>
      </c>
      <c r="AZ73" s="219" t="b">
        <f t="shared" si="139"/>
        <v>0</v>
      </c>
      <c r="BA73" s="217" t="str">
        <f t="shared" si="140"/>
        <v>N/A</v>
      </c>
      <c r="BB73" s="217" t="str">
        <f>IF(AND(AZ73=TRUE,ISNUMBER(BA73)),MAX(0,BA73-SUMIFS($AM$3:$AM72,AZ$3:AZ72,TRUE)),IF(AND(AZ73=TRUE,ISNUMBER(BA73)=FALSE),"ERR","N/A"))</f>
        <v>N/A</v>
      </c>
      <c r="BC73" s="215" t="str">
        <f t="shared" si="141"/>
        <v>N/A</v>
      </c>
      <c r="BD73" s="219" t="b">
        <f t="shared" si="142"/>
        <v>0</v>
      </c>
      <c r="BE73" s="217" t="str">
        <f t="shared" si="143"/>
        <v>N/A</v>
      </c>
      <c r="BF73" s="217" t="str">
        <f>IF(AND(BD73=TRUE,ISNUMBER(BE73)=TRUE),MAX(0,BE73-SUMIFS(AM$3:AM72,BD$3:BD72,TRUE,F$3:F72,F73)),IF(AND(BD73=TRUE,ISNUMBER(BE73)=FALSE),"ERR","N/A"))</f>
        <v>N/A</v>
      </c>
      <c r="BG73" s="215" t="str">
        <f t="shared" si="144"/>
        <v>N/A</v>
      </c>
      <c r="BH73" s="214">
        <f t="shared" si="145"/>
        <v>0</v>
      </c>
      <c r="BI73" s="215">
        <f t="shared" si="161"/>
        <v>0</v>
      </c>
      <c r="BJ73" s="214" t="str">
        <f t="shared" si="171"/>
        <v>N/A</v>
      </c>
      <c r="BK73" s="217">
        <f t="shared" si="146"/>
        <v>0</v>
      </c>
      <c r="BL73" s="220" t="b">
        <f t="shared" si="147"/>
        <v>0</v>
      </c>
      <c r="BM73" s="217" t="str">
        <f t="shared" si="148"/>
        <v>N/A</v>
      </c>
      <c r="BN73" s="217" t="str">
        <f t="shared" si="162"/>
        <v>N/A</v>
      </c>
      <c r="BO73" s="220" t="b">
        <f t="shared" si="149"/>
        <v>0</v>
      </c>
      <c r="BP73" s="244" t="str">
        <f t="shared" si="150"/>
        <v>N/A</v>
      </c>
      <c r="BQ73" s="217" t="str">
        <f t="shared" si="163"/>
        <v>N/A</v>
      </c>
      <c r="BR73" s="215">
        <f t="shared" si="164"/>
        <v>0</v>
      </c>
      <c r="BS73" s="214" t="str">
        <f t="shared" si="172"/>
        <v>N/A</v>
      </c>
      <c r="BT73" s="217">
        <f t="shared" si="165"/>
        <v>0</v>
      </c>
      <c r="BU73" s="215">
        <f t="shared" si="173"/>
        <v>0</v>
      </c>
      <c r="BV73" s="214">
        <f t="shared" si="174"/>
        <v>0</v>
      </c>
      <c r="BW73" s="217">
        <f t="shared" si="151"/>
        <v>3.38</v>
      </c>
      <c r="BX73" s="217">
        <f t="shared" si="152"/>
        <v>0</v>
      </c>
      <c r="BY73" s="217">
        <f t="shared" si="166"/>
        <v>0</v>
      </c>
      <c r="BZ73" s="217">
        <f t="shared" si="153"/>
        <v>0</v>
      </c>
      <c r="CA73" s="217">
        <f t="shared" si="167"/>
        <v>0</v>
      </c>
      <c r="CB73" s="213" t="b">
        <f t="shared" si="154"/>
        <v>1</v>
      </c>
    </row>
    <row r="74" spans="1:80" x14ac:dyDescent="0.25">
      <c r="A74" s="207">
        <v>71</v>
      </c>
      <c r="B74" s="208">
        <v>42625</v>
      </c>
      <c r="C74" s="209">
        <v>9</v>
      </c>
      <c r="D74" s="210">
        <v>26</v>
      </c>
      <c r="E74" s="211" t="str">
        <f t="shared" si="110"/>
        <v>Aspirin 81mg (OTC - bottle 100) [usage = 1 QD; #30 pills per month]</v>
      </c>
      <c r="F74" s="212" t="str">
        <f t="shared" si="111"/>
        <v>Over-the-counter Drugs</v>
      </c>
      <c r="G74" s="213" t="str">
        <f t="shared" si="112"/>
        <v>Not Covered</v>
      </c>
      <c r="H74" s="214">
        <f t="shared" si="113"/>
        <v>4.47</v>
      </c>
      <c r="I74" s="217">
        <f t="shared" si="114"/>
        <v>4.47</v>
      </c>
      <c r="J74" s="251">
        <f t="shared" si="115"/>
        <v>0</v>
      </c>
      <c r="K74" s="214" t="b">
        <f t="shared" si="116"/>
        <v>0</v>
      </c>
      <c r="L74" s="218" t="str">
        <f t="shared" si="117"/>
        <v>No</v>
      </c>
      <c r="M74" s="217" t="str">
        <f t="shared" si="118"/>
        <v>.</v>
      </c>
      <c r="N74" s="215" t="str">
        <f>IFERROR(IF(AND(L74="Yes",ISNUMBER(M74)),MAX(0,M74-SUMIFS(BU$3:BU73,L$3:L73,"Yes")),IF(OR(L74="No",M74="None"),"N/A","ERR")),"ERR")</f>
        <v>N/A</v>
      </c>
      <c r="O74" s="251" t="b">
        <f t="shared" si="169"/>
        <v>0</v>
      </c>
      <c r="P74" s="251" t="str">
        <f>IF(O74,BENEFIT_PARAMETERS!$C$76,"N/A")</f>
        <v>N/A</v>
      </c>
      <c r="Q74" s="288" t="str">
        <f>IF(P74="Yes", BENEFIT_PARAMETERS!$D$76,"N/A")</f>
        <v>N/A</v>
      </c>
      <c r="R74" s="253" t="str">
        <f t="shared" si="168"/>
        <v>N/A</v>
      </c>
      <c r="S74" s="217">
        <f t="shared" si="155"/>
        <v>0</v>
      </c>
      <c r="T74" s="215">
        <f t="shared" si="119"/>
        <v>0</v>
      </c>
      <c r="U74" s="214" t="b">
        <f t="shared" si="170"/>
        <v>0</v>
      </c>
      <c r="V74" s="251" t="str">
        <f>IF(O74,BENEFIT_PARAMETERS!$C$77,"N/A")</f>
        <v>N/A</v>
      </c>
      <c r="W74" s="288" t="str">
        <f>IF(V74="Yes", BENEFIT_PARAMETERS!$D$77,"N/A")</f>
        <v>N/A</v>
      </c>
      <c r="X74" s="253" t="str">
        <f>IF(O74,COUNTIF(Z$3:Z73,"&gt;0"),"N/A")</f>
        <v>N/A</v>
      </c>
      <c r="Y74" s="217" t="str">
        <f t="shared" si="120"/>
        <v>N/A</v>
      </c>
      <c r="Z74" s="293" t="str">
        <f t="shared" si="156"/>
        <v>N/A</v>
      </c>
      <c r="AA74" s="293">
        <f t="shared" si="157"/>
        <v>0</v>
      </c>
      <c r="AB74" s="293" t="str">
        <f t="shared" si="121"/>
        <v>N/A</v>
      </c>
      <c r="AC74" s="215">
        <f t="shared" si="158"/>
        <v>0</v>
      </c>
      <c r="AD74" s="214" t="b">
        <f t="shared" si="122"/>
        <v>0</v>
      </c>
      <c r="AE74" s="209" t="str">
        <f t="shared" si="123"/>
        <v>.</v>
      </c>
      <c r="AF74" s="216">
        <f t="shared" si="124"/>
        <v>0</v>
      </c>
      <c r="AG74" s="217" t="str">
        <f t="shared" si="125"/>
        <v>N/A</v>
      </c>
      <c r="AH74" s="217" t="b">
        <f t="shared" si="126"/>
        <v>0</v>
      </c>
      <c r="AI74" s="209" t="str">
        <f t="shared" si="127"/>
        <v>.</v>
      </c>
      <c r="AJ74" s="216">
        <f t="shared" si="128"/>
        <v>3</v>
      </c>
      <c r="AK74" s="217" t="str">
        <f t="shared" si="129"/>
        <v>N/A</v>
      </c>
      <c r="AL74" s="217">
        <f t="shared" si="159"/>
        <v>0</v>
      </c>
      <c r="AM74" s="215">
        <f t="shared" si="160"/>
        <v>0</v>
      </c>
      <c r="AN74" s="219" t="b">
        <f t="shared" si="130"/>
        <v>0</v>
      </c>
      <c r="AO74" s="217" t="str">
        <f t="shared" si="131"/>
        <v>N/A</v>
      </c>
      <c r="AP74" s="217" t="str">
        <f>IF(AND(ISNUMBER(AO74),AN74=TRUE),MAX(0,AO74-SUMIFS($AM$3:$AM73,AN$3:AN73,TRUE)),IF(AND(AN74=TRUE,ISNUMBER(AO74)=FALSE),"ERR","N/A"))</f>
        <v>N/A</v>
      </c>
      <c r="AQ74" s="215" t="str">
        <f t="shared" si="132"/>
        <v>N/A</v>
      </c>
      <c r="AR74" s="219" t="b">
        <f t="shared" si="133"/>
        <v>0</v>
      </c>
      <c r="AS74" s="217" t="str">
        <f t="shared" si="134"/>
        <v>N/A</v>
      </c>
      <c r="AT74" s="217" t="str">
        <f>IF(AND(AR74=TRUE,ISNUMBER(AS74)),MAX(0,AS74-SUMIFS($AM$3:$AM73,AR$3:AR73,TRUE)),IF(AND(AR74=TRUE,ISNUMBER(AS74)=FALSE),"ERR","N/A"))</f>
        <v>N/A</v>
      </c>
      <c r="AU74" s="215" t="str">
        <f t="shared" si="135"/>
        <v>N/A</v>
      </c>
      <c r="AV74" s="219" t="b">
        <f t="shared" si="136"/>
        <v>0</v>
      </c>
      <c r="AW74" s="217" t="str">
        <f t="shared" si="137"/>
        <v>N/A</v>
      </c>
      <c r="AX74" s="217" t="str">
        <f>IF(AND(AV74=TRUE,ISNUMBER(AW74)),MAX(0,AW74-SUMIFS($AM$3:$AM73,AV$3:AV73,TRUE)),IF(AND(AV74=TRUE,ISNUMBER(AW74)=FALSE),"ERR","N/A"))</f>
        <v>N/A</v>
      </c>
      <c r="AY74" s="215" t="str">
        <f t="shared" si="138"/>
        <v>N/A</v>
      </c>
      <c r="AZ74" s="219" t="b">
        <f t="shared" si="139"/>
        <v>0</v>
      </c>
      <c r="BA74" s="217" t="str">
        <f t="shared" si="140"/>
        <v>N/A</v>
      </c>
      <c r="BB74" s="217" t="str">
        <f>IF(AND(AZ74=TRUE,ISNUMBER(BA74)),MAX(0,BA74-SUMIFS($AM$3:$AM73,AZ$3:AZ73,TRUE)),IF(AND(AZ74=TRUE,ISNUMBER(BA74)=FALSE),"ERR","N/A"))</f>
        <v>N/A</v>
      </c>
      <c r="BC74" s="215" t="str">
        <f t="shared" si="141"/>
        <v>N/A</v>
      </c>
      <c r="BD74" s="219" t="b">
        <f t="shared" si="142"/>
        <v>0</v>
      </c>
      <c r="BE74" s="217" t="str">
        <f t="shared" si="143"/>
        <v>N/A</v>
      </c>
      <c r="BF74" s="217" t="str">
        <f>IF(AND(BD74=TRUE,ISNUMBER(BE74)=TRUE),MAX(0,BE74-SUMIFS(AM$3:AM73,BD$3:BD73,TRUE,F$3:F73,F74)),IF(AND(BD74=TRUE,ISNUMBER(BE74)=FALSE),"ERR","N/A"))</f>
        <v>N/A</v>
      </c>
      <c r="BG74" s="215" t="str">
        <f t="shared" si="144"/>
        <v>N/A</v>
      </c>
      <c r="BH74" s="214">
        <f t="shared" si="145"/>
        <v>0</v>
      </c>
      <c r="BI74" s="215">
        <f t="shared" si="161"/>
        <v>0</v>
      </c>
      <c r="BJ74" s="214" t="str">
        <f t="shared" si="171"/>
        <v>N/A</v>
      </c>
      <c r="BK74" s="217">
        <f t="shared" si="146"/>
        <v>0</v>
      </c>
      <c r="BL74" s="220" t="b">
        <f t="shared" si="147"/>
        <v>0</v>
      </c>
      <c r="BM74" s="217" t="str">
        <f t="shared" si="148"/>
        <v>N/A</v>
      </c>
      <c r="BN74" s="217" t="str">
        <f t="shared" si="162"/>
        <v>N/A</v>
      </c>
      <c r="BO74" s="220" t="b">
        <f t="shared" si="149"/>
        <v>0</v>
      </c>
      <c r="BP74" s="244" t="str">
        <f t="shared" si="150"/>
        <v>N/A</v>
      </c>
      <c r="BQ74" s="217" t="str">
        <f t="shared" si="163"/>
        <v>N/A</v>
      </c>
      <c r="BR74" s="215">
        <f t="shared" si="164"/>
        <v>0</v>
      </c>
      <c r="BS74" s="214" t="str">
        <f t="shared" si="172"/>
        <v>N/A</v>
      </c>
      <c r="BT74" s="217">
        <f t="shared" si="165"/>
        <v>0</v>
      </c>
      <c r="BU74" s="215">
        <f t="shared" si="173"/>
        <v>0</v>
      </c>
      <c r="BV74" s="214">
        <f t="shared" si="174"/>
        <v>0</v>
      </c>
      <c r="BW74" s="217">
        <f t="shared" si="151"/>
        <v>4.47</v>
      </c>
      <c r="BX74" s="217">
        <f t="shared" si="152"/>
        <v>0</v>
      </c>
      <c r="BY74" s="217">
        <f t="shared" si="166"/>
        <v>0</v>
      </c>
      <c r="BZ74" s="217">
        <f t="shared" si="153"/>
        <v>0</v>
      </c>
      <c r="CA74" s="217">
        <f t="shared" si="167"/>
        <v>0</v>
      </c>
      <c r="CB74" s="213" t="b">
        <f t="shared" si="154"/>
        <v>1</v>
      </c>
    </row>
    <row r="75" spans="1:80" x14ac:dyDescent="0.25">
      <c r="A75" s="207">
        <v>72</v>
      </c>
      <c r="B75" s="208">
        <v>42625</v>
      </c>
      <c r="C75" s="209">
        <v>9</v>
      </c>
      <c r="D75" s="210">
        <v>17</v>
      </c>
      <c r="E75" s="211" t="str">
        <f t="shared" si="110"/>
        <v>Insulin glargine 100 unit/ml injectable solution (Rx - 10ml vial)  [20 units QD; expires 28 days after first use]</v>
      </c>
      <c r="F75" s="212" t="str">
        <f t="shared" si="111"/>
        <v>Prescription Drugs: Insulin</v>
      </c>
      <c r="G75" s="213" t="str">
        <f t="shared" si="112"/>
        <v>Not Covered</v>
      </c>
      <c r="H75" s="214">
        <f t="shared" si="113"/>
        <v>240.37</v>
      </c>
      <c r="I75" s="217">
        <f t="shared" si="114"/>
        <v>240.37</v>
      </c>
      <c r="J75" s="251">
        <f t="shared" si="115"/>
        <v>0</v>
      </c>
      <c r="K75" s="214" t="b">
        <f t="shared" si="116"/>
        <v>0</v>
      </c>
      <c r="L75" s="218" t="str">
        <f t="shared" si="117"/>
        <v>No</v>
      </c>
      <c r="M75" s="217" t="str">
        <f t="shared" si="118"/>
        <v>.</v>
      </c>
      <c r="N75" s="215" t="str">
        <f>IFERROR(IF(AND(L75="Yes",ISNUMBER(M75)),MAX(0,M75-SUMIFS(BU$3:BU74,L$3:L74,"Yes")),IF(OR(L75="No",M75="None"),"N/A","ERR")),"ERR")</f>
        <v>N/A</v>
      </c>
      <c r="O75" s="251" t="b">
        <f t="shared" si="169"/>
        <v>0</v>
      </c>
      <c r="P75" s="251" t="str">
        <f>IF(O75,BENEFIT_PARAMETERS!$C$76,"N/A")</f>
        <v>N/A</v>
      </c>
      <c r="Q75" s="288" t="str">
        <f>IF(P75="Yes", BENEFIT_PARAMETERS!$D$76,"N/A")</f>
        <v>N/A</v>
      </c>
      <c r="R75" s="253" t="str">
        <f t="shared" si="168"/>
        <v>N/A</v>
      </c>
      <c r="S75" s="217">
        <f t="shared" si="155"/>
        <v>0</v>
      </c>
      <c r="T75" s="215">
        <f t="shared" si="119"/>
        <v>0</v>
      </c>
      <c r="U75" s="214" t="b">
        <f t="shared" si="170"/>
        <v>0</v>
      </c>
      <c r="V75" s="251" t="str">
        <f>IF(O75,BENEFIT_PARAMETERS!$C$77,"N/A")</f>
        <v>N/A</v>
      </c>
      <c r="W75" s="288" t="str">
        <f>IF(V75="Yes", BENEFIT_PARAMETERS!$D$77,"N/A")</f>
        <v>N/A</v>
      </c>
      <c r="X75" s="253" t="str">
        <f>IF(O75,COUNTIF(Z$3:Z74,"&gt;0"),"N/A")</f>
        <v>N/A</v>
      </c>
      <c r="Y75" s="217" t="str">
        <f t="shared" si="120"/>
        <v>N/A</v>
      </c>
      <c r="Z75" s="293" t="str">
        <f t="shared" si="156"/>
        <v>N/A</v>
      </c>
      <c r="AA75" s="293">
        <f t="shared" si="157"/>
        <v>0</v>
      </c>
      <c r="AB75" s="293" t="str">
        <f t="shared" si="121"/>
        <v>N/A</v>
      </c>
      <c r="AC75" s="215">
        <f t="shared" si="158"/>
        <v>0</v>
      </c>
      <c r="AD75" s="214" t="b">
        <f t="shared" si="122"/>
        <v>0</v>
      </c>
      <c r="AE75" s="209" t="str">
        <f t="shared" si="123"/>
        <v>.</v>
      </c>
      <c r="AF75" s="216">
        <f t="shared" si="124"/>
        <v>0</v>
      </c>
      <c r="AG75" s="217" t="str">
        <f t="shared" si="125"/>
        <v>N/A</v>
      </c>
      <c r="AH75" s="217" t="b">
        <f t="shared" si="126"/>
        <v>0</v>
      </c>
      <c r="AI75" s="209" t="str">
        <f t="shared" si="127"/>
        <v>.</v>
      </c>
      <c r="AJ75" s="216">
        <f t="shared" si="128"/>
        <v>9</v>
      </c>
      <c r="AK75" s="217" t="str">
        <f t="shared" si="129"/>
        <v>N/A</v>
      </c>
      <c r="AL75" s="217">
        <f t="shared" si="159"/>
        <v>0</v>
      </c>
      <c r="AM75" s="215">
        <f t="shared" si="160"/>
        <v>0</v>
      </c>
      <c r="AN75" s="219" t="b">
        <f t="shared" si="130"/>
        <v>0</v>
      </c>
      <c r="AO75" s="217" t="str">
        <f t="shared" si="131"/>
        <v>N/A</v>
      </c>
      <c r="AP75" s="217" t="str">
        <f>IF(AND(ISNUMBER(AO75),AN75=TRUE),MAX(0,AO75-SUMIFS($AM$3:$AM74,AN$3:AN74,TRUE)),IF(AND(AN75=TRUE,ISNUMBER(AO75)=FALSE),"ERR","N/A"))</f>
        <v>N/A</v>
      </c>
      <c r="AQ75" s="215" t="str">
        <f t="shared" si="132"/>
        <v>N/A</v>
      </c>
      <c r="AR75" s="219" t="b">
        <f t="shared" si="133"/>
        <v>0</v>
      </c>
      <c r="AS75" s="217" t="str">
        <f t="shared" si="134"/>
        <v>N/A</v>
      </c>
      <c r="AT75" s="217" t="str">
        <f>IF(AND(AR75=TRUE,ISNUMBER(AS75)),MAX(0,AS75-SUMIFS($AM$3:$AM74,AR$3:AR74,TRUE)),IF(AND(AR75=TRUE,ISNUMBER(AS75)=FALSE),"ERR","N/A"))</f>
        <v>N/A</v>
      </c>
      <c r="AU75" s="215" t="str">
        <f t="shared" si="135"/>
        <v>N/A</v>
      </c>
      <c r="AV75" s="219" t="b">
        <f t="shared" si="136"/>
        <v>0</v>
      </c>
      <c r="AW75" s="217" t="str">
        <f t="shared" si="137"/>
        <v>N/A</v>
      </c>
      <c r="AX75" s="217" t="str">
        <f>IF(AND(AV75=TRUE,ISNUMBER(AW75)),MAX(0,AW75-SUMIFS($AM$3:$AM74,AV$3:AV74,TRUE)),IF(AND(AV75=TRUE,ISNUMBER(AW75)=FALSE),"ERR","N/A"))</f>
        <v>N/A</v>
      </c>
      <c r="AY75" s="215" t="str">
        <f t="shared" si="138"/>
        <v>N/A</v>
      </c>
      <c r="AZ75" s="219" t="b">
        <f t="shared" si="139"/>
        <v>0</v>
      </c>
      <c r="BA75" s="217" t="str">
        <f t="shared" si="140"/>
        <v>N/A</v>
      </c>
      <c r="BB75" s="217" t="str">
        <f>IF(AND(AZ75=TRUE,ISNUMBER(BA75)),MAX(0,BA75-SUMIFS($AM$3:$AM74,AZ$3:AZ74,TRUE)),IF(AND(AZ75=TRUE,ISNUMBER(BA75)=FALSE),"ERR","N/A"))</f>
        <v>N/A</v>
      </c>
      <c r="BC75" s="215" t="str">
        <f t="shared" si="141"/>
        <v>N/A</v>
      </c>
      <c r="BD75" s="219" t="b">
        <f t="shared" si="142"/>
        <v>0</v>
      </c>
      <c r="BE75" s="217" t="str">
        <f t="shared" si="143"/>
        <v>N/A</v>
      </c>
      <c r="BF75" s="217" t="str">
        <f>IF(AND(BD75=TRUE,ISNUMBER(BE75)=TRUE),MAX(0,BE75-SUMIFS(AM$3:AM74,BD$3:BD74,TRUE,F$3:F74,F75)),IF(AND(BD75=TRUE,ISNUMBER(BE75)=FALSE),"ERR","N/A"))</f>
        <v>N/A</v>
      </c>
      <c r="BG75" s="215" t="str">
        <f t="shared" si="144"/>
        <v>N/A</v>
      </c>
      <c r="BH75" s="214">
        <f t="shared" si="145"/>
        <v>0</v>
      </c>
      <c r="BI75" s="215">
        <f t="shared" si="161"/>
        <v>0</v>
      </c>
      <c r="BJ75" s="214" t="str">
        <f t="shared" si="171"/>
        <v>N/A</v>
      </c>
      <c r="BK75" s="217">
        <f t="shared" si="146"/>
        <v>0</v>
      </c>
      <c r="BL75" s="220" t="b">
        <f t="shared" si="147"/>
        <v>0</v>
      </c>
      <c r="BM75" s="217" t="str">
        <f t="shared" si="148"/>
        <v>N/A</v>
      </c>
      <c r="BN75" s="217" t="str">
        <f t="shared" si="162"/>
        <v>N/A</v>
      </c>
      <c r="BO75" s="220" t="b">
        <f t="shared" si="149"/>
        <v>0</v>
      </c>
      <c r="BP75" s="244" t="str">
        <f t="shared" si="150"/>
        <v>N/A</v>
      </c>
      <c r="BQ75" s="217" t="str">
        <f t="shared" si="163"/>
        <v>N/A</v>
      </c>
      <c r="BR75" s="215">
        <f t="shared" si="164"/>
        <v>0</v>
      </c>
      <c r="BS75" s="214" t="str">
        <f t="shared" si="172"/>
        <v>N/A</v>
      </c>
      <c r="BT75" s="217">
        <f t="shared" si="165"/>
        <v>0</v>
      </c>
      <c r="BU75" s="215">
        <f t="shared" si="173"/>
        <v>0</v>
      </c>
      <c r="BV75" s="214">
        <f t="shared" si="174"/>
        <v>0</v>
      </c>
      <c r="BW75" s="217">
        <f t="shared" si="151"/>
        <v>240.37</v>
      </c>
      <c r="BX75" s="217">
        <f t="shared" si="152"/>
        <v>0</v>
      </c>
      <c r="BY75" s="217">
        <f t="shared" si="166"/>
        <v>0</v>
      </c>
      <c r="BZ75" s="217">
        <f t="shared" si="153"/>
        <v>0</v>
      </c>
      <c r="CA75" s="217">
        <f t="shared" si="167"/>
        <v>0</v>
      </c>
      <c r="CB75" s="213" t="b">
        <f t="shared" si="154"/>
        <v>1</v>
      </c>
    </row>
    <row r="76" spans="1:80" x14ac:dyDescent="0.25">
      <c r="A76" s="207">
        <v>73</v>
      </c>
      <c r="B76" s="208">
        <v>42639</v>
      </c>
      <c r="C76" s="209">
        <v>9</v>
      </c>
      <c r="D76" s="210">
        <v>24</v>
      </c>
      <c r="E76" s="211" t="str">
        <f t="shared" si="110"/>
        <v>Office/Outpatient Visit Est</v>
      </c>
      <c r="F76" s="212" t="str">
        <f t="shared" si="111"/>
        <v>Professional Services: Primary Care</v>
      </c>
      <c r="G76" s="213" t="str">
        <f t="shared" si="112"/>
        <v>Not Covered</v>
      </c>
      <c r="H76" s="214">
        <f t="shared" si="113"/>
        <v>121.7</v>
      </c>
      <c r="I76" s="217">
        <f t="shared" si="114"/>
        <v>121.7</v>
      </c>
      <c r="J76" s="251">
        <f t="shared" si="115"/>
        <v>0</v>
      </c>
      <c r="K76" s="214" t="b">
        <f t="shared" si="116"/>
        <v>0</v>
      </c>
      <c r="L76" s="218" t="str">
        <f t="shared" si="117"/>
        <v>No</v>
      </c>
      <c r="M76" s="217" t="str">
        <f t="shared" si="118"/>
        <v>.</v>
      </c>
      <c r="N76" s="215" t="str">
        <f>IFERROR(IF(AND(L76="Yes",ISNUMBER(M76)),MAX(0,M76-SUMIFS(BU$3:BU75,L$3:L75,"Yes")),IF(OR(L76="No",M76="None"),"N/A","ERR")),"ERR")</f>
        <v>N/A</v>
      </c>
      <c r="O76" s="251" t="b">
        <f t="shared" si="169"/>
        <v>1</v>
      </c>
      <c r="P76" s="251" t="str">
        <f>IF(O76,BENEFIT_PARAMETERS!$C$76,"N/A")</f>
        <v>.</v>
      </c>
      <c r="Q76" s="288" t="str">
        <f>IF(P76="Yes", BENEFIT_PARAMETERS!$D$76,"N/A")</f>
        <v>N/A</v>
      </c>
      <c r="R76" s="253">
        <f t="shared" si="168"/>
        <v>7</v>
      </c>
      <c r="S76" s="217">
        <f t="shared" si="155"/>
        <v>0</v>
      </c>
      <c r="T76" s="215">
        <f t="shared" si="119"/>
        <v>0</v>
      </c>
      <c r="U76" s="214" t="b">
        <f t="shared" si="170"/>
        <v>1</v>
      </c>
      <c r="V76" s="251" t="str">
        <f>IF(O76,BENEFIT_PARAMETERS!$C$77,"N/A")</f>
        <v>.</v>
      </c>
      <c r="W76" s="288" t="str">
        <f>IF(V76="Yes", BENEFIT_PARAMETERS!$D$77,"N/A")</f>
        <v>N/A</v>
      </c>
      <c r="X76" s="253">
        <f>IF(O76,COUNTIF(Z$3:Z75,"&gt;0"),"N/A")</f>
        <v>0</v>
      </c>
      <c r="Y76" s="217" t="str">
        <f t="shared" si="120"/>
        <v>N/A</v>
      </c>
      <c r="Z76" s="293" t="str">
        <f t="shared" si="156"/>
        <v>N/A</v>
      </c>
      <c r="AA76" s="293">
        <f t="shared" si="157"/>
        <v>0</v>
      </c>
      <c r="AB76" s="293" t="str">
        <f t="shared" si="121"/>
        <v>N/A</v>
      </c>
      <c r="AC76" s="215">
        <f t="shared" si="158"/>
        <v>0</v>
      </c>
      <c r="AD76" s="214" t="b">
        <f t="shared" si="122"/>
        <v>0</v>
      </c>
      <c r="AE76" s="209" t="str">
        <f t="shared" si="123"/>
        <v>.</v>
      </c>
      <c r="AF76" s="216">
        <f t="shared" si="124"/>
        <v>0</v>
      </c>
      <c r="AG76" s="217" t="str">
        <f t="shared" si="125"/>
        <v>N/A</v>
      </c>
      <c r="AH76" s="217" t="b">
        <f t="shared" si="126"/>
        <v>0</v>
      </c>
      <c r="AI76" s="209" t="str">
        <f t="shared" si="127"/>
        <v>.</v>
      </c>
      <c r="AJ76" s="216">
        <f t="shared" si="128"/>
        <v>3</v>
      </c>
      <c r="AK76" s="217" t="str">
        <f t="shared" si="129"/>
        <v>N/A</v>
      </c>
      <c r="AL76" s="217">
        <f t="shared" si="159"/>
        <v>0</v>
      </c>
      <c r="AM76" s="215">
        <f t="shared" si="160"/>
        <v>0</v>
      </c>
      <c r="AN76" s="219" t="b">
        <f t="shared" si="130"/>
        <v>0</v>
      </c>
      <c r="AO76" s="217" t="str">
        <f t="shared" si="131"/>
        <v>N/A</v>
      </c>
      <c r="AP76" s="217" t="str">
        <f>IF(AND(ISNUMBER(AO76),AN76=TRUE),MAX(0,AO76-SUMIFS($AM$3:$AM75,AN$3:AN75,TRUE)),IF(AND(AN76=TRUE,ISNUMBER(AO76)=FALSE),"ERR","N/A"))</f>
        <v>N/A</v>
      </c>
      <c r="AQ76" s="215" t="str">
        <f t="shared" si="132"/>
        <v>N/A</v>
      </c>
      <c r="AR76" s="219" t="b">
        <f t="shared" si="133"/>
        <v>0</v>
      </c>
      <c r="AS76" s="217" t="str">
        <f t="shared" si="134"/>
        <v>N/A</v>
      </c>
      <c r="AT76" s="217" t="str">
        <f>IF(AND(AR76=TRUE,ISNUMBER(AS76)),MAX(0,AS76-SUMIFS($AM$3:$AM75,AR$3:AR75,TRUE)),IF(AND(AR76=TRUE,ISNUMBER(AS76)=FALSE),"ERR","N/A"))</f>
        <v>N/A</v>
      </c>
      <c r="AU76" s="215" t="str">
        <f t="shared" si="135"/>
        <v>N/A</v>
      </c>
      <c r="AV76" s="219" t="b">
        <f t="shared" si="136"/>
        <v>0</v>
      </c>
      <c r="AW76" s="217" t="str">
        <f t="shared" si="137"/>
        <v>N/A</v>
      </c>
      <c r="AX76" s="217" t="str">
        <f>IF(AND(AV76=TRUE,ISNUMBER(AW76)),MAX(0,AW76-SUMIFS($AM$3:$AM75,AV$3:AV75,TRUE)),IF(AND(AV76=TRUE,ISNUMBER(AW76)=FALSE),"ERR","N/A"))</f>
        <v>N/A</v>
      </c>
      <c r="AY76" s="215" t="str">
        <f t="shared" si="138"/>
        <v>N/A</v>
      </c>
      <c r="AZ76" s="219" t="b">
        <f t="shared" si="139"/>
        <v>0</v>
      </c>
      <c r="BA76" s="217" t="str">
        <f t="shared" si="140"/>
        <v>N/A</v>
      </c>
      <c r="BB76" s="217" t="str">
        <f>IF(AND(AZ76=TRUE,ISNUMBER(BA76)),MAX(0,BA76-SUMIFS($AM$3:$AM75,AZ$3:AZ75,TRUE)),IF(AND(AZ76=TRUE,ISNUMBER(BA76)=FALSE),"ERR","N/A"))</f>
        <v>N/A</v>
      </c>
      <c r="BC76" s="215" t="str">
        <f t="shared" si="141"/>
        <v>N/A</v>
      </c>
      <c r="BD76" s="219" t="b">
        <f t="shared" si="142"/>
        <v>0</v>
      </c>
      <c r="BE76" s="217" t="str">
        <f t="shared" si="143"/>
        <v>N/A</v>
      </c>
      <c r="BF76" s="217" t="str">
        <f>IF(AND(BD76=TRUE,ISNUMBER(BE76)=TRUE),MAX(0,BE76-SUMIFS(AM$3:AM75,BD$3:BD75,TRUE,F$3:F75,F76)),IF(AND(BD76=TRUE,ISNUMBER(BE76)=FALSE),"ERR","N/A"))</f>
        <v>N/A</v>
      </c>
      <c r="BG76" s="215" t="str">
        <f t="shared" si="144"/>
        <v>N/A</v>
      </c>
      <c r="BH76" s="214">
        <f t="shared" si="145"/>
        <v>0</v>
      </c>
      <c r="BI76" s="215">
        <f t="shared" si="161"/>
        <v>0</v>
      </c>
      <c r="BJ76" s="214" t="str">
        <f t="shared" si="171"/>
        <v>N/A</v>
      </c>
      <c r="BK76" s="217">
        <f t="shared" si="146"/>
        <v>0</v>
      </c>
      <c r="BL76" s="220" t="b">
        <f t="shared" si="147"/>
        <v>0</v>
      </c>
      <c r="BM76" s="217" t="str">
        <f t="shared" si="148"/>
        <v>N/A</v>
      </c>
      <c r="BN76" s="217" t="str">
        <f t="shared" si="162"/>
        <v>N/A</v>
      </c>
      <c r="BO76" s="220" t="b">
        <f t="shared" si="149"/>
        <v>0</v>
      </c>
      <c r="BP76" s="244" t="str">
        <f t="shared" si="150"/>
        <v>N/A</v>
      </c>
      <c r="BQ76" s="217" t="str">
        <f t="shared" si="163"/>
        <v>N/A</v>
      </c>
      <c r="BR76" s="215">
        <f t="shared" si="164"/>
        <v>0</v>
      </c>
      <c r="BS76" s="214" t="str">
        <f t="shared" si="172"/>
        <v>N/A</v>
      </c>
      <c r="BT76" s="217">
        <f t="shared" si="165"/>
        <v>0</v>
      </c>
      <c r="BU76" s="215">
        <f t="shared" si="173"/>
        <v>0</v>
      </c>
      <c r="BV76" s="214">
        <f t="shared" si="174"/>
        <v>0</v>
      </c>
      <c r="BW76" s="217">
        <f t="shared" si="151"/>
        <v>121.7</v>
      </c>
      <c r="BX76" s="217">
        <f t="shared" si="152"/>
        <v>0</v>
      </c>
      <c r="BY76" s="217">
        <f t="shared" si="166"/>
        <v>0</v>
      </c>
      <c r="BZ76" s="217">
        <f t="shared" si="153"/>
        <v>0</v>
      </c>
      <c r="CA76" s="217">
        <f t="shared" si="167"/>
        <v>0</v>
      </c>
      <c r="CB76" s="213" t="b">
        <f t="shared" si="154"/>
        <v>1</v>
      </c>
    </row>
    <row r="77" spans="1:80" x14ac:dyDescent="0.25">
      <c r="A77" s="207">
        <v>74</v>
      </c>
      <c r="B77" s="208">
        <v>42643</v>
      </c>
      <c r="C77" s="209">
        <v>9</v>
      </c>
      <c r="D77" s="210">
        <v>14</v>
      </c>
      <c r="E77" s="211" t="str">
        <f t="shared" si="110"/>
        <v>BD Ultrafine Insulin Syringes / 30G/ 0.5cc  [usage = 30 syringes per month]</v>
      </c>
      <c r="F77" s="212" t="str">
        <f t="shared" si="111"/>
        <v>Medical Supplies</v>
      </c>
      <c r="G77" s="213" t="str">
        <f t="shared" si="112"/>
        <v>Not Covered</v>
      </c>
      <c r="H77" s="214">
        <f t="shared" si="113"/>
        <v>20.62</v>
      </c>
      <c r="I77" s="217">
        <f t="shared" si="114"/>
        <v>20.62</v>
      </c>
      <c r="J77" s="251">
        <f t="shared" si="115"/>
        <v>0</v>
      </c>
      <c r="K77" s="214" t="b">
        <f t="shared" si="116"/>
        <v>0</v>
      </c>
      <c r="L77" s="218" t="str">
        <f t="shared" si="117"/>
        <v>No</v>
      </c>
      <c r="M77" s="217" t="str">
        <f t="shared" si="118"/>
        <v>.</v>
      </c>
      <c r="N77" s="215" t="str">
        <f>IFERROR(IF(AND(L77="Yes",ISNUMBER(M77)),MAX(0,M77-SUMIFS(BU$3:BU76,L$3:L76,"Yes")),IF(OR(L77="No",M77="None"),"N/A","ERR")),"ERR")</f>
        <v>N/A</v>
      </c>
      <c r="O77" s="251" t="b">
        <f t="shared" si="169"/>
        <v>0</v>
      </c>
      <c r="P77" s="251" t="str">
        <f>IF(O77,BENEFIT_PARAMETERS!$C$76,"N/A")</f>
        <v>N/A</v>
      </c>
      <c r="Q77" s="288" t="str">
        <f>IF(P77="Yes", BENEFIT_PARAMETERS!$D$76,"N/A")</f>
        <v>N/A</v>
      </c>
      <c r="R77" s="253" t="str">
        <f t="shared" si="168"/>
        <v>N/A</v>
      </c>
      <c r="S77" s="217">
        <f t="shared" si="155"/>
        <v>0</v>
      </c>
      <c r="T77" s="215">
        <f t="shared" si="119"/>
        <v>0</v>
      </c>
      <c r="U77" s="214" t="b">
        <f t="shared" si="170"/>
        <v>0</v>
      </c>
      <c r="V77" s="251" t="str">
        <f>IF(O77,BENEFIT_PARAMETERS!$C$77,"N/A")</f>
        <v>N/A</v>
      </c>
      <c r="W77" s="288" t="str">
        <f>IF(V77="Yes", BENEFIT_PARAMETERS!$D$77,"N/A")</f>
        <v>N/A</v>
      </c>
      <c r="X77" s="253" t="str">
        <f>IF(O77,COUNTIF(Z$3:Z76,"&gt;0"),"N/A")</f>
        <v>N/A</v>
      </c>
      <c r="Y77" s="217" t="str">
        <f t="shared" si="120"/>
        <v>N/A</v>
      </c>
      <c r="Z77" s="293" t="str">
        <f t="shared" si="156"/>
        <v>N/A</v>
      </c>
      <c r="AA77" s="293">
        <f t="shared" si="157"/>
        <v>0</v>
      </c>
      <c r="AB77" s="293" t="str">
        <f t="shared" si="121"/>
        <v>N/A</v>
      </c>
      <c r="AC77" s="215">
        <f t="shared" si="158"/>
        <v>0</v>
      </c>
      <c r="AD77" s="214" t="b">
        <f t="shared" si="122"/>
        <v>0</v>
      </c>
      <c r="AE77" s="209" t="str">
        <f t="shared" si="123"/>
        <v>.</v>
      </c>
      <c r="AF77" s="216">
        <f t="shared" si="124"/>
        <v>0</v>
      </c>
      <c r="AG77" s="217" t="str">
        <f t="shared" si="125"/>
        <v>N/A</v>
      </c>
      <c r="AH77" s="217" t="b">
        <f t="shared" si="126"/>
        <v>0</v>
      </c>
      <c r="AI77" s="209" t="str">
        <f t="shared" si="127"/>
        <v>.</v>
      </c>
      <c r="AJ77" s="216">
        <f t="shared" si="128"/>
        <v>9</v>
      </c>
      <c r="AK77" s="217" t="str">
        <f t="shared" si="129"/>
        <v>N/A</v>
      </c>
      <c r="AL77" s="217">
        <f t="shared" si="159"/>
        <v>0</v>
      </c>
      <c r="AM77" s="215">
        <f t="shared" si="160"/>
        <v>0</v>
      </c>
      <c r="AN77" s="219" t="b">
        <f t="shared" si="130"/>
        <v>0</v>
      </c>
      <c r="AO77" s="217" t="str">
        <f t="shared" si="131"/>
        <v>N/A</v>
      </c>
      <c r="AP77" s="217" t="str">
        <f>IF(AND(ISNUMBER(AO77),AN77=TRUE),MAX(0,AO77-SUMIFS($AM$3:$AM76,AN$3:AN76,TRUE)),IF(AND(AN77=TRUE,ISNUMBER(AO77)=FALSE),"ERR","N/A"))</f>
        <v>N/A</v>
      </c>
      <c r="AQ77" s="215" t="str">
        <f t="shared" si="132"/>
        <v>N/A</v>
      </c>
      <c r="AR77" s="219" t="b">
        <f t="shared" si="133"/>
        <v>0</v>
      </c>
      <c r="AS77" s="217" t="str">
        <f t="shared" si="134"/>
        <v>N/A</v>
      </c>
      <c r="AT77" s="217" t="str">
        <f>IF(AND(AR77=TRUE,ISNUMBER(AS77)),MAX(0,AS77-SUMIFS($AM$3:$AM76,AR$3:AR76,TRUE)),IF(AND(AR77=TRUE,ISNUMBER(AS77)=FALSE),"ERR","N/A"))</f>
        <v>N/A</v>
      </c>
      <c r="AU77" s="215" t="str">
        <f t="shared" si="135"/>
        <v>N/A</v>
      </c>
      <c r="AV77" s="219" t="b">
        <f t="shared" si="136"/>
        <v>0</v>
      </c>
      <c r="AW77" s="217" t="str">
        <f t="shared" si="137"/>
        <v>N/A</v>
      </c>
      <c r="AX77" s="217" t="str">
        <f>IF(AND(AV77=TRUE,ISNUMBER(AW77)),MAX(0,AW77-SUMIFS($AM$3:$AM76,AV$3:AV76,TRUE)),IF(AND(AV77=TRUE,ISNUMBER(AW77)=FALSE),"ERR","N/A"))</f>
        <v>N/A</v>
      </c>
      <c r="AY77" s="215" t="str">
        <f t="shared" si="138"/>
        <v>N/A</v>
      </c>
      <c r="AZ77" s="219" t="b">
        <f t="shared" si="139"/>
        <v>0</v>
      </c>
      <c r="BA77" s="217" t="str">
        <f t="shared" si="140"/>
        <v>N/A</v>
      </c>
      <c r="BB77" s="217" t="str">
        <f>IF(AND(AZ77=TRUE,ISNUMBER(BA77)),MAX(0,BA77-SUMIFS($AM$3:$AM76,AZ$3:AZ76,TRUE)),IF(AND(AZ77=TRUE,ISNUMBER(BA77)=FALSE),"ERR","N/A"))</f>
        <v>N/A</v>
      </c>
      <c r="BC77" s="215" t="str">
        <f t="shared" si="141"/>
        <v>N/A</v>
      </c>
      <c r="BD77" s="219" t="b">
        <f t="shared" si="142"/>
        <v>0</v>
      </c>
      <c r="BE77" s="217" t="str">
        <f t="shared" si="143"/>
        <v>N/A</v>
      </c>
      <c r="BF77" s="217" t="str">
        <f>IF(AND(BD77=TRUE,ISNUMBER(BE77)=TRUE),MAX(0,BE77-SUMIFS(AM$3:AM76,BD$3:BD76,TRUE,F$3:F76,F77)),IF(AND(BD77=TRUE,ISNUMBER(BE77)=FALSE),"ERR","N/A"))</f>
        <v>N/A</v>
      </c>
      <c r="BG77" s="215" t="str">
        <f t="shared" si="144"/>
        <v>N/A</v>
      </c>
      <c r="BH77" s="214">
        <f t="shared" si="145"/>
        <v>0</v>
      </c>
      <c r="BI77" s="215">
        <f t="shared" si="161"/>
        <v>0</v>
      </c>
      <c r="BJ77" s="214" t="str">
        <f t="shared" si="171"/>
        <v>N/A</v>
      </c>
      <c r="BK77" s="217">
        <f t="shared" si="146"/>
        <v>0</v>
      </c>
      <c r="BL77" s="220" t="b">
        <f t="shared" si="147"/>
        <v>0</v>
      </c>
      <c r="BM77" s="217" t="str">
        <f t="shared" si="148"/>
        <v>N/A</v>
      </c>
      <c r="BN77" s="217" t="str">
        <f t="shared" si="162"/>
        <v>N/A</v>
      </c>
      <c r="BO77" s="220" t="b">
        <f t="shared" si="149"/>
        <v>0</v>
      </c>
      <c r="BP77" s="244" t="str">
        <f t="shared" si="150"/>
        <v>N/A</v>
      </c>
      <c r="BQ77" s="217" t="str">
        <f t="shared" si="163"/>
        <v>N/A</v>
      </c>
      <c r="BR77" s="215">
        <f t="shared" si="164"/>
        <v>0</v>
      </c>
      <c r="BS77" s="214" t="str">
        <f t="shared" si="172"/>
        <v>N/A</v>
      </c>
      <c r="BT77" s="217">
        <f t="shared" si="165"/>
        <v>0</v>
      </c>
      <c r="BU77" s="215">
        <f t="shared" si="173"/>
        <v>0</v>
      </c>
      <c r="BV77" s="214">
        <f t="shared" si="174"/>
        <v>0</v>
      </c>
      <c r="BW77" s="217">
        <f t="shared" si="151"/>
        <v>20.62</v>
      </c>
      <c r="BX77" s="217">
        <f t="shared" si="152"/>
        <v>0</v>
      </c>
      <c r="BY77" s="217">
        <f t="shared" si="166"/>
        <v>0</v>
      </c>
      <c r="BZ77" s="217">
        <f t="shared" si="153"/>
        <v>0</v>
      </c>
      <c r="CA77" s="217">
        <f t="shared" si="167"/>
        <v>0</v>
      </c>
      <c r="CB77" s="213" t="b">
        <f t="shared" si="154"/>
        <v>1</v>
      </c>
    </row>
    <row r="78" spans="1:80" x14ac:dyDescent="0.25">
      <c r="A78" s="207">
        <v>75</v>
      </c>
      <c r="B78" s="208">
        <v>42643</v>
      </c>
      <c r="C78" s="209">
        <v>9</v>
      </c>
      <c r="D78" s="210">
        <v>32</v>
      </c>
      <c r="E78" s="211" t="str">
        <f t="shared" si="110"/>
        <v>Metformin Hydrochloride 500 MG TABLET [ #60 pills/month]</v>
      </c>
      <c r="F78" s="212" t="str">
        <f t="shared" si="111"/>
        <v>Prescription Drugs: Generic</v>
      </c>
      <c r="G78" s="213" t="str">
        <f t="shared" si="112"/>
        <v>Not Covered</v>
      </c>
      <c r="H78" s="214">
        <f t="shared" si="113"/>
        <v>3.21</v>
      </c>
      <c r="I78" s="217">
        <f t="shared" si="114"/>
        <v>3.21</v>
      </c>
      <c r="J78" s="251">
        <f t="shared" si="115"/>
        <v>0</v>
      </c>
      <c r="K78" s="214" t="b">
        <f t="shared" si="116"/>
        <v>0</v>
      </c>
      <c r="L78" s="218" t="str">
        <f t="shared" si="117"/>
        <v>No</v>
      </c>
      <c r="M78" s="217" t="str">
        <f t="shared" si="118"/>
        <v>.</v>
      </c>
      <c r="N78" s="215" t="str">
        <f>IFERROR(IF(AND(L78="Yes",ISNUMBER(M78)),MAX(0,M78-SUMIFS(BU$3:BU77,L$3:L77,"Yes")),IF(OR(L78="No",M78="None"),"N/A","ERR")),"ERR")</f>
        <v>N/A</v>
      </c>
      <c r="O78" s="251" t="b">
        <f t="shared" si="169"/>
        <v>0</v>
      </c>
      <c r="P78" s="251" t="str">
        <f>IF(O78,BENEFIT_PARAMETERS!$C$76,"N/A")</f>
        <v>N/A</v>
      </c>
      <c r="Q78" s="288" t="str">
        <f>IF(P78="Yes", BENEFIT_PARAMETERS!$D$76,"N/A")</f>
        <v>N/A</v>
      </c>
      <c r="R78" s="253" t="str">
        <f t="shared" si="168"/>
        <v>N/A</v>
      </c>
      <c r="S78" s="217">
        <f t="shared" si="155"/>
        <v>0</v>
      </c>
      <c r="T78" s="215">
        <f t="shared" si="119"/>
        <v>0</v>
      </c>
      <c r="U78" s="214" t="b">
        <f t="shared" si="170"/>
        <v>0</v>
      </c>
      <c r="V78" s="251" t="str">
        <f>IF(O78,BENEFIT_PARAMETERS!$C$77,"N/A")</f>
        <v>N/A</v>
      </c>
      <c r="W78" s="288" t="str">
        <f>IF(V78="Yes", BENEFIT_PARAMETERS!$D$77,"N/A")</f>
        <v>N/A</v>
      </c>
      <c r="X78" s="253" t="str">
        <f>IF(O78,COUNTIF(Z$3:Z77,"&gt;0"),"N/A")</f>
        <v>N/A</v>
      </c>
      <c r="Y78" s="217" t="str">
        <f t="shared" si="120"/>
        <v>N/A</v>
      </c>
      <c r="Z78" s="293" t="str">
        <f t="shared" si="156"/>
        <v>N/A</v>
      </c>
      <c r="AA78" s="293">
        <f t="shared" si="157"/>
        <v>0</v>
      </c>
      <c r="AB78" s="293" t="str">
        <f t="shared" si="121"/>
        <v>N/A</v>
      </c>
      <c r="AC78" s="215">
        <f t="shared" si="158"/>
        <v>0</v>
      </c>
      <c r="AD78" s="214" t="b">
        <f t="shared" si="122"/>
        <v>0</v>
      </c>
      <c r="AE78" s="209" t="str">
        <f t="shared" si="123"/>
        <v>.</v>
      </c>
      <c r="AF78" s="216">
        <f t="shared" si="124"/>
        <v>0</v>
      </c>
      <c r="AG78" s="217" t="str">
        <f t="shared" si="125"/>
        <v>N/A</v>
      </c>
      <c r="AH78" s="217" t="b">
        <f t="shared" si="126"/>
        <v>0</v>
      </c>
      <c r="AI78" s="209" t="str">
        <f t="shared" si="127"/>
        <v>.</v>
      </c>
      <c r="AJ78" s="216">
        <f t="shared" si="128"/>
        <v>9</v>
      </c>
      <c r="AK78" s="217" t="str">
        <f t="shared" si="129"/>
        <v>N/A</v>
      </c>
      <c r="AL78" s="217">
        <f t="shared" si="159"/>
        <v>0</v>
      </c>
      <c r="AM78" s="215">
        <f t="shared" si="160"/>
        <v>0</v>
      </c>
      <c r="AN78" s="219" t="b">
        <f t="shared" si="130"/>
        <v>0</v>
      </c>
      <c r="AO78" s="217" t="str">
        <f t="shared" si="131"/>
        <v>N/A</v>
      </c>
      <c r="AP78" s="217" t="str">
        <f>IF(AND(ISNUMBER(AO78),AN78=TRUE),MAX(0,AO78-SUMIFS($AM$3:$AM77,AN$3:AN77,TRUE)),IF(AND(AN78=TRUE,ISNUMBER(AO78)=FALSE),"ERR","N/A"))</f>
        <v>N/A</v>
      </c>
      <c r="AQ78" s="215" t="str">
        <f t="shared" si="132"/>
        <v>N/A</v>
      </c>
      <c r="AR78" s="219" t="b">
        <f t="shared" si="133"/>
        <v>0</v>
      </c>
      <c r="AS78" s="217" t="str">
        <f t="shared" si="134"/>
        <v>N/A</v>
      </c>
      <c r="AT78" s="217" t="str">
        <f>IF(AND(AR78=TRUE,ISNUMBER(AS78)),MAX(0,AS78-SUMIFS($AM$3:$AM77,AR$3:AR77,TRUE)),IF(AND(AR78=TRUE,ISNUMBER(AS78)=FALSE),"ERR","N/A"))</f>
        <v>N/A</v>
      </c>
      <c r="AU78" s="215" t="str">
        <f t="shared" si="135"/>
        <v>N/A</v>
      </c>
      <c r="AV78" s="219" t="b">
        <f t="shared" si="136"/>
        <v>0</v>
      </c>
      <c r="AW78" s="217" t="str">
        <f t="shared" si="137"/>
        <v>N/A</v>
      </c>
      <c r="AX78" s="217" t="str">
        <f>IF(AND(AV78=TRUE,ISNUMBER(AW78)),MAX(0,AW78-SUMIFS($AM$3:$AM77,AV$3:AV77,TRUE)),IF(AND(AV78=TRUE,ISNUMBER(AW78)=FALSE),"ERR","N/A"))</f>
        <v>N/A</v>
      </c>
      <c r="AY78" s="215" t="str">
        <f t="shared" si="138"/>
        <v>N/A</v>
      </c>
      <c r="AZ78" s="219" t="b">
        <f t="shared" si="139"/>
        <v>0</v>
      </c>
      <c r="BA78" s="217" t="str">
        <f t="shared" si="140"/>
        <v>N/A</v>
      </c>
      <c r="BB78" s="217" t="str">
        <f>IF(AND(AZ78=TRUE,ISNUMBER(BA78)),MAX(0,BA78-SUMIFS($AM$3:$AM77,AZ$3:AZ77,TRUE)),IF(AND(AZ78=TRUE,ISNUMBER(BA78)=FALSE),"ERR","N/A"))</f>
        <v>N/A</v>
      </c>
      <c r="BC78" s="215" t="str">
        <f t="shared" si="141"/>
        <v>N/A</v>
      </c>
      <c r="BD78" s="219" t="b">
        <f t="shared" si="142"/>
        <v>0</v>
      </c>
      <c r="BE78" s="217" t="str">
        <f t="shared" si="143"/>
        <v>N/A</v>
      </c>
      <c r="BF78" s="217" t="str">
        <f>IF(AND(BD78=TRUE,ISNUMBER(BE78)=TRUE),MAX(0,BE78-SUMIFS(AM$3:AM77,BD$3:BD77,TRUE,F$3:F77,F78)),IF(AND(BD78=TRUE,ISNUMBER(BE78)=FALSE),"ERR","N/A"))</f>
        <v>N/A</v>
      </c>
      <c r="BG78" s="215" t="str">
        <f t="shared" si="144"/>
        <v>N/A</v>
      </c>
      <c r="BH78" s="214">
        <f t="shared" si="145"/>
        <v>0</v>
      </c>
      <c r="BI78" s="215">
        <f t="shared" si="161"/>
        <v>0</v>
      </c>
      <c r="BJ78" s="214" t="str">
        <f t="shared" si="171"/>
        <v>N/A</v>
      </c>
      <c r="BK78" s="217">
        <f t="shared" si="146"/>
        <v>0</v>
      </c>
      <c r="BL78" s="220" t="b">
        <f t="shared" si="147"/>
        <v>0</v>
      </c>
      <c r="BM78" s="217" t="str">
        <f t="shared" si="148"/>
        <v>N/A</v>
      </c>
      <c r="BN78" s="217" t="str">
        <f t="shared" si="162"/>
        <v>N/A</v>
      </c>
      <c r="BO78" s="220" t="b">
        <f t="shared" si="149"/>
        <v>0</v>
      </c>
      <c r="BP78" s="244" t="str">
        <f t="shared" si="150"/>
        <v>N/A</v>
      </c>
      <c r="BQ78" s="217" t="str">
        <f t="shared" si="163"/>
        <v>N/A</v>
      </c>
      <c r="BR78" s="215">
        <f t="shared" si="164"/>
        <v>0</v>
      </c>
      <c r="BS78" s="214" t="str">
        <f t="shared" si="172"/>
        <v>N/A</v>
      </c>
      <c r="BT78" s="217">
        <f t="shared" si="165"/>
        <v>0</v>
      </c>
      <c r="BU78" s="215">
        <f t="shared" si="173"/>
        <v>0</v>
      </c>
      <c r="BV78" s="214">
        <f t="shared" si="174"/>
        <v>0</v>
      </c>
      <c r="BW78" s="217">
        <f t="shared" si="151"/>
        <v>3.21</v>
      </c>
      <c r="BX78" s="217">
        <f t="shared" si="152"/>
        <v>0</v>
      </c>
      <c r="BY78" s="217">
        <f t="shared" si="166"/>
        <v>0</v>
      </c>
      <c r="BZ78" s="217">
        <f t="shared" si="153"/>
        <v>0</v>
      </c>
      <c r="CA78" s="217">
        <f t="shared" si="167"/>
        <v>0</v>
      </c>
      <c r="CB78" s="213" t="b">
        <f t="shared" si="154"/>
        <v>1</v>
      </c>
    </row>
    <row r="79" spans="1:80" x14ac:dyDescent="0.25">
      <c r="A79" s="207">
        <v>76</v>
      </c>
      <c r="B79" s="208">
        <v>42643</v>
      </c>
      <c r="C79" s="209">
        <v>9</v>
      </c>
      <c r="D79" s="210">
        <v>19</v>
      </c>
      <c r="E79" s="211" t="str">
        <f t="shared" si="110"/>
        <v>Lisinopril 20mg (Rx) [1 QD; #30 pills/month]</v>
      </c>
      <c r="F79" s="212" t="str">
        <f t="shared" si="111"/>
        <v>Prescription Drugs: Generic</v>
      </c>
      <c r="G79" s="213" t="str">
        <f t="shared" si="112"/>
        <v>Not Covered</v>
      </c>
      <c r="H79" s="214">
        <f t="shared" si="113"/>
        <v>3.38</v>
      </c>
      <c r="I79" s="217">
        <f t="shared" si="114"/>
        <v>3.38</v>
      </c>
      <c r="J79" s="251">
        <f t="shared" si="115"/>
        <v>0</v>
      </c>
      <c r="K79" s="214" t="b">
        <f t="shared" si="116"/>
        <v>0</v>
      </c>
      <c r="L79" s="218" t="str">
        <f t="shared" si="117"/>
        <v>No</v>
      </c>
      <c r="M79" s="217" t="str">
        <f t="shared" si="118"/>
        <v>.</v>
      </c>
      <c r="N79" s="215" t="str">
        <f>IFERROR(IF(AND(L79="Yes",ISNUMBER(M79)),MAX(0,M79-SUMIFS(BU$3:BU78,L$3:L78,"Yes")),IF(OR(L79="No",M79="None"),"N/A","ERR")),"ERR")</f>
        <v>N/A</v>
      </c>
      <c r="O79" s="251" t="b">
        <f t="shared" si="169"/>
        <v>0</v>
      </c>
      <c r="P79" s="251" t="str">
        <f>IF(O79,BENEFIT_PARAMETERS!$C$76,"N/A")</f>
        <v>N/A</v>
      </c>
      <c r="Q79" s="288" t="str">
        <f>IF(P79="Yes", BENEFIT_PARAMETERS!$D$76,"N/A")</f>
        <v>N/A</v>
      </c>
      <c r="R79" s="253" t="str">
        <f t="shared" si="168"/>
        <v>N/A</v>
      </c>
      <c r="S79" s="217">
        <f t="shared" si="155"/>
        <v>0</v>
      </c>
      <c r="T79" s="215">
        <f t="shared" si="119"/>
        <v>0</v>
      </c>
      <c r="U79" s="214" t="b">
        <f t="shared" si="170"/>
        <v>0</v>
      </c>
      <c r="V79" s="251" t="str">
        <f>IF(O79,BENEFIT_PARAMETERS!$C$77,"N/A")</f>
        <v>N/A</v>
      </c>
      <c r="W79" s="288" t="str">
        <f>IF(V79="Yes", BENEFIT_PARAMETERS!$D$77,"N/A")</f>
        <v>N/A</v>
      </c>
      <c r="X79" s="253" t="str">
        <f>IF(O79,COUNTIF(Z$3:Z78,"&gt;0"),"N/A")</f>
        <v>N/A</v>
      </c>
      <c r="Y79" s="217" t="str">
        <f t="shared" si="120"/>
        <v>N/A</v>
      </c>
      <c r="Z79" s="293" t="str">
        <f t="shared" si="156"/>
        <v>N/A</v>
      </c>
      <c r="AA79" s="293">
        <f t="shared" si="157"/>
        <v>0</v>
      </c>
      <c r="AB79" s="293" t="str">
        <f t="shared" si="121"/>
        <v>N/A</v>
      </c>
      <c r="AC79" s="215">
        <f t="shared" si="158"/>
        <v>0</v>
      </c>
      <c r="AD79" s="214" t="b">
        <f t="shared" si="122"/>
        <v>0</v>
      </c>
      <c r="AE79" s="209" t="str">
        <f t="shared" si="123"/>
        <v>.</v>
      </c>
      <c r="AF79" s="216">
        <f t="shared" si="124"/>
        <v>0</v>
      </c>
      <c r="AG79" s="217" t="str">
        <f t="shared" si="125"/>
        <v>N/A</v>
      </c>
      <c r="AH79" s="217" t="b">
        <f t="shared" si="126"/>
        <v>0</v>
      </c>
      <c r="AI79" s="209" t="str">
        <f t="shared" si="127"/>
        <v>.</v>
      </c>
      <c r="AJ79" s="216">
        <f t="shared" si="128"/>
        <v>9</v>
      </c>
      <c r="AK79" s="217" t="str">
        <f t="shared" si="129"/>
        <v>N/A</v>
      </c>
      <c r="AL79" s="217">
        <f t="shared" si="159"/>
        <v>0</v>
      </c>
      <c r="AM79" s="215">
        <f t="shared" si="160"/>
        <v>0</v>
      </c>
      <c r="AN79" s="219" t="b">
        <f t="shared" si="130"/>
        <v>0</v>
      </c>
      <c r="AO79" s="217" t="str">
        <f t="shared" si="131"/>
        <v>N/A</v>
      </c>
      <c r="AP79" s="217" t="str">
        <f>IF(AND(ISNUMBER(AO79),AN79=TRUE),MAX(0,AO79-SUMIFS($AM$3:$AM78,AN$3:AN78,TRUE)),IF(AND(AN79=TRUE,ISNUMBER(AO79)=FALSE),"ERR","N/A"))</f>
        <v>N/A</v>
      </c>
      <c r="AQ79" s="215" t="str">
        <f t="shared" si="132"/>
        <v>N/A</v>
      </c>
      <c r="AR79" s="219" t="b">
        <f t="shared" si="133"/>
        <v>0</v>
      </c>
      <c r="AS79" s="217" t="str">
        <f t="shared" si="134"/>
        <v>N/A</v>
      </c>
      <c r="AT79" s="217" t="str">
        <f>IF(AND(AR79=TRUE,ISNUMBER(AS79)),MAX(0,AS79-SUMIFS($AM$3:$AM78,AR$3:AR78,TRUE)),IF(AND(AR79=TRUE,ISNUMBER(AS79)=FALSE),"ERR","N/A"))</f>
        <v>N/A</v>
      </c>
      <c r="AU79" s="215" t="str">
        <f t="shared" si="135"/>
        <v>N/A</v>
      </c>
      <c r="AV79" s="219" t="b">
        <f t="shared" si="136"/>
        <v>0</v>
      </c>
      <c r="AW79" s="217" t="str">
        <f t="shared" si="137"/>
        <v>N/A</v>
      </c>
      <c r="AX79" s="217" t="str">
        <f>IF(AND(AV79=TRUE,ISNUMBER(AW79)),MAX(0,AW79-SUMIFS($AM$3:$AM78,AV$3:AV78,TRUE)),IF(AND(AV79=TRUE,ISNUMBER(AW79)=FALSE),"ERR","N/A"))</f>
        <v>N/A</v>
      </c>
      <c r="AY79" s="215" t="str">
        <f t="shared" si="138"/>
        <v>N/A</v>
      </c>
      <c r="AZ79" s="219" t="b">
        <f t="shared" si="139"/>
        <v>0</v>
      </c>
      <c r="BA79" s="217" t="str">
        <f t="shared" si="140"/>
        <v>N/A</v>
      </c>
      <c r="BB79" s="217" t="str">
        <f>IF(AND(AZ79=TRUE,ISNUMBER(BA79)),MAX(0,BA79-SUMIFS($AM$3:$AM78,AZ$3:AZ78,TRUE)),IF(AND(AZ79=TRUE,ISNUMBER(BA79)=FALSE),"ERR","N/A"))</f>
        <v>N/A</v>
      </c>
      <c r="BC79" s="215" t="str">
        <f t="shared" si="141"/>
        <v>N/A</v>
      </c>
      <c r="BD79" s="219" t="b">
        <f t="shared" si="142"/>
        <v>0</v>
      </c>
      <c r="BE79" s="217" t="str">
        <f t="shared" si="143"/>
        <v>N/A</v>
      </c>
      <c r="BF79" s="217" t="str">
        <f>IF(AND(BD79=TRUE,ISNUMBER(BE79)=TRUE),MAX(0,BE79-SUMIFS(AM$3:AM78,BD$3:BD78,TRUE,F$3:F78,F79)),IF(AND(BD79=TRUE,ISNUMBER(BE79)=FALSE),"ERR","N/A"))</f>
        <v>N/A</v>
      </c>
      <c r="BG79" s="215" t="str">
        <f t="shared" si="144"/>
        <v>N/A</v>
      </c>
      <c r="BH79" s="214">
        <f t="shared" si="145"/>
        <v>0</v>
      </c>
      <c r="BI79" s="215">
        <f t="shared" si="161"/>
        <v>0</v>
      </c>
      <c r="BJ79" s="214" t="str">
        <f t="shared" si="171"/>
        <v>N/A</v>
      </c>
      <c r="BK79" s="217">
        <f t="shared" si="146"/>
        <v>0</v>
      </c>
      <c r="BL79" s="220" t="b">
        <f t="shared" si="147"/>
        <v>0</v>
      </c>
      <c r="BM79" s="217" t="str">
        <f t="shared" si="148"/>
        <v>N/A</v>
      </c>
      <c r="BN79" s="217" t="str">
        <f t="shared" si="162"/>
        <v>N/A</v>
      </c>
      <c r="BO79" s="220" t="b">
        <f t="shared" si="149"/>
        <v>0</v>
      </c>
      <c r="BP79" s="244" t="str">
        <f t="shared" si="150"/>
        <v>N/A</v>
      </c>
      <c r="BQ79" s="217" t="str">
        <f t="shared" si="163"/>
        <v>N/A</v>
      </c>
      <c r="BR79" s="215">
        <f t="shared" si="164"/>
        <v>0</v>
      </c>
      <c r="BS79" s="214" t="str">
        <f t="shared" si="172"/>
        <v>N/A</v>
      </c>
      <c r="BT79" s="217">
        <f t="shared" si="165"/>
        <v>0</v>
      </c>
      <c r="BU79" s="215">
        <f t="shared" si="173"/>
        <v>0</v>
      </c>
      <c r="BV79" s="214">
        <f t="shared" si="174"/>
        <v>0</v>
      </c>
      <c r="BW79" s="217">
        <f t="shared" si="151"/>
        <v>3.38</v>
      </c>
      <c r="BX79" s="217">
        <f t="shared" si="152"/>
        <v>0</v>
      </c>
      <c r="BY79" s="217">
        <f t="shared" si="166"/>
        <v>0</v>
      </c>
      <c r="BZ79" s="217">
        <f t="shared" si="153"/>
        <v>0</v>
      </c>
      <c r="CA79" s="217">
        <f t="shared" si="167"/>
        <v>0</v>
      </c>
      <c r="CB79" s="213" t="b">
        <f t="shared" si="154"/>
        <v>1</v>
      </c>
    </row>
    <row r="80" spans="1:80" x14ac:dyDescent="0.25">
      <c r="A80" s="207">
        <v>77</v>
      </c>
      <c r="B80" s="208">
        <v>42646</v>
      </c>
      <c r="C80" s="209">
        <v>10</v>
      </c>
      <c r="D80" s="210">
        <v>28</v>
      </c>
      <c r="E80" s="211" t="str">
        <f t="shared" si="110"/>
        <v xml:space="preserve">Immunization admin each add </v>
      </c>
      <c r="F80" s="212" t="str">
        <f t="shared" si="111"/>
        <v>Preventive Services &amp; Vaccines</v>
      </c>
      <c r="G80" s="213" t="str">
        <f t="shared" si="112"/>
        <v>Not Covered</v>
      </c>
      <c r="H80" s="214">
        <f t="shared" si="113"/>
        <v>15.88</v>
      </c>
      <c r="I80" s="217">
        <f t="shared" si="114"/>
        <v>15.88</v>
      </c>
      <c r="J80" s="251">
        <f t="shared" si="115"/>
        <v>0</v>
      </c>
      <c r="K80" s="214" t="b">
        <f t="shared" si="116"/>
        <v>0</v>
      </c>
      <c r="L80" s="218" t="str">
        <f t="shared" si="117"/>
        <v>No</v>
      </c>
      <c r="M80" s="217" t="str">
        <f t="shared" si="118"/>
        <v>.</v>
      </c>
      <c r="N80" s="215" t="str">
        <f>IFERROR(IF(AND(L80="Yes",ISNUMBER(M80)),MAX(0,M80-SUMIFS(BU$3:BU79,L$3:L79,"Yes")),IF(OR(L80="No",M80="None"),"N/A","ERR")),"ERR")</f>
        <v>N/A</v>
      </c>
      <c r="O80" s="251" t="b">
        <f t="shared" si="169"/>
        <v>0</v>
      </c>
      <c r="P80" s="251" t="str">
        <f>IF(O80,BENEFIT_PARAMETERS!$C$76,"N/A")</f>
        <v>N/A</v>
      </c>
      <c r="Q80" s="288" t="str">
        <f>IF(P80="Yes", BENEFIT_PARAMETERS!$D$76,"N/A")</f>
        <v>N/A</v>
      </c>
      <c r="R80" s="253" t="str">
        <f t="shared" si="168"/>
        <v>N/A</v>
      </c>
      <c r="S80" s="217">
        <f t="shared" si="155"/>
        <v>0</v>
      </c>
      <c r="T80" s="215">
        <f t="shared" si="119"/>
        <v>0</v>
      </c>
      <c r="U80" s="214" t="b">
        <f t="shared" si="170"/>
        <v>0</v>
      </c>
      <c r="V80" s="251" t="str">
        <f>IF(O80,BENEFIT_PARAMETERS!$C$77,"N/A")</f>
        <v>N/A</v>
      </c>
      <c r="W80" s="288" t="str">
        <f>IF(V80="Yes", BENEFIT_PARAMETERS!$D$77,"N/A")</f>
        <v>N/A</v>
      </c>
      <c r="X80" s="253" t="str">
        <f>IF(O80,COUNTIF(Z$3:Z79,"&gt;0"),"N/A")</f>
        <v>N/A</v>
      </c>
      <c r="Y80" s="217" t="str">
        <f t="shared" si="120"/>
        <v>N/A</v>
      </c>
      <c r="Z80" s="293" t="str">
        <f t="shared" si="156"/>
        <v>N/A</v>
      </c>
      <c r="AA80" s="293">
        <f t="shared" si="157"/>
        <v>0</v>
      </c>
      <c r="AB80" s="293" t="str">
        <f t="shared" si="121"/>
        <v>N/A</v>
      </c>
      <c r="AC80" s="215">
        <f t="shared" si="158"/>
        <v>0</v>
      </c>
      <c r="AD80" s="214" t="b">
        <f t="shared" si="122"/>
        <v>0</v>
      </c>
      <c r="AE80" s="209" t="str">
        <f t="shared" si="123"/>
        <v>.</v>
      </c>
      <c r="AF80" s="216">
        <f t="shared" si="124"/>
        <v>0</v>
      </c>
      <c r="AG80" s="217" t="str">
        <f t="shared" si="125"/>
        <v>N/A</v>
      </c>
      <c r="AH80" s="217" t="b">
        <f t="shared" si="126"/>
        <v>0</v>
      </c>
      <c r="AI80" s="209" t="str">
        <f t="shared" si="127"/>
        <v>.</v>
      </c>
      <c r="AJ80" s="216">
        <f t="shared" si="128"/>
        <v>0</v>
      </c>
      <c r="AK80" s="217" t="str">
        <f t="shared" si="129"/>
        <v>N/A</v>
      </c>
      <c r="AL80" s="217">
        <f t="shared" si="159"/>
        <v>0</v>
      </c>
      <c r="AM80" s="215">
        <f t="shared" si="160"/>
        <v>0</v>
      </c>
      <c r="AN80" s="219" t="b">
        <f t="shared" si="130"/>
        <v>0</v>
      </c>
      <c r="AO80" s="217" t="str">
        <f t="shared" si="131"/>
        <v>N/A</v>
      </c>
      <c r="AP80" s="217" t="str">
        <f>IF(AND(ISNUMBER(AO80),AN80=TRUE),MAX(0,AO80-SUMIFS($AM$3:$AM79,AN$3:AN79,TRUE)),IF(AND(AN80=TRUE,ISNUMBER(AO80)=FALSE),"ERR","N/A"))</f>
        <v>N/A</v>
      </c>
      <c r="AQ80" s="215" t="str">
        <f t="shared" si="132"/>
        <v>N/A</v>
      </c>
      <c r="AR80" s="219" t="b">
        <f t="shared" si="133"/>
        <v>0</v>
      </c>
      <c r="AS80" s="217" t="str">
        <f t="shared" si="134"/>
        <v>N/A</v>
      </c>
      <c r="AT80" s="217" t="str">
        <f>IF(AND(AR80=TRUE,ISNUMBER(AS80)),MAX(0,AS80-SUMIFS($AM$3:$AM79,AR$3:AR79,TRUE)),IF(AND(AR80=TRUE,ISNUMBER(AS80)=FALSE),"ERR","N/A"))</f>
        <v>N/A</v>
      </c>
      <c r="AU80" s="215" t="str">
        <f t="shared" si="135"/>
        <v>N/A</v>
      </c>
      <c r="AV80" s="219" t="b">
        <f t="shared" si="136"/>
        <v>0</v>
      </c>
      <c r="AW80" s="217" t="str">
        <f t="shared" si="137"/>
        <v>N/A</v>
      </c>
      <c r="AX80" s="217" t="str">
        <f>IF(AND(AV80=TRUE,ISNUMBER(AW80)),MAX(0,AW80-SUMIFS($AM$3:$AM79,AV$3:AV79,TRUE)),IF(AND(AV80=TRUE,ISNUMBER(AW80)=FALSE),"ERR","N/A"))</f>
        <v>N/A</v>
      </c>
      <c r="AY80" s="215" t="str">
        <f t="shared" si="138"/>
        <v>N/A</v>
      </c>
      <c r="AZ80" s="219" t="b">
        <f t="shared" si="139"/>
        <v>0</v>
      </c>
      <c r="BA80" s="217" t="str">
        <f t="shared" si="140"/>
        <v>N/A</v>
      </c>
      <c r="BB80" s="217" t="str">
        <f>IF(AND(AZ80=TRUE,ISNUMBER(BA80)),MAX(0,BA80-SUMIFS($AM$3:$AM79,AZ$3:AZ79,TRUE)),IF(AND(AZ80=TRUE,ISNUMBER(BA80)=FALSE),"ERR","N/A"))</f>
        <v>N/A</v>
      </c>
      <c r="BC80" s="215" t="str">
        <f t="shared" si="141"/>
        <v>N/A</v>
      </c>
      <c r="BD80" s="219" t="b">
        <f t="shared" si="142"/>
        <v>0</v>
      </c>
      <c r="BE80" s="217" t="str">
        <f t="shared" si="143"/>
        <v>N/A</v>
      </c>
      <c r="BF80" s="217" t="str">
        <f>IF(AND(BD80=TRUE,ISNUMBER(BE80)=TRUE),MAX(0,BE80-SUMIFS(AM$3:AM79,BD$3:BD79,TRUE,F$3:F79,F80)),IF(AND(BD80=TRUE,ISNUMBER(BE80)=FALSE),"ERR","N/A"))</f>
        <v>N/A</v>
      </c>
      <c r="BG80" s="215" t="str">
        <f t="shared" si="144"/>
        <v>N/A</v>
      </c>
      <c r="BH80" s="214">
        <f t="shared" si="145"/>
        <v>0</v>
      </c>
      <c r="BI80" s="215">
        <f t="shared" si="161"/>
        <v>0</v>
      </c>
      <c r="BJ80" s="214" t="str">
        <f t="shared" si="171"/>
        <v>N/A</v>
      </c>
      <c r="BK80" s="217">
        <f t="shared" si="146"/>
        <v>0</v>
      </c>
      <c r="BL80" s="220" t="b">
        <f t="shared" si="147"/>
        <v>0</v>
      </c>
      <c r="BM80" s="217" t="str">
        <f t="shared" si="148"/>
        <v>N/A</v>
      </c>
      <c r="BN80" s="217" t="str">
        <f t="shared" si="162"/>
        <v>N/A</v>
      </c>
      <c r="BO80" s="220" t="b">
        <f t="shared" si="149"/>
        <v>0</v>
      </c>
      <c r="BP80" s="244" t="str">
        <f t="shared" si="150"/>
        <v>N/A</v>
      </c>
      <c r="BQ80" s="217" t="str">
        <f t="shared" si="163"/>
        <v>N/A</v>
      </c>
      <c r="BR80" s="215">
        <f t="shared" si="164"/>
        <v>0</v>
      </c>
      <c r="BS80" s="214" t="str">
        <f t="shared" si="172"/>
        <v>N/A</v>
      </c>
      <c r="BT80" s="217">
        <f t="shared" si="165"/>
        <v>0</v>
      </c>
      <c r="BU80" s="215">
        <f t="shared" si="173"/>
        <v>0</v>
      </c>
      <c r="BV80" s="214">
        <f t="shared" si="174"/>
        <v>0</v>
      </c>
      <c r="BW80" s="217">
        <f t="shared" si="151"/>
        <v>15.88</v>
      </c>
      <c r="BX80" s="217">
        <f t="shared" si="152"/>
        <v>0</v>
      </c>
      <c r="BY80" s="217">
        <f t="shared" si="166"/>
        <v>0</v>
      </c>
      <c r="BZ80" s="217">
        <f>IF(V80="Yes",IF(Z80="N/A",0,Z80),0)+IF(BL80,BN80,0)</f>
        <v>0</v>
      </c>
      <c r="CA80" s="217">
        <f t="shared" si="167"/>
        <v>0</v>
      </c>
      <c r="CB80" s="213" t="b">
        <f t="shared" si="154"/>
        <v>1</v>
      </c>
    </row>
    <row r="81" spans="1:80" x14ac:dyDescent="0.25">
      <c r="A81" s="207">
        <v>78</v>
      </c>
      <c r="B81" s="208">
        <v>42646</v>
      </c>
      <c r="C81" s="209">
        <v>10</v>
      </c>
      <c r="D81" s="210">
        <v>27</v>
      </c>
      <c r="E81" s="211" t="str">
        <f t="shared" ref="E81:E100" si="175">VLOOKUP(ServiceCode,DiabetesFeeSchedule,6,FALSE)</f>
        <v>Immunization Admin ADMIN</v>
      </c>
      <c r="F81" s="212" t="str">
        <f t="shared" ref="F81:F100" si="176">VLOOKUP(ServiceCode,DiabetesFeeSchedule,5,FALSE)</f>
        <v>Preventive Services &amp; Vaccines</v>
      </c>
      <c r="G81" s="213" t="str">
        <f t="shared" ref="G81:G100" si="177">VLOOKUP(BenefitCategory,BenefitDesignTable,COLUMN(BenefitCostSharing),FALSE)</f>
        <v>Not Covered</v>
      </c>
      <c r="H81" s="214">
        <f t="shared" ref="H81:H100" si="178">VLOOKUP(D81,DiabetesFeeSchedule,7,FALSE)</f>
        <v>28.31</v>
      </c>
      <c r="I81" s="217">
        <f t="shared" ref="I81:I100" si="179">IF(G81="Not Covered",H81,0)</f>
        <v>28.31</v>
      </c>
      <c r="J81" s="251">
        <f t="shared" ref="J81:J100" si="180">H81-I81</f>
        <v>0</v>
      </c>
      <c r="K81" s="214" t="b">
        <f t="shared" ref="K81:K100" si="181">VLOOKUP(F81,nrCoverageTable,COLUMN(nrOOPLimitValid),FALSE)</f>
        <v>0</v>
      </c>
      <c r="L81" s="218" t="str">
        <f t="shared" ref="L81:L100" si="182">IF(K81,VLOOKUP(F81,BenefitDesignTable,COLUMN(BenefitOOPLimitApplies),FALSE),"No")</f>
        <v>No</v>
      </c>
      <c r="M81" s="217" t="str">
        <f t="shared" ref="M81:M100" si="183">VLOOKUP(F81,BenefitDesignTable,COLUMN(OPLimit),FALSE)</f>
        <v>.</v>
      </c>
      <c r="N81" s="215" t="str">
        <f>IFERROR(IF(AND(L81="Yes",ISNUMBER(M81)),MAX(0,M81-SUMIFS(BU$3:BU80,L$3:L80,"Yes")),IF(OR(L81="No",M81="None"),"N/A","ERR")),"ERR")</f>
        <v>N/A</v>
      </c>
      <c r="O81" s="251" t="b">
        <f t="shared" si="169"/>
        <v>0</v>
      </c>
      <c r="P81" s="251" t="str">
        <f>IF(O81,BENEFIT_PARAMETERS!$C$76,"N/A")</f>
        <v>N/A</v>
      </c>
      <c r="Q81" s="288" t="str">
        <f>IF(P81="Yes", BENEFIT_PARAMETERS!$D$76,"N/A")</f>
        <v>N/A</v>
      </c>
      <c r="R81" s="253" t="str">
        <f t="shared" si="168"/>
        <v>N/A</v>
      </c>
      <c r="S81" s="217">
        <f t="shared" si="155"/>
        <v>0</v>
      </c>
      <c r="T81" s="215">
        <f t="shared" ref="T81:T100" si="184">J81-S81</f>
        <v>0</v>
      </c>
      <c r="U81" s="214" t="b">
        <f t="shared" si="170"/>
        <v>0</v>
      </c>
      <c r="V81" s="251" t="str">
        <f>IF(O81,BENEFIT_PARAMETERS!$C$77,"N/A")</f>
        <v>N/A</v>
      </c>
      <c r="W81" s="288" t="str">
        <f>IF(V81="Yes", BENEFIT_PARAMETERS!$D$77,"N/A")</f>
        <v>N/A</v>
      </c>
      <c r="X81" s="253" t="str">
        <f>IF(O81,COUNTIF(Z$3:Z80,"&gt;0"),"N/A")</f>
        <v>N/A</v>
      </c>
      <c r="Y81" s="217" t="str">
        <f t="shared" ref="Y81:Y100" si="185">IF(V81="Yes",VLOOKUP("Professional Services: Primary Care",BenefitDesignTable,COLUMN(BenefitCopay),FALSE),"N/A")</f>
        <v>N/A</v>
      </c>
      <c r="Z81" s="293" t="str">
        <f t="shared" si="156"/>
        <v>N/A</v>
      </c>
      <c r="AA81" s="293">
        <f t="shared" si="157"/>
        <v>0</v>
      </c>
      <c r="AB81" s="293" t="str">
        <f t="shared" ref="AB81:AB100" si="186">IF(L81="Yes",IF(Z81="N/A",N81,N81-Z81),"N/A")</f>
        <v>N/A</v>
      </c>
      <c r="AC81" s="215">
        <f t="shared" si="158"/>
        <v>0</v>
      </c>
      <c r="AD81" s="214" t="b">
        <f t="shared" ref="AD81:AD100" si="187">VLOOKUP(F81,nrCoverageTable,COLUMN(nrMonthlyLimitValid),FALSE)</f>
        <v>0</v>
      </c>
      <c r="AE81" s="209" t="str">
        <f t="shared" ref="AE81:AE100" si="188">IF(AD81,VLOOKUP(F81,BenefitDesignTable,COLUMN(BenefitLimithMonth),FALSE),".")</f>
        <v>.</v>
      </c>
      <c r="AF81" s="216">
        <f t="shared" ref="AF81:AF100" si="189">COUNTIFS(ServiceCode,D81,ClaimMonth,C81,ClaimNumber,"&lt;"&amp;A81)</f>
        <v>0</v>
      </c>
      <c r="AG81" s="217" t="str">
        <f t="shared" ref="AG81:AG100" si="190">IF(AD81,IF(OR(AE81="None",ISNUMBER(AE81)),IF(AF81&gt;=AE81,H81,0),"ERR"),"N/A")</f>
        <v>N/A</v>
      </c>
      <c r="AH81" s="217" t="b">
        <f t="shared" ref="AH81:AH100" si="191">VLOOKUP(F81,nrCoverageTable,COLUMN(nrAnnualLimitValid),FALSE)</f>
        <v>0</v>
      </c>
      <c r="AI81" s="209" t="str">
        <f t="shared" ref="AI81:AI100" si="192">IF(AH81,VLOOKUP(F81,BenefitDesignTable,COLUMN(BenefitLimitAnnual),FALSE),".")</f>
        <v>.</v>
      </c>
      <c r="AJ81" s="216">
        <f t="shared" ref="AJ81:AJ100" si="193">COUNTIFS(ServiceCode,D81,ClaimNumber,"&lt;"&amp;A81)</f>
        <v>0</v>
      </c>
      <c r="AK81" s="217" t="str">
        <f t="shared" ref="AK81:AK100" si="194">IF(AH81,IF(OR(AI81="None",ISNUMBER(AI81)),IF(AJ81&gt;=AI81,H81,0),"ERR"),"N/A")</f>
        <v>N/A</v>
      </c>
      <c r="AL81" s="217">
        <f t="shared" si="159"/>
        <v>0</v>
      </c>
      <c r="AM81" s="215">
        <f t="shared" si="160"/>
        <v>0</v>
      </c>
      <c r="AN81" s="219" t="b">
        <f t="shared" ref="AN81:AN100" si="195">VLOOKUP(F81,nrCoverageTable,COLUMN(nrUsesPlanDeduct),FALSE)</f>
        <v>0</v>
      </c>
      <c r="AO81" s="217" t="str">
        <f t="shared" ref="AO81:AO100" si="196">IF(AN81,VLOOKUP(F81,BenefitDesignTable,COLUMN(PlanDeductible),FALSE),"N/A")</f>
        <v>N/A</v>
      </c>
      <c r="AP81" s="217" t="str">
        <f>IF(AND(ISNUMBER(AO81),AN81=TRUE),MAX(0,AO81-SUMIFS($AM$3:$AM80,AN$3:AN80,TRUE)),IF(AND(AN81=TRUE,ISNUMBER(AO81)=FALSE),"ERR","N/A"))</f>
        <v>N/A</v>
      </c>
      <c r="AQ81" s="215" t="str">
        <f t="shared" ref="AQ81:AQ100" si="197">IF(ISNUMBER(AP81),MIN($AM81,AP81),"N/A")</f>
        <v>N/A</v>
      </c>
      <c r="AR81" s="219" t="b">
        <f t="shared" ref="AR81:AR100" si="198">VLOOKUP(F81,nrCoverageTable,COLUMN(nrUsesRxDeduct),FALSE)</f>
        <v>0</v>
      </c>
      <c r="AS81" s="217" t="str">
        <f t="shared" ref="AS81:AS100" si="199">IF(AR81,VLOOKUP(F81,BenefitDesignTable,COLUMN(RxDeductible),FALSE),"N/A")</f>
        <v>N/A</v>
      </c>
      <c r="AT81" s="217" t="str">
        <f>IF(AND(AR81=TRUE,ISNUMBER(AS81)),MAX(0,AS81-SUMIFS($AM$3:$AM80,AR$3:AR80,TRUE)),IF(AND(AR81=TRUE,ISNUMBER(AS81)=FALSE),"ERR","N/A"))</f>
        <v>N/A</v>
      </c>
      <c r="AU81" s="215" t="str">
        <f t="shared" ref="AU81:AU100" si="200">IF(ISNUMBER(AT81),MIN($AM81,AT81),"N/A")</f>
        <v>N/A</v>
      </c>
      <c r="AV81" s="219" t="b">
        <f t="shared" ref="AV81:AV100" si="201">VLOOKUP(F81,nrCoverageTable,COLUMN(nrUsesDeductC),FALSE)</f>
        <v>0</v>
      </c>
      <c r="AW81" s="217" t="str">
        <f t="shared" ref="AW81:AW100" si="202">IF(AV81,VLOOKUP(F81,BenefitDesignTable,COLUMN(OptDeductibleC),FALSE),"N/A")</f>
        <v>N/A</v>
      </c>
      <c r="AX81" s="217" t="str">
        <f>IF(AND(AV81=TRUE,ISNUMBER(AW81)),MAX(0,AW81-SUMIFS($AM$3:$AM80,AV$3:AV80,TRUE)),IF(AND(AV81=TRUE,ISNUMBER(AW81)=FALSE),"ERR","N/A"))</f>
        <v>N/A</v>
      </c>
      <c r="AY81" s="215" t="str">
        <f t="shared" ref="AY81:AY100" si="203">IF(ISNUMBER(AX81),MIN($AM81,AX81),"N/A")</f>
        <v>N/A</v>
      </c>
      <c r="AZ81" s="219" t="b">
        <f t="shared" ref="AZ81:AZ100" si="204">VLOOKUP(F81,nrCoverageTable,COLUMN(nrUsesDeductD),FALSE)</f>
        <v>0</v>
      </c>
      <c r="BA81" s="217" t="str">
        <f t="shared" ref="BA81:BA100" si="205">IF(AZ81,VLOOKUP(F81,BenefitDesignTable,COLUMN(OptDeductibleD),FALSE),"N/A")</f>
        <v>N/A</v>
      </c>
      <c r="BB81" s="217" t="str">
        <f>IF(AND(AZ81=TRUE,ISNUMBER(BA81)),MAX(0,BA81-SUMIFS($AM$3:$AM80,AZ$3:AZ80,TRUE)),IF(AND(AZ81=TRUE,ISNUMBER(BA81)=FALSE),"ERR","N/A"))</f>
        <v>N/A</v>
      </c>
      <c r="BC81" s="215" t="str">
        <f t="shared" ref="BC81:BC100" si="206">IF(ISNUMBER(BB81),MIN($AM81,BB81),"N/A")</f>
        <v>N/A</v>
      </c>
      <c r="BD81" s="219" t="b">
        <f t="shared" ref="BD81:BD100" si="207">VLOOKUP(F81,nrCoverageTable,COLUMN(nrUsesBenDeduct),FALSE)</f>
        <v>0</v>
      </c>
      <c r="BE81" s="217" t="str">
        <f t="shared" ref="BE81:BE100" si="208">IF(BD81,VLOOKUP(F81,BenefitDesignTable,COLUMN(BenefitDeductible),FALSE),"N/A")</f>
        <v>N/A</v>
      </c>
      <c r="BF81" s="217" t="str">
        <f>IF(AND(BD81=TRUE,ISNUMBER(BE81)=TRUE),MAX(0,BE81-SUMIFS(AM$3:AM80,BD$3:BD80,TRUE,F$3:F80,F81)),IF(AND(BD81=TRUE,ISNUMBER(BE81)=FALSE),"ERR","N/A"))</f>
        <v>N/A</v>
      </c>
      <c r="BG81" s="215" t="str">
        <f t="shared" ref="BG81:BG100" si="209">IF(ISNUMBER(BF81),MIN($AM81,BF81),"N/A")</f>
        <v>N/A</v>
      </c>
      <c r="BH81" s="214">
        <f t="shared" ref="BH81:BH100" si="210">SUM(AQ81,AU81,AY81,BC81,BG81)</f>
        <v>0</v>
      </c>
      <c r="BI81" s="215">
        <f t="shared" si="161"/>
        <v>0</v>
      </c>
      <c r="BJ81" s="214" t="str">
        <f t="shared" si="171"/>
        <v>N/A</v>
      </c>
      <c r="BK81" s="217">
        <f t="shared" ref="BK81:BK100" si="211">IF(OR(BI81="ERR",AM81="ERR"),"ERR",MAX(0,AM81-BI81))</f>
        <v>0</v>
      </c>
      <c r="BL81" s="220" t="b">
        <f t="shared" ref="BL81:BL100" si="212">VLOOKUP(F81,nrCoverageTable,COLUMN(nrUsesCopay),FALSE)</f>
        <v>0</v>
      </c>
      <c r="BM81" s="217" t="str">
        <f t="shared" ref="BM81:BM100" si="213">IF(BL81,VLOOKUP(F81,BenefitDesignTable,COLUMN(BenefitCopay),FALSE),"N/A")</f>
        <v>N/A</v>
      </c>
      <c r="BN81" s="217" t="str">
        <f t="shared" si="162"/>
        <v>N/A</v>
      </c>
      <c r="BO81" s="220" t="b">
        <f t="shared" ref="BO81:BO100" si="214">VLOOKUP(F81,nrCoverageTable,COLUMN(nrUsesCoins),FALSE)</f>
        <v>0</v>
      </c>
      <c r="BP81" s="244" t="str">
        <f t="shared" ref="BP81:BP100" si="215">IF(BO81,VLOOKUP(F81,BenefitDesignTable,COLUMN(BenefitCoins),FALSE),"N/A")</f>
        <v>N/A</v>
      </c>
      <c r="BQ81" s="217" t="str">
        <f t="shared" si="163"/>
        <v>N/A</v>
      </c>
      <c r="BR81" s="215">
        <f t="shared" si="164"/>
        <v>0</v>
      </c>
      <c r="BS81" s="214" t="str">
        <f t="shared" si="172"/>
        <v>N/A</v>
      </c>
      <c r="BT81" s="217">
        <f t="shared" si="165"/>
        <v>0</v>
      </c>
      <c r="BU81" s="215">
        <f t="shared" si="173"/>
        <v>0</v>
      </c>
      <c r="BV81" s="214">
        <f t="shared" si="174"/>
        <v>0</v>
      </c>
      <c r="BW81" s="217">
        <f t="shared" ref="BW81:BW100" si="216">I81</f>
        <v>28.31</v>
      </c>
      <c r="BX81" s="217">
        <f t="shared" ref="BX81:BX100" si="217">IF(OR(AG81="ERR",AK81="ERR"),"ERR",SUM(AG81,AK81))</f>
        <v>0</v>
      </c>
      <c r="BY81" s="217">
        <f t="shared" si="166"/>
        <v>0</v>
      </c>
      <c r="BZ81" s="217">
        <f t="shared" ref="BZ81:BZ100" si="218">IF(V81="Yes",IF(Z81="N/A",0,Z81),0)+IF(BL81,BN81,0)</f>
        <v>0</v>
      </c>
      <c r="CA81" s="217">
        <f t="shared" si="167"/>
        <v>0</v>
      </c>
      <c r="CB81" s="213" t="b">
        <f t="shared" ref="CB81:CB100" si="219">SUM(BV81:CA81)=H81</f>
        <v>1</v>
      </c>
    </row>
    <row r="82" spans="1:80" x14ac:dyDescent="0.25">
      <c r="A82" s="207">
        <v>79</v>
      </c>
      <c r="B82" s="208">
        <v>42646</v>
      </c>
      <c r="C82" s="209">
        <v>10</v>
      </c>
      <c r="D82" s="210">
        <v>29</v>
      </c>
      <c r="E82" s="211" t="str">
        <f t="shared" si="175"/>
        <v>Vaccine for pneumococcal polysaccharide for injection beneath the skin or into muscle, patient 2 years or older</v>
      </c>
      <c r="F82" s="212" t="str">
        <f t="shared" si="176"/>
        <v>Preventive Services &amp; Vaccines</v>
      </c>
      <c r="G82" s="213" t="str">
        <f t="shared" si="177"/>
        <v>Not Covered</v>
      </c>
      <c r="H82" s="214">
        <f t="shared" si="178"/>
        <v>93.74</v>
      </c>
      <c r="I82" s="217">
        <f t="shared" si="179"/>
        <v>93.74</v>
      </c>
      <c r="J82" s="251">
        <f t="shared" si="180"/>
        <v>0</v>
      </c>
      <c r="K82" s="214" t="b">
        <f t="shared" si="181"/>
        <v>0</v>
      </c>
      <c r="L82" s="218" t="str">
        <f t="shared" si="182"/>
        <v>No</v>
      </c>
      <c r="M82" s="217" t="str">
        <f t="shared" si="183"/>
        <v>.</v>
      </c>
      <c r="N82" s="215" t="str">
        <f>IFERROR(IF(AND(L82="Yes",ISNUMBER(M82)),MAX(0,M82-SUMIFS(BU$3:BU81,L$3:L81,"Yes")),IF(OR(L82="No",M82="None"),"N/A","ERR")),"ERR")</f>
        <v>N/A</v>
      </c>
      <c r="O82" s="251" t="b">
        <f t="shared" si="169"/>
        <v>0</v>
      </c>
      <c r="P82" s="251" t="str">
        <f>IF(O82,BENEFIT_PARAMETERS!$C$76,"N/A")</f>
        <v>N/A</v>
      </c>
      <c r="Q82" s="288" t="str">
        <f>IF(P82="Yes", BENEFIT_PARAMETERS!$D$76,"N/A")</f>
        <v>N/A</v>
      </c>
      <c r="R82" s="253" t="str">
        <f t="shared" si="168"/>
        <v>N/A</v>
      </c>
      <c r="S82" s="217">
        <f t="shared" si="155"/>
        <v>0</v>
      </c>
      <c r="T82" s="215">
        <f t="shared" si="184"/>
        <v>0</v>
      </c>
      <c r="U82" s="214" t="b">
        <f t="shared" si="170"/>
        <v>0</v>
      </c>
      <c r="V82" s="251" t="str">
        <f>IF(O82,BENEFIT_PARAMETERS!$C$77,"N/A")</f>
        <v>N/A</v>
      </c>
      <c r="W82" s="288" t="str">
        <f>IF(V82="Yes", BENEFIT_PARAMETERS!$D$77,"N/A")</f>
        <v>N/A</v>
      </c>
      <c r="X82" s="253" t="str">
        <f>IF(O82,COUNTIF(Z$3:Z81,"&gt;0"),"N/A")</f>
        <v>N/A</v>
      </c>
      <c r="Y82" s="217" t="str">
        <f t="shared" si="185"/>
        <v>N/A</v>
      </c>
      <c r="Z82" s="293" t="str">
        <f t="shared" si="156"/>
        <v>N/A</v>
      </c>
      <c r="AA82" s="293">
        <f t="shared" si="157"/>
        <v>0</v>
      </c>
      <c r="AB82" s="293" t="str">
        <f t="shared" si="186"/>
        <v>N/A</v>
      </c>
      <c r="AC82" s="215">
        <f t="shared" si="158"/>
        <v>0</v>
      </c>
      <c r="AD82" s="214" t="b">
        <f t="shared" si="187"/>
        <v>0</v>
      </c>
      <c r="AE82" s="209" t="str">
        <f t="shared" si="188"/>
        <v>.</v>
      </c>
      <c r="AF82" s="216">
        <f t="shared" si="189"/>
        <v>0</v>
      </c>
      <c r="AG82" s="217" t="str">
        <f t="shared" si="190"/>
        <v>N/A</v>
      </c>
      <c r="AH82" s="217" t="b">
        <f t="shared" si="191"/>
        <v>0</v>
      </c>
      <c r="AI82" s="209" t="str">
        <f t="shared" si="192"/>
        <v>.</v>
      </c>
      <c r="AJ82" s="216">
        <f t="shared" si="193"/>
        <v>0</v>
      </c>
      <c r="AK82" s="217" t="str">
        <f t="shared" si="194"/>
        <v>N/A</v>
      </c>
      <c r="AL82" s="217">
        <f t="shared" si="159"/>
        <v>0</v>
      </c>
      <c r="AM82" s="215">
        <f t="shared" si="160"/>
        <v>0</v>
      </c>
      <c r="AN82" s="219" t="b">
        <f t="shared" si="195"/>
        <v>0</v>
      </c>
      <c r="AO82" s="217" t="str">
        <f t="shared" si="196"/>
        <v>N/A</v>
      </c>
      <c r="AP82" s="217" t="str">
        <f>IF(AND(ISNUMBER(AO82),AN82=TRUE),MAX(0,AO82-SUMIFS($AM$3:$AM81,AN$3:AN81,TRUE)),IF(AND(AN82=TRUE,ISNUMBER(AO82)=FALSE),"ERR","N/A"))</f>
        <v>N/A</v>
      </c>
      <c r="AQ82" s="215" t="str">
        <f t="shared" si="197"/>
        <v>N/A</v>
      </c>
      <c r="AR82" s="219" t="b">
        <f t="shared" si="198"/>
        <v>0</v>
      </c>
      <c r="AS82" s="217" t="str">
        <f t="shared" si="199"/>
        <v>N/A</v>
      </c>
      <c r="AT82" s="217" t="str">
        <f>IF(AND(AR82=TRUE,ISNUMBER(AS82)),MAX(0,AS82-SUMIFS($AM$3:$AM81,AR$3:AR81,TRUE)),IF(AND(AR82=TRUE,ISNUMBER(AS82)=FALSE),"ERR","N/A"))</f>
        <v>N/A</v>
      </c>
      <c r="AU82" s="215" t="str">
        <f t="shared" si="200"/>
        <v>N/A</v>
      </c>
      <c r="AV82" s="219" t="b">
        <f t="shared" si="201"/>
        <v>0</v>
      </c>
      <c r="AW82" s="217" t="str">
        <f t="shared" si="202"/>
        <v>N/A</v>
      </c>
      <c r="AX82" s="217" t="str">
        <f>IF(AND(AV82=TRUE,ISNUMBER(AW82)),MAX(0,AW82-SUMIFS($AM$3:$AM81,AV$3:AV81,TRUE)),IF(AND(AV82=TRUE,ISNUMBER(AW82)=FALSE),"ERR","N/A"))</f>
        <v>N/A</v>
      </c>
      <c r="AY82" s="215" t="str">
        <f t="shared" si="203"/>
        <v>N/A</v>
      </c>
      <c r="AZ82" s="219" t="b">
        <f t="shared" si="204"/>
        <v>0</v>
      </c>
      <c r="BA82" s="217" t="str">
        <f t="shared" si="205"/>
        <v>N/A</v>
      </c>
      <c r="BB82" s="217" t="str">
        <f>IF(AND(AZ82=TRUE,ISNUMBER(BA82)),MAX(0,BA82-SUMIFS($AM$3:$AM81,AZ$3:AZ81,TRUE)),IF(AND(AZ82=TRUE,ISNUMBER(BA82)=FALSE),"ERR","N/A"))</f>
        <v>N/A</v>
      </c>
      <c r="BC82" s="215" t="str">
        <f t="shared" si="206"/>
        <v>N/A</v>
      </c>
      <c r="BD82" s="219" t="b">
        <f t="shared" si="207"/>
        <v>0</v>
      </c>
      <c r="BE82" s="217" t="str">
        <f t="shared" si="208"/>
        <v>N/A</v>
      </c>
      <c r="BF82" s="217" t="str">
        <f>IF(AND(BD82=TRUE,ISNUMBER(BE82)=TRUE),MAX(0,BE82-SUMIFS(AM$3:AM81,BD$3:BD81,TRUE,F$3:F81,F82)),IF(AND(BD82=TRUE,ISNUMBER(BE82)=FALSE),"ERR","N/A"))</f>
        <v>N/A</v>
      </c>
      <c r="BG82" s="215" t="str">
        <f t="shared" si="209"/>
        <v>N/A</v>
      </c>
      <c r="BH82" s="214">
        <f t="shared" si="210"/>
        <v>0</v>
      </c>
      <c r="BI82" s="215">
        <f t="shared" si="161"/>
        <v>0</v>
      </c>
      <c r="BJ82" s="214" t="str">
        <f t="shared" si="171"/>
        <v>N/A</v>
      </c>
      <c r="BK82" s="217">
        <f t="shared" si="211"/>
        <v>0</v>
      </c>
      <c r="BL82" s="220" t="b">
        <f t="shared" si="212"/>
        <v>0</v>
      </c>
      <c r="BM82" s="217" t="str">
        <f t="shared" si="213"/>
        <v>N/A</v>
      </c>
      <c r="BN82" s="217" t="str">
        <f t="shared" si="162"/>
        <v>N/A</v>
      </c>
      <c r="BO82" s="220" t="b">
        <f t="shared" si="214"/>
        <v>0</v>
      </c>
      <c r="BP82" s="244" t="str">
        <f t="shared" si="215"/>
        <v>N/A</v>
      </c>
      <c r="BQ82" s="217" t="str">
        <f t="shared" si="163"/>
        <v>N/A</v>
      </c>
      <c r="BR82" s="215">
        <f t="shared" si="164"/>
        <v>0</v>
      </c>
      <c r="BS82" s="214" t="str">
        <f t="shared" si="172"/>
        <v>N/A</v>
      </c>
      <c r="BT82" s="217">
        <f t="shared" si="165"/>
        <v>0</v>
      </c>
      <c r="BU82" s="215">
        <f t="shared" si="173"/>
        <v>0</v>
      </c>
      <c r="BV82" s="214">
        <f t="shared" si="174"/>
        <v>0</v>
      </c>
      <c r="BW82" s="217">
        <f t="shared" si="216"/>
        <v>93.74</v>
      </c>
      <c r="BX82" s="217">
        <f t="shared" si="217"/>
        <v>0</v>
      </c>
      <c r="BY82" s="217">
        <f t="shared" si="166"/>
        <v>0</v>
      </c>
      <c r="BZ82" s="217">
        <f t="shared" si="218"/>
        <v>0</v>
      </c>
      <c r="CA82" s="217">
        <f t="shared" si="167"/>
        <v>0</v>
      </c>
      <c r="CB82" s="213" t="b">
        <f t="shared" si="219"/>
        <v>1</v>
      </c>
    </row>
    <row r="83" spans="1:80" x14ac:dyDescent="0.25">
      <c r="A83" s="207">
        <v>80</v>
      </c>
      <c r="B83" s="208">
        <v>42646</v>
      </c>
      <c r="C83" s="209">
        <v>10</v>
      </c>
      <c r="D83" s="210">
        <v>30</v>
      </c>
      <c r="E83" s="211" t="str">
        <f t="shared" si="175"/>
        <v>Flu Vaccine No Preserv 3 &amp; &gt;</v>
      </c>
      <c r="F83" s="212" t="str">
        <f t="shared" si="176"/>
        <v>Preventive Services &amp; Vaccines</v>
      </c>
      <c r="G83" s="213" t="str">
        <f t="shared" si="177"/>
        <v>Not Covered</v>
      </c>
      <c r="H83" s="214">
        <f t="shared" si="178"/>
        <v>21.02</v>
      </c>
      <c r="I83" s="217">
        <f t="shared" si="179"/>
        <v>21.02</v>
      </c>
      <c r="J83" s="251">
        <f t="shared" si="180"/>
        <v>0</v>
      </c>
      <c r="K83" s="214" t="b">
        <f t="shared" si="181"/>
        <v>0</v>
      </c>
      <c r="L83" s="218" t="str">
        <f t="shared" si="182"/>
        <v>No</v>
      </c>
      <c r="M83" s="217" t="str">
        <f t="shared" si="183"/>
        <v>.</v>
      </c>
      <c r="N83" s="215" t="str">
        <f>IFERROR(IF(AND(L83="Yes",ISNUMBER(M83)),MAX(0,M83-SUMIFS(BU$3:BU82,L$3:L82,"Yes")),IF(OR(L83="No",M83="None"),"N/A","ERR")),"ERR")</f>
        <v>N/A</v>
      </c>
      <c r="O83" s="251" t="b">
        <f t="shared" si="169"/>
        <v>0</v>
      </c>
      <c r="P83" s="251" t="str">
        <f>IF(O83,BENEFIT_PARAMETERS!$C$76,"N/A")</f>
        <v>N/A</v>
      </c>
      <c r="Q83" s="288" t="str">
        <f>IF(P83="Yes", BENEFIT_PARAMETERS!$D$76,"N/A")</f>
        <v>N/A</v>
      </c>
      <c r="R83" s="253" t="str">
        <f t="shared" si="168"/>
        <v>N/A</v>
      </c>
      <c r="S83" s="217">
        <f t="shared" si="155"/>
        <v>0</v>
      </c>
      <c r="T83" s="215">
        <f t="shared" si="184"/>
        <v>0</v>
      </c>
      <c r="U83" s="214" t="b">
        <f t="shared" si="170"/>
        <v>0</v>
      </c>
      <c r="V83" s="251" t="str">
        <f>IF(O83,BENEFIT_PARAMETERS!$C$77,"N/A")</f>
        <v>N/A</v>
      </c>
      <c r="W83" s="288" t="str">
        <f>IF(V83="Yes", BENEFIT_PARAMETERS!$D$77,"N/A")</f>
        <v>N/A</v>
      </c>
      <c r="X83" s="253" t="str">
        <f>IF(O83,COUNTIF(Z$3:Z82,"&gt;0"),"N/A")</f>
        <v>N/A</v>
      </c>
      <c r="Y83" s="217" t="str">
        <f t="shared" si="185"/>
        <v>N/A</v>
      </c>
      <c r="Z83" s="293" t="str">
        <f t="shared" si="156"/>
        <v>N/A</v>
      </c>
      <c r="AA83" s="293">
        <f t="shared" si="157"/>
        <v>0</v>
      </c>
      <c r="AB83" s="293" t="str">
        <f t="shared" si="186"/>
        <v>N/A</v>
      </c>
      <c r="AC83" s="215">
        <f t="shared" si="158"/>
        <v>0</v>
      </c>
      <c r="AD83" s="214" t="b">
        <f t="shared" si="187"/>
        <v>0</v>
      </c>
      <c r="AE83" s="209" t="str">
        <f t="shared" si="188"/>
        <v>.</v>
      </c>
      <c r="AF83" s="216">
        <f t="shared" si="189"/>
        <v>0</v>
      </c>
      <c r="AG83" s="217" t="str">
        <f t="shared" si="190"/>
        <v>N/A</v>
      </c>
      <c r="AH83" s="217" t="b">
        <f t="shared" si="191"/>
        <v>0</v>
      </c>
      <c r="AI83" s="209" t="str">
        <f t="shared" si="192"/>
        <v>.</v>
      </c>
      <c r="AJ83" s="216">
        <f t="shared" si="193"/>
        <v>0</v>
      </c>
      <c r="AK83" s="217" t="str">
        <f t="shared" si="194"/>
        <v>N/A</v>
      </c>
      <c r="AL83" s="217">
        <f t="shared" si="159"/>
        <v>0</v>
      </c>
      <c r="AM83" s="215">
        <f t="shared" si="160"/>
        <v>0</v>
      </c>
      <c r="AN83" s="219" t="b">
        <f t="shared" si="195"/>
        <v>0</v>
      </c>
      <c r="AO83" s="217" t="str">
        <f t="shared" si="196"/>
        <v>N/A</v>
      </c>
      <c r="AP83" s="217" t="str">
        <f>IF(AND(ISNUMBER(AO83),AN83=TRUE),MAX(0,AO83-SUMIFS($AM$3:$AM82,AN$3:AN82,TRUE)),IF(AND(AN83=TRUE,ISNUMBER(AO83)=FALSE),"ERR","N/A"))</f>
        <v>N/A</v>
      </c>
      <c r="AQ83" s="215" t="str">
        <f t="shared" si="197"/>
        <v>N/A</v>
      </c>
      <c r="AR83" s="219" t="b">
        <f t="shared" si="198"/>
        <v>0</v>
      </c>
      <c r="AS83" s="217" t="str">
        <f t="shared" si="199"/>
        <v>N/A</v>
      </c>
      <c r="AT83" s="217" t="str">
        <f>IF(AND(AR83=TRUE,ISNUMBER(AS83)),MAX(0,AS83-SUMIFS($AM$3:$AM82,AR$3:AR82,TRUE)),IF(AND(AR83=TRUE,ISNUMBER(AS83)=FALSE),"ERR","N/A"))</f>
        <v>N/A</v>
      </c>
      <c r="AU83" s="215" t="str">
        <f t="shared" si="200"/>
        <v>N/A</v>
      </c>
      <c r="AV83" s="219" t="b">
        <f t="shared" si="201"/>
        <v>0</v>
      </c>
      <c r="AW83" s="217" t="str">
        <f t="shared" si="202"/>
        <v>N/A</v>
      </c>
      <c r="AX83" s="217" t="str">
        <f>IF(AND(AV83=TRUE,ISNUMBER(AW83)),MAX(0,AW83-SUMIFS($AM$3:$AM82,AV$3:AV82,TRUE)),IF(AND(AV83=TRUE,ISNUMBER(AW83)=FALSE),"ERR","N/A"))</f>
        <v>N/A</v>
      </c>
      <c r="AY83" s="215" t="str">
        <f t="shared" si="203"/>
        <v>N/A</v>
      </c>
      <c r="AZ83" s="219" t="b">
        <f t="shared" si="204"/>
        <v>0</v>
      </c>
      <c r="BA83" s="217" t="str">
        <f t="shared" si="205"/>
        <v>N/A</v>
      </c>
      <c r="BB83" s="217" t="str">
        <f>IF(AND(AZ83=TRUE,ISNUMBER(BA83)),MAX(0,BA83-SUMIFS($AM$3:$AM82,AZ$3:AZ82,TRUE)),IF(AND(AZ83=TRUE,ISNUMBER(BA83)=FALSE),"ERR","N/A"))</f>
        <v>N/A</v>
      </c>
      <c r="BC83" s="215" t="str">
        <f t="shared" si="206"/>
        <v>N/A</v>
      </c>
      <c r="BD83" s="219" t="b">
        <f t="shared" si="207"/>
        <v>0</v>
      </c>
      <c r="BE83" s="217" t="str">
        <f t="shared" si="208"/>
        <v>N/A</v>
      </c>
      <c r="BF83" s="217" t="str">
        <f>IF(AND(BD83=TRUE,ISNUMBER(BE83)=TRUE),MAX(0,BE83-SUMIFS(AM$3:AM82,BD$3:BD82,TRUE,F$3:F82,F83)),IF(AND(BD83=TRUE,ISNUMBER(BE83)=FALSE),"ERR","N/A"))</f>
        <v>N/A</v>
      </c>
      <c r="BG83" s="215" t="str">
        <f t="shared" si="209"/>
        <v>N/A</v>
      </c>
      <c r="BH83" s="214">
        <f t="shared" si="210"/>
        <v>0</v>
      </c>
      <c r="BI83" s="215">
        <f t="shared" si="161"/>
        <v>0</v>
      </c>
      <c r="BJ83" s="214" t="str">
        <f t="shared" si="171"/>
        <v>N/A</v>
      </c>
      <c r="BK83" s="217">
        <f t="shared" si="211"/>
        <v>0</v>
      </c>
      <c r="BL83" s="220" t="b">
        <f t="shared" si="212"/>
        <v>0</v>
      </c>
      <c r="BM83" s="217" t="str">
        <f t="shared" si="213"/>
        <v>N/A</v>
      </c>
      <c r="BN83" s="217" t="str">
        <f t="shared" si="162"/>
        <v>N/A</v>
      </c>
      <c r="BO83" s="220" t="b">
        <f t="shared" si="214"/>
        <v>0</v>
      </c>
      <c r="BP83" s="244" t="str">
        <f t="shared" si="215"/>
        <v>N/A</v>
      </c>
      <c r="BQ83" s="217" t="str">
        <f t="shared" si="163"/>
        <v>N/A</v>
      </c>
      <c r="BR83" s="215">
        <f t="shared" si="164"/>
        <v>0</v>
      </c>
      <c r="BS83" s="214" t="str">
        <f t="shared" si="172"/>
        <v>N/A</v>
      </c>
      <c r="BT83" s="217">
        <f t="shared" si="165"/>
        <v>0</v>
      </c>
      <c r="BU83" s="215">
        <f t="shared" si="173"/>
        <v>0</v>
      </c>
      <c r="BV83" s="214">
        <f t="shared" si="174"/>
        <v>0</v>
      </c>
      <c r="BW83" s="217">
        <f t="shared" si="216"/>
        <v>21.02</v>
      </c>
      <c r="BX83" s="217">
        <f t="shared" si="217"/>
        <v>0</v>
      </c>
      <c r="BY83" s="217">
        <f t="shared" si="166"/>
        <v>0</v>
      </c>
      <c r="BZ83" s="217">
        <f t="shared" si="218"/>
        <v>0</v>
      </c>
      <c r="CA83" s="217">
        <f t="shared" si="167"/>
        <v>0</v>
      </c>
      <c r="CB83" s="213" t="b">
        <f t="shared" si="219"/>
        <v>1</v>
      </c>
    </row>
    <row r="84" spans="1:80" x14ac:dyDescent="0.25">
      <c r="A84" s="207">
        <v>81</v>
      </c>
      <c r="B84" s="208">
        <v>42646</v>
      </c>
      <c r="C84" s="209">
        <v>10</v>
      </c>
      <c r="D84" s="210">
        <v>33</v>
      </c>
      <c r="E84" s="211" t="str">
        <f t="shared" si="175"/>
        <v>Atorvastatin 40 MG tablet 90 CT [ #30 pills/month]</v>
      </c>
      <c r="F84" s="212" t="str">
        <f t="shared" si="176"/>
        <v>Prescription Drugs: Generic</v>
      </c>
      <c r="G84" s="213" t="str">
        <f t="shared" si="177"/>
        <v>Not Covered</v>
      </c>
      <c r="H84" s="214">
        <f t="shared" si="178"/>
        <v>9.66</v>
      </c>
      <c r="I84" s="217">
        <f t="shared" si="179"/>
        <v>9.66</v>
      </c>
      <c r="J84" s="251">
        <f t="shared" si="180"/>
        <v>0</v>
      </c>
      <c r="K84" s="214" t="b">
        <f t="shared" si="181"/>
        <v>0</v>
      </c>
      <c r="L84" s="218" t="str">
        <f t="shared" si="182"/>
        <v>No</v>
      </c>
      <c r="M84" s="217" t="str">
        <f t="shared" si="183"/>
        <v>.</v>
      </c>
      <c r="N84" s="215" t="str">
        <f>IFERROR(IF(AND(L84="Yes",ISNUMBER(M84)),MAX(0,M84-SUMIFS(BU$3:BU83,L$3:L83,"Yes")),IF(OR(L84="No",M84="None"),"N/A","ERR")),"ERR")</f>
        <v>N/A</v>
      </c>
      <c r="O84" s="251" t="b">
        <f t="shared" si="169"/>
        <v>0</v>
      </c>
      <c r="P84" s="251" t="str">
        <f>IF(O84,BENEFIT_PARAMETERS!$C$76,"N/A")</f>
        <v>N/A</v>
      </c>
      <c r="Q84" s="288" t="str">
        <f>IF(P84="Yes", BENEFIT_PARAMETERS!$D$76,"N/A")</f>
        <v>N/A</v>
      </c>
      <c r="R84" s="253" t="str">
        <f t="shared" si="168"/>
        <v>N/A</v>
      </c>
      <c r="S84" s="217">
        <f t="shared" si="155"/>
        <v>0</v>
      </c>
      <c r="T84" s="215">
        <f t="shared" si="184"/>
        <v>0</v>
      </c>
      <c r="U84" s="214" t="b">
        <f t="shared" si="170"/>
        <v>0</v>
      </c>
      <c r="V84" s="251" t="str">
        <f>IF(O84,BENEFIT_PARAMETERS!$C$77,"N/A")</f>
        <v>N/A</v>
      </c>
      <c r="W84" s="288" t="str">
        <f>IF(V84="Yes", BENEFIT_PARAMETERS!$D$77,"N/A")</f>
        <v>N/A</v>
      </c>
      <c r="X84" s="253" t="str">
        <f>IF(O84,COUNTIF(Z$3:Z83,"&gt;0"),"N/A")</f>
        <v>N/A</v>
      </c>
      <c r="Y84" s="217" t="str">
        <f t="shared" si="185"/>
        <v>N/A</v>
      </c>
      <c r="Z84" s="293" t="str">
        <f t="shared" si="156"/>
        <v>N/A</v>
      </c>
      <c r="AA84" s="293">
        <f t="shared" si="157"/>
        <v>0</v>
      </c>
      <c r="AB84" s="293" t="str">
        <f t="shared" si="186"/>
        <v>N/A</v>
      </c>
      <c r="AC84" s="215">
        <f t="shared" si="158"/>
        <v>0</v>
      </c>
      <c r="AD84" s="214" t="b">
        <f t="shared" si="187"/>
        <v>0</v>
      </c>
      <c r="AE84" s="209" t="str">
        <f t="shared" si="188"/>
        <v>.</v>
      </c>
      <c r="AF84" s="216">
        <f t="shared" si="189"/>
        <v>0</v>
      </c>
      <c r="AG84" s="217" t="str">
        <f t="shared" si="190"/>
        <v>N/A</v>
      </c>
      <c r="AH84" s="217" t="b">
        <f t="shared" si="191"/>
        <v>0</v>
      </c>
      <c r="AI84" s="209" t="str">
        <f t="shared" si="192"/>
        <v>.</v>
      </c>
      <c r="AJ84" s="216">
        <f t="shared" si="193"/>
        <v>3</v>
      </c>
      <c r="AK84" s="217" t="str">
        <f t="shared" si="194"/>
        <v>N/A</v>
      </c>
      <c r="AL84" s="217">
        <f t="shared" si="159"/>
        <v>0</v>
      </c>
      <c r="AM84" s="215">
        <f t="shared" si="160"/>
        <v>0</v>
      </c>
      <c r="AN84" s="219" t="b">
        <f t="shared" si="195"/>
        <v>0</v>
      </c>
      <c r="AO84" s="217" t="str">
        <f t="shared" si="196"/>
        <v>N/A</v>
      </c>
      <c r="AP84" s="217" t="str">
        <f>IF(AND(ISNUMBER(AO84),AN84=TRUE),MAX(0,AO84-SUMIFS($AM$3:$AM83,AN$3:AN83,TRUE)),IF(AND(AN84=TRUE,ISNUMBER(AO84)=FALSE),"ERR","N/A"))</f>
        <v>N/A</v>
      </c>
      <c r="AQ84" s="215" t="str">
        <f t="shared" si="197"/>
        <v>N/A</v>
      </c>
      <c r="AR84" s="219" t="b">
        <f t="shared" si="198"/>
        <v>0</v>
      </c>
      <c r="AS84" s="217" t="str">
        <f t="shared" si="199"/>
        <v>N/A</v>
      </c>
      <c r="AT84" s="217" t="str">
        <f>IF(AND(AR84=TRUE,ISNUMBER(AS84)),MAX(0,AS84-SUMIFS($AM$3:$AM83,AR$3:AR83,TRUE)),IF(AND(AR84=TRUE,ISNUMBER(AS84)=FALSE),"ERR","N/A"))</f>
        <v>N/A</v>
      </c>
      <c r="AU84" s="215" t="str">
        <f t="shared" si="200"/>
        <v>N/A</v>
      </c>
      <c r="AV84" s="219" t="b">
        <f t="shared" si="201"/>
        <v>0</v>
      </c>
      <c r="AW84" s="217" t="str">
        <f t="shared" si="202"/>
        <v>N/A</v>
      </c>
      <c r="AX84" s="217" t="str">
        <f>IF(AND(AV84=TRUE,ISNUMBER(AW84)),MAX(0,AW84-SUMIFS($AM$3:$AM83,AV$3:AV83,TRUE)),IF(AND(AV84=TRUE,ISNUMBER(AW84)=FALSE),"ERR","N/A"))</f>
        <v>N/A</v>
      </c>
      <c r="AY84" s="215" t="str">
        <f t="shared" si="203"/>
        <v>N/A</v>
      </c>
      <c r="AZ84" s="219" t="b">
        <f t="shared" si="204"/>
        <v>0</v>
      </c>
      <c r="BA84" s="217" t="str">
        <f t="shared" si="205"/>
        <v>N/A</v>
      </c>
      <c r="BB84" s="217" t="str">
        <f>IF(AND(AZ84=TRUE,ISNUMBER(BA84)),MAX(0,BA84-SUMIFS($AM$3:$AM83,AZ$3:AZ83,TRUE)),IF(AND(AZ84=TRUE,ISNUMBER(BA84)=FALSE),"ERR","N/A"))</f>
        <v>N/A</v>
      </c>
      <c r="BC84" s="215" t="str">
        <f t="shared" si="206"/>
        <v>N/A</v>
      </c>
      <c r="BD84" s="219" t="b">
        <f t="shared" si="207"/>
        <v>0</v>
      </c>
      <c r="BE84" s="217" t="str">
        <f t="shared" si="208"/>
        <v>N/A</v>
      </c>
      <c r="BF84" s="217" t="str">
        <f>IF(AND(BD84=TRUE,ISNUMBER(BE84)=TRUE),MAX(0,BE84-SUMIFS(AM$3:AM83,BD$3:BD83,TRUE,F$3:F83,F84)),IF(AND(BD84=TRUE,ISNUMBER(BE84)=FALSE),"ERR","N/A"))</f>
        <v>N/A</v>
      </c>
      <c r="BG84" s="215" t="str">
        <f t="shared" si="209"/>
        <v>N/A</v>
      </c>
      <c r="BH84" s="214">
        <f t="shared" si="210"/>
        <v>0</v>
      </c>
      <c r="BI84" s="215">
        <f t="shared" si="161"/>
        <v>0</v>
      </c>
      <c r="BJ84" s="214" t="str">
        <f t="shared" si="171"/>
        <v>N/A</v>
      </c>
      <c r="BK84" s="217">
        <f t="shared" si="211"/>
        <v>0</v>
      </c>
      <c r="BL84" s="220" t="b">
        <f t="shared" si="212"/>
        <v>0</v>
      </c>
      <c r="BM84" s="217" t="str">
        <f t="shared" si="213"/>
        <v>N/A</v>
      </c>
      <c r="BN84" s="217" t="str">
        <f t="shared" si="162"/>
        <v>N/A</v>
      </c>
      <c r="BO84" s="220" t="b">
        <f t="shared" si="214"/>
        <v>0</v>
      </c>
      <c r="BP84" s="244" t="str">
        <f t="shared" si="215"/>
        <v>N/A</v>
      </c>
      <c r="BQ84" s="217" t="str">
        <f t="shared" si="163"/>
        <v>N/A</v>
      </c>
      <c r="BR84" s="215">
        <f t="shared" si="164"/>
        <v>0</v>
      </c>
      <c r="BS84" s="214" t="str">
        <f t="shared" si="172"/>
        <v>N/A</v>
      </c>
      <c r="BT84" s="217">
        <f t="shared" si="165"/>
        <v>0</v>
      </c>
      <c r="BU84" s="215">
        <f t="shared" si="173"/>
        <v>0</v>
      </c>
      <c r="BV84" s="214">
        <f t="shared" si="174"/>
        <v>0</v>
      </c>
      <c r="BW84" s="217">
        <f t="shared" si="216"/>
        <v>9.66</v>
      </c>
      <c r="BX84" s="217">
        <f t="shared" si="217"/>
        <v>0</v>
      </c>
      <c r="BY84" s="217">
        <f t="shared" si="166"/>
        <v>0</v>
      </c>
      <c r="BZ84" s="217">
        <f t="shared" si="218"/>
        <v>0</v>
      </c>
      <c r="CA84" s="217">
        <f t="shared" si="167"/>
        <v>0</v>
      </c>
      <c r="CB84" s="213" t="b">
        <f t="shared" si="219"/>
        <v>1</v>
      </c>
    </row>
    <row r="85" spans="1:80" x14ac:dyDescent="0.25">
      <c r="A85" s="207">
        <v>82</v>
      </c>
      <c r="B85" s="208">
        <v>42653</v>
      </c>
      <c r="C85" s="209">
        <v>10</v>
      </c>
      <c r="D85" s="210">
        <v>17</v>
      </c>
      <c r="E85" s="211" t="str">
        <f t="shared" si="175"/>
        <v>Insulin glargine 100 unit/ml injectable solution (Rx - 10ml vial)  [20 units QD; expires 28 days after first use]</v>
      </c>
      <c r="F85" s="212" t="str">
        <f t="shared" si="176"/>
        <v>Prescription Drugs: Insulin</v>
      </c>
      <c r="G85" s="213" t="str">
        <f t="shared" si="177"/>
        <v>Not Covered</v>
      </c>
      <c r="H85" s="214">
        <f t="shared" si="178"/>
        <v>240.37</v>
      </c>
      <c r="I85" s="217">
        <f t="shared" si="179"/>
        <v>240.37</v>
      </c>
      <c r="J85" s="251">
        <f t="shared" si="180"/>
        <v>0</v>
      </c>
      <c r="K85" s="214" t="b">
        <f t="shared" si="181"/>
        <v>0</v>
      </c>
      <c r="L85" s="218" t="str">
        <f t="shared" si="182"/>
        <v>No</v>
      </c>
      <c r="M85" s="217" t="str">
        <f t="shared" si="183"/>
        <v>.</v>
      </c>
      <c r="N85" s="215" t="str">
        <f>IFERROR(IF(AND(L85="Yes",ISNUMBER(M85)),MAX(0,M85-SUMIFS(BU$3:BU84,L$3:L84,"Yes")),IF(OR(L85="No",M85="None"),"N/A","ERR")),"ERR")</f>
        <v>N/A</v>
      </c>
      <c r="O85" s="251" t="b">
        <f t="shared" si="169"/>
        <v>0</v>
      </c>
      <c r="P85" s="251" t="str">
        <f>IF(O85,BENEFIT_PARAMETERS!$C$76,"N/A")</f>
        <v>N/A</v>
      </c>
      <c r="Q85" s="288" t="str">
        <f>IF(P85="Yes", BENEFIT_PARAMETERS!$D$76,"N/A")</f>
        <v>N/A</v>
      </c>
      <c r="R85" s="253" t="str">
        <f t="shared" si="168"/>
        <v>N/A</v>
      </c>
      <c r="S85" s="217">
        <f t="shared" si="155"/>
        <v>0</v>
      </c>
      <c r="T85" s="215">
        <f t="shared" si="184"/>
        <v>0</v>
      </c>
      <c r="U85" s="214" t="b">
        <f t="shared" si="170"/>
        <v>0</v>
      </c>
      <c r="V85" s="251" t="str">
        <f>IF(O85,BENEFIT_PARAMETERS!$C$77,"N/A")</f>
        <v>N/A</v>
      </c>
      <c r="W85" s="288" t="str">
        <f>IF(V85="Yes", BENEFIT_PARAMETERS!$D$77,"N/A")</f>
        <v>N/A</v>
      </c>
      <c r="X85" s="253" t="str">
        <f>IF(O85,COUNTIF(Z$3:Z84,"&gt;0"),"N/A")</f>
        <v>N/A</v>
      </c>
      <c r="Y85" s="217" t="str">
        <f t="shared" si="185"/>
        <v>N/A</v>
      </c>
      <c r="Z85" s="293" t="str">
        <f t="shared" si="156"/>
        <v>N/A</v>
      </c>
      <c r="AA85" s="293">
        <f t="shared" si="157"/>
        <v>0</v>
      </c>
      <c r="AB85" s="293" t="str">
        <f t="shared" si="186"/>
        <v>N/A</v>
      </c>
      <c r="AC85" s="215">
        <f t="shared" si="158"/>
        <v>0</v>
      </c>
      <c r="AD85" s="214" t="b">
        <f t="shared" si="187"/>
        <v>0</v>
      </c>
      <c r="AE85" s="209" t="str">
        <f t="shared" si="188"/>
        <v>.</v>
      </c>
      <c r="AF85" s="216">
        <f t="shared" si="189"/>
        <v>0</v>
      </c>
      <c r="AG85" s="217" t="str">
        <f t="shared" si="190"/>
        <v>N/A</v>
      </c>
      <c r="AH85" s="217" t="b">
        <f t="shared" si="191"/>
        <v>0</v>
      </c>
      <c r="AI85" s="209" t="str">
        <f t="shared" si="192"/>
        <v>.</v>
      </c>
      <c r="AJ85" s="216">
        <f t="shared" si="193"/>
        <v>10</v>
      </c>
      <c r="AK85" s="217" t="str">
        <f t="shared" si="194"/>
        <v>N/A</v>
      </c>
      <c r="AL85" s="217">
        <f t="shared" si="159"/>
        <v>0</v>
      </c>
      <c r="AM85" s="215">
        <f t="shared" si="160"/>
        <v>0</v>
      </c>
      <c r="AN85" s="219" t="b">
        <f t="shared" si="195"/>
        <v>0</v>
      </c>
      <c r="AO85" s="217" t="str">
        <f t="shared" si="196"/>
        <v>N/A</v>
      </c>
      <c r="AP85" s="217" t="str">
        <f>IF(AND(ISNUMBER(AO85),AN85=TRUE),MAX(0,AO85-SUMIFS($AM$3:$AM84,AN$3:AN84,TRUE)),IF(AND(AN85=TRUE,ISNUMBER(AO85)=FALSE),"ERR","N/A"))</f>
        <v>N/A</v>
      </c>
      <c r="AQ85" s="215" t="str">
        <f t="shared" si="197"/>
        <v>N/A</v>
      </c>
      <c r="AR85" s="219" t="b">
        <f t="shared" si="198"/>
        <v>0</v>
      </c>
      <c r="AS85" s="217" t="str">
        <f t="shared" si="199"/>
        <v>N/A</v>
      </c>
      <c r="AT85" s="217" t="str">
        <f>IF(AND(AR85=TRUE,ISNUMBER(AS85)),MAX(0,AS85-SUMIFS($AM$3:$AM84,AR$3:AR84,TRUE)),IF(AND(AR85=TRUE,ISNUMBER(AS85)=FALSE),"ERR","N/A"))</f>
        <v>N/A</v>
      </c>
      <c r="AU85" s="215" t="str">
        <f t="shared" si="200"/>
        <v>N/A</v>
      </c>
      <c r="AV85" s="219" t="b">
        <f t="shared" si="201"/>
        <v>0</v>
      </c>
      <c r="AW85" s="217" t="str">
        <f t="shared" si="202"/>
        <v>N/A</v>
      </c>
      <c r="AX85" s="217" t="str">
        <f>IF(AND(AV85=TRUE,ISNUMBER(AW85)),MAX(0,AW85-SUMIFS($AM$3:$AM84,AV$3:AV84,TRUE)),IF(AND(AV85=TRUE,ISNUMBER(AW85)=FALSE),"ERR","N/A"))</f>
        <v>N/A</v>
      </c>
      <c r="AY85" s="215" t="str">
        <f t="shared" si="203"/>
        <v>N/A</v>
      </c>
      <c r="AZ85" s="219" t="b">
        <f t="shared" si="204"/>
        <v>0</v>
      </c>
      <c r="BA85" s="217" t="str">
        <f t="shared" si="205"/>
        <v>N/A</v>
      </c>
      <c r="BB85" s="217" t="str">
        <f>IF(AND(AZ85=TRUE,ISNUMBER(BA85)),MAX(0,BA85-SUMIFS($AM$3:$AM84,AZ$3:AZ84,TRUE)),IF(AND(AZ85=TRUE,ISNUMBER(BA85)=FALSE),"ERR","N/A"))</f>
        <v>N/A</v>
      </c>
      <c r="BC85" s="215" t="str">
        <f t="shared" si="206"/>
        <v>N/A</v>
      </c>
      <c r="BD85" s="219" t="b">
        <f t="shared" si="207"/>
        <v>0</v>
      </c>
      <c r="BE85" s="217" t="str">
        <f t="shared" si="208"/>
        <v>N/A</v>
      </c>
      <c r="BF85" s="217" t="str">
        <f>IF(AND(BD85=TRUE,ISNUMBER(BE85)=TRUE),MAX(0,BE85-SUMIFS(AM$3:AM84,BD$3:BD84,TRUE,F$3:F84,F85)),IF(AND(BD85=TRUE,ISNUMBER(BE85)=FALSE),"ERR","N/A"))</f>
        <v>N/A</v>
      </c>
      <c r="BG85" s="215" t="str">
        <f t="shared" si="209"/>
        <v>N/A</v>
      </c>
      <c r="BH85" s="214">
        <f t="shared" si="210"/>
        <v>0</v>
      </c>
      <c r="BI85" s="215">
        <f t="shared" si="161"/>
        <v>0</v>
      </c>
      <c r="BJ85" s="214" t="str">
        <f t="shared" si="171"/>
        <v>N/A</v>
      </c>
      <c r="BK85" s="217">
        <f t="shared" si="211"/>
        <v>0</v>
      </c>
      <c r="BL85" s="220" t="b">
        <f t="shared" si="212"/>
        <v>0</v>
      </c>
      <c r="BM85" s="217" t="str">
        <f t="shared" si="213"/>
        <v>N/A</v>
      </c>
      <c r="BN85" s="217" t="str">
        <f t="shared" si="162"/>
        <v>N/A</v>
      </c>
      <c r="BO85" s="220" t="b">
        <f t="shared" si="214"/>
        <v>0</v>
      </c>
      <c r="BP85" s="244" t="str">
        <f t="shared" si="215"/>
        <v>N/A</v>
      </c>
      <c r="BQ85" s="217" t="str">
        <f t="shared" si="163"/>
        <v>N/A</v>
      </c>
      <c r="BR85" s="215">
        <f t="shared" si="164"/>
        <v>0</v>
      </c>
      <c r="BS85" s="214" t="str">
        <f t="shared" si="172"/>
        <v>N/A</v>
      </c>
      <c r="BT85" s="217">
        <f t="shared" si="165"/>
        <v>0</v>
      </c>
      <c r="BU85" s="215">
        <f t="shared" si="173"/>
        <v>0</v>
      </c>
      <c r="BV85" s="214">
        <f t="shared" si="174"/>
        <v>0</v>
      </c>
      <c r="BW85" s="217">
        <f t="shared" si="216"/>
        <v>240.37</v>
      </c>
      <c r="BX85" s="217">
        <f t="shared" si="217"/>
        <v>0</v>
      </c>
      <c r="BY85" s="217">
        <f t="shared" si="166"/>
        <v>0</v>
      </c>
      <c r="BZ85" s="217">
        <f t="shared" si="218"/>
        <v>0</v>
      </c>
      <c r="CA85" s="217">
        <f t="shared" si="167"/>
        <v>0</v>
      </c>
      <c r="CB85" s="213" t="b">
        <f t="shared" si="219"/>
        <v>1</v>
      </c>
    </row>
    <row r="86" spans="1:80" x14ac:dyDescent="0.25">
      <c r="A86" s="207">
        <v>83</v>
      </c>
      <c r="B86" s="208">
        <v>42672</v>
      </c>
      <c r="C86" s="209">
        <v>10</v>
      </c>
      <c r="D86" s="210">
        <v>5</v>
      </c>
      <c r="E86" s="211" t="str">
        <f t="shared" si="175"/>
        <v>OneTouch Delica Lancets (100 per box)  [usage = 60 lancets per month]</v>
      </c>
      <c r="F86" s="212" t="str">
        <f t="shared" si="176"/>
        <v>Medical Supplies</v>
      </c>
      <c r="G86" s="213" t="str">
        <f t="shared" si="177"/>
        <v>Not Covered</v>
      </c>
      <c r="H86" s="214">
        <f t="shared" si="178"/>
        <v>8.73</v>
      </c>
      <c r="I86" s="217">
        <f t="shared" si="179"/>
        <v>8.73</v>
      </c>
      <c r="J86" s="251">
        <f t="shared" si="180"/>
        <v>0</v>
      </c>
      <c r="K86" s="214" t="b">
        <f t="shared" si="181"/>
        <v>0</v>
      </c>
      <c r="L86" s="218" t="str">
        <f t="shared" si="182"/>
        <v>No</v>
      </c>
      <c r="M86" s="217" t="str">
        <f t="shared" si="183"/>
        <v>.</v>
      </c>
      <c r="N86" s="215" t="str">
        <f>IFERROR(IF(AND(L86="Yes",ISNUMBER(M86)),MAX(0,M86-SUMIFS(BU$3:BU85,L$3:L85,"Yes")),IF(OR(L86="No",M86="None"),"N/A","ERR")),"ERR")</f>
        <v>N/A</v>
      </c>
      <c r="O86" s="251" t="b">
        <f t="shared" si="169"/>
        <v>0</v>
      </c>
      <c r="P86" s="251" t="str">
        <f>IF(O86,BENEFIT_PARAMETERS!$C$76,"N/A")</f>
        <v>N/A</v>
      </c>
      <c r="Q86" s="288" t="str">
        <f>IF(P86="Yes", BENEFIT_PARAMETERS!$D$76,"N/A")</f>
        <v>N/A</v>
      </c>
      <c r="R86" s="253" t="str">
        <f t="shared" si="168"/>
        <v>N/A</v>
      </c>
      <c r="S86" s="217">
        <f t="shared" si="155"/>
        <v>0</v>
      </c>
      <c r="T86" s="215">
        <f t="shared" si="184"/>
        <v>0</v>
      </c>
      <c r="U86" s="214" t="b">
        <f t="shared" si="170"/>
        <v>0</v>
      </c>
      <c r="V86" s="251" t="str">
        <f>IF(O86,BENEFIT_PARAMETERS!$C$77,"N/A")</f>
        <v>N/A</v>
      </c>
      <c r="W86" s="288" t="str">
        <f>IF(V86="Yes", BENEFIT_PARAMETERS!$D$77,"N/A")</f>
        <v>N/A</v>
      </c>
      <c r="X86" s="253" t="str">
        <f>IF(O86,COUNTIF(Z$3:Z85,"&gt;0"),"N/A")</f>
        <v>N/A</v>
      </c>
      <c r="Y86" s="217" t="str">
        <f t="shared" si="185"/>
        <v>N/A</v>
      </c>
      <c r="Z86" s="293" t="str">
        <f t="shared" si="156"/>
        <v>N/A</v>
      </c>
      <c r="AA86" s="293">
        <f t="shared" si="157"/>
        <v>0</v>
      </c>
      <c r="AB86" s="293" t="str">
        <f t="shared" si="186"/>
        <v>N/A</v>
      </c>
      <c r="AC86" s="215">
        <f t="shared" si="158"/>
        <v>0</v>
      </c>
      <c r="AD86" s="214" t="b">
        <f t="shared" si="187"/>
        <v>0</v>
      </c>
      <c r="AE86" s="209" t="str">
        <f t="shared" si="188"/>
        <v>.</v>
      </c>
      <c r="AF86" s="216">
        <f t="shared" si="189"/>
        <v>0</v>
      </c>
      <c r="AG86" s="217" t="str">
        <f t="shared" si="190"/>
        <v>N/A</v>
      </c>
      <c r="AH86" s="217" t="b">
        <f t="shared" si="191"/>
        <v>0</v>
      </c>
      <c r="AI86" s="209" t="str">
        <f t="shared" si="192"/>
        <v>.</v>
      </c>
      <c r="AJ86" s="216">
        <f t="shared" si="193"/>
        <v>3</v>
      </c>
      <c r="AK86" s="217" t="str">
        <f t="shared" si="194"/>
        <v>N/A</v>
      </c>
      <c r="AL86" s="217">
        <f t="shared" si="159"/>
        <v>0</v>
      </c>
      <c r="AM86" s="215">
        <f t="shared" si="160"/>
        <v>0</v>
      </c>
      <c r="AN86" s="219" t="b">
        <f t="shared" si="195"/>
        <v>0</v>
      </c>
      <c r="AO86" s="217" t="str">
        <f t="shared" si="196"/>
        <v>N/A</v>
      </c>
      <c r="AP86" s="217" t="str">
        <f>IF(AND(ISNUMBER(AO86),AN86=TRUE),MAX(0,AO86-SUMIFS($AM$3:$AM85,AN$3:AN85,TRUE)),IF(AND(AN86=TRUE,ISNUMBER(AO86)=FALSE),"ERR","N/A"))</f>
        <v>N/A</v>
      </c>
      <c r="AQ86" s="215" t="str">
        <f t="shared" si="197"/>
        <v>N/A</v>
      </c>
      <c r="AR86" s="219" t="b">
        <f t="shared" si="198"/>
        <v>0</v>
      </c>
      <c r="AS86" s="217" t="str">
        <f t="shared" si="199"/>
        <v>N/A</v>
      </c>
      <c r="AT86" s="217" t="str">
        <f>IF(AND(AR86=TRUE,ISNUMBER(AS86)),MAX(0,AS86-SUMIFS($AM$3:$AM85,AR$3:AR85,TRUE)),IF(AND(AR86=TRUE,ISNUMBER(AS86)=FALSE),"ERR","N/A"))</f>
        <v>N/A</v>
      </c>
      <c r="AU86" s="215" t="str">
        <f t="shared" si="200"/>
        <v>N/A</v>
      </c>
      <c r="AV86" s="219" t="b">
        <f t="shared" si="201"/>
        <v>0</v>
      </c>
      <c r="AW86" s="217" t="str">
        <f t="shared" si="202"/>
        <v>N/A</v>
      </c>
      <c r="AX86" s="217" t="str">
        <f>IF(AND(AV86=TRUE,ISNUMBER(AW86)),MAX(0,AW86-SUMIFS($AM$3:$AM85,AV$3:AV85,TRUE)),IF(AND(AV86=TRUE,ISNUMBER(AW86)=FALSE),"ERR","N/A"))</f>
        <v>N/A</v>
      </c>
      <c r="AY86" s="215" t="str">
        <f t="shared" si="203"/>
        <v>N/A</v>
      </c>
      <c r="AZ86" s="219" t="b">
        <f t="shared" si="204"/>
        <v>0</v>
      </c>
      <c r="BA86" s="217" t="str">
        <f t="shared" si="205"/>
        <v>N/A</v>
      </c>
      <c r="BB86" s="217" t="str">
        <f>IF(AND(AZ86=TRUE,ISNUMBER(BA86)),MAX(0,BA86-SUMIFS($AM$3:$AM85,AZ$3:AZ85,TRUE)),IF(AND(AZ86=TRUE,ISNUMBER(BA86)=FALSE),"ERR","N/A"))</f>
        <v>N/A</v>
      </c>
      <c r="BC86" s="215" t="str">
        <f t="shared" si="206"/>
        <v>N/A</v>
      </c>
      <c r="BD86" s="219" t="b">
        <f t="shared" si="207"/>
        <v>0</v>
      </c>
      <c r="BE86" s="217" t="str">
        <f t="shared" si="208"/>
        <v>N/A</v>
      </c>
      <c r="BF86" s="217" t="str">
        <f>IF(AND(BD86=TRUE,ISNUMBER(BE86)=TRUE),MAX(0,BE86-SUMIFS(AM$3:AM85,BD$3:BD85,TRUE,F$3:F85,F86)),IF(AND(BD86=TRUE,ISNUMBER(BE86)=FALSE),"ERR","N/A"))</f>
        <v>N/A</v>
      </c>
      <c r="BG86" s="215" t="str">
        <f t="shared" si="209"/>
        <v>N/A</v>
      </c>
      <c r="BH86" s="214">
        <f t="shared" si="210"/>
        <v>0</v>
      </c>
      <c r="BI86" s="215">
        <f t="shared" si="161"/>
        <v>0</v>
      </c>
      <c r="BJ86" s="214" t="str">
        <f t="shared" si="171"/>
        <v>N/A</v>
      </c>
      <c r="BK86" s="217">
        <f t="shared" si="211"/>
        <v>0</v>
      </c>
      <c r="BL86" s="220" t="b">
        <f t="shared" si="212"/>
        <v>0</v>
      </c>
      <c r="BM86" s="217" t="str">
        <f t="shared" si="213"/>
        <v>N/A</v>
      </c>
      <c r="BN86" s="217" t="str">
        <f t="shared" si="162"/>
        <v>N/A</v>
      </c>
      <c r="BO86" s="220" t="b">
        <f t="shared" si="214"/>
        <v>0</v>
      </c>
      <c r="BP86" s="244" t="str">
        <f t="shared" si="215"/>
        <v>N/A</v>
      </c>
      <c r="BQ86" s="217" t="str">
        <f t="shared" si="163"/>
        <v>N/A</v>
      </c>
      <c r="BR86" s="215">
        <f t="shared" si="164"/>
        <v>0</v>
      </c>
      <c r="BS86" s="214" t="str">
        <f t="shared" si="172"/>
        <v>N/A</v>
      </c>
      <c r="BT86" s="217">
        <f t="shared" si="165"/>
        <v>0</v>
      </c>
      <c r="BU86" s="215">
        <f t="shared" si="173"/>
        <v>0</v>
      </c>
      <c r="BV86" s="214">
        <f t="shared" si="174"/>
        <v>0</v>
      </c>
      <c r="BW86" s="217">
        <f t="shared" si="216"/>
        <v>8.73</v>
      </c>
      <c r="BX86" s="217">
        <f t="shared" si="217"/>
        <v>0</v>
      </c>
      <c r="BY86" s="217">
        <f t="shared" si="166"/>
        <v>0</v>
      </c>
      <c r="BZ86" s="217">
        <f t="shared" si="218"/>
        <v>0</v>
      </c>
      <c r="CA86" s="217">
        <f t="shared" si="167"/>
        <v>0</v>
      </c>
      <c r="CB86" s="213" t="b">
        <f t="shared" si="219"/>
        <v>1</v>
      </c>
    </row>
    <row r="87" spans="1:80" x14ac:dyDescent="0.25">
      <c r="A87" s="207">
        <v>84</v>
      </c>
      <c r="B87" s="208">
        <v>42672</v>
      </c>
      <c r="C87" s="209">
        <v>10</v>
      </c>
      <c r="D87" s="210">
        <v>4</v>
      </c>
      <c r="E87" s="211" t="str">
        <f t="shared" si="175"/>
        <v xml:space="preserve">OneTouch Ultra Blue Test Strips (Rx - box of 100) [usage = 2 strips/day; 60 per month] </v>
      </c>
      <c r="F87" s="212" t="str">
        <f t="shared" si="176"/>
        <v>Medical Supplies</v>
      </c>
      <c r="G87" s="213" t="str">
        <f t="shared" si="177"/>
        <v>Not Covered</v>
      </c>
      <c r="H87" s="214">
        <f t="shared" si="178"/>
        <v>109.61</v>
      </c>
      <c r="I87" s="217">
        <f t="shared" si="179"/>
        <v>109.61</v>
      </c>
      <c r="J87" s="251">
        <f t="shared" si="180"/>
        <v>0</v>
      </c>
      <c r="K87" s="214" t="b">
        <f t="shared" si="181"/>
        <v>0</v>
      </c>
      <c r="L87" s="218" t="str">
        <f t="shared" si="182"/>
        <v>No</v>
      </c>
      <c r="M87" s="217" t="str">
        <f t="shared" si="183"/>
        <v>.</v>
      </c>
      <c r="N87" s="215" t="str">
        <f>IFERROR(IF(AND(L87="Yes",ISNUMBER(M87)),MAX(0,M87-SUMIFS(BU$3:BU86,L$3:L86,"Yes")),IF(OR(L87="No",M87="None"),"N/A","ERR")),"ERR")</f>
        <v>N/A</v>
      </c>
      <c r="O87" s="251" t="b">
        <f t="shared" si="169"/>
        <v>0</v>
      </c>
      <c r="P87" s="251" t="str">
        <f>IF(O87,BENEFIT_PARAMETERS!$C$76,"N/A")</f>
        <v>N/A</v>
      </c>
      <c r="Q87" s="288" t="str">
        <f>IF(P87="Yes", BENEFIT_PARAMETERS!$D$76,"N/A")</f>
        <v>N/A</v>
      </c>
      <c r="R87" s="253" t="str">
        <f t="shared" si="168"/>
        <v>N/A</v>
      </c>
      <c r="S87" s="217">
        <f t="shared" si="155"/>
        <v>0</v>
      </c>
      <c r="T87" s="215">
        <f t="shared" si="184"/>
        <v>0</v>
      </c>
      <c r="U87" s="214" t="b">
        <f t="shared" si="170"/>
        <v>0</v>
      </c>
      <c r="V87" s="251" t="str">
        <f>IF(O87,BENEFIT_PARAMETERS!$C$77,"N/A")</f>
        <v>N/A</v>
      </c>
      <c r="W87" s="288" t="str">
        <f>IF(V87="Yes", BENEFIT_PARAMETERS!$D$77,"N/A")</f>
        <v>N/A</v>
      </c>
      <c r="X87" s="253" t="str">
        <f>IF(O87,COUNTIF(Z$3:Z86,"&gt;0"),"N/A")</f>
        <v>N/A</v>
      </c>
      <c r="Y87" s="217" t="str">
        <f t="shared" si="185"/>
        <v>N/A</v>
      </c>
      <c r="Z87" s="293" t="str">
        <f t="shared" si="156"/>
        <v>N/A</v>
      </c>
      <c r="AA87" s="293">
        <f t="shared" si="157"/>
        <v>0</v>
      </c>
      <c r="AB87" s="293" t="str">
        <f t="shared" si="186"/>
        <v>N/A</v>
      </c>
      <c r="AC87" s="215">
        <f t="shared" si="158"/>
        <v>0</v>
      </c>
      <c r="AD87" s="214" t="b">
        <f t="shared" si="187"/>
        <v>0</v>
      </c>
      <c r="AE87" s="209" t="str">
        <f t="shared" si="188"/>
        <v>.</v>
      </c>
      <c r="AF87" s="216">
        <f t="shared" si="189"/>
        <v>0</v>
      </c>
      <c r="AG87" s="217" t="str">
        <f t="shared" si="190"/>
        <v>N/A</v>
      </c>
      <c r="AH87" s="217" t="b">
        <f t="shared" si="191"/>
        <v>0</v>
      </c>
      <c r="AI87" s="209" t="str">
        <f t="shared" si="192"/>
        <v>.</v>
      </c>
      <c r="AJ87" s="216">
        <f t="shared" si="193"/>
        <v>3</v>
      </c>
      <c r="AK87" s="217" t="str">
        <f t="shared" si="194"/>
        <v>N/A</v>
      </c>
      <c r="AL87" s="217">
        <f t="shared" si="159"/>
        <v>0</v>
      </c>
      <c r="AM87" s="215">
        <f t="shared" si="160"/>
        <v>0</v>
      </c>
      <c r="AN87" s="219" t="b">
        <f t="shared" si="195"/>
        <v>0</v>
      </c>
      <c r="AO87" s="217" t="str">
        <f t="shared" si="196"/>
        <v>N/A</v>
      </c>
      <c r="AP87" s="217" t="str">
        <f>IF(AND(ISNUMBER(AO87),AN87=TRUE),MAX(0,AO87-SUMIFS($AM$3:$AM86,AN$3:AN86,TRUE)),IF(AND(AN87=TRUE,ISNUMBER(AO87)=FALSE),"ERR","N/A"))</f>
        <v>N/A</v>
      </c>
      <c r="AQ87" s="215" t="str">
        <f t="shared" si="197"/>
        <v>N/A</v>
      </c>
      <c r="AR87" s="219" t="b">
        <f t="shared" si="198"/>
        <v>0</v>
      </c>
      <c r="AS87" s="217" t="str">
        <f t="shared" si="199"/>
        <v>N/A</v>
      </c>
      <c r="AT87" s="217" t="str">
        <f>IF(AND(AR87=TRUE,ISNUMBER(AS87)),MAX(0,AS87-SUMIFS($AM$3:$AM86,AR$3:AR86,TRUE)),IF(AND(AR87=TRUE,ISNUMBER(AS87)=FALSE),"ERR","N/A"))</f>
        <v>N/A</v>
      </c>
      <c r="AU87" s="215" t="str">
        <f t="shared" si="200"/>
        <v>N/A</v>
      </c>
      <c r="AV87" s="219" t="b">
        <f t="shared" si="201"/>
        <v>0</v>
      </c>
      <c r="AW87" s="217" t="str">
        <f t="shared" si="202"/>
        <v>N/A</v>
      </c>
      <c r="AX87" s="217" t="str">
        <f>IF(AND(AV87=TRUE,ISNUMBER(AW87)),MAX(0,AW87-SUMIFS($AM$3:$AM86,AV$3:AV86,TRUE)),IF(AND(AV87=TRUE,ISNUMBER(AW87)=FALSE),"ERR","N/A"))</f>
        <v>N/A</v>
      </c>
      <c r="AY87" s="215" t="str">
        <f t="shared" si="203"/>
        <v>N/A</v>
      </c>
      <c r="AZ87" s="219" t="b">
        <f t="shared" si="204"/>
        <v>0</v>
      </c>
      <c r="BA87" s="217" t="str">
        <f t="shared" si="205"/>
        <v>N/A</v>
      </c>
      <c r="BB87" s="217" t="str">
        <f>IF(AND(AZ87=TRUE,ISNUMBER(BA87)),MAX(0,BA87-SUMIFS($AM$3:$AM86,AZ$3:AZ86,TRUE)),IF(AND(AZ87=TRUE,ISNUMBER(BA87)=FALSE),"ERR","N/A"))</f>
        <v>N/A</v>
      </c>
      <c r="BC87" s="215" t="str">
        <f t="shared" si="206"/>
        <v>N/A</v>
      </c>
      <c r="BD87" s="219" t="b">
        <f t="shared" si="207"/>
        <v>0</v>
      </c>
      <c r="BE87" s="217" t="str">
        <f t="shared" si="208"/>
        <v>N/A</v>
      </c>
      <c r="BF87" s="217" t="str">
        <f>IF(AND(BD87=TRUE,ISNUMBER(BE87)=TRUE),MAX(0,BE87-SUMIFS(AM$3:AM86,BD$3:BD86,TRUE,F$3:F86,F87)),IF(AND(BD87=TRUE,ISNUMBER(BE87)=FALSE),"ERR","N/A"))</f>
        <v>N/A</v>
      </c>
      <c r="BG87" s="215" t="str">
        <f t="shared" si="209"/>
        <v>N/A</v>
      </c>
      <c r="BH87" s="214">
        <f t="shared" si="210"/>
        <v>0</v>
      </c>
      <c r="BI87" s="215">
        <f t="shared" si="161"/>
        <v>0</v>
      </c>
      <c r="BJ87" s="214" t="str">
        <f t="shared" si="171"/>
        <v>N/A</v>
      </c>
      <c r="BK87" s="217">
        <f t="shared" si="211"/>
        <v>0</v>
      </c>
      <c r="BL87" s="220" t="b">
        <f t="shared" si="212"/>
        <v>0</v>
      </c>
      <c r="BM87" s="217" t="str">
        <f t="shared" si="213"/>
        <v>N/A</v>
      </c>
      <c r="BN87" s="217" t="str">
        <f t="shared" si="162"/>
        <v>N/A</v>
      </c>
      <c r="BO87" s="220" t="b">
        <f t="shared" si="214"/>
        <v>0</v>
      </c>
      <c r="BP87" s="244" t="str">
        <f t="shared" si="215"/>
        <v>N/A</v>
      </c>
      <c r="BQ87" s="217" t="str">
        <f t="shared" si="163"/>
        <v>N/A</v>
      </c>
      <c r="BR87" s="215">
        <f t="shared" si="164"/>
        <v>0</v>
      </c>
      <c r="BS87" s="214" t="str">
        <f t="shared" si="172"/>
        <v>N/A</v>
      </c>
      <c r="BT87" s="217">
        <f t="shared" si="165"/>
        <v>0</v>
      </c>
      <c r="BU87" s="215">
        <f t="shared" si="173"/>
        <v>0</v>
      </c>
      <c r="BV87" s="214">
        <f t="shared" si="174"/>
        <v>0</v>
      </c>
      <c r="BW87" s="217">
        <f t="shared" si="216"/>
        <v>109.61</v>
      </c>
      <c r="BX87" s="217">
        <f t="shared" si="217"/>
        <v>0</v>
      </c>
      <c r="BY87" s="217">
        <f t="shared" si="166"/>
        <v>0</v>
      </c>
      <c r="BZ87" s="217">
        <f t="shared" si="218"/>
        <v>0</v>
      </c>
      <c r="CA87" s="217">
        <f t="shared" si="167"/>
        <v>0</v>
      </c>
      <c r="CB87" s="213" t="b">
        <f t="shared" si="219"/>
        <v>1</v>
      </c>
    </row>
    <row r="88" spans="1:80" x14ac:dyDescent="0.25">
      <c r="A88" s="207">
        <v>85</v>
      </c>
      <c r="B88" s="208">
        <v>42673</v>
      </c>
      <c r="C88" s="209">
        <v>10</v>
      </c>
      <c r="D88" s="210">
        <v>14</v>
      </c>
      <c r="E88" s="211" t="str">
        <f t="shared" si="175"/>
        <v>BD Ultrafine Insulin Syringes / 30G/ 0.5cc  [usage = 30 syringes per month]</v>
      </c>
      <c r="F88" s="212" t="str">
        <f t="shared" si="176"/>
        <v>Medical Supplies</v>
      </c>
      <c r="G88" s="213" t="str">
        <f t="shared" si="177"/>
        <v>Not Covered</v>
      </c>
      <c r="H88" s="214">
        <f t="shared" si="178"/>
        <v>20.62</v>
      </c>
      <c r="I88" s="217">
        <f t="shared" si="179"/>
        <v>20.62</v>
      </c>
      <c r="J88" s="251">
        <f t="shared" si="180"/>
        <v>0</v>
      </c>
      <c r="K88" s="214" t="b">
        <f t="shared" si="181"/>
        <v>0</v>
      </c>
      <c r="L88" s="218" t="str">
        <f t="shared" si="182"/>
        <v>No</v>
      </c>
      <c r="M88" s="217" t="str">
        <f t="shared" si="183"/>
        <v>.</v>
      </c>
      <c r="N88" s="215" t="str">
        <f>IFERROR(IF(AND(L88="Yes",ISNUMBER(M88)),MAX(0,M88-SUMIFS(BU$3:BU87,L$3:L87,"Yes")),IF(OR(L88="No",M88="None"),"N/A","ERR")),"ERR")</f>
        <v>N/A</v>
      </c>
      <c r="O88" s="251" t="b">
        <f t="shared" si="169"/>
        <v>0</v>
      </c>
      <c r="P88" s="251" t="str">
        <f>IF(O88,BENEFIT_PARAMETERS!$C$76,"N/A")</f>
        <v>N/A</v>
      </c>
      <c r="Q88" s="288" t="str">
        <f>IF(P88="Yes", BENEFIT_PARAMETERS!$D$76,"N/A")</f>
        <v>N/A</v>
      </c>
      <c r="R88" s="253" t="str">
        <f t="shared" si="168"/>
        <v>N/A</v>
      </c>
      <c r="S88" s="217">
        <f t="shared" si="155"/>
        <v>0</v>
      </c>
      <c r="T88" s="215">
        <f t="shared" si="184"/>
        <v>0</v>
      </c>
      <c r="U88" s="214" t="b">
        <f t="shared" si="170"/>
        <v>0</v>
      </c>
      <c r="V88" s="251" t="str">
        <f>IF(O88,BENEFIT_PARAMETERS!$C$77,"N/A")</f>
        <v>N/A</v>
      </c>
      <c r="W88" s="288" t="str">
        <f>IF(V88="Yes", BENEFIT_PARAMETERS!$D$77,"N/A")</f>
        <v>N/A</v>
      </c>
      <c r="X88" s="253" t="str">
        <f>IF(O88,COUNTIF(Z$3:Z87,"&gt;0"),"N/A")</f>
        <v>N/A</v>
      </c>
      <c r="Y88" s="217" t="str">
        <f t="shared" si="185"/>
        <v>N/A</v>
      </c>
      <c r="Z88" s="293" t="str">
        <f t="shared" si="156"/>
        <v>N/A</v>
      </c>
      <c r="AA88" s="293">
        <f t="shared" si="157"/>
        <v>0</v>
      </c>
      <c r="AB88" s="293" t="str">
        <f t="shared" si="186"/>
        <v>N/A</v>
      </c>
      <c r="AC88" s="215">
        <f t="shared" si="158"/>
        <v>0</v>
      </c>
      <c r="AD88" s="214" t="b">
        <f t="shared" si="187"/>
        <v>0</v>
      </c>
      <c r="AE88" s="209" t="str">
        <f t="shared" si="188"/>
        <v>.</v>
      </c>
      <c r="AF88" s="216">
        <f t="shared" si="189"/>
        <v>0</v>
      </c>
      <c r="AG88" s="217" t="str">
        <f t="shared" si="190"/>
        <v>N/A</v>
      </c>
      <c r="AH88" s="217" t="b">
        <f t="shared" si="191"/>
        <v>0</v>
      </c>
      <c r="AI88" s="209" t="str">
        <f t="shared" si="192"/>
        <v>.</v>
      </c>
      <c r="AJ88" s="216">
        <f t="shared" si="193"/>
        <v>10</v>
      </c>
      <c r="AK88" s="217" t="str">
        <f t="shared" si="194"/>
        <v>N/A</v>
      </c>
      <c r="AL88" s="217">
        <f t="shared" si="159"/>
        <v>0</v>
      </c>
      <c r="AM88" s="215">
        <f t="shared" si="160"/>
        <v>0</v>
      </c>
      <c r="AN88" s="219" t="b">
        <f t="shared" si="195"/>
        <v>0</v>
      </c>
      <c r="AO88" s="217" t="str">
        <f t="shared" si="196"/>
        <v>N/A</v>
      </c>
      <c r="AP88" s="217" t="str">
        <f>IF(AND(ISNUMBER(AO88),AN88=TRUE),MAX(0,AO88-SUMIFS($AM$3:$AM87,AN$3:AN87,TRUE)),IF(AND(AN88=TRUE,ISNUMBER(AO88)=FALSE),"ERR","N/A"))</f>
        <v>N/A</v>
      </c>
      <c r="AQ88" s="215" t="str">
        <f t="shared" si="197"/>
        <v>N/A</v>
      </c>
      <c r="AR88" s="219" t="b">
        <f t="shared" si="198"/>
        <v>0</v>
      </c>
      <c r="AS88" s="217" t="str">
        <f t="shared" si="199"/>
        <v>N/A</v>
      </c>
      <c r="AT88" s="217" t="str">
        <f>IF(AND(AR88=TRUE,ISNUMBER(AS88)),MAX(0,AS88-SUMIFS($AM$3:$AM87,AR$3:AR87,TRUE)),IF(AND(AR88=TRUE,ISNUMBER(AS88)=FALSE),"ERR","N/A"))</f>
        <v>N/A</v>
      </c>
      <c r="AU88" s="215" t="str">
        <f t="shared" si="200"/>
        <v>N/A</v>
      </c>
      <c r="AV88" s="219" t="b">
        <f t="shared" si="201"/>
        <v>0</v>
      </c>
      <c r="AW88" s="217" t="str">
        <f t="shared" si="202"/>
        <v>N/A</v>
      </c>
      <c r="AX88" s="217" t="str">
        <f>IF(AND(AV88=TRUE,ISNUMBER(AW88)),MAX(0,AW88-SUMIFS($AM$3:$AM87,AV$3:AV87,TRUE)),IF(AND(AV88=TRUE,ISNUMBER(AW88)=FALSE),"ERR","N/A"))</f>
        <v>N/A</v>
      </c>
      <c r="AY88" s="215" t="str">
        <f t="shared" si="203"/>
        <v>N/A</v>
      </c>
      <c r="AZ88" s="219" t="b">
        <f t="shared" si="204"/>
        <v>0</v>
      </c>
      <c r="BA88" s="217" t="str">
        <f t="shared" si="205"/>
        <v>N/A</v>
      </c>
      <c r="BB88" s="217" t="str">
        <f>IF(AND(AZ88=TRUE,ISNUMBER(BA88)),MAX(0,BA88-SUMIFS($AM$3:$AM87,AZ$3:AZ87,TRUE)),IF(AND(AZ88=TRUE,ISNUMBER(BA88)=FALSE),"ERR","N/A"))</f>
        <v>N/A</v>
      </c>
      <c r="BC88" s="215" t="str">
        <f t="shared" si="206"/>
        <v>N/A</v>
      </c>
      <c r="BD88" s="219" t="b">
        <f t="shared" si="207"/>
        <v>0</v>
      </c>
      <c r="BE88" s="217" t="str">
        <f t="shared" si="208"/>
        <v>N/A</v>
      </c>
      <c r="BF88" s="217" t="str">
        <f>IF(AND(BD88=TRUE,ISNUMBER(BE88)=TRUE),MAX(0,BE88-SUMIFS(AM$3:AM87,BD$3:BD87,TRUE,F$3:F87,F88)),IF(AND(BD88=TRUE,ISNUMBER(BE88)=FALSE),"ERR","N/A"))</f>
        <v>N/A</v>
      </c>
      <c r="BG88" s="215" t="str">
        <f t="shared" si="209"/>
        <v>N/A</v>
      </c>
      <c r="BH88" s="214">
        <f t="shared" si="210"/>
        <v>0</v>
      </c>
      <c r="BI88" s="215">
        <f t="shared" si="161"/>
        <v>0</v>
      </c>
      <c r="BJ88" s="214" t="str">
        <f t="shared" si="171"/>
        <v>N/A</v>
      </c>
      <c r="BK88" s="217">
        <f t="shared" si="211"/>
        <v>0</v>
      </c>
      <c r="BL88" s="220" t="b">
        <f t="shared" si="212"/>
        <v>0</v>
      </c>
      <c r="BM88" s="217" t="str">
        <f t="shared" si="213"/>
        <v>N/A</v>
      </c>
      <c r="BN88" s="217" t="str">
        <f t="shared" si="162"/>
        <v>N/A</v>
      </c>
      <c r="BO88" s="220" t="b">
        <f t="shared" si="214"/>
        <v>0</v>
      </c>
      <c r="BP88" s="244" t="str">
        <f t="shared" si="215"/>
        <v>N/A</v>
      </c>
      <c r="BQ88" s="217" t="str">
        <f t="shared" si="163"/>
        <v>N/A</v>
      </c>
      <c r="BR88" s="215">
        <f t="shared" si="164"/>
        <v>0</v>
      </c>
      <c r="BS88" s="214" t="str">
        <f t="shared" si="172"/>
        <v>N/A</v>
      </c>
      <c r="BT88" s="217">
        <f t="shared" si="165"/>
        <v>0</v>
      </c>
      <c r="BU88" s="215">
        <f t="shared" si="173"/>
        <v>0</v>
      </c>
      <c r="BV88" s="214">
        <f t="shared" si="174"/>
        <v>0</v>
      </c>
      <c r="BW88" s="217">
        <f t="shared" si="216"/>
        <v>20.62</v>
      </c>
      <c r="BX88" s="217">
        <f t="shared" si="217"/>
        <v>0</v>
      </c>
      <c r="BY88" s="217">
        <f t="shared" si="166"/>
        <v>0</v>
      </c>
      <c r="BZ88" s="217">
        <f t="shared" si="218"/>
        <v>0</v>
      </c>
      <c r="CA88" s="217">
        <f t="shared" si="167"/>
        <v>0</v>
      </c>
      <c r="CB88" s="213" t="b">
        <f t="shared" si="219"/>
        <v>1</v>
      </c>
    </row>
    <row r="89" spans="1:80" x14ac:dyDescent="0.25">
      <c r="A89" s="207">
        <v>86</v>
      </c>
      <c r="B89" s="208">
        <v>42673</v>
      </c>
      <c r="C89" s="209">
        <v>10</v>
      </c>
      <c r="D89" s="210">
        <v>32</v>
      </c>
      <c r="E89" s="211" t="str">
        <f t="shared" si="175"/>
        <v>Metformin Hydrochloride 500 MG TABLET [ #60 pills/month]</v>
      </c>
      <c r="F89" s="212" t="str">
        <f t="shared" si="176"/>
        <v>Prescription Drugs: Generic</v>
      </c>
      <c r="G89" s="213" t="str">
        <f t="shared" si="177"/>
        <v>Not Covered</v>
      </c>
      <c r="H89" s="214">
        <f t="shared" si="178"/>
        <v>3.21</v>
      </c>
      <c r="I89" s="217">
        <f t="shared" si="179"/>
        <v>3.21</v>
      </c>
      <c r="J89" s="251">
        <f t="shared" si="180"/>
        <v>0</v>
      </c>
      <c r="K89" s="214" t="b">
        <f t="shared" si="181"/>
        <v>0</v>
      </c>
      <c r="L89" s="218" t="str">
        <f t="shared" si="182"/>
        <v>No</v>
      </c>
      <c r="M89" s="217" t="str">
        <f t="shared" si="183"/>
        <v>.</v>
      </c>
      <c r="N89" s="215" t="str">
        <f>IFERROR(IF(AND(L89="Yes",ISNUMBER(M89)),MAX(0,M89-SUMIFS(BU$3:BU88,L$3:L88,"Yes")),IF(OR(L89="No",M89="None"),"N/A","ERR")),"ERR")</f>
        <v>N/A</v>
      </c>
      <c r="O89" s="251" t="b">
        <f t="shared" si="169"/>
        <v>0</v>
      </c>
      <c r="P89" s="251" t="str">
        <f>IF(O89,BENEFIT_PARAMETERS!$C$76,"N/A")</f>
        <v>N/A</v>
      </c>
      <c r="Q89" s="288" t="str">
        <f>IF(P89="Yes", BENEFIT_PARAMETERS!$D$76,"N/A")</f>
        <v>N/A</v>
      </c>
      <c r="R89" s="253" t="str">
        <f t="shared" si="168"/>
        <v>N/A</v>
      </c>
      <c r="S89" s="217">
        <f t="shared" si="155"/>
        <v>0</v>
      </c>
      <c r="T89" s="215">
        <f t="shared" si="184"/>
        <v>0</v>
      </c>
      <c r="U89" s="214" t="b">
        <f t="shared" si="170"/>
        <v>0</v>
      </c>
      <c r="V89" s="251" t="str">
        <f>IF(O89,BENEFIT_PARAMETERS!$C$77,"N/A")</f>
        <v>N/A</v>
      </c>
      <c r="W89" s="288" t="str">
        <f>IF(V89="Yes", BENEFIT_PARAMETERS!$D$77,"N/A")</f>
        <v>N/A</v>
      </c>
      <c r="X89" s="253" t="str">
        <f>IF(O89,COUNTIF(Z$3:Z88,"&gt;0"),"N/A")</f>
        <v>N/A</v>
      </c>
      <c r="Y89" s="217" t="str">
        <f t="shared" si="185"/>
        <v>N/A</v>
      </c>
      <c r="Z89" s="293" t="str">
        <f t="shared" si="156"/>
        <v>N/A</v>
      </c>
      <c r="AA89" s="293">
        <f t="shared" si="157"/>
        <v>0</v>
      </c>
      <c r="AB89" s="293" t="str">
        <f t="shared" si="186"/>
        <v>N/A</v>
      </c>
      <c r="AC89" s="215">
        <f t="shared" si="158"/>
        <v>0</v>
      </c>
      <c r="AD89" s="214" t="b">
        <f t="shared" si="187"/>
        <v>0</v>
      </c>
      <c r="AE89" s="209" t="str">
        <f t="shared" si="188"/>
        <v>.</v>
      </c>
      <c r="AF89" s="216">
        <f t="shared" si="189"/>
        <v>0</v>
      </c>
      <c r="AG89" s="217" t="str">
        <f t="shared" si="190"/>
        <v>N/A</v>
      </c>
      <c r="AH89" s="217" t="b">
        <f t="shared" si="191"/>
        <v>0</v>
      </c>
      <c r="AI89" s="209" t="str">
        <f t="shared" si="192"/>
        <v>.</v>
      </c>
      <c r="AJ89" s="216">
        <f t="shared" si="193"/>
        <v>10</v>
      </c>
      <c r="AK89" s="217" t="str">
        <f t="shared" si="194"/>
        <v>N/A</v>
      </c>
      <c r="AL89" s="217">
        <f t="shared" si="159"/>
        <v>0</v>
      </c>
      <c r="AM89" s="215">
        <f t="shared" si="160"/>
        <v>0</v>
      </c>
      <c r="AN89" s="219" t="b">
        <f t="shared" si="195"/>
        <v>0</v>
      </c>
      <c r="AO89" s="217" t="str">
        <f t="shared" si="196"/>
        <v>N/A</v>
      </c>
      <c r="AP89" s="217" t="str">
        <f>IF(AND(ISNUMBER(AO89),AN89=TRUE),MAX(0,AO89-SUMIFS($AM$3:$AM88,AN$3:AN88,TRUE)),IF(AND(AN89=TRUE,ISNUMBER(AO89)=FALSE),"ERR","N/A"))</f>
        <v>N/A</v>
      </c>
      <c r="AQ89" s="215" t="str">
        <f t="shared" si="197"/>
        <v>N/A</v>
      </c>
      <c r="AR89" s="219" t="b">
        <f t="shared" si="198"/>
        <v>0</v>
      </c>
      <c r="AS89" s="217" t="str">
        <f t="shared" si="199"/>
        <v>N/A</v>
      </c>
      <c r="AT89" s="217" t="str">
        <f>IF(AND(AR89=TRUE,ISNUMBER(AS89)),MAX(0,AS89-SUMIFS($AM$3:$AM88,AR$3:AR88,TRUE)),IF(AND(AR89=TRUE,ISNUMBER(AS89)=FALSE),"ERR","N/A"))</f>
        <v>N/A</v>
      </c>
      <c r="AU89" s="215" t="str">
        <f t="shared" si="200"/>
        <v>N/A</v>
      </c>
      <c r="AV89" s="219" t="b">
        <f t="shared" si="201"/>
        <v>0</v>
      </c>
      <c r="AW89" s="217" t="str">
        <f t="shared" si="202"/>
        <v>N/A</v>
      </c>
      <c r="AX89" s="217" t="str">
        <f>IF(AND(AV89=TRUE,ISNUMBER(AW89)),MAX(0,AW89-SUMIFS($AM$3:$AM88,AV$3:AV88,TRUE)),IF(AND(AV89=TRUE,ISNUMBER(AW89)=FALSE),"ERR","N/A"))</f>
        <v>N/A</v>
      </c>
      <c r="AY89" s="215" t="str">
        <f t="shared" si="203"/>
        <v>N/A</v>
      </c>
      <c r="AZ89" s="219" t="b">
        <f t="shared" si="204"/>
        <v>0</v>
      </c>
      <c r="BA89" s="217" t="str">
        <f t="shared" si="205"/>
        <v>N/A</v>
      </c>
      <c r="BB89" s="217" t="str">
        <f>IF(AND(AZ89=TRUE,ISNUMBER(BA89)),MAX(0,BA89-SUMIFS($AM$3:$AM88,AZ$3:AZ88,TRUE)),IF(AND(AZ89=TRUE,ISNUMBER(BA89)=FALSE),"ERR","N/A"))</f>
        <v>N/A</v>
      </c>
      <c r="BC89" s="215" t="str">
        <f t="shared" si="206"/>
        <v>N/A</v>
      </c>
      <c r="BD89" s="219" t="b">
        <f t="shared" si="207"/>
        <v>0</v>
      </c>
      <c r="BE89" s="217" t="str">
        <f t="shared" si="208"/>
        <v>N/A</v>
      </c>
      <c r="BF89" s="217" t="str">
        <f>IF(AND(BD89=TRUE,ISNUMBER(BE89)=TRUE),MAX(0,BE89-SUMIFS(AM$3:AM88,BD$3:BD88,TRUE,F$3:F88,F89)),IF(AND(BD89=TRUE,ISNUMBER(BE89)=FALSE),"ERR","N/A"))</f>
        <v>N/A</v>
      </c>
      <c r="BG89" s="215" t="str">
        <f t="shared" si="209"/>
        <v>N/A</v>
      </c>
      <c r="BH89" s="214">
        <f t="shared" si="210"/>
        <v>0</v>
      </c>
      <c r="BI89" s="215">
        <f t="shared" si="161"/>
        <v>0</v>
      </c>
      <c r="BJ89" s="214" t="str">
        <f t="shared" si="171"/>
        <v>N/A</v>
      </c>
      <c r="BK89" s="217">
        <f t="shared" si="211"/>
        <v>0</v>
      </c>
      <c r="BL89" s="220" t="b">
        <f t="shared" si="212"/>
        <v>0</v>
      </c>
      <c r="BM89" s="217" t="str">
        <f t="shared" si="213"/>
        <v>N/A</v>
      </c>
      <c r="BN89" s="217" t="str">
        <f t="shared" si="162"/>
        <v>N/A</v>
      </c>
      <c r="BO89" s="220" t="b">
        <f t="shared" si="214"/>
        <v>0</v>
      </c>
      <c r="BP89" s="244" t="str">
        <f t="shared" si="215"/>
        <v>N/A</v>
      </c>
      <c r="BQ89" s="217" t="str">
        <f t="shared" si="163"/>
        <v>N/A</v>
      </c>
      <c r="BR89" s="215">
        <f t="shared" si="164"/>
        <v>0</v>
      </c>
      <c r="BS89" s="214" t="str">
        <f t="shared" si="172"/>
        <v>N/A</v>
      </c>
      <c r="BT89" s="217">
        <f t="shared" si="165"/>
        <v>0</v>
      </c>
      <c r="BU89" s="215">
        <f t="shared" si="173"/>
        <v>0</v>
      </c>
      <c r="BV89" s="214">
        <f t="shared" si="174"/>
        <v>0</v>
      </c>
      <c r="BW89" s="217">
        <f t="shared" si="216"/>
        <v>3.21</v>
      </c>
      <c r="BX89" s="217">
        <f t="shared" si="217"/>
        <v>0</v>
      </c>
      <c r="BY89" s="217">
        <f t="shared" si="166"/>
        <v>0</v>
      </c>
      <c r="BZ89" s="217">
        <f t="shared" si="218"/>
        <v>0</v>
      </c>
      <c r="CA89" s="217">
        <f t="shared" si="167"/>
        <v>0</v>
      </c>
      <c r="CB89" s="213" t="b">
        <f t="shared" si="219"/>
        <v>1</v>
      </c>
    </row>
    <row r="90" spans="1:80" x14ac:dyDescent="0.25">
      <c r="A90" s="207">
        <v>87</v>
      </c>
      <c r="B90" s="208">
        <v>42673</v>
      </c>
      <c r="C90" s="209">
        <v>10</v>
      </c>
      <c r="D90" s="210">
        <v>19</v>
      </c>
      <c r="E90" s="211" t="str">
        <f t="shared" si="175"/>
        <v>Lisinopril 20mg (Rx) [1 QD; #30 pills/month]</v>
      </c>
      <c r="F90" s="212" t="str">
        <f t="shared" si="176"/>
        <v>Prescription Drugs: Generic</v>
      </c>
      <c r="G90" s="213" t="str">
        <f t="shared" si="177"/>
        <v>Not Covered</v>
      </c>
      <c r="H90" s="214">
        <f t="shared" si="178"/>
        <v>3.38</v>
      </c>
      <c r="I90" s="217">
        <f t="shared" si="179"/>
        <v>3.38</v>
      </c>
      <c r="J90" s="251">
        <f t="shared" si="180"/>
        <v>0</v>
      </c>
      <c r="K90" s="214" t="b">
        <f t="shared" si="181"/>
        <v>0</v>
      </c>
      <c r="L90" s="218" t="str">
        <f t="shared" si="182"/>
        <v>No</v>
      </c>
      <c r="M90" s="217" t="str">
        <f t="shared" si="183"/>
        <v>.</v>
      </c>
      <c r="N90" s="215" t="str">
        <f>IFERROR(IF(AND(L90="Yes",ISNUMBER(M90)),MAX(0,M90-SUMIFS(BU$3:BU89,L$3:L89,"Yes")),IF(OR(L90="No",M90="None"),"N/A","ERR")),"ERR")</f>
        <v>N/A</v>
      </c>
      <c r="O90" s="251" t="b">
        <f t="shared" si="169"/>
        <v>0</v>
      </c>
      <c r="P90" s="251" t="str">
        <f>IF(O90,BENEFIT_PARAMETERS!$C$76,"N/A")</f>
        <v>N/A</v>
      </c>
      <c r="Q90" s="288" t="str">
        <f>IF(P90="Yes", BENEFIT_PARAMETERS!$D$76,"N/A")</f>
        <v>N/A</v>
      </c>
      <c r="R90" s="253" t="str">
        <f t="shared" si="168"/>
        <v>N/A</v>
      </c>
      <c r="S90" s="217">
        <f t="shared" si="155"/>
        <v>0</v>
      </c>
      <c r="T90" s="215">
        <f t="shared" si="184"/>
        <v>0</v>
      </c>
      <c r="U90" s="214" t="b">
        <f t="shared" si="170"/>
        <v>0</v>
      </c>
      <c r="V90" s="251" t="str">
        <f>IF(O90,BENEFIT_PARAMETERS!$C$77,"N/A")</f>
        <v>N/A</v>
      </c>
      <c r="W90" s="288" t="str">
        <f>IF(V90="Yes", BENEFIT_PARAMETERS!$D$77,"N/A")</f>
        <v>N/A</v>
      </c>
      <c r="X90" s="253" t="str">
        <f>IF(O90,COUNTIF(Z$3:Z89,"&gt;0"),"N/A")</f>
        <v>N/A</v>
      </c>
      <c r="Y90" s="217" t="str">
        <f t="shared" si="185"/>
        <v>N/A</v>
      </c>
      <c r="Z90" s="293" t="str">
        <f t="shared" si="156"/>
        <v>N/A</v>
      </c>
      <c r="AA90" s="293">
        <f t="shared" si="157"/>
        <v>0</v>
      </c>
      <c r="AB90" s="293" t="str">
        <f t="shared" si="186"/>
        <v>N/A</v>
      </c>
      <c r="AC90" s="215">
        <f t="shared" si="158"/>
        <v>0</v>
      </c>
      <c r="AD90" s="214" t="b">
        <f t="shared" si="187"/>
        <v>0</v>
      </c>
      <c r="AE90" s="209" t="str">
        <f t="shared" si="188"/>
        <v>.</v>
      </c>
      <c r="AF90" s="216">
        <f t="shared" si="189"/>
        <v>0</v>
      </c>
      <c r="AG90" s="217" t="str">
        <f t="shared" si="190"/>
        <v>N/A</v>
      </c>
      <c r="AH90" s="217" t="b">
        <f t="shared" si="191"/>
        <v>0</v>
      </c>
      <c r="AI90" s="209" t="str">
        <f t="shared" si="192"/>
        <v>.</v>
      </c>
      <c r="AJ90" s="216">
        <f t="shared" si="193"/>
        <v>10</v>
      </c>
      <c r="AK90" s="217" t="str">
        <f t="shared" si="194"/>
        <v>N/A</v>
      </c>
      <c r="AL90" s="217">
        <f t="shared" si="159"/>
        <v>0</v>
      </c>
      <c r="AM90" s="215">
        <f t="shared" si="160"/>
        <v>0</v>
      </c>
      <c r="AN90" s="219" t="b">
        <f t="shared" si="195"/>
        <v>0</v>
      </c>
      <c r="AO90" s="217" t="str">
        <f t="shared" si="196"/>
        <v>N/A</v>
      </c>
      <c r="AP90" s="217" t="str">
        <f>IF(AND(ISNUMBER(AO90),AN90=TRUE),MAX(0,AO90-SUMIFS($AM$3:$AM89,AN$3:AN89,TRUE)),IF(AND(AN90=TRUE,ISNUMBER(AO90)=FALSE),"ERR","N/A"))</f>
        <v>N/A</v>
      </c>
      <c r="AQ90" s="215" t="str">
        <f t="shared" si="197"/>
        <v>N/A</v>
      </c>
      <c r="AR90" s="219" t="b">
        <f t="shared" si="198"/>
        <v>0</v>
      </c>
      <c r="AS90" s="217" t="str">
        <f t="shared" si="199"/>
        <v>N/A</v>
      </c>
      <c r="AT90" s="217" t="str">
        <f>IF(AND(AR90=TRUE,ISNUMBER(AS90)),MAX(0,AS90-SUMIFS($AM$3:$AM89,AR$3:AR89,TRUE)),IF(AND(AR90=TRUE,ISNUMBER(AS90)=FALSE),"ERR","N/A"))</f>
        <v>N/A</v>
      </c>
      <c r="AU90" s="215" t="str">
        <f t="shared" si="200"/>
        <v>N/A</v>
      </c>
      <c r="AV90" s="219" t="b">
        <f t="shared" si="201"/>
        <v>0</v>
      </c>
      <c r="AW90" s="217" t="str">
        <f t="shared" si="202"/>
        <v>N/A</v>
      </c>
      <c r="AX90" s="217" t="str">
        <f>IF(AND(AV90=TRUE,ISNUMBER(AW90)),MAX(0,AW90-SUMIFS($AM$3:$AM89,AV$3:AV89,TRUE)),IF(AND(AV90=TRUE,ISNUMBER(AW90)=FALSE),"ERR","N/A"))</f>
        <v>N/A</v>
      </c>
      <c r="AY90" s="215" t="str">
        <f t="shared" si="203"/>
        <v>N/A</v>
      </c>
      <c r="AZ90" s="219" t="b">
        <f t="shared" si="204"/>
        <v>0</v>
      </c>
      <c r="BA90" s="217" t="str">
        <f t="shared" si="205"/>
        <v>N/A</v>
      </c>
      <c r="BB90" s="217" t="str">
        <f>IF(AND(AZ90=TRUE,ISNUMBER(BA90)),MAX(0,BA90-SUMIFS($AM$3:$AM89,AZ$3:AZ89,TRUE)),IF(AND(AZ90=TRUE,ISNUMBER(BA90)=FALSE),"ERR","N/A"))</f>
        <v>N/A</v>
      </c>
      <c r="BC90" s="215" t="str">
        <f t="shared" si="206"/>
        <v>N/A</v>
      </c>
      <c r="BD90" s="219" t="b">
        <f t="shared" si="207"/>
        <v>0</v>
      </c>
      <c r="BE90" s="217" t="str">
        <f t="shared" si="208"/>
        <v>N/A</v>
      </c>
      <c r="BF90" s="217" t="str">
        <f>IF(AND(BD90=TRUE,ISNUMBER(BE90)=TRUE),MAX(0,BE90-SUMIFS(AM$3:AM89,BD$3:BD89,TRUE,F$3:F89,F90)),IF(AND(BD90=TRUE,ISNUMBER(BE90)=FALSE),"ERR","N/A"))</f>
        <v>N/A</v>
      </c>
      <c r="BG90" s="215" t="str">
        <f t="shared" si="209"/>
        <v>N/A</v>
      </c>
      <c r="BH90" s="214">
        <f t="shared" si="210"/>
        <v>0</v>
      </c>
      <c r="BI90" s="215">
        <f t="shared" si="161"/>
        <v>0</v>
      </c>
      <c r="BJ90" s="214" t="str">
        <f t="shared" si="171"/>
        <v>N/A</v>
      </c>
      <c r="BK90" s="217">
        <f t="shared" si="211"/>
        <v>0</v>
      </c>
      <c r="BL90" s="220" t="b">
        <f t="shared" si="212"/>
        <v>0</v>
      </c>
      <c r="BM90" s="217" t="str">
        <f t="shared" si="213"/>
        <v>N/A</v>
      </c>
      <c r="BN90" s="217" t="str">
        <f t="shared" si="162"/>
        <v>N/A</v>
      </c>
      <c r="BO90" s="220" t="b">
        <f t="shared" si="214"/>
        <v>0</v>
      </c>
      <c r="BP90" s="244" t="str">
        <f t="shared" si="215"/>
        <v>N/A</v>
      </c>
      <c r="BQ90" s="217" t="str">
        <f t="shared" si="163"/>
        <v>N/A</v>
      </c>
      <c r="BR90" s="215">
        <f t="shared" si="164"/>
        <v>0</v>
      </c>
      <c r="BS90" s="214" t="str">
        <f t="shared" si="172"/>
        <v>N/A</v>
      </c>
      <c r="BT90" s="217">
        <f t="shared" si="165"/>
        <v>0</v>
      </c>
      <c r="BU90" s="215">
        <f t="shared" si="173"/>
        <v>0</v>
      </c>
      <c r="BV90" s="214">
        <f t="shared" si="174"/>
        <v>0</v>
      </c>
      <c r="BW90" s="217">
        <f t="shared" si="216"/>
        <v>3.38</v>
      </c>
      <c r="BX90" s="217">
        <f t="shared" si="217"/>
        <v>0</v>
      </c>
      <c r="BY90" s="217">
        <f t="shared" si="166"/>
        <v>0</v>
      </c>
      <c r="BZ90" s="217">
        <f t="shared" si="218"/>
        <v>0</v>
      </c>
      <c r="CA90" s="217">
        <f t="shared" si="167"/>
        <v>0</v>
      </c>
      <c r="CB90" s="213" t="b">
        <f t="shared" si="219"/>
        <v>1</v>
      </c>
    </row>
    <row r="91" spans="1:80" x14ac:dyDescent="0.25">
      <c r="A91" s="207">
        <v>88</v>
      </c>
      <c r="B91" s="208">
        <v>42681</v>
      </c>
      <c r="C91" s="209">
        <v>11</v>
      </c>
      <c r="D91" s="210">
        <v>17</v>
      </c>
      <c r="E91" s="211" t="str">
        <f t="shared" si="175"/>
        <v>Insulin glargine 100 unit/ml injectable solution (Rx - 10ml vial)  [20 units QD; expires 28 days after first use]</v>
      </c>
      <c r="F91" s="212" t="str">
        <f t="shared" si="176"/>
        <v>Prescription Drugs: Insulin</v>
      </c>
      <c r="G91" s="213" t="str">
        <f t="shared" si="177"/>
        <v>Not Covered</v>
      </c>
      <c r="H91" s="214">
        <f t="shared" si="178"/>
        <v>240.37</v>
      </c>
      <c r="I91" s="217">
        <f t="shared" si="179"/>
        <v>240.37</v>
      </c>
      <c r="J91" s="251">
        <f t="shared" si="180"/>
        <v>0</v>
      </c>
      <c r="K91" s="214" t="b">
        <f t="shared" si="181"/>
        <v>0</v>
      </c>
      <c r="L91" s="218" t="str">
        <f t="shared" si="182"/>
        <v>No</v>
      </c>
      <c r="M91" s="217" t="str">
        <f t="shared" si="183"/>
        <v>.</v>
      </c>
      <c r="N91" s="215" t="str">
        <f>IFERROR(IF(AND(L91="Yes",ISNUMBER(M91)),MAX(0,M91-SUMIFS(BU$3:BU90,L$3:L90,"Yes")),IF(OR(L91="No",M91="None"),"N/A","ERR")),"ERR")</f>
        <v>N/A</v>
      </c>
      <c r="O91" s="251" t="b">
        <f t="shared" si="169"/>
        <v>0</v>
      </c>
      <c r="P91" s="251" t="str">
        <f>IF(O91,BENEFIT_PARAMETERS!$C$76,"N/A")</f>
        <v>N/A</v>
      </c>
      <c r="Q91" s="288" t="str">
        <f>IF(P91="Yes", BENEFIT_PARAMETERS!$D$76,"N/A")</f>
        <v>N/A</v>
      </c>
      <c r="R91" s="253" t="str">
        <f t="shared" si="168"/>
        <v>N/A</v>
      </c>
      <c r="S91" s="217">
        <f t="shared" si="155"/>
        <v>0</v>
      </c>
      <c r="T91" s="215">
        <f t="shared" si="184"/>
        <v>0</v>
      </c>
      <c r="U91" s="214" t="b">
        <f t="shared" si="170"/>
        <v>0</v>
      </c>
      <c r="V91" s="251" t="str">
        <f>IF(O91,BENEFIT_PARAMETERS!$C$77,"N/A")</f>
        <v>N/A</v>
      </c>
      <c r="W91" s="288" t="str">
        <f>IF(V91="Yes", BENEFIT_PARAMETERS!$D$77,"N/A")</f>
        <v>N/A</v>
      </c>
      <c r="X91" s="253" t="str">
        <f>IF(O91,COUNTIF(Z$3:Z90,"&gt;0"),"N/A")</f>
        <v>N/A</v>
      </c>
      <c r="Y91" s="217" t="str">
        <f t="shared" si="185"/>
        <v>N/A</v>
      </c>
      <c r="Z91" s="293" t="str">
        <f t="shared" si="156"/>
        <v>N/A</v>
      </c>
      <c r="AA91" s="293">
        <f t="shared" si="157"/>
        <v>0</v>
      </c>
      <c r="AB91" s="293" t="str">
        <f t="shared" si="186"/>
        <v>N/A</v>
      </c>
      <c r="AC91" s="215">
        <f t="shared" si="158"/>
        <v>0</v>
      </c>
      <c r="AD91" s="214" t="b">
        <f t="shared" si="187"/>
        <v>0</v>
      </c>
      <c r="AE91" s="209" t="str">
        <f t="shared" si="188"/>
        <v>.</v>
      </c>
      <c r="AF91" s="216">
        <f t="shared" si="189"/>
        <v>0</v>
      </c>
      <c r="AG91" s="217" t="str">
        <f t="shared" si="190"/>
        <v>N/A</v>
      </c>
      <c r="AH91" s="217" t="b">
        <f t="shared" si="191"/>
        <v>0</v>
      </c>
      <c r="AI91" s="209" t="str">
        <f t="shared" si="192"/>
        <v>.</v>
      </c>
      <c r="AJ91" s="216">
        <f t="shared" si="193"/>
        <v>11</v>
      </c>
      <c r="AK91" s="217" t="str">
        <f t="shared" si="194"/>
        <v>N/A</v>
      </c>
      <c r="AL91" s="217">
        <f t="shared" si="159"/>
        <v>0</v>
      </c>
      <c r="AM91" s="215">
        <f t="shared" si="160"/>
        <v>0</v>
      </c>
      <c r="AN91" s="219" t="b">
        <f t="shared" si="195"/>
        <v>0</v>
      </c>
      <c r="AO91" s="217" t="str">
        <f t="shared" si="196"/>
        <v>N/A</v>
      </c>
      <c r="AP91" s="217" t="str">
        <f>IF(AND(ISNUMBER(AO91),AN91=TRUE),MAX(0,AO91-SUMIFS($AM$3:$AM90,AN$3:AN90,TRUE)),IF(AND(AN91=TRUE,ISNUMBER(AO91)=FALSE),"ERR","N/A"))</f>
        <v>N/A</v>
      </c>
      <c r="AQ91" s="215" t="str">
        <f t="shared" si="197"/>
        <v>N/A</v>
      </c>
      <c r="AR91" s="219" t="b">
        <f t="shared" si="198"/>
        <v>0</v>
      </c>
      <c r="AS91" s="217" t="str">
        <f t="shared" si="199"/>
        <v>N/A</v>
      </c>
      <c r="AT91" s="217" t="str">
        <f>IF(AND(AR91=TRUE,ISNUMBER(AS91)),MAX(0,AS91-SUMIFS($AM$3:$AM90,AR$3:AR90,TRUE)),IF(AND(AR91=TRUE,ISNUMBER(AS91)=FALSE),"ERR","N/A"))</f>
        <v>N/A</v>
      </c>
      <c r="AU91" s="215" t="str">
        <f t="shared" si="200"/>
        <v>N/A</v>
      </c>
      <c r="AV91" s="219" t="b">
        <f t="shared" si="201"/>
        <v>0</v>
      </c>
      <c r="AW91" s="217" t="str">
        <f t="shared" si="202"/>
        <v>N/A</v>
      </c>
      <c r="AX91" s="217" t="str">
        <f>IF(AND(AV91=TRUE,ISNUMBER(AW91)),MAX(0,AW91-SUMIFS($AM$3:$AM90,AV$3:AV90,TRUE)),IF(AND(AV91=TRUE,ISNUMBER(AW91)=FALSE),"ERR","N/A"))</f>
        <v>N/A</v>
      </c>
      <c r="AY91" s="215" t="str">
        <f t="shared" si="203"/>
        <v>N/A</v>
      </c>
      <c r="AZ91" s="219" t="b">
        <f t="shared" si="204"/>
        <v>0</v>
      </c>
      <c r="BA91" s="217" t="str">
        <f t="shared" si="205"/>
        <v>N/A</v>
      </c>
      <c r="BB91" s="217" t="str">
        <f>IF(AND(AZ91=TRUE,ISNUMBER(BA91)),MAX(0,BA91-SUMIFS($AM$3:$AM90,AZ$3:AZ90,TRUE)),IF(AND(AZ91=TRUE,ISNUMBER(BA91)=FALSE),"ERR","N/A"))</f>
        <v>N/A</v>
      </c>
      <c r="BC91" s="215" t="str">
        <f t="shared" si="206"/>
        <v>N/A</v>
      </c>
      <c r="BD91" s="219" t="b">
        <f t="shared" si="207"/>
        <v>0</v>
      </c>
      <c r="BE91" s="217" t="str">
        <f t="shared" si="208"/>
        <v>N/A</v>
      </c>
      <c r="BF91" s="217" t="str">
        <f>IF(AND(BD91=TRUE,ISNUMBER(BE91)=TRUE),MAX(0,BE91-SUMIFS(AM$3:AM90,BD$3:BD90,TRUE,F$3:F90,F91)),IF(AND(BD91=TRUE,ISNUMBER(BE91)=FALSE),"ERR","N/A"))</f>
        <v>N/A</v>
      </c>
      <c r="BG91" s="215" t="str">
        <f t="shared" si="209"/>
        <v>N/A</v>
      </c>
      <c r="BH91" s="214">
        <f t="shared" si="210"/>
        <v>0</v>
      </c>
      <c r="BI91" s="215">
        <f t="shared" si="161"/>
        <v>0</v>
      </c>
      <c r="BJ91" s="214" t="str">
        <f t="shared" si="171"/>
        <v>N/A</v>
      </c>
      <c r="BK91" s="217">
        <f t="shared" si="211"/>
        <v>0</v>
      </c>
      <c r="BL91" s="220" t="b">
        <f t="shared" si="212"/>
        <v>0</v>
      </c>
      <c r="BM91" s="217" t="str">
        <f t="shared" si="213"/>
        <v>N/A</v>
      </c>
      <c r="BN91" s="217" t="str">
        <f t="shared" si="162"/>
        <v>N/A</v>
      </c>
      <c r="BO91" s="220" t="b">
        <f t="shared" si="214"/>
        <v>0</v>
      </c>
      <c r="BP91" s="244" t="str">
        <f t="shared" si="215"/>
        <v>N/A</v>
      </c>
      <c r="BQ91" s="217" t="str">
        <f t="shared" si="163"/>
        <v>N/A</v>
      </c>
      <c r="BR91" s="215">
        <f t="shared" si="164"/>
        <v>0</v>
      </c>
      <c r="BS91" s="214" t="str">
        <f t="shared" si="172"/>
        <v>N/A</v>
      </c>
      <c r="BT91" s="217">
        <f t="shared" si="165"/>
        <v>0</v>
      </c>
      <c r="BU91" s="215">
        <f t="shared" si="173"/>
        <v>0</v>
      </c>
      <c r="BV91" s="214">
        <f t="shared" si="174"/>
        <v>0</v>
      </c>
      <c r="BW91" s="217">
        <f t="shared" si="216"/>
        <v>240.37</v>
      </c>
      <c r="BX91" s="217">
        <f t="shared" si="217"/>
        <v>0</v>
      </c>
      <c r="BY91" s="217">
        <f t="shared" si="166"/>
        <v>0</v>
      </c>
      <c r="BZ91" s="217">
        <f t="shared" si="218"/>
        <v>0</v>
      </c>
      <c r="CA91" s="217">
        <f t="shared" si="167"/>
        <v>0</v>
      </c>
      <c r="CB91" s="213" t="b">
        <f t="shared" si="219"/>
        <v>1</v>
      </c>
    </row>
    <row r="92" spans="1:80" x14ac:dyDescent="0.25">
      <c r="A92" s="207">
        <v>89</v>
      </c>
      <c r="B92" s="208">
        <v>42703</v>
      </c>
      <c r="C92" s="209">
        <v>11</v>
      </c>
      <c r="D92" s="210">
        <v>14</v>
      </c>
      <c r="E92" s="211" t="str">
        <f t="shared" si="175"/>
        <v>BD Ultrafine Insulin Syringes / 30G/ 0.5cc  [usage = 30 syringes per month]</v>
      </c>
      <c r="F92" s="212" t="str">
        <f t="shared" si="176"/>
        <v>Medical Supplies</v>
      </c>
      <c r="G92" s="213" t="str">
        <f t="shared" si="177"/>
        <v>Not Covered</v>
      </c>
      <c r="H92" s="214">
        <f t="shared" si="178"/>
        <v>20.62</v>
      </c>
      <c r="I92" s="217">
        <f t="shared" si="179"/>
        <v>20.62</v>
      </c>
      <c r="J92" s="251">
        <f t="shared" si="180"/>
        <v>0</v>
      </c>
      <c r="K92" s="214" t="b">
        <f t="shared" si="181"/>
        <v>0</v>
      </c>
      <c r="L92" s="218" t="str">
        <f t="shared" si="182"/>
        <v>No</v>
      </c>
      <c r="M92" s="217" t="str">
        <f t="shared" si="183"/>
        <v>.</v>
      </c>
      <c r="N92" s="215" t="str">
        <f>IFERROR(IF(AND(L92="Yes",ISNUMBER(M92)),MAX(0,M92-SUMIFS(BU$3:BU91,L$3:L91,"Yes")),IF(OR(L92="No",M92="None"),"N/A","ERR")),"ERR")</f>
        <v>N/A</v>
      </c>
      <c r="O92" s="251" t="b">
        <f t="shared" si="169"/>
        <v>0</v>
      </c>
      <c r="P92" s="251" t="str">
        <f>IF(O92,BENEFIT_PARAMETERS!$C$76,"N/A")</f>
        <v>N/A</v>
      </c>
      <c r="Q92" s="288" t="str">
        <f>IF(P92="Yes", BENEFIT_PARAMETERS!$D$76,"N/A")</f>
        <v>N/A</v>
      </c>
      <c r="R92" s="253" t="str">
        <f t="shared" si="168"/>
        <v>N/A</v>
      </c>
      <c r="S92" s="217">
        <f t="shared" si="155"/>
        <v>0</v>
      </c>
      <c r="T92" s="215">
        <f t="shared" si="184"/>
        <v>0</v>
      </c>
      <c r="U92" s="214" t="b">
        <f t="shared" si="170"/>
        <v>0</v>
      </c>
      <c r="V92" s="251" t="str">
        <f>IF(O92,BENEFIT_PARAMETERS!$C$77,"N/A")</f>
        <v>N/A</v>
      </c>
      <c r="W92" s="288" t="str">
        <f>IF(V92="Yes", BENEFIT_PARAMETERS!$D$77,"N/A")</f>
        <v>N/A</v>
      </c>
      <c r="X92" s="253" t="str">
        <f>IF(O92,COUNTIF(Z$3:Z91,"&gt;0"),"N/A")</f>
        <v>N/A</v>
      </c>
      <c r="Y92" s="217" t="str">
        <f t="shared" si="185"/>
        <v>N/A</v>
      </c>
      <c r="Z92" s="293" t="str">
        <f t="shared" si="156"/>
        <v>N/A</v>
      </c>
      <c r="AA92" s="293">
        <f t="shared" si="157"/>
        <v>0</v>
      </c>
      <c r="AB92" s="293" t="str">
        <f t="shared" si="186"/>
        <v>N/A</v>
      </c>
      <c r="AC92" s="215">
        <f t="shared" si="158"/>
        <v>0</v>
      </c>
      <c r="AD92" s="214" t="b">
        <f t="shared" si="187"/>
        <v>0</v>
      </c>
      <c r="AE92" s="209" t="str">
        <f t="shared" si="188"/>
        <v>.</v>
      </c>
      <c r="AF92" s="216">
        <f t="shared" si="189"/>
        <v>0</v>
      </c>
      <c r="AG92" s="217" t="str">
        <f t="shared" si="190"/>
        <v>N/A</v>
      </c>
      <c r="AH92" s="217" t="b">
        <f t="shared" si="191"/>
        <v>0</v>
      </c>
      <c r="AI92" s="209" t="str">
        <f t="shared" si="192"/>
        <v>.</v>
      </c>
      <c r="AJ92" s="216">
        <f t="shared" si="193"/>
        <v>11</v>
      </c>
      <c r="AK92" s="217" t="str">
        <f t="shared" si="194"/>
        <v>N/A</v>
      </c>
      <c r="AL92" s="217">
        <f t="shared" si="159"/>
        <v>0</v>
      </c>
      <c r="AM92" s="215">
        <f t="shared" si="160"/>
        <v>0</v>
      </c>
      <c r="AN92" s="219" t="b">
        <f t="shared" si="195"/>
        <v>0</v>
      </c>
      <c r="AO92" s="217" t="str">
        <f t="shared" si="196"/>
        <v>N/A</v>
      </c>
      <c r="AP92" s="217" t="str">
        <f>IF(AND(ISNUMBER(AO92),AN92=TRUE),MAX(0,AO92-SUMIFS($AM$3:$AM91,AN$3:AN91,TRUE)),IF(AND(AN92=TRUE,ISNUMBER(AO92)=FALSE),"ERR","N/A"))</f>
        <v>N/A</v>
      </c>
      <c r="AQ92" s="215" t="str">
        <f t="shared" si="197"/>
        <v>N/A</v>
      </c>
      <c r="AR92" s="219" t="b">
        <f t="shared" si="198"/>
        <v>0</v>
      </c>
      <c r="AS92" s="217" t="str">
        <f t="shared" si="199"/>
        <v>N/A</v>
      </c>
      <c r="AT92" s="217" t="str">
        <f>IF(AND(AR92=TRUE,ISNUMBER(AS92)),MAX(0,AS92-SUMIFS($AM$3:$AM91,AR$3:AR91,TRUE)),IF(AND(AR92=TRUE,ISNUMBER(AS92)=FALSE),"ERR","N/A"))</f>
        <v>N/A</v>
      </c>
      <c r="AU92" s="215" t="str">
        <f t="shared" si="200"/>
        <v>N/A</v>
      </c>
      <c r="AV92" s="219" t="b">
        <f t="shared" si="201"/>
        <v>0</v>
      </c>
      <c r="AW92" s="217" t="str">
        <f t="shared" si="202"/>
        <v>N/A</v>
      </c>
      <c r="AX92" s="217" t="str">
        <f>IF(AND(AV92=TRUE,ISNUMBER(AW92)),MAX(0,AW92-SUMIFS($AM$3:$AM91,AV$3:AV91,TRUE)),IF(AND(AV92=TRUE,ISNUMBER(AW92)=FALSE),"ERR","N/A"))</f>
        <v>N/A</v>
      </c>
      <c r="AY92" s="215" t="str">
        <f t="shared" si="203"/>
        <v>N/A</v>
      </c>
      <c r="AZ92" s="219" t="b">
        <f t="shared" si="204"/>
        <v>0</v>
      </c>
      <c r="BA92" s="217" t="str">
        <f t="shared" si="205"/>
        <v>N/A</v>
      </c>
      <c r="BB92" s="217" t="str">
        <f>IF(AND(AZ92=TRUE,ISNUMBER(BA92)),MAX(0,BA92-SUMIFS($AM$3:$AM91,AZ$3:AZ91,TRUE)),IF(AND(AZ92=TRUE,ISNUMBER(BA92)=FALSE),"ERR","N/A"))</f>
        <v>N/A</v>
      </c>
      <c r="BC92" s="215" t="str">
        <f t="shared" si="206"/>
        <v>N/A</v>
      </c>
      <c r="BD92" s="219" t="b">
        <f t="shared" si="207"/>
        <v>0</v>
      </c>
      <c r="BE92" s="217" t="str">
        <f t="shared" si="208"/>
        <v>N/A</v>
      </c>
      <c r="BF92" s="217" t="str">
        <f>IF(AND(BD92=TRUE,ISNUMBER(BE92)=TRUE),MAX(0,BE92-SUMIFS(AM$3:AM91,BD$3:BD91,TRUE,F$3:F91,F92)),IF(AND(BD92=TRUE,ISNUMBER(BE92)=FALSE),"ERR","N/A"))</f>
        <v>N/A</v>
      </c>
      <c r="BG92" s="215" t="str">
        <f t="shared" si="209"/>
        <v>N/A</v>
      </c>
      <c r="BH92" s="214">
        <f t="shared" si="210"/>
        <v>0</v>
      </c>
      <c r="BI92" s="215">
        <f t="shared" si="161"/>
        <v>0</v>
      </c>
      <c r="BJ92" s="214" t="str">
        <f t="shared" si="171"/>
        <v>N/A</v>
      </c>
      <c r="BK92" s="217">
        <f t="shared" si="211"/>
        <v>0</v>
      </c>
      <c r="BL92" s="220" t="b">
        <f t="shared" si="212"/>
        <v>0</v>
      </c>
      <c r="BM92" s="217" t="str">
        <f t="shared" si="213"/>
        <v>N/A</v>
      </c>
      <c r="BN92" s="217" t="str">
        <f t="shared" si="162"/>
        <v>N/A</v>
      </c>
      <c r="BO92" s="220" t="b">
        <f t="shared" si="214"/>
        <v>0</v>
      </c>
      <c r="BP92" s="244" t="str">
        <f t="shared" si="215"/>
        <v>N/A</v>
      </c>
      <c r="BQ92" s="217" t="str">
        <f t="shared" si="163"/>
        <v>N/A</v>
      </c>
      <c r="BR92" s="215">
        <f t="shared" si="164"/>
        <v>0</v>
      </c>
      <c r="BS92" s="214" t="str">
        <f t="shared" si="172"/>
        <v>N/A</v>
      </c>
      <c r="BT92" s="217">
        <f t="shared" si="165"/>
        <v>0</v>
      </c>
      <c r="BU92" s="215">
        <f t="shared" si="173"/>
        <v>0</v>
      </c>
      <c r="BV92" s="214">
        <f t="shared" si="174"/>
        <v>0</v>
      </c>
      <c r="BW92" s="217">
        <f t="shared" si="216"/>
        <v>20.62</v>
      </c>
      <c r="BX92" s="217">
        <f t="shared" si="217"/>
        <v>0</v>
      </c>
      <c r="BY92" s="217">
        <f t="shared" si="166"/>
        <v>0</v>
      </c>
      <c r="BZ92" s="217">
        <f t="shared" si="218"/>
        <v>0</v>
      </c>
      <c r="CA92" s="217">
        <f t="shared" si="167"/>
        <v>0</v>
      </c>
      <c r="CB92" s="213" t="b">
        <f t="shared" si="219"/>
        <v>1</v>
      </c>
    </row>
    <row r="93" spans="1:80" x14ac:dyDescent="0.25">
      <c r="A93" s="207">
        <v>90</v>
      </c>
      <c r="B93" s="208">
        <v>42703</v>
      </c>
      <c r="C93" s="209">
        <v>11</v>
      </c>
      <c r="D93" s="210">
        <v>32</v>
      </c>
      <c r="E93" s="211" t="str">
        <f t="shared" si="175"/>
        <v>Metformin Hydrochloride 500 MG TABLET [ #60 pills/month]</v>
      </c>
      <c r="F93" s="212" t="str">
        <f t="shared" si="176"/>
        <v>Prescription Drugs: Generic</v>
      </c>
      <c r="G93" s="213" t="str">
        <f t="shared" si="177"/>
        <v>Not Covered</v>
      </c>
      <c r="H93" s="214">
        <f t="shared" si="178"/>
        <v>3.21</v>
      </c>
      <c r="I93" s="217">
        <f t="shared" si="179"/>
        <v>3.21</v>
      </c>
      <c r="J93" s="251">
        <f t="shared" si="180"/>
        <v>0</v>
      </c>
      <c r="K93" s="214" t="b">
        <f t="shared" si="181"/>
        <v>0</v>
      </c>
      <c r="L93" s="218" t="str">
        <f t="shared" si="182"/>
        <v>No</v>
      </c>
      <c r="M93" s="217" t="str">
        <f t="shared" si="183"/>
        <v>.</v>
      </c>
      <c r="N93" s="215" t="str">
        <f>IFERROR(IF(AND(L93="Yes",ISNUMBER(M93)),MAX(0,M93-SUMIFS(BU$3:BU92,L$3:L92,"Yes")),IF(OR(L93="No",M93="None"),"N/A","ERR")),"ERR")</f>
        <v>N/A</v>
      </c>
      <c r="O93" s="251" t="b">
        <f t="shared" si="169"/>
        <v>0</v>
      </c>
      <c r="P93" s="251" t="str">
        <f>IF(O93,BENEFIT_PARAMETERS!$C$76,"N/A")</f>
        <v>N/A</v>
      </c>
      <c r="Q93" s="288" t="str">
        <f>IF(P93="Yes", BENEFIT_PARAMETERS!$D$76,"N/A")</f>
        <v>N/A</v>
      </c>
      <c r="R93" s="253" t="str">
        <f t="shared" si="168"/>
        <v>N/A</v>
      </c>
      <c r="S93" s="217">
        <f t="shared" si="155"/>
        <v>0</v>
      </c>
      <c r="T93" s="215">
        <f t="shared" si="184"/>
        <v>0</v>
      </c>
      <c r="U93" s="214" t="b">
        <f t="shared" si="170"/>
        <v>0</v>
      </c>
      <c r="V93" s="251" t="str">
        <f>IF(O93,BENEFIT_PARAMETERS!$C$77,"N/A")</f>
        <v>N/A</v>
      </c>
      <c r="W93" s="288" t="str">
        <f>IF(V93="Yes", BENEFIT_PARAMETERS!$D$77,"N/A")</f>
        <v>N/A</v>
      </c>
      <c r="X93" s="253" t="str">
        <f>IF(O93,COUNTIF(Z$3:Z92,"&gt;0"),"N/A")</f>
        <v>N/A</v>
      </c>
      <c r="Y93" s="217" t="str">
        <f t="shared" si="185"/>
        <v>N/A</v>
      </c>
      <c r="Z93" s="293" t="str">
        <f t="shared" si="156"/>
        <v>N/A</v>
      </c>
      <c r="AA93" s="293">
        <f t="shared" si="157"/>
        <v>0</v>
      </c>
      <c r="AB93" s="293" t="str">
        <f t="shared" si="186"/>
        <v>N/A</v>
      </c>
      <c r="AC93" s="215">
        <f t="shared" si="158"/>
        <v>0</v>
      </c>
      <c r="AD93" s="214" t="b">
        <f t="shared" si="187"/>
        <v>0</v>
      </c>
      <c r="AE93" s="209" t="str">
        <f t="shared" si="188"/>
        <v>.</v>
      </c>
      <c r="AF93" s="216">
        <f t="shared" si="189"/>
        <v>0</v>
      </c>
      <c r="AG93" s="217" t="str">
        <f t="shared" si="190"/>
        <v>N/A</v>
      </c>
      <c r="AH93" s="217" t="b">
        <f t="shared" si="191"/>
        <v>0</v>
      </c>
      <c r="AI93" s="209" t="str">
        <f t="shared" si="192"/>
        <v>.</v>
      </c>
      <c r="AJ93" s="216">
        <f t="shared" si="193"/>
        <v>11</v>
      </c>
      <c r="AK93" s="217" t="str">
        <f t="shared" si="194"/>
        <v>N/A</v>
      </c>
      <c r="AL93" s="217">
        <f t="shared" si="159"/>
        <v>0</v>
      </c>
      <c r="AM93" s="215">
        <f t="shared" si="160"/>
        <v>0</v>
      </c>
      <c r="AN93" s="219" t="b">
        <f t="shared" si="195"/>
        <v>0</v>
      </c>
      <c r="AO93" s="217" t="str">
        <f t="shared" si="196"/>
        <v>N/A</v>
      </c>
      <c r="AP93" s="217" t="str">
        <f>IF(AND(ISNUMBER(AO93),AN93=TRUE),MAX(0,AO93-SUMIFS($AM$3:$AM92,AN$3:AN92,TRUE)),IF(AND(AN93=TRUE,ISNUMBER(AO93)=FALSE),"ERR","N/A"))</f>
        <v>N/A</v>
      </c>
      <c r="AQ93" s="215" t="str">
        <f t="shared" si="197"/>
        <v>N/A</v>
      </c>
      <c r="AR93" s="219" t="b">
        <f t="shared" si="198"/>
        <v>0</v>
      </c>
      <c r="AS93" s="217" t="str">
        <f t="shared" si="199"/>
        <v>N/A</v>
      </c>
      <c r="AT93" s="217" t="str">
        <f>IF(AND(AR93=TRUE,ISNUMBER(AS93)),MAX(0,AS93-SUMIFS($AM$3:$AM92,AR$3:AR92,TRUE)),IF(AND(AR93=TRUE,ISNUMBER(AS93)=FALSE),"ERR","N/A"))</f>
        <v>N/A</v>
      </c>
      <c r="AU93" s="215" t="str">
        <f t="shared" si="200"/>
        <v>N/A</v>
      </c>
      <c r="AV93" s="219" t="b">
        <f t="shared" si="201"/>
        <v>0</v>
      </c>
      <c r="AW93" s="217" t="str">
        <f t="shared" si="202"/>
        <v>N/A</v>
      </c>
      <c r="AX93" s="217" t="str">
        <f>IF(AND(AV93=TRUE,ISNUMBER(AW93)),MAX(0,AW93-SUMIFS($AM$3:$AM92,AV$3:AV92,TRUE)),IF(AND(AV93=TRUE,ISNUMBER(AW93)=FALSE),"ERR","N/A"))</f>
        <v>N/A</v>
      </c>
      <c r="AY93" s="215" t="str">
        <f t="shared" si="203"/>
        <v>N/A</v>
      </c>
      <c r="AZ93" s="219" t="b">
        <f t="shared" si="204"/>
        <v>0</v>
      </c>
      <c r="BA93" s="217" t="str">
        <f t="shared" si="205"/>
        <v>N/A</v>
      </c>
      <c r="BB93" s="217" t="str">
        <f>IF(AND(AZ93=TRUE,ISNUMBER(BA93)),MAX(0,BA93-SUMIFS($AM$3:$AM92,AZ$3:AZ92,TRUE)),IF(AND(AZ93=TRUE,ISNUMBER(BA93)=FALSE),"ERR","N/A"))</f>
        <v>N/A</v>
      </c>
      <c r="BC93" s="215" t="str">
        <f t="shared" si="206"/>
        <v>N/A</v>
      </c>
      <c r="BD93" s="219" t="b">
        <f t="shared" si="207"/>
        <v>0</v>
      </c>
      <c r="BE93" s="217" t="str">
        <f t="shared" si="208"/>
        <v>N/A</v>
      </c>
      <c r="BF93" s="217" t="str">
        <f>IF(AND(BD93=TRUE,ISNUMBER(BE93)=TRUE),MAX(0,BE93-SUMIFS(AM$3:AM92,BD$3:BD92,TRUE,F$3:F92,F93)),IF(AND(BD93=TRUE,ISNUMBER(BE93)=FALSE),"ERR","N/A"))</f>
        <v>N/A</v>
      </c>
      <c r="BG93" s="215" t="str">
        <f t="shared" si="209"/>
        <v>N/A</v>
      </c>
      <c r="BH93" s="214">
        <f t="shared" si="210"/>
        <v>0</v>
      </c>
      <c r="BI93" s="215">
        <f t="shared" si="161"/>
        <v>0</v>
      </c>
      <c r="BJ93" s="214" t="str">
        <f t="shared" si="171"/>
        <v>N/A</v>
      </c>
      <c r="BK93" s="217">
        <f t="shared" si="211"/>
        <v>0</v>
      </c>
      <c r="BL93" s="220" t="b">
        <f t="shared" si="212"/>
        <v>0</v>
      </c>
      <c r="BM93" s="217" t="str">
        <f t="shared" si="213"/>
        <v>N/A</v>
      </c>
      <c r="BN93" s="217" t="str">
        <f t="shared" si="162"/>
        <v>N/A</v>
      </c>
      <c r="BO93" s="220" t="b">
        <f t="shared" si="214"/>
        <v>0</v>
      </c>
      <c r="BP93" s="244" t="str">
        <f t="shared" si="215"/>
        <v>N/A</v>
      </c>
      <c r="BQ93" s="217" t="str">
        <f t="shared" si="163"/>
        <v>N/A</v>
      </c>
      <c r="BR93" s="215">
        <f t="shared" si="164"/>
        <v>0</v>
      </c>
      <c r="BS93" s="214" t="str">
        <f t="shared" si="172"/>
        <v>N/A</v>
      </c>
      <c r="BT93" s="217">
        <f t="shared" si="165"/>
        <v>0</v>
      </c>
      <c r="BU93" s="215">
        <f t="shared" si="173"/>
        <v>0</v>
      </c>
      <c r="BV93" s="214">
        <f t="shared" si="174"/>
        <v>0</v>
      </c>
      <c r="BW93" s="217">
        <f t="shared" si="216"/>
        <v>3.21</v>
      </c>
      <c r="BX93" s="217">
        <f t="shared" si="217"/>
        <v>0</v>
      </c>
      <c r="BY93" s="217">
        <f t="shared" si="166"/>
        <v>0</v>
      </c>
      <c r="BZ93" s="217">
        <f t="shared" si="218"/>
        <v>0</v>
      </c>
      <c r="CA93" s="217">
        <f t="shared" si="167"/>
        <v>0</v>
      </c>
      <c r="CB93" s="213" t="b">
        <f t="shared" si="219"/>
        <v>1</v>
      </c>
    </row>
    <row r="94" spans="1:80" x14ac:dyDescent="0.25">
      <c r="A94" s="207">
        <v>91</v>
      </c>
      <c r="B94" s="208">
        <v>42703</v>
      </c>
      <c r="C94" s="209">
        <v>11</v>
      </c>
      <c r="D94" s="210">
        <v>19</v>
      </c>
      <c r="E94" s="211" t="str">
        <f t="shared" si="175"/>
        <v>Lisinopril 20mg (Rx) [1 QD; #30 pills/month]</v>
      </c>
      <c r="F94" s="212" t="str">
        <f t="shared" si="176"/>
        <v>Prescription Drugs: Generic</v>
      </c>
      <c r="G94" s="213" t="str">
        <f t="shared" si="177"/>
        <v>Not Covered</v>
      </c>
      <c r="H94" s="214">
        <f t="shared" si="178"/>
        <v>3.38</v>
      </c>
      <c r="I94" s="217">
        <f t="shared" si="179"/>
        <v>3.38</v>
      </c>
      <c r="J94" s="251">
        <f t="shared" si="180"/>
        <v>0</v>
      </c>
      <c r="K94" s="214" t="b">
        <f t="shared" si="181"/>
        <v>0</v>
      </c>
      <c r="L94" s="218" t="str">
        <f t="shared" si="182"/>
        <v>No</v>
      </c>
      <c r="M94" s="217" t="str">
        <f t="shared" si="183"/>
        <v>.</v>
      </c>
      <c r="N94" s="215" t="str">
        <f>IFERROR(IF(AND(L94="Yes",ISNUMBER(M94)),MAX(0,M94-SUMIFS(BU$3:BU93,L$3:L93,"Yes")),IF(OR(L94="No",M94="None"),"N/A","ERR")),"ERR")</f>
        <v>N/A</v>
      </c>
      <c r="O94" s="251" t="b">
        <f t="shared" si="169"/>
        <v>0</v>
      </c>
      <c r="P94" s="251" t="str">
        <f>IF(O94,BENEFIT_PARAMETERS!$C$76,"N/A")</f>
        <v>N/A</v>
      </c>
      <c r="Q94" s="288" t="str">
        <f>IF(P94="Yes", BENEFIT_PARAMETERS!$D$76,"N/A")</f>
        <v>N/A</v>
      </c>
      <c r="R94" s="253" t="str">
        <f t="shared" si="168"/>
        <v>N/A</v>
      </c>
      <c r="S94" s="217">
        <f t="shared" si="155"/>
        <v>0</v>
      </c>
      <c r="T94" s="215">
        <f t="shared" si="184"/>
        <v>0</v>
      </c>
      <c r="U94" s="214" t="b">
        <f t="shared" si="170"/>
        <v>0</v>
      </c>
      <c r="V94" s="251" t="str">
        <f>IF(O94,BENEFIT_PARAMETERS!$C$77,"N/A")</f>
        <v>N/A</v>
      </c>
      <c r="W94" s="288" t="str">
        <f>IF(V94="Yes", BENEFIT_PARAMETERS!$D$77,"N/A")</f>
        <v>N/A</v>
      </c>
      <c r="X94" s="253" t="str">
        <f>IF(O94,COUNTIF(Z$3:Z93,"&gt;0"),"N/A")</f>
        <v>N/A</v>
      </c>
      <c r="Y94" s="217" t="str">
        <f t="shared" si="185"/>
        <v>N/A</v>
      </c>
      <c r="Z94" s="293" t="str">
        <f t="shared" si="156"/>
        <v>N/A</v>
      </c>
      <c r="AA94" s="293">
        <f t="shared" si="157"/>
        <v>0</v>
      </c>
      <c r="AB94" s="293" t="str">
        <f t="shared" si="186"/>
        <v>N/A</v>
      </c>
      <c r="AC94" s="215">
        <f t="shared" si="158"/>
        <v>0</v>
      </c>
      <c r="AD94" s="214" t="b">
        <f t="shared" si="187"/>
        <v>0</v>
      </c>
      <c r="AE94" s="209" t="str">
        <f t="shared" si="188"/>
        <v>.</v>
      </c>
      <c r="AF94" s="216">
        <f t="shared" si="189"/>
        <v>0</v>
      </c>
      <c r="AG94" s="217" t="str">
        <f t="shared" si="190"/>
        <v>N/A</v>
      </c>
      <c r="AH94" s="217" t="b">
        <f t="shared" si="191"/>
        <v>0</v>
      </c>
      <c r="AI94" s="209" t="str">
        <f t="shared" si="192"/>
        <v>.</v>
      </c>
      <c r="AJ94" s="216">
        <f t="shared" si="193"/>
        <v>11</v>
      </c>
      <c r="AK94" s="217" t="str">
        <f t="shared" si="194"/>
        <v>N/A</v>
      </c>
      <c r="AL94" s="217">
        <f t="shared" si="159"/>
        <v>0</v>
      </c>
      <c r="AM94" s="215">
        <f t="shared" si="160"/>
        <v>0</v>
      </c>
      <c r="AN94" s="219" t="b">
        <f t="shared" si="195"/>
        <v>0</v>
      </c>
      <c r="AO94" s="217" t="str">
        <f t="shared" si="196"/>
        <v>N/A</v>
      </c>
      <c r="AP94" s="217" t="str">
        <f>IF(AND(ISNUMBER(AO94),AN94=TRUE),MAX(0,AO94-SUMIFS($AM$3:$AM93,AN$3:AN93,TRUE)),IF(AND(AN94=TRUE,ISNUMBER(AO94)=FALSE),"ERR","N/A"))</f>
        <v>N/A</v>
      </c>
      <c r="AQ94" s="215" t="str">
        <f t="shared" si="197"/>
        <v>N/A</v>
      </c>
      <c r="AR94" s="219" t="b">
        <f t="shared" si="198"/>
        <v>0</v>
      </c>
      <c r="AS94" s="217" t="str">
        <f t="shared" si="199"/>
        <v>N/A</v>
      </c>
      <c r="AT94" s="217" t="str">
        <f>IF(AND(AR94=TRUE,ISNUMBER(AS94)),MAX(0,AS94-SUMIFS($AM$3:$AM93,AR$3:AR93,TRUE)),IF(AND(AR94=TRUE,ISNUMBER(AS94)=FALSE),"ERR","N/A"))</f>
        <v>N/A</v>
      </c>
      <c r="AU94" s="215" t="str">
        <f t="shared" si="200"/>
        <v>N/A</v>
      </c>
      <c r="AV94" s="219" t="b">
        <f t="shared" si="201"/>
        <v>0</v>
      </c>
      <c r="AW94" s="217" t="str">
        <f t="shared" si="202"/>
        <v>N/A</v>
      </c>
      <c r="AX94" s="217" t="str">
        <f>IF(AND(AV94=TRUE,ISNUMBER(AW94)),MAX(0,AW94-SUMIFS($AM$3:$AM93,AV$3:AV93,TRUE)),IF(AND(AV94=TRUE,ISNUMBER(AW94)=FALSE),"ERR","N/A"))</f>
        <v>N/A</v>
      </c>
      <c r="AY94" s="215" t="str">
        <f t="shared" si="203"/>
        <v>N/A</v>
      </c>
      <c r="AZ94" s="219" t="b">
        <f t="shared" si="204"/>
        <v>0</v>
      </c>
      <c r="BA94" s="217" t="str">
        <f t="shared" si="205"/>
        <v>N/A</v>
      </c>
      <c r="BB94" s="217" t="str">
        <f>IF(AND(AZ94=TRUE,ISNUMBER(BA94)),MAX(0,BA94-SUMIFS($AM$3:$AM93,AZ$3:AZ93,TRUE)),IF(AND(AZ94=TRUE,ISNUMBER(BA94)=FALSE),"ERR","N/A"))</f>
        <v>N/A</v>
      </c>
      <c r="BC94" s="215" t="str">
        <f t="shared" si="206"/>
        <v>N/A</v>
      </c>
      <c r="BD94" s="219" t="b">
        <f t="shared" si="207"/>
        <v>0</v>
      </c>
      <c r="BE94" s="217" t="str">
        <f t="shared" si="208"/>
        <v>N/A</v>
      </c>
      <c r="BF94" s="217" t="str">
        <f>IF(AND(BD94=TRUE,ISNUMBER(BE94)=TRUE),MAX(0,BE94-SUMIFS(AM$3:AM93,BD$3:BD93,TRUE,F$3:F93,F94)),IF(AND(BD94=TRUE,ISNUMBER(BE94)=FALSE),"ERR","N/A"))</f>
        <v>N/A</v>
      </c>
      <c r="BG94" s="215" t="str">
        <f t="shared" si="209"/>
        <v>N/A</v>
      </c>
      <c r="BH94" s="214">
        <f t="shared" si="210"/>
        <v>0</v>
      </c>
      <c r="BI94" s="215">
        <f t="shared" si="161"/>
        <v>0</v>
      </c>
      <c r="BJ94" s="214" t="str">
        <f t="shared" si="171"/>
        <v>N/A</v>
      </c>
      <c r="BK94" s="217">
        <f t="shared" si="211"/>
        <v>0</v>
      </c>
      <c r="BL94" s="220" t="b">
        <f t="shared" si="212"/>
        <v>0</v>
      </c>
      <c r="BM94" s="217" t="str">
        <f t="shared" si="213"/>
        <v>N/A</v>
      </c>
      <c r="BN94" s="217" t="str">
        <f t="shared" si="162"/>
        <v>N/A</v>
      </c>
      <c r="BO94" s="220" t="b">
        <f t="shared" si="214"/>
        <v>0</v>
      </c>
      <c r="BP94" s="244" t="str">
        <f t="shared" si="215"/>
        <v>N/A</v>
      </c>
      <c r="BQ94" s="217" t="str">
        <f t="shared" si="163"/>
        <v>N/A</v>
      </c>
      <c r="BR94" s="215">
        <f t="shared" si="164"/>
        <v>0</v>
      </c>
      <c r="BS94" s="214" t="str">
        <f t="shared" si="172"/>
        <v>N/A</v>
      </c>
      <c r="BT94" s="217">
        <f t="shared" si="165"/>
        <v>0</v>
      </c>
      <c r="BU94" s="215">
        <f t="shared" si="173"/>
        <v>0</v>
      </c>
      <c r="BV94" s="214">
        <f t="shared" si="174"/>
        <v>0</v>
      </c>
      <c r="BW94" s="217">
        <f t="shared" si="216"/>
        <v>3.38</v>
      </c>
      <c r="BX94" s="217">
        <f t="shared" si="217"/>
        <v>0</v>
      </c>
      <c r="BY94" s="217">
        <f t="shared" si="166"/>
        <v>0</v>
      </c>
      <c r="BZ94" s="217">
        <f t="shared" si="218"/>
        <v>0</v>
      </c>
      <c r="CA94" s="217">
        <f t="shared" si="167"/>
        <v>0</v>
      </c>
      <c r="CB94" s="213" t="b">
        <f t="shared" si="219"/>
        <v>1</v>
      </c>
    </row>
    <row r="95" spans="1:80" x14ac:dyDescent="0.25">
      <c r="A95" s="207">
        <v>92</v>
      </c>
      <c r="B95" s="208">
        <v>42709</v>
      </c>
      <c r="C95" s="209">
        <v>12</v>
      </c>
      <c r="D95" s="210">
        <v>26</v>
      </c>
      <c r="E95" s="211" t="str">
        <f t="shared" si="175"/>
        <v>Aspirin 81mg (OTC - bottle 100) [usage = 1 QD; #30 pills per month]</v>
      </c>
      <c r="F95" s="212" t="str">
        <f t="shared" si="176"/>
        <v>Over-the-counter Drugs</v>
      </c>
      <c r="G95" s="213" t="str">
        <f t="shared" si="177"/>
        <v>Not Covered</v>
      </c>
      <c r="H95" s="214">
        <f t="shared" si="178"/>
        <v>4.47</v>
      </c>
      <c r="I95" s="217">
        <f t="shared" si="179"/>
        <v>4.47</v>
      </c>
      <c r="J95" s="251">
        <f t="shared" si="180"/>
        <v>0</v>
      </c>
      <c r="K95" s="214" t="b">
        <f t="shared" si="181"/>
        <v>0</v>
      </c>
      <c r="L95" s="218" t="str">
        <f t="shared" si="182"/>
        <v>No</v>
      </c>
      <c r="M95" s="217" t="str">
        <f t="shared" si="183"/>
        <v>.</v>
      </c>
      <c r="N95" s="215" t="str">
        <f>IFERROR(IF(AND(L95="Yes",ISNUMBER(M95)),MAX(0,M95-SUMIFS(BU$3:BU94,L$3:L94,"Yes")),IF(OR(L95="No",M95="None"),"N/A","ERR")),"ERR")</f>
        <v>N/A</v>
      </c>
      <c r="O95" s="251" t="b">
        <f t="shared" si="169"/>
        <v>0</v>
      </c>
      <c r="P95" s="251" t="str">
        <f>IF(O95,BENEFIT_PARAMETERS!$C$76,"N/A")</f>
        <v>N/A</v>
      </c>
      <c r="Q95" s="288" t="str">
        <f>IF(P95="Yes", BENEFIT_PARAMETERS!$D$76,"N/A")</f>
        <v>N/A</v>
      </c>
      <c r="R95" s="253" t="str">
        <f t="shared" si="168"/>
        <v>N/A</v>
      </c>
      <c r="S95" s="217">
        <f t="shared" si="155"/>
        <v>0</v>
      </c>
      <c r="T95" s="215">
        <f t="shared" si="184"/>
        <v>0</v>
      </c>
      <c r="U95" s="214" t="b">
        <f t="shared" si="170"/>
        <v>0</v>
      </c>
      <c r="V95" s="251" t="str">
        <f>IF(O95,BENEFIT_PARAMETERS!$C$77,"N/A")</f>
        <v>N/A</v>
      </c>
      <c r="W95" s="288" t="str">
        <f>IF(V95="Yes", BENEFIT_PARAMETERS!$D$77,"N/A")</f>
        <v>N/A</v>
      </c>
      <c r="X95" s="253" t="str">
        <f>IF(O95,COUNTIF(Z$3:Z94,"&gt;0"),"N/A")</f>
        <v>N/A</v>
      </c>
      <c r="Y95" s="217" t="str">
        <f t="shared" si="185"/>
        <v>N/A</v>
      </c>
      <c r="Z95" s="293" t="str">
        <f t="shared" si="156"/>
        <v>N/A</v>
      </c>
      <c r="AA95" s="293">
        <f t="shared" si="157"/>
        <v>0</v>
      </c>
      <c r="AB95" s="293" t="str">
        <f t="shared" si="186"/>
        <v>N/A</v>
      </c>
      <c r="AC95" s="215">
        <f t="shared" si="158"/>
        <v>0</v>
      </c>
      <c r="AD95" s="214" t="b">
        <f t="shared" si="187"/>
        <v>0</v>
      </c>
      <c r="AE95" s="209" t="str">
        <f t="shared" si="188"/>
        <v>.</v>
      </c>
      <c r="AF95" s="216">
        <f t="shared" si="189"/>
        <v>0</v>
      </c>
      <c r="AG95" s="217" t="str">
        <f t="shared" si="190"/>
        <v>N/A</v>
      </c>
      <c r="AH95" s="217" t="b">
        <f t="shared" si="191"/>
        <v>0</v>
      </c>
      <c r="AI95" s="209" t="str">
        <f t="shared" si="192"/>
        <v>.</v>
      </c>
      <c r="AJ95" s="216">
        <f t="shared" si="193"/>
        <v>4</v>
      </c>
      <c r="AK95" s="217" t="str">
        <f t="shared" si="194"/>
        <v>N/A</v>
      </c>
      <c r="AL95" s="217">
        <f t="shared" si="159"/>
        <v>0</v>
      </c>
      <c r="AM95" s="215">
        <f t="shared" si="160"/>
        <v>0</v>
      </c>
      <c r="AN95" s="219" t="b">
        <f t="shared" si="195"/>
        <v>0</v>
      </c>
      <c r="AO95" s="217" t="str">
        <f t="shared" si="196"/>
        <v>N/A</v>
      </c>
      <c r="AP95" s="217" t="str">
        <f>IF(AND(ISNUMBER(AO95),AN95=TRUE),MAX(0,AO95-SUMIFS($AM$3:$AM94,AN$3:AN94,TRUE)),IF(AND(AN95=TRUE,ISNUMBER(AO95)=FALSE),"ERR","N/A"))</f>
        <v>N/A</v>
      </c>
      <c r="AQ95" s="215" t="str">
        <f t="shared" si="197"/>
        <v>N/A</v>
      </c>
      <c r="AR95" s="219" t="b">
        <f t="shared" si="198"/>
        <v>0</v>
      </c>
      <c r="AS95" s="217" t="str">
        <f t="shared" si="199"/>
        <v>N/A</v>
      </c>
      <c r="AT95" s="217" t="str">
        <f>IF(AND(AR95=TRUE,ISNUMBER(AS95)),MAX(0,AS95-SUMIFS($AM$3:$AM94,AR$3:AR94,TRUE)),IF(AND(AR95=TRUE,ISNUMBER(AS95)=FALSE),"ERR","N/A"))</f>
        <v>N/A</v>
      </c>
      <c r="AU95" s="215" t="str">
        <f t="shared" si="200"/>
        <v>N/A</v>
      </c>
      <c r="AV95" s="219" t="b">
        <f t="shared" si="201"/>
        <v>0</v>
      </c>
      <c r="AW95" s="217" t="str">
        <f t="shared" si="202"/>
        <v>N/A</v>
      </c>
      <c r="AX95" s="217" t="str">
        <f>IF(AND(AV95=TRUE,ISNUMBER(AW95)),MAX(0,AW95-SUMIFS($AM$3:$AM94,AV$3:AV94,TRUE)),IF(AND(AV95=TRUE,ISNUMBER(AW95)=FALSE),"ERR","N/A"))</f>
        <v>N/A</v>
      </c>
      <c r="AY95" s="215" t="str">
        <f t="shared" si="203"/>
        <v>N/A</v>
      </c>
      <c r="AZ95" s="219" t="b">
        <f t="shared" si="204"/>
        <v>0</v>
      </c>
      <c r="BA95" s="217" t="str">
        <f t="shared" si="205"/>
        <v>N/A</v>
      </c>
      <c r="BB95" s="217" t="str">
        <f>IF(AND(AZ95=TRUE,ISNUMBER(BA95)),MAX(0,BA95-SUMIFS($AM$3:$AM94,AZ$3:AZ94,TRUE)),IF(AND(AZ95=TRUE,ISNUMBER(BA95)=FALSE),"ERR","N/A"))</f>
        <v>N/A</v>
      </c>
      <c r="BC95" s="215" t="str">
        <f t="shared" si="206"/>
        <v>N/A</v>
      </c>
      <c r="BD95" s="219" t="b">
        <f t="shared" si="207"/>
        <v>0</v>
      </c>
      <c r="BE95" s="217" t="str">
        <f t="shared" si="208"/>
        <v>N/A</v>
      </c>
      <c r="BF95" s="217" t="str">
        <f>IF(AND(BD95=TRUE,ISNUMBER(BE95)=TRUE),MAX(0,BE95-SUMIFS(AM$3:AM94,BD$3:BD94,TRUE,F$3:F94,F95)),IF(AND(BD95=TRUE,ISNUMBER(BE95)=FALSE),"ERR","N/A"))</f>
        <v>N/A</v>
      </c>
      <c r="BG95" s="215" t="str">
        <f t="shared" si="209"/>
        <v>N/A</v>
      </c>
      <c r="BH95" s="214">
        <f t="shared" si="210"/>
        <v>0</v>
      </c>
      <c r="BI95" s="215">
        <f t="shared" si="161"/>
        <v>0</v>
      </c>
      <c r="BJ95" s="214" t="str">
        <f t="shared" si="171"/>
        <v>N/A</v>
      </c>
      <c r="BK95" s="217">
        <f t="shared" si="211"/>
        <v>0</v>
      </c>
      <c r="BL95" s="220" t="b">
        <f t="shared" si="212"/>
        <v>0</v>
      </c>
      <c r="BM95" s="217" t="str">
        <f t="shared" si="213"/>
        <v>N/A</v>
      </c>
      <c r="BN95" s="217" t="str">
        <f t="shared" si="162"/>
        <v>N/A</v>
      </c>
      <c r="BO95" s="220" t="b">
        <f t="shared" si="214"/>
        <v>0</v>
      </c>
      <c r="BP95" s="244" t="str">
        <f t="shared" si="215"/>
        <v>N/A</v>
      </c>
      <c r="BQ95" s="217" t="str">
        <f t="shared" si="163"/>
        <v>N/A</v>
      </c>
      <c r="BR95" s="215">
        <f t="shared" si="164"/>
        <v>0</v>
      </c>
      <c r="BS95" s="214" t="str">
        <f t="shared" si="172"/>
        <v>N/A</v>
      </c>
      <c r="BT95" s="217">
        <f t="shared" si="165"/>
        <v>0</v>
      </c>
      <c r="BU95" s="215">
        <f t="shared" si="173"/>
        <v>0</v>
      </c>
      <c r="BV95" s="214">
        <f t="shared" si="174"/>
        <v>0</v>
      </c>
      <c r="BW95" s="217">
        <f t="shared" si="216"/>
        <v>4.47</v>
      </c>
      <c r="BX95" s="217">
        <f t="shared" si="217"/>
        <v>0</v>
      </c>
      <c r="BY95" s="217">
        <f t="shared" si="166"/>
        <v>0</v>
      </c>
      <c r="BZ95" s="217">
        <f t="shared" si="218"/>
        <v>0</v>
      </c>
      <c r="CA95" s="217">
        <f t="shared" si="167"/>
        <v>0</v>
      </c>
      <c r="CB95" s="213" t="b">
        <f t="shared" si="219"/>
        <v>1</v>
      </c>
    </row>
    <row r="96" spans="1:80" x14ac:dyDescent="0.25">
      <c r="A96" s="207">
        <v>93</v>
      </c>
      <c r="B96" s="208">
        <v>42709</v>
      </c>
      <c r="C96" s="209">
        <v>12</v>
      </c>
      <c r="D96" s="210">
        <v>17</v>
      </c>
      <c r="E96" s="211" t="str">
        <f t="shared" si="175"/>
        <v>Insulin glargine 100 unit/ml injectable solution (Rx - 10ml vial)  [20 units QD; expires 28 days after first use]</v>
      </c>
      <c r="F96" s="212" t="str">
        <f t="shared" si="176"/>
        <v>Prescription Drugs: Insulin</v>
      </c>
      <c r="G96" s="213" t="str">
        <f t="shared" si="177"/>
        <v>Not Covered</v>
      </c>
      <c r="H96" s="214">
        <f t="shared" si="178"/>
        <v>240.37</v>
      </c>
      <c r="I96" s="217">
        <f t="shared" si="179"/>
        <v>240.37</v>
      </c>
      <c r="J96" s="251">
        <f t="shared" si="180"/>
        <v>0</v>
      </c>
      <c r="K96" s="214" t="b">
        <f t="shared" si="181"/>
        <v>0</v>
      </c>
      <c r="L96" s="218" t="str">
        <f t="shared" si="182"/>
        <v>No</v>
      </c>
      <c r="M96" s="217" t="str">
        <f t="shared" si="183"/>
        <v>.</v>
      </c>
      <c r="N96" s="215" t="str">
        <f>IFERROR(IF(AND(L96="Yes",ISNUMBER(M96)),MAX(0,M96-SUMIFS(BU$3:BU95,L$3:L95,"Yes")),IF(OR(L96="No",M96="None"),"N/A","ERR")),"ERR")</f>
        <v>N/A</v>
      </c>
      <c r="O96" s="251" t="b">
        <f t="shared" si="169"/>
        <v>0</v>
      </c>
      <c r="P96" s="251" t="str">
        <f>IF(O96,BENEFIT_PARAMETERS!$C$76,"N/A")</f>
        <v>N/A</v>
      </c>
      <c r="Q96" s="288" t="str">
        <f>IF(P96="Yes", BENEFIT_PARAMETERS!$D$76,"N/A")</f>
        <v>N/A</v>
      </c>
      <c r="R96" s="253" t="str">
        <f t="shared" si="168"/>
        <v>N/A</v>
      </c>
      <c r="S96" s="217">
        <f t="shared" si="155"/>
        <v>0</v>
      </c>
      <c r="T96" s="215">
        <f t="shared" si="184"/>
        <v>0</v>
      </c>
      <c r="U96" s="214" t="b">
        <f t="shared" si="170"/>
        <v>0</v>
      </c>
      <c r="V96" s="251" t="str">
        <f>IF(O96,BENEFIT_PARAMETERS!$C$77,"N/A")</f>
        <v>N/A</v>
      </c>
      <c r="W96" s="288" t="str">
        <f>IF(V96="Yes", BENEFIT_PARAMETERS!$D$77,"N/A")</f>
        <v>N/A</v>
      </c>
      <c r="X96" s="253" t="str">
        <f>IF(O96,COUNTIF(Z$3:Z95,"&gt;0"),"N/A")</f>
        <v>N/A</v>
      </c>
      <c r="Y96" s="217" t="str">
        <f t="shared" si="185"/>
        <v>N/A</v>
      </c>
      <c r="Z96" s="293" t="str">
        <f t="shared" si="156"/>
        <v>N/A</v>
      </c>
      <c r="AA96" s="293">
        <f t="shared" si="157"/>
        <v>0</v>
      </c>
      <c r="AB96" s="293" t="str">
        <f t="shared" si="186"/>
        <v>N/A</v>
      </c>
      <c r="AC96" s="215">
        <f t="shared" si="158"/>
        <v>0</v>
      </c>
      <c r="AD96" s="214" t="b">
        <f t="shared" si="187"/>
        <v>0</v>
      </c>
      <c r="AE96" s="209" t="str">
        <f t="shared" si="188"/>
        <v>.</v>
      </c>
      <c r="AF96" s="216">
        <f t="shared" si="189"/>
        <v>0</v>
      </c>
      <c r="AG96" s="217" t="str">
        <f t="shared" si="190"/>
        <v>N/A</v>
      </c>
      <c r="AH96" s="217" t="b">
        <f t="shared" si="191"/>
        <v>0</v>
      </c>
      <c r="AI96" s="209" t="str">
        <f t="shared" si="192"/>
        <v>.</v>
      </c>
      <c r="AJ96" s="216">
        <f t="shared" si="193"/>
        <v>12</v>
      </c>
      <c r="AK96" s="217" t="str">
        <f t="shared" si="194"/>
        <v>N/A</v>
      </c>
      <c r="AL96" s="217">
        <f t="shared" si="159"/>
        <v>0</v>
      </c>
      <c r="AM96" s="215">
        <f t="shared" si="160"/>
        <v>0</v>
      </c>
      <c r="AN96" s="219" t="b">
        <f t="shared" si="195"/>
        <v>0</v>
      </c>
      <c r="AO96" s="217" t="str">
        <f t="shared" si="196"/>
        <v>N/A</v>
      </c>
      <c r="AP96" s="217" t="str">
        <f>IF(AND(ISNUMBER(AO96),AN96=TRUE),MAX(0,AO96-SUMIFS($AM$3:$AM95,AN$3:AN95,TRUE)),IF(AND(AN96=TRUE,ISNUMBER(AO96)=FALSE),"ERR","N/A"))</f>
        <v>N/A</v>
      </c>
      <c r="AQ96" s="215" t="str">
        <f t="shared" si="197"/>
        <v>N/A</v>
      </c>
      <c r="AR96" s="219" t="b">
        <f t="shared" si="198"/>
        <v>0</v>
      </c>
      <c r="AS96" s="217" t="str">
        <f t="shared" si="199"/>
        <v>N/A</v>
      </c>
      <c r="AT96" s="217" t="str">
        <f>IF(AND(AR96=TRUE,ISNUMBER(AS96)),MAX(0,AS96-SUMIFS($AM$3:$AM95,AR$3:AR95,TRUE)),IF(AND(AR96=TRUE,ISNUMBER(AS96)=FALSE),"ERR","N/A"))</f>
        <v>N/A</v>
      </c>
      <c r="AU96" s="215" t="str">
        <f t="shared" si="200"/>
        <v>N/A</v>
      </c>
      <c r="AV96" s="219" t="b">
        <f t="shared" si="201"/>
        <v>0</v>
      </c>
      <c r="AW96" s="217" t="str">
        <f t="shared" si="202"/>
        <v>N/A</v>
      </c>
      <c r="AX96" s="217" t="str">
        <f>IF(AND(AV96=TRUE,ISNUMBER(AW96)),MAX(0,AW96-SUMIFS($AM$3:$AM95,AV$3:AV95,TRUE)),IF(AND(AV96=TRUE,ISNUMBER(AW96)=FALSE),"ERR","N/A"))</f>
        <v>N/A</v>
      </c>
      <c r="AY96" s="215" t="str">
        <f t="shared" si="203"/>
        <v>N/A</v>
      </c>
      <c r="AZ96" s="219" t="b">
        <f t="shared" si="204"/>
        <v>0</v>
      </c>
      <c r="BA96" s="217" t="str">
        <f t="shared" si="205"/>
        <v>N/A</v>
      </c>
      <c r="BB96" s="217" t="str">
        <f>IF(AND(AZ96=TRUE,ISNUMBER(BA96)),MAX(0,BA96-SUMIFS($AM$3:$AM95,AZ$3:AZ95,TRUE)),IF(AND(AZ96=TRUE,ISNUMBER(BA96)=FALSE),"ERR","N/A"))</f>
        <v>N/A</v>
      </c>
      <c r="BC96" s="215" t="str">
        <f t="shared" si="206"/>
        <v>N/A</v>
      </c>
      <c r="BD96" s="219" t="b">
        <f t="shared" si="207"/>
        <v>0</v>
      </c>
      <c r="BE96" s="217" t="str">
        <f t="shared" si="208"/>
        <v>N/A</v>
      </c>
      <c r="BF96" s="217" t="str">
        <f>IF(AND(BD96=TRUE,ISNUMBER(BE96)=TRUE),MAX(0,BE96-SUMIFS(AM$3:AM95,BD$3:BD95,TRUE,F$3:F95,F96)),IF(AND(BD96=TRUE,ISNUMBER(BE96)=FALSE),"ERR","N/A"))</f>
        <v>N/A</v>
      </c>
      <c r="BG96" s="215" t="str">
        <f t="shared" si="209"/>
        <v>N/A</v>
      </c>
      <c r="BH96" s="214">
        <f t="shared" si="210"/>
        <v>0</v>
      </c>
      <c r="BI96" s="215">
        <f t="shared" si="161"/>
        <v>0</v>
      </c>
      <c r="BJ96" s="214" t="str">
        <f t="shared" si="171"/>
        <v>N/A</v>
      </c>
      <c r="BK96" s="217">
        <f t="shared" si="211"/>
        <v>0</v>
      </c>
      <c r="BL96" s="220" t="b">
        <f t="shared" si="212"/>
        <v>0</v>
      </c>
      <c r="BM96" s="217" t="str">
        <f t="shared" si="213"/>
        <v>N/A</v>
      </c>
      <c r="BN96" s="217" t="str">
        <f t="shared" si="162"/>
        <v>N/A</v>
      </c>
      <c r="BO96" s="220" t="b">
        <f t="shared" si="214"/>
        <v>0</v>
      </c>
      <c r="BP96" s="244" t="str">
        <f t="shared" si="215"/>
        <v>N/A</v>
      </c>
      <c r="BQ96" s="217" t="str">
        <f t="shared" si="163"/>
        <v>N/A</v>
      </c>
      <c r="BR96" s="215">
        <f t="shared" si="164"/>
        <v>0</v>
      </c>
      <c r="BS96" s="214" t="str">
        <f t="shared" si="172"/>
        <v>N/A</v>
      </c>
      <c r="BT96" s="217">
        <f t="shared" si="165"/>
        <v>0</v>
      </c>
      <c r="BU96" s="215">
        <f t="shared" si="173"/>
        <v>0</v>
      </c>
      <c r="BV96" s="214">
        <f t="shared" si="174"/>
        <v>0</v>
      </c>
      <c r="BW96" s="217">
        <f t="shared" si="216"/>
        <v>240.37</v>
      </c>
      <c r="BX96" s="217">
        <f t="shared" si="217"/>
        <v>0</v>
      </c>
      <c r="BY96" s="217">
        <f t="shared" si="166"/>
        <v>0</v>
      </c>
      <c r="BZ96" s="217">
        <f t="shared" si="218"/>
        <v>0</v>
      </c>
      <c r="CA96" s="217">
        <f t="shared" si="167"/>
        <v>0</v>
      </c>
      <c r="CB96" s="213" t="b">
        <f t="shared" si="219"/>
        <v>1</v>
      </c>
    </row>
    <row r="97" spans="1:80" x14ac:dyDescent="0.25">
      <c r="A97" s="207">
        <v>94</v>
      </c>
      <c r="B97" s="208">
        <v>42733</v>
      </c>
      <c r="C97" s="209">
        <v>12</v>
      </c>
      <c r="D97" s="210">
        <v>14</v>
      </c>
      <c r="E97" s="211" t="str">
        <f t="shared" si="175"/>
        <v>BD Ultrafine Insulin Syringes / 30G/ 0.5cc  [usage = 30 syringes per month]</v>
      </c>
      <c r="F97" s="212" t="str">
        <f t="shared" si="176"/>
        <v>Medical Supplies</v>
      </c>
      <c r="G97" s="213" t="str">
        <f t="shared" si="177"/>
        <v>Not Covered</v>
      </c>
      <c r="H97" s="214">
        <f t="shared" si="178"/>
        <v>20.62</v>
      </c>
      <c r="I97" s="217">
        <f t="shared" si="179"/>
        <v>20.62</v>
      </c>
      <c r="J97" s="251">
        <f t="shared" si="180"/>
        <v>0</v>
      </c>
      <c r="K97" s="214" t="b">
        <f t="shared" si="181"/>
        <v>0</v>
      </c>
      <c r="L97" s="218" t="str">
        <f t="shared" si="182"/>
        <v>No</v>
      </c>
      <c r="M97" s="217" t="str">
        <f t="shared" si="183"/>
        <v>.</v>
      </c>
      <c r="N97" s="215" t="str">
        <f>IFERROR(IF(AND(L97="Yes",ISNUMBER(M97)),MAX(0,M97-SUMIFS(BU$3:BU96,L$3:L96,"Yes")),IF(OR(L97="No",M97="None"),"N/A","ERR")),"ERR")</f>
        <v>N/A</v>
      </c>
      <c r="O97" s="251" t="b">
        <f t="shared" si="169"/>
        <v>0</v>
      </c>
      <c r="P97" s="251" t="str">
        <f>IF(O97,BENEFIT_PARAMETERS!$C$76,"N/A")</f>
        <v>N/A</v>
      </c>
      <c r="Q97" s="288" t="str">
        <f>IF(P97="Yes", BENEFIT_PARAMETERS!$D$76,"N/A")</f>
        <v>N/A</v>
      </c>
      <c r="R97" s="253" t="str">
        <f t="shared" si="168"/>
        <v>N/A</v>
      </c>
      <c r="S97" s="217">
        <f t="shared" si="155"/>
        <v>0</v>
      </c>
      <c r="T97" s="215">
        <f t="shared" si="184"/>
        <v>0</v>
      </c>
      <c r="U97" s="214" t="b">
        <f t="shared" si="170"/>
        <v>0</v>
      </c>
      <c r="V97" s="251" t="str">
        <f>IF(O97,BENEFIT_PARAMETERS!$C$77,"N/A")</f>
        <v>N/A</v>
      </c>
      <c r="W97" s="288" t="str">
        <f>IF(V97="Yes", BENEFIT_PARAMETERS!$D$77,"N/A")</f>
        <v>N/A</v>
      </c>
      <c r="X97" s="253" t="str">
        <f>IF(O97,COUNTIF(Z$3:Z96,"&gt;0"),"N/A")</f>
        <v>N/A</v>
      </c>
      <c r="Y97" s="217" t="str">
        <f t="shared" si="185"/>
        <v>N/A</v>
      </c>
      <c r="Z97" s="293" t="str">
        <f t="shared" si="156"/>
        <v>N/A</v>
      </c>
      <c r="AA97" s="293">
        <f t="shared" si="157"/>
        <v>0</v>
      </c>
      <c r="AB97" s="293" t="str">
        <f t="shared" si="186"/>
        <v>N/A</v>
      </c>
      <c r="AC97" s="215">
        <f t="shared" si="158"/>
        <v>0</v>
      </c>
      <c r="AD97" s="214" t="b">
        <f t="shared" si="187"/>
        <v>0</v>
      </c>
      <c r="AE97" s="209" t="str">
        <f t="shared" si="188"/>
        <v>.</v>
      </c>
      <c r="AF97" s="216">
        <f t="shared" si="189"/>
        <v>0</v>
      </c>
      <c r="AG97" s="217" t="str">
        <f t="shared" si="190"/>
        <v>N/A</v>
      </c>
      <c r="AH97" s="217" t="b">
        <f t="shared" si="191"/>
        <v>0</v>
      </c>
      <c r="AI97" s="209" t="str">
        <f t="shared" si="192"/>
        <v>.</v>
      </c>
      <c r="AJ97" s="216">
        <f t="shared" si="193"/>
        <v>12</v>
      </c>
      <c r="AK97" s="217" t="str">
        <f t="shared" si="194"/>
        <v>N/A</v>
      </c>
      <c r="AL97" s="217">
        <f t="shared" si="159"/>
        <v>0</v>
      </c>
      <c r="AM97" s="215">
        <f t="shared" si="160"/>
        <v>0</v>
      </c>
      <c r="AN97" s="219" t="b">
        <f t="shared" si="195"/>
        <v>0</v>
      </c>
      <c r="AO97" s="217" t="str">
        <f t="shared" si="196"/>
        <v>N/A</v>
      </c>
      <c r="AP97" s="217" t="str">
        <f>IF(AND(ISNUMBER(AO97),AN97=TRUE),MAX(0,AO97-SUMIFS($AM$3:$AM96,AN$3:AN96,TRUE)),IF(AND(AN97=TRUE,ISNUMBER(AO97)=FALSE),"ERR","N/A"))</f>
        <v>N/A</v>
      </c>
      <c r="AQ97" s="215" t="str">
        <f t="shared" si="197"/>
        <v>N/A</v>
      </c>
      <c r="AR97" s="219" t="b">
        <f t="shared" si="198"/>
        <v>0</v>
      </c>
      <c r="AS97" s="217" t="str">
        <f t="shared" si="199"/>
        <v>N/A</v>
      </c>
      <c r="AT97" s="217" t="str">
        <f>IF(AND(AR97=TRUE,ISNUMBER(AS97)),MAX(0,AS97-SUMIFS($AM$3:$AM96,AR$3:AR96,TRUE)),IF(AND(AR97=TRUE,ISNUMBER(AS97)=FALSE),"ERR","N/A"))</f>
        <v>N/A</v>
      </c>
      <c r="AU97" s="215" t="str">
        <f t="shared" si="200"/>
        <v>N/A</v>
      </c>
      <c r="AV97" s="219" t="b">
        <f t="shared" si="201"/>
        <v>0</v>
      </c>
      <c r="AW97" s="217" t="str">
        <f t="shared" si="202"/>
        <v>N/A</v>
      </c>
      <c r="AX97" s="217" t="str">
        <f>IF(AND(AV97=TRUE,ISNUMBER(AW97)),MAX(0,AW97-SUMIFS($AM$3:$AM96,AV$3:AV96,TRUE)),IF(AND(AV97=TRUE,ISNUMBER(AW97)=FALSE),"ERR","N/A"))</f>
        <v>N/A</v>
      </c>
      <c r="AY97" s="215" t="str">
        <f t="shared" si="203"/>
        <v>N/A</v>
      </c>
      <c r="AZ97" s="219" t="b">
        <f t="shared" si="204"/>
        <v>0</v>
      </c>
      <c r="BA97" s="217" t="str">
        <f t="shared" si="205"/>
        <v>N/A</v>
      </c>
      <c r="BB97" s="217" t="str">
        <f>IF(AND(AZ97=TRUE,ISNUMBER(BA97)),MAX(0,BA97-SUMIFS($AM$3:$AM96,AZ$3:AZ96,TRUE)),IF(AND(AZ97=TRUE,ISNUMBER(BA97)=FALSE),"ERR","N/A"))</f>
        <v>N/A</v>
      </c>
      <c r="BC97" s="215" t="str">
        <f t="shared" si="206"/>
        <v>N/A</v>
      </c>
      <c r="BD97" s="219" t="b">
        <f t="shared" si="207"/>
        <v>0</v>
      </c>
      <c r="BE97" s="217" t="str">
        <f t="shared" si="208"/>
        <v>N/A</v>
      </c>
      <c r="BF97" s="217" t="str">
        <f>IF(AND(BD97=TRUE,ISNUMBER(BE97)=TRUE),MAX(0,BE97-SUMIFS(AM$3:AM96,BD$3:BD96,TRUE,F$3:F96,F97)),IF(AND(BD97=TRUE,ISNUMBER(BE97)=FALSE),"ERR","N/A"))</f>
        <v>N/A</v>
      </c>
      <c r="BG97" s="215" t="str">
        <f t="shared" si="209"/>
        <v>N/A</v>
      </c>
      <c r="BH97" s="214">
        <f t="shared" si="210"/>
        <v>0</v>
      </c>
      <c r="BI97" s="215">
        <f t="shared" si="161"/>
        <v>0</v>
      </c>
      <c r="BJ97" s="214" t="str">
        <f t="shared" si="171"/>
        <v>N/A</v>
      </c>
      <c r="BK97" s="217">
        <f t="shared" si="211"/>
        <v>0</v>
      </c>
      <c r="BL97" s="220" t="b">
        <f t="shared" si="212"/>
        <v>0</v>
      </c>
      <c r="BM97" s="217" t="str">
        <f t="shared" si="213"/>
        <v>N/A</v>
      </c>
      <c r="BN97" s="217" t="str">
        <f t="shared" si="162"/>
        <v>N/A</v>
      </c>
      <c r="BO97" s="220" t="b">
        <f t="shared" si="214"/>
        <v>0</v>
      </c>
      <c r="BP97" s="244" t="str">
        <f t="shared" si="215"/>
        <v>N/A</v>
      </c>
      <c r="BQ97" s="217" t="str">
        <f t="shared" si="163"/>
        <v>N/A</v>
      </c>
      <c r="BR97" s="215">
        <f t="shared" si="164"/>
        <v>0</v>
      </c>
      <c r="BS97" s="214" t="str">
        <f t="shared" si="172"/>
        <v>N/A</v>
      </c>
      <c r="BT97" s="217">
        <f t="shared" si="165"/>
        <v>0</v>
      </c>
      <c r="BU97" s="215">
        <f t="shared" si="173"/>
        <v>0</v>
      </c>
      <c r="BV97" s="214">
        <f t="shared" si="174"/>
        <v>0</v>
      </c>
      <c r="BW97" s="217">
        <f t="shared" si="216"/>
        <v>20.62</v>
      </c>
      <c r="BX97" s="217">
        <f t="shared" si="217"/>
        <v>0</v>
      </c>
      <c r="BY97" s="217">
        <f t="shared" si="166"/>
        <v>0</v>
      </c>
      <c r="BZ97" s="217">
        <f t="shared" si="218"/>
        <v>0</v>
      </c>
      <c r="CA97" s="217">
        <f t="shared" si="167"/>
        <v>0</v>
      </c>
      <c r="CB97" s="213" t="b">
        <f t="shared" si="219"/>
        <v>1</v>
      </c>
    </row>
    <row r="98" spans="1:80" x14ac:dyDescent="0.25">
      <c r="A98" s="207">
        <v>95</v>
      </c>
      <c r="B98" s="208">
        <v>42733</v>
      </c>
      <c r="C98" s="209">
        <v>12</v>
      </c>
      <c r="D98" s="210">
        <v>6</v>
      </c>
      <c r="E98" s="211" t="str">
        <f t="shared" si="175"/>
        <v>OneTouch Ultra Control Solution (2 vials/box)</v>
      </c>
      <c r="F98" s="212" t="str">
        <f t="shared" si="176"/>
        <v>Medical Supplies</v>
      </c>
      <c r="G98" s="213" t="str">
        <f t="shared" si="177"/>
        <v>Not Covered</v>
      </c>
      <c r="H98" s="214">
        <f t="shared" si="178"/>
        <v>6.63</v>
      </c>
      <c r="I98" s="217">
        <f t="shared" si="179"/>
        <v>6.63</v>
      </c>
      <c r="J98" s="251">
        <f t="shared" si="180"/>
        <v>0</v>
      </c>
      <c r="K98" s="214" t="b">
        <f t="shared" si="181"/>
        <v>0</v>
      </c>
      <c r="L98" s="218" t="str">
        <f t="shared" si="182"/>
        <v>No</v>
      </c>
      <c r="M98" s="217" t="str">
        <f t="shared" si="183"/>
        <v>.</v>
      </c>
      <c r="N98" s="215" t="str">
        <f>IFERROR(IF(AND(L98="Yes",ISNUMBER(M98)),MAX(0,M98-SUMIFS(BU$3:BU97,L$3:L97,"Yes")),IF(OR(L98="No",M98="None"),"N/A","ERR")),"ERR")</f>
        <v>N/A</v>
      </c>
      <c r="O98" s="251" t="b">
        <f t="shared" si="169"/>
        <v>0</v>
      </c>
      <c r="P98" s="251" t="str">
        <f>IF(O98,BENEFIT_PARAMETERS!$C$76,"N/A")</f>
        <v>N/A</v>
      </c>
      <c r="Q98" s="288" t="str">
        <f>IF(P98="Yes", BENEFIT_PARAMETERS!$D$76,"N/A")</f>
        <v>N/A</v>
      </c>
      <c r="R98" s="253" t="str">
        <f t="shared" si="168"/>
        <v>N/A</v>
      </c>
      <c r="S98" s="217">
        <f t="shared" si="155"/>
        <v>0</v>
      </c>
      <c r="T98" s="215">
        <f t="shared" si="184"/>
        <v>0</v>
      </c>
      <c r="U98" s="214" t="b">
        <f t="shared" si="170"/>
        <v>0</v>
      </c>
      <c r="V98" s="251" t="str">
        <f>IF(O98,BENEFIT_PARAMETERS!$C$77,"N/A")</f>
        <v>N/A</v>
      </c>
      <c r="W98" s="288" t="str">
        <f>IF(V98="Yes", BENEFIT_PARAMETERS!$D$77,"N/A")</f>
        <v>N/A</v>
      </c>
      <c r="X98" s="253" t="str">
        <f>IF(O98,COUNTIF(Z$3:Z97,"&gt;0"),"N/A")</f>
        <v>N/A</v>
      </c>
      <c r="Y98" s="217" t="str">
        <f t="shared" si="185"/>
        <v>N/A</v>
      </c>
      <c r="Z98" s="293" t="str">
        <f t="shared" si="156"/>
        <v>N/A</v>
      </c>
      <c r="AA98" s="293">
        <f t="shared" si="157"/>
        <v>0</v>
      </c>
      <c r="AB98" s="293" t="str">
        <f t="shared" si="186"/>
        <v>N/A</v>
      </c>
      <c r="AC98" s="215">
        <f t="shared" si="158"/>
        <v>0</v>
      </c>
      <c r="AD98" s="214" t="b">
        <f t="shared" si="187"/>
        <v>0</v>
      </c>
      <c r="AE98" s="209" t="str">
        <f t="shared" si="188"/>
        <v>.</v>
      </c>
      <c r="AF98" s="216">
        <f t="shared" si="189"/>
        <v>0</v>
      </c>
      <c r="AG98" s="217" t="str">
        <f t="shared" si="190"/>
        <v>N/A</v>
      </c>
      <c r="AH98" s="217" t="b">
        <f t="shared" si="191"/>
        <v>0</v>
      </c>
      <c r="AI98" s="209" t="str">
        <f t="shared" si="192"/>
        <v>.</v>
      </c>
      <c r="AJ98" s="216">
        <f t="shared" si="193"/>
        <v>2</v>
      </c>
      <c r="AK98" s="217" t="str">
        <f t="shared" si="194"/>
        <v>N/A</v>
      </c>
      <c r="AL98" s="217">
        <f t="shared" si="159"/>
        <v>0</v>
      </c>
      <c r="AM98" s="215">
        <f t="shared" si="160"/>
        <v>0</v>
      </c>
      <c r="AN98" s="219" t="b">
        <f t="shared" si="195"/>
        <v>0</v>
      </c>
      <c r="AO98" s="217" t="str">
        <f t="shared" si="196"/>
        <v>N/A</v>
      </c>
      <c r="AP98" s="217" t="str">
        <f>IF(AND(ISNUMBER(AO98),AN98=TRUE),MAX(0,AO98-SUMIFS($AM$3:$AM97,AN$3:AN97,TRUE)),IF(AND(AN98=TRUE,ISNUMBER(AO98)=FALSE),"ERR","N/A"))</f>
        <v>N/A</v>
      </c>
      <c r="AQ98" s="215" t="str">
        <f t="shared" si="197"/>
        <v>N/A</v>
      </c>
      <c r="AR98" s="219" t="b">
        <f t="shared" si="198"/>
        <v>0</v>
      </c>
      <c r="AS98" s="217" t="str">
        <f t="shared" si="199"/>
        <v>N/A</v>
      </c>
      <c r="AT98" s="217" t="str">
        <f>IF(AND(AR98=TRUE,ISNUMBER(AS98)),MAX(0,AS98-SUMIFS($AM$3:$AM97,AR$3:AR97,TRUE)),IF(AND(AR98=TRUE,ISNUMBER(AS98)=FALSE),"ERR","N/A"))</f>
        <v>N/A</v>
      </c>
      <c r="AU98" s="215" t="str">
        <f t="shared" si="200"/>
        <v>N/A</v>
      </c>
      <c r="AV98" s="219" t="b">
        <f t="shared" si="201"/>
        <v>0</v>
      </c>
      <c r="AW98" s="217" t="str">
        <f t="shared" si="202"/>
        <v>N/A</v>
      </c>
      <c r="AX98" s="217" t="str">
        <f>IF(AND(AV98=TRUE,ISNUMBER(AW98)),MAX(0,AW98-SUMIFS($AM$3:$AM97,AV$3:AV97,TRUE)),IF(AND(AV98=TRUE,ISNUMBER(AW98)=FALSE),"ERR","N/A"))</f>
        <v>N/A</v>
      </c>
      <c r="AY98" s="215" t="str">
        <f t="shared" si="203"/>
        <v>N/A</v>
      </c>
      <c r="AZ98" s="219" t="b">
        <f t="shared" si="204"/>
        <v>0</v>
      </c>
      <c r="BA98" s="217" t="str">
        <f t="shared" si="205"/>
        <v>N/A</v>
      </c>
      <c r="BB98" s="217" t="str">
        <f>IF(AND(AZ98=TRUE,ISNUMBER(BA98)),MAX(0,BA98-SUMIFS($AM$3:$AM97,AZ$3:AZ97,TRUE)),IF(AND(AZ98=TRUE,ISNUMBER(BA98)=FALSE),"ERR","N/A"))</f>
        <v>N/A</v>
      </c>
      <c r="BC98" s="215" t="str">
        <f t="shared" si="206"/>
        <v>N/A</v>
      </c>
      <c r="BD98" s="219" t="b">
        <f t="shared" si="207"/>
        <v>0</v>
      </c>
      <c r="BE98" s="217" t="str">
        <f t="shared" si="208"/>
        <v>N/A</v>
      </c>
      <c r="BF98" s="217" t="str">
        <f>IF(AND(BD98=TRUE,ISNUMBER(BE98)=TRUE),MAX(0,BE98-SUMIFS(AM$3:AM97,BD$3:BD97,TRUE,F$3:F97,F98)),IF(AND(BD98=TRUE,ISNUMBER(BE98)=FALSE),"ERR","N/A"))</f>
        <v>N/A</v>
      </c>
      <c r="BG98" s="215" t="str">
        <f t="shared" si="209"/>
        <v>N/A</v>
      </c>
      <c r="BH98" s="214">
        <f t="shared" si="210"/>
        <v>0</v>
      </c>
      <c r="BI98" s="215">
        <f t="shared" si="161"/>
        <v>0</v>
      </c>
      <c r="BJ98" s="214" t="str">
        <f t="shared" si="171"/>
        <v>N/A</v>
      </c>
      <c r="BK98" s="217">
        <f t="shared" si="211"/>
        <v>0</v>
      </c>
      <c r="BL98" s="220" t="b">
        <f t="shared" si="212"/>
        <v>0</v>
      </c>
      <c r="BM98" s="217" t="str">
        <f t="shared" si="213"/>
        <v>N/A</v>
      </c>
      <c r="BN98" s="217" t="str">
        <f t="shared" si="162"/>
        <v>N/A</v>
      </c>
      <c r="BO98" s="220" t="b">
        <f t="shared" si="214"/>
        <v>0</v>
      </c>
      <c r="BP98" s="244" t="str">
        <f t="shared" si="215"/>
        <v>N/A</v>
      </c>
      <c r="BQ98" s="217" t="str">
        <f t="shared" si="163"/>
        <v>N/A</v>
      </c>
      <c r="BR98" s="215">
        <f t="shared" si="164"/>
        <v>0</v>
      </c>
      <c r="BS98" s="214" t="str">
        <f t="shared" si="172"/>
        <v>N/A</v>
      </c>
      <c r="BT98" s="217">
        <f t="shared" si="165"/>
        <v>0</v>
      </c>
      <c r="BU98" s="215">
        <f t="shared" si="173"/>
        <v>0</v>
      </c>
      <c r="BV98" s="214">
        <f t="shared" si="174"/>
        <v>0</v>
      </c>
      <c r="BW98" s="217">
        <f t="shared" si="216"/>
        <v>6.63</v>
      </c>
      <c r="BX98" s="217">
        <f t="shared" si="217"/>
        <v>0</v>
      </c>
      <c r="BY98" s="217">
        <f t="shared" si="166"/>
        <v>0</v>
      </c>
      <c r="BZ98" s="217">
        <f t="shared" si="218"/>
        <v>0</v>
      </c>
      <c r="CA98" s="217">
        <f t="shared" si="167"/>
        <v>0</v>
      </c>
      <c r="CB98" s="213" t="b">
        <f t="shared" si="219"/>
        <v>1</v>
      </c>
    </row>
    <row r="99" spans="1:80" x14ac:dyDescent="0.25">
      <c r="A99" s="207">
        <v>96</v>
      </c>
      <c r="B99" s="208">
        <v>42733</v>
      </c>
      <c r="C99" s="209">
        <v>12</v>
      </c>
      <c r="D99" s="210">
        <v>32</v>
      </c>
      <c r="E99" s="211" t="str">
        <f t="shared" si="175"/>
        <v>Metformin Hydrochloride 500 MG TABLET [ #60 pills/month]</v>
      </c>
      <c r="F99" s="212" t="str">
        <f t="shared" si="176"/>
        <v>Prescription Drugs: Generic</v>
      </c>
      <c r="G99" s="213" t="str">
        <f t="shared" si="177"/>
        <v>Not Covered</v>
      </c>
      <c r="H99" s="214">
        <f t="shared" si="178"/>
        <v>3.21</v>
      </c>
      <c r="I99" s="217">
        <f t="shared" si="179"/>
        <v>3.21</v>
      </c>
      <c r="J99" s="251">
        <f t="shared" si="180"/>
        <v>0</v>
      </c>
      <c r="K99" s="214" t="b">
        <f t="shared" si="181"/>
        <v>0</v>
      </c>
      <c r="L99" s="218" t="str">
        <f t="shared" si="182"/>
        <v>No</v>
      </c>
      <c r="M99" s="217" t="str">
        <f t="shared" si="183"/>
        <v>.</v>
      </c>
      <c r="N99" s="215" t="str">
        <f>IFERROR(IF(AND(L99="Yes",ISNUMBER(M99)),MAX(0,M99-SUMIFS(BU$3:BU98,L$3:L98,"Yes")),IF(OR(L99="No",M99="None"),"N/A","ERR")),"ERR")</f>
        <v>N/A</v>
      </c>
      <c r="O99" s="251" t="b">
        <f t="shared" si="169"/>
        <v>0</v>
      </c>
      <c r="P99" s="251" t="str">
        <f>IF(O99,BENEFIT_PARAMETERS!$C$76,"N/A")</f>
        <v>N/A</v>
      </c>
      <c r="Q99" s="288" t="str">
        <f>IF(P99="Yes", BENEFIT_PARAMETERS!$D$76,"N/A")</f>
        <v>N/A</v>
      </c>
      <c r="R99" s="253" t="str">
        <f t="shared" si="168"/>
        <v>N/A</v>
      </c>
      <c r="S99" s="217">
        <f t="shared" si="155"/>
        <v>0</v>
      </c>
      <c r="T99" s="215">
        <f t="shared" si="184"/>
        <v>0</v>
      </c>
      <c r="U99" s="214" t="b">
        <f t="shared" si="170"/>
        <v>0</v>
      </c>
      <c r="V99" s="251" t="str">
        <f>IF(O99,BENEFIT_PARAMETERS!$C$77,"N/A")</f>
        <v>N/A</v>
      </c>
      <c r="W99" s="288" t="str">
        <f>IF(V99="Yes", BENEFIT_PARAMETERS!$D$77,"N/A")</f>
        <v>N/A</v>
      </c>
      <c r="X99" s="253" t="str">
        <f>IF(O99,COUNTIF(Z$3:Z98,"&gt;0"),"N/A")</f>
        <v>N/A</v>
      </c>
      <c r="Y99" s="217" t="str">
        <f t="shared" si="185"/>
        <v>N/A</v>
      </c>
      <c r="Z99" s="293" t="str">
        <f t="shared" si="156"/>
        <v>N/A</v>
      </c>
      <c r="AA99" s="293">
        <f t="shared" si="157"/>
        <v>0</v>
      </c>
      <c r="AB99" s="293" t="str">
        <f t="shared" si="186"/>
        <v>N/A</v>
      </c>
      <c r="AC99" s="215">
        <f t="shared" si="158"/>
        <v>0</v>
      </c>
      <c r="AD99" s="214" t="b">
        <f t="shared" si="187"/>
        <v>0</v>
      </c>
      <c r="AE99" s="209" t="str">
        <f t="shared" si="188"/>
        <v>.</v>
      </c>
      <c r="AF99" s="216">
        <f t="shared" si="189"/>
        <v>0</v>
      </c>
      <c r="AG99" s="217" t="str">
        <f t="shared" si="190"/>
        <v>N/A</v>
      </c>
      <c r="AH99" s="217" t="b">
        <f t="shared" si="191"/>
        <v>0</v>
      </c>
      <c r="AI99" s="209" t="str">
        <f t="shared" si="192"/>
        <v>.</v>
      </c>
      <c r="AJ99" s="216">
        <f t="shared" si="193"/>
        <v>12</v>
      </c>
      <c r="AK99" s="217" t="str">
        <f t="shared" si="194"/>
        <v>N/A</v>
      </c>
      <c r="AL99" s="217">
        <f t="shared" si="159"/>
        <v>0</v>
      </c>
      <c r="AM99" s="215">
        <f t="shared" si="160"/>
        <v>0</v>
      </c>
      <c r="AN99" s="219" t="b">
        <f t="shared" si="195"/>
        <v>0</v>
      </c>
      <c r="AO99" s="217" t="str">
        <f t="shared" si="196"/>
        <v>N/A</v>
      </c>
      <c r="AP99" s="217" t="str">
        <f>IF(AND(ISNUMBER(AO99),AN99=TRUE),MAX(0,AO99-SUMIFS($AM$3:$AM98,AN$3:AN98,TRUE)),IF(AND(AN99=TRUE,ISNUMBER(AO99)=FALSE),"ERR","N/A"))</f>
        <v>N/A</v>
      </c>
      <c r="AQ99" s="215" t="str">
        <f t="shared" si="197"/>
        <v>N/A</v>
      </c>
      <c r="AR99" s="219" t="b">
        <f t="shared" si="198"/>
        <v>0</v>
      </c>
      <c r="AS99" s="217" t="str">
        <f t="shared" si="199"/>
        <v>N/A</v>
      </c>
      <c r="AT99" s="217" t="str">
        <f>IF(AND(AR99=TRUE,ISNUMBER(AS99)),MAX(0,AS99-SUMIFS($AM$3:$AM98,AR$3:AR98,TRUE)),IF(AND(AR99=TRUE,ISNUMBER(AS99)=FALSE),"ERR","N/A"))</f>
        <v>N/A</v>
      </c>
      <c r="AU99" s="215" t="str">
        <f t="shared" si="200"/>
        <v>N/A</v>
      </c>
      <c r="AV99" s="219" t="b">
        <f t="shared" si="201"/>
        <v>0</v>
      </c>
      <c r="AW99" s="217" t="str">
        <f t="shared" si="202"/>
        <v>N/A</v>
      </c>
      <c r="AX99" s="217" t="str">
        <f>IF(AND(AV99=TRUE,ISNUMBER(AW99)),MAX(0,AW99-SUMIFS($AM$3:$AM98,AV$3:AV98,TRUE)),IF(AND(AV99=TRUE,ISNUMBER(AW99)=FALSE),"ERR","N/A"))</f>
        <v>N/A</v>
      </c>
      <c r="AY99" s="215" t="str">
        <f t="shared" si="203"/>
        <v>N/A</v>
      </c>
      <c r="AZ99" s="219" t="b">
        <f t="shared" si="204"/>
        <v>0</v>
      </c>
      <c r="BA99" s="217" t="str">
        <f t="shared" si="205"/>
        <v>N/A</v>
      </c>
      <c r="BB99" s="217" t="str">
        <f>IF(AND(AZ99=TRUE,ISNUMBER(BA99)),MAX(0,BA99-SUMIFS($AM$3:$AM98,AZ$3:AZ98,TRUE)),IF(AND(AZ99=TRUE,ISNUMBER(BA99)=FALSE),"ERR","N/A"))</f>
        <v>N/A</v>
      </c>
      <c r="BC99" s="215" t="str">
        <f t="shared" si="206"/>
        <v>N/A</v>
      </c>
      <c r="BD99" s="219" t="b">
        <f t="shared" si="207"/>
        <v>0</v>
      </c>
      <c r="BE99" s="217" t="str">
        <f t="shared" si="208"/>
        <v>N/A</v>
      </c>
      <c r="BF99" s="217" t="str">
        <f>IF(AND(BD99=TRUE,ISNUMBER(BE99)=TRUE),MAX(0,BE99-SUMIFS(AM$3:AM98,BD$3:BD98,TRUE,F$3:F98,F99)),IF(AND(BD99=TRUE,ISNUMBER(BE99)=FALSE),"ERR","N/A"))</f>
        <v>N/A</v>
      </c>
      <c r="BG99" s="215" t="str">
        <f t="shared" si="209"/>
        <v>N/A</v>
      </c>
      <c r="BH99" s="214">
        <f t="shared" si="210"/>
        <v>0</v>
      </c>
      <c r="BI99" s="215">
        <f t="shared" si="161"/>
        <v>0</v>
      </c>
      <c r="BJ99" s="214" t="str">
        <f t="shared" si="171"/>
        <v>N/A</v>
      </c>
      <c r="BK99" s="217">
        <f t="shared" si="211"/>
        <v>0</v>
      </c>
      <c r="BL99" s="220" t="b">
        <f t="shared" si="212"/>
        <v>0</v>
      </c>
      <c r="BM99" s="217" t="str">
        <f t="shared" si="213"/>
        <v>N/A</v>
      </c>
      <c r="BN99" s="217" t="str">
        <f t="shared" si="162"/>
        <v>N/A</v>
      </c>
      <c r="BO99" s="220" t="b">
        <f t="shared" si="214"/>
        <v>0</v>
      </c>
      <c r="BP99" s="244" t="str">
        <f t="shared" si="215"/>
        <v>N/A</v>
      </c>
      <c r="BQ99" s="217" t="str">
        <f t="shared" si="163"/>
        <v>N/A</v>
      </c>
      <c r="BR99" s="215">
        <f t="shared" si="164"/>
        <v>0</v>
      </c>
      <c r="BS99" s="214" t="str">
        <f t="shared" si="172"/>
        <v>N/A</v>
      </c>
      <c r="BT99" s="217">
        <f t="shared" si="165"/>
        <v>0</v>
      </c>
      <c r="BU99" s="215">
        <f t="shared" si="173"/>
        <v>0</v>
      </c>
      <c r="BV99" s="214">
        <f t="shared" si="174"/>
        <v>0</v>
      </c>
      <c r="BW99" s="217">
        <f t="shared" si="216"/>
        <v>3.21</v>
      </c>
      <c r="BX99" s="217">
        <f t="shared" si="217"/>
        <v>0</v>
      </c>
      <c r="BY99" s="217">
        <f t="shared" si="166"/>
        <v>0</v>
      </c>
      <c r="BZ99" s="217">
        <f t="shared" si="218"/>
        <v>0</v>
      </c>
      <c r="CA99" s="217">
        <f t="shared" si="167"/>
        <v>0</v>
      </c>
      <c r="CB99" s="213" t="b">
        <f t="shared" si="219"/>
        <v>1</v>
      </c>
    </row>
    <row r="100" spans="1:80" ht="15.75" thickBot="1" x14ac:dyDescent="0.3">
      <c r="A100" s="221">
        <v>97</v>
      </c>
      <c r="B100" s="222">
        <v>42733</v>
      </c>
      <c r="C100" s="223">
        <v>12</v>
      </c>
      <c r="D100" s="224">
        <v>19</v>
      </c>
      <c r="E100" s="225" t="str">
        <f t="shared" si="175"/>
        <v>Lisinopril 20mg (Rx) [1 QD; #30 pills/month]</v>
      </c>
      <c r="F100" s="226" t="str">
        <f t="shared" si="176"/>
        <v>Prescription Drugs: Generic</v>
      </c>
      <c r="G100" s="227" t="str">
        <f t="shared" si="177"/>
        <v>Not Covered</v>
      </c>
      <c r="H100" s="228">
        <f t="shared" si="178"/>
        <v>3.38</v>
      </c>
      <c r="I100" s="231">
        <f t="shared" si="179"/>
        <v>3.38</v>
      </c>
      <c r="J100" s="252">
        <f t="shared" si="180"/>
        <v>0</v>
      </c>
      <c r="K100" s="228" t="b">
        <f t="shared" si="181"/>
        <v>0</v>
      </c>
      <c r="L100" s="232" t="str">
        <f t="shared" si="182"/>
        <v>No</v>
      </c>
      <c r="M100" s="231" t="str">
        <f t="shared" si="183"/>
        <v>.</v>
      </c>
      <c r="N100" s="229" t="str">
        <f>IFERROR(IF(AND(L100="Yes",ISNUMBER(M100)),MAX(0,M100-SUMIFS(BU$3:BU99,L$3:L99,"Yes")),IF(OR(L100="No",M100="None"),"N/A","ERR")),"ERR")</f>
        <v>N/A</v>
      </c>
      <c r="O100" s="252" t="b">
        <f t="shared" si="169"/>
        <v>0</v>
      </c>
      <c r="P100" s="252" t="str">
        <f>IF(O100,BENEFIT_PARAMETERS!$C$76,"N/A")</f>
        <v>N/A</v>
      </c>
      <c r="Q100" s="289" t="str">
        <f>IF(P100="Yes", BENEFIT_PARAMETERS!$D$76,"N/A")</f>
        <v>N/A</v>
      </c>
      <c r="R100" s="254" t="str">
        <f t="shared" si="168"/>
        <v>N/A</v>
      </c>
      <c r="S100" s="231">
        <f t="shared" si="155"/>
        <v>0</v>
      </c>
      <c r="T100" s="229">
        <f t="shared" si="184"/>
        <v>0</v>
      </c>
      <c r="U100" s="228" t="b">
        <f t="shared" si="170"/>
        <v>0</v>
      </c>
      <c r="V100" s="252" t="str">
        <f>IF(O100,BENEFIT_PARAMETERS!$C$77,"N/A")</f>
        <v>N/A</v>
      </c>
      <c r="W100" s="289" t="str">
        <f>IF(V100="Yes", BENEFIT_PARAMETERS!$D$77,"N/A")</f>
        <v>N/A</v>
      </c>
      <c r="X100" s="254" t="str">
        <f>IF(O100,COUNTIF(Z$3:Z99,"&gt;0"),"N/A")</f>
        <v>N/A</v>
      </c>
      <c r="Y100" s="231" t="str">
        <f t="shared" si="185"/>
        <v>N/A</v>
      </c>
      <c r="Z100" s="294" t="str">
        <f t="shared" si="156"/>
        <v>N/A</v>
      </c>
      <c r="AA100" s="294">
        <f t="shared" si="157"/>
        <v>0</v>
      </c>
      <c r="AB100" s="294" t="str">
        <f t="shared" si="186"/>
        <v>N/A</v>
      </c>
      <c r="AC100" s="229">
        <f t="shared" si="158"/>
        <v>0</v>
      </c>
      <c r="AD100" s="228" t="b">
        <f t="shared" si="187"/>
        <v>0</v>
      </c>
      <c r="AE100" s="223" t="str">
        <f t="shared" si="188"/>
        <v>.</v>
      </c>
      <c r="AF100" s="230">
        <f t="shared" si="189"/>
        <v>0</v>
      </c>
      <c r="AG100" s="231" t="str">
        <f t="shared" si="190"/>
        <v>N/A</v>
      </c>
      <c r="AH100" s="231" t="b">
        <f t="shared" si="191"/>
        <v>0</v>
      </c>
      <c r="AI100" s="223" t="str">
        <f t="shared" si="192"/>
        <v>.</v>
      </c>
      <c r="AJ100" s="230">
        <f t="shared" si="193"/>
        <v>12</v>
      </c>
      <c r="AK100" s="231" t="str">
        <f t="shared" si="194"/>
        <v>N/A</v>
      </c>
      <c r="AL100" s="231">
        <f t="shared" si="159"/>
        <v>0</v>
      </c>
      <c r="AM100" s="229">
        <f t="shared" si="160"/>
        <v>0</v>
      </c>
      <c r="AN100" s="233" t="b">
        <f t="shared" si="195"/>
        <v>0</v>
      </c>
      <c r="AO100" s="231" t="str">
        <f t="shared" si="196"/>
        <v>N/A</v>
      </c>
      <c r="AP100" s="231" t="str">
        <f>IF(AND(ISNUMBER(AO100),AN100=TRUE),MAX(0,AO100-SUMIFS($AM$3:$AM99,AN$3:AN99,TRUE)),IF(AND(AN100=TRUE,ISNUMBER(AO100)=FALSE),"ERR","N/A"))</f>
        <v>N/A</v>
      </c>
      <c r="AQ100" s="229" t="str">
        <f t="shared" si="197"/>
        <v>N/A</v>
      </c>
      <c r="AR100" s="233" t="b">
        <f t="shared" si="198"/>
        <v>0</v>
      </c>
      <c r="AS100" s="231" t="str">
        <f t="shared" si="199"/>
        <v>N/A</v>
      </c>
      <c r="AT100" s="231" t="str">
        <f>IF(AND(AR100=TRUE,ISNUMBER(AS100)),MAX(0,AS100-SUMIFS($AM$3:$AM99,AR$3:AR99,TRUE)),IF(AND(AR100=TRUE,ISNUMBER(AS100)=FALSE),"ERR","N/A"))</f>
        <v>N/A</v>
      </c>
      <c r="AU100" s="229" t="str">
        <f t="shared" si="200"/>
        <v>N/A</v>
      </c>
      <c r="AV100" s="233" t="b">
        <f t="shared" si="201"/>
        <v>0</v>
      </c>
      <c r="AW100" s="231" t="str">
        <f t="shared" si="202"/>
        <v>N/A</v>
      </c>
      <c r="AX100" s="231" t="str">
        <f>IF(AND(AV100=TRUE,ISNUMBER(AW100)),MAX(0,AW100-SUMIFS($AM$3:$AM99,AV$3:AV99,TRUE)),IF(AND(AV100=TRUE,ISNUMBER(AW100)=FALSE),"ERR","N/A"))</f>
        <v>N/A</v>
      </c>
      <c r="AY100" s="229" t="str">
        <f t="shared" si="203"/>
        <v>N/A</v>
      </c>
      <c r="AZ100" s="233" t="b">
        <f t="shared" si="204"/>
        <v>0</v>
      </c>
      <c r="BA100" s="231" t="str">
        <f t="shared" si="205"/>
        <v>N/A</v>
      </c>
      <c r="BB100" s="231" t="str">
        <f>IF(AND(AZ100=TRUE,ISNUMBER(BA100)),MAX(0,BA100-SUMIFS($AM$3:$AM99,AZ$3:AZ99,TRUE)),IF(AND(AZ100=TRUE,ISNUMBER(BA100)=FALSE),"ERR","N/A"))</f>
        <v>N/A</v>
      </c>
      <c r="BC100" s="229" t="str">
        <f t="shared" si="206"/>
        <v>N/A</v>
      </c>
      <c r="BD100" s="233" t="b">
        <f t="shared" si="207"/>
        <v>0</v>
      </c>
      <c r="BE100" s="231" t="str">
        <f t="shared" si="208"/>
        <v>N/A</v>
      </c>
      <c r="BF100" s="231" t="str">
        <f>IF(AND(BD100=TRUE,ISNUMBER(BE100)=TRUE),MAX(0,BE100-SUMIFS(AM$3:AM99,BD$3:BD99,TRUE,F$3:F99,F100)),IF(AND(BD100=TRUE,ISNUMBER(BE100)=FALSE),"ERR","N/A"))</f>
        <v>N/A</v>
      </c>
      <c r="BG100" s="229" t="str">
        <f t="shared" si="209"/>
        <v>N/A</v>
      </c>
      <c r="BH100" s="228">
        <f t="shared" si="210"/>
        <v>0</v>
      </c>
      <c r="BI100" s="229">
        <f t="shared" si="161"/>
        <v>0</v>
      </c>
      <c r="BJ100" s="228" t="str">
        <f t="shared" si="171"/>
        <v>N/A</v>
      </c>
      <c r="BK100" s="231">
        <f t="shared" si="211"/>
        <v>0</v>
      </c>
      <c r="BL100" s="234" t="b">
        <f t="shared" si="212"/>
        <v>0</v>
      </c>
      <c r="BM100" s="231" t="str">
        <f t="shared" si="213"/>
        <v>N/A</v>
      </c>
      <c r="BN100" s="231" t="str">
        <f t="shared" si="162"/>
        <v>N/A</v>
      </c>
      <c r="BO100" s="234" t="b">
        <f t="shared" si="214"/>
        <v>0</v>
      </c>
      <c r="BP100" s="245" t="str">
        <f t="shared" si="215"/>
        <v>N/A</v>
      </c>
      <c r="BQ100" s="231" t="str">
        <f t="shared" si="163"/>
        <v>N/A</v>
      </c>
      <c r="BR100" s="229">
        <f t="shared" si="164"/>
        <v>0</v>
      </c>
      <c r="BS100" s="228" t="str">
        <f t="shared" si="172"/>
        <v>N/A</v>
      </c>
      <c r="BT100" s="231">
        <f t="shared" si="165"/>
        <v>0</v>
      </c>
      <c r="BU100" s="229">
        <f t="shared" si="173"/>
        <v>0</v>
      </c>
      <c r="BV100" s="228">
        <f t="shared" si="174"/>
        <v>0</v>
      </c>
      <c r="BW100" s="231">
        <f t="shared" si="216"/>
        <v>3.38</v>
      </c>
      <c r="BX100" s="231">
        <f t="shared" si="217"/>
        <v>0</v>
      </c>
      <c r="BY100" s="231">
        <f t="shared" si="166"/>
        <v>0</v>
      </c>
      <c r="BZ100" s="231">
        <f t="shared" si="218"/>
        <v>0</v>
      </c>
      <c r="CA100" s="231">
        <f t="shared" si="167"/>
        <v>0</v>
      </c>
      <c r="CB100" s="227" t="b">
        <f t="shared" si="219"/>
        <v>1</v>
      </c>
    </row>
    <row r="101" spans="1:80" x14ac:dyDescent="0.25">
      <c r="C101" s="185"/>
      <c r="H101" s="192"/>
      <c r="I101" s="192"/>
      <c r="J101" s="192"/>
      <c r="K101" s="192"/>
      <c r="O101" s="192"/>
      <c r="P101" s="192"/>
      <c r="Q101" s="192"/>
      <c r="R101" s="192"/>
      <c r="S101" s="192"/>
      <c r="T101" s="192"/>
      <c r="U101" s="192"/>
      <c r="V101" s="192"/>
      <c r="W101" s="192"/>
      <c r="X101" s="192"/>
      <c r="Y101" s="192"/>
      <c r="Z101" s="192"/>
      <c r="AA101" s="192"/>
      <c r="AB101" s="192"/>
      <c r="AC101" s="192"/>
      <c r="AD101" s="192"/>
      <c r="AM101" s="192"/>
    </row>
    <row r="102" spans="1:80" x14ac:dyDescent="0.25">
      <c r="C102" s="185"/>
      <c r="H102" s="192"/>
      <c r="I102" s="192"/>
      <c r="J102" s="192"/>
      <c r="K102" s="192"/>
      <c r="O102" s="192"/>
      <c r="P102" s="192"/>
      <c r="Q102" s="192"/>
      <c r="R102" s="192"/>
      <c r="S102" s="192"/>
      <c r="T102" s="192"/>
      <c r="U102" s="192"/>
      <c r="V102" s="192"/>
      <c r="W102" s="192"/>
      <c r="X102" s="192"/>
      <c r="Y102" s="192"/>
      <c r="Z102" s="192"/>
      <c r="AA102" s="192"/>
      <c r="AB102" s="192"/>
      <c r="AC102" s="192"/>
      <c r="AD102" s="192"/>
      <c r="AM102" s="192"/>
    </row>
    <row r="103" spans="1:80" x14ac:dyDescent="0.25">
      <c r="C103" s="185"/>
      <c r="H103" s="192"/>
      <c r="I103" s="192"/>
      <c r="J103" s="192"/>
      <c r="K103" s="192"/>
      <c r="O103" s="192"/>
      <c r="P103" s="192"/>
      <c r="Q103" s="192"/>
      <c r="R103" s="192"/>
      <c r="S103" s="192"/>
      <c r="T103" s="192"/>
      <c r="U103" s="192"/>
      <c r="V103" s="192"/>
      <c r="W103" s="192"/>
      <c r="X103" s="192"/>
      <c r="Y103" s="192"/>
      <c r="Z103" s="192"/>
      <c r="AA103" s="192"/>
      <c r="AB103" s="192"/>
      <c r="AC103" s="192"/>
      <c r="AD103" s="192"/>
      <c r="AM103" s="192"/>
    </row>
    <row r="104" spans="1:80" x14ac:dyDescent="0.25">
      <c r="C104" s="185"/>
      <c r="H104" s="192"/>
      <c r="I104" s="192"/>
      <c r="J104" s="192"/>
      <c r="K104" s="192"/>
      <c r="O104" s="192"/>
      <c r="P104" s="192"/>
      <c r="Q104" s="192"/>
      <c r="R104" s="192"/>
      <c r="S104" s="192"/>
      <c r="T104" s="192"/>
      <c r="U104" s="192"/>
      <c r="V104" s="192"/>
      <c r="W104" s="192"/>
      <c r="X104" s="192"/>
      <c r="Y104" s="192"/>
      <c r="Z104" s="192"/>
      <c r="AA104" s="192"/>
      <c r="AB104" s="192"/>
      <c r="AC104" s="192"/>
      <c r="AD104" s="192"/>
      <c r="AM104" s="192"/>
    </row>
    <row r="105" spans="1:80" x14ac:dyDescent="0.25">
      <c r="C105" s="185"/>
      <c r="H105" s="192"/>
      <c r="I105" s="192"/>
      <c r="J105" s="192"/>
      <c r="K105" s="192"/>
      <c r="O105" s="192"/>
      <c r="P105" s="192"/>
      <c r="Q105" s="192"/>
      <c r="R105" s="192"/>
      <c r="S105" s="192"/>
      <c r="T105" s="192"/>
      <c r="U105" s="192"/>
      <c r="V105" s="192"/>
      <c r="W105" s="192"/>
      <c r="X105" s="192"/>
      <c r="Y105" s="192"/>
      <c r="Z105" s="192"/>
      <c r="AA105" s="192"/>
      <c r="AB105" s="192"/>
      <c r="AC105" s="192"/>
      <c r="AD105" s="192"/>
      <c r="AM105" s="192"/>
    </row>
    <row r="106" spans="1:80" x14ac:dyDescent="0.25">
      <c r="C106" s="185"/>
      <c r="H106" s="192"/>
      <c r="I106" s="192"/>
      <c r="J106" s="192"/>
      <c r="K106" s="192"/>
      <c r="O106" s="192"/>
      <c r="P106" s="192"/>
      <c r="Q106" s="192"/>
      <c r="R106" s="192"/>
      <c r="S106" s="192"/>
      <c r="T106" s="192"/>
      <c r="U106" s="192"/>
      <c r="V106" s="192"/>
      <c r="W106" s="192"/>
      <c r="X106" s="192"/>
      <c r="Y106" s="192"/>
      <c r="Z106" s="192"/>
      <c r="AA106" s="192"/>
      <c r="AB106" s="192"/>
      <c r="AC106" s="192"/>
      <c r="AD106" s="192"/>
      <c r="AM106" s="192"/>
    </row>
    <row r="107" spans="1:80" x14ac:dyDescent="0.25">
      <c r="C107" s="185"/>
      <c r="H107" s="192"/>
      <c r="I107" s="192"/>
      <c r="J107" s="192"/>
      <c r="K107" s="192"/>
      <c r="O107" s="192"/>
      <c r="P107" s="192"/>
      <c r="Q107" s="192"/>
      <c r="R107" s="192"/>
      <c r="S107" s="192"/>
      <c r="T107" s="192"/>
      <c r="U107" s="192"/>
      <c r="V107" s="192"/>
      <c r="W107" s="192"/>
      <c r="X107" s="192"/>
      <c r="Y107" s="192"/>
      <c r="Z107" s="192"/>
      <c r="AA107" s="192"/>
      <c r="AB107" s="192"/>
      <c r="AC107" s="192"/>
      <c r="AD107" s="192"/>
      <c r="AM107" s="192"/>
    </row>
    <row r="108" spans="1:80" x14ac:dyDescent="0.25">
      <c r="C108" s="185"/>
      <c r="H108" s="192"/>
      <c r="I108" s="192"/>
      <c r="J108" s="192"/>
      <c r="K108" s="192"/>
      <c r="O108" s="192"/>
      <c r="P108" s="192"/>
      <c r="Q108" s="192"/>
      <c r="R108" s="192"/>
      <c r="S108" s="192"/>
      <c r="T108" s="192"/>
      <c r="U108" s="192"/>
      <c r="V108" s="192"/>
      <c r="W108" s="192"/>
      <c r="X108" s="192"/>
      <c r="Y108" s="192"/>
      <c r="Z108" s="192"/>
      <c r="AA108" s="192"/>
      <c r="AB108" s="192"/>
      <c r="AC108" s="192"/>
      <c r="AD108" s="192"/>
      <c r="AM108" s="192"/>
    </row>
    <row r="109" spans="1:80" x14ac:dyDescent="0.25">
      <c r="C109" s="185"/>
      <c r="H109" s="192"/>
      <c r="I109" s="192"/>
      <c r="J109" s="192"/>
      <c r="K109" s="192"/>
      <c r="O109" s="192"/>
      <c r="P109" s="192"/>
      <c r="Q109" s="192"/>
      <c r="R109" s="192"/>
      <c r="S109" s="192"/>
      <c r="T109" s="192"/>
      <c r="U109" s="192"/>
      <c r="V109" s="192"/>
      <c r="W109" s="192"/>
      <c r="X109" s="192"/>
      <c r="Y109" s="192"/>
      <c r="Z109" s="192"/>
      <c r="AA109" s="192"/>
      <c r="AB109" s="192"/>
      <c r="AC109" s="192"/>
      <c r="AD109" s="192"/>
      <c r="AM109" s="192"/>
    </row>
    <row r="110" spans="1:80" x14ac:dyDescent="0.25">
      <c r="C110" s="185"/>
      <c r="H110" s="192"/>
      <c r="I110" s="192"/>
      <c r="J110" s="192"/>
      <c r="K110" s="192"/>
      <c r="O110" s="192"/>
      <c r="P110" s="192"/>
      <c r="Q110" s="192"/>
      <c r="R110" s="192"/>
      <c r="S110" s="192"/>
      <c r="T110" s="192"/>
      <c r="U110" s="192"/>
      <c r="V110" s="192"/>
      <c r="W110" s="192"/>
      <c r="X110" s="192"/>
      <c r="Y110" s="192"/>
      <c r="Z110" s="192"/>
      <c r="AA110" s="192"/>
      <c r="AB110" s="192"/>
      <c r="AC110" s="192"/>
      <c r="AD110" s="192"/>
      <c r="AM110" s="192"/>
    </row>
    <row r="111" spans="1:80" x14ac:dyDescent="0.25">
      <c r="C111" s="185"/>
      <c r="H111" s="192"/>
      <c r="I111" s="192"/>
      <c r="J111" s="192"/>
      <c r="K111" s="192"/>
      <c r="O111" s="192"/>
      <c r="P111" s="192"/>
      <c r="Q111" s="192"/>
      <c r="R111" s="192"/>
      <c r="S111" s="192"/>
      <c r="T111" s="192"/>
      <c r="U111" s="192"/>
      <c r="V111" s="192"/>
      <c r="W111" s="192"/>
      <c r="X111" s="192"/>
      <c r="Y111" s="192"/>
      <c r="Z111" s="192"/>
      <c r="AA111" s="192"/>
      <c r="AB111" s="192"/>
      <c r="AC111" s="192"/>
      <c r="AD111" s="192"/>
      <c r="AM111" s="192"/>
    </row>
    <row r="112" spans="1:80" x14ac:dyDescent="0.25">
      <c r="C112" s="185"/>
      <c r="H112" s="192"/>
      <c r="I112" s="192"/>
      <c r="J112" s="192"/>
      <c r="K112" s="192"/>
      <c r="O112" s="192"/>
      <c r="P112" s="192"/>
      <c r="Q112" s="192"/>
      <c r="R112" s="192"/>
      <c r="S112" s="192"/>
      <c r="T112" s="192"/>
      <c r="U112" s="192"/>
      <c r="V112" s="192"/>
      <c r="W112" s="192"/>
      <c r="X112" s="192"/>
      <c r="Y112" s="192"/>
      <c r="Z112" s="192"/>
      <c r="AA112" s="192"/>
      <c r="AB112" s="192"/>
      <c r="AC112" s="192"/>
      <c r="AD112" s="192"/>
      <c r="AM112" s="192"/>
    </row>
    <row r="113" spans="3:39" x14ac:dyDescent="0.25">
      <c r="C113" s="185"/>
      <c r="H113" s="192"/>
      <c r="I113" s="192"/>
      <c r="J113" s="192"/>
      <c r="K113" s="192"/>
      <c r="O113" s="192"/>
      <c r="P113" s="192"/>
      <c r="Q113" s="192"/>
      <c r="R113" s="192"/>
      <c r="S113" s="192"/>
      <c r="T113" s="192"/>
      <c r="U113" s="192"/>
      <c r="V113" s="192"/>
      <c r="W113" s="192"/>
      <c r="X113" s="192"/>
      <c r="Y113" s="192"/>
      <c r="Z113" s="192"/>
      <c r="AA113" s="192"/>
      <c r="AB113" s="192"/>
      <c r="AC113" s="192"/>
      <c r="AD113" s="192"/>
      <c r="AM113" s="192"/>
    </row>
    <row r="114" spans="3:39" x14ac:dyDescent="0.25">
      <c r="C114" s="185"/>
      <c r="H114" s="192"/>
      <c r="I114" s="192"/>
      <c r="J114" s="192"/>
      <c r="K114" s="192"/>
      <c r="O114" s="192"/>
      <c r="P114" s="192"/>
      <c r="Q114" s="192"/>
      <c r="R114" s="192"/>
      <c r="S114" s="192"/>
      <c r="T114" s="192"/>
      <c r="U114" s="192"/>
      <c r="V114" s="192"/>
      <c r="W114" s="192"/>
      <c r="X114" s="192"/>
      <c r="Y114" s="192"/>
      <c r="Z114" s="192"/>
      <c r="AA114" s="192"/>
      <c r="AB114" s="192"/>
      <c r="AC114" s="192"/>
      <c r="AD114" s="192"/>
      <c r="AM114" s="192"/>
    </row>
    <row r="115" spans="3:39" x14ac:dyDescent="0.25">
      <c r="C115" s="185"/>
      <c r="H115" s="192"/>
      <c r="I115" s="192"/>
      <c r="J115" s="192"/>
      <c r="K115" s="192"/>
      <c r="O115" s="192"/>
      <c r="P115" s="192"/>
      <c r="Q115" s="192"/>
      <c r="R115" s="192"/>
      <c r="S115" s="192"/>
      <c r="T115" s="192"/>
      <c r="U115" s="192"/>
      <c r="V115" s="192"/>
      <c r="W115" s="192"/>
      <c r="X115" s="192"/>
      <c r="Y115" s="192"/>
      <c r="Z115" s="192"/>
      <c r="AA115" s="192"/>
      <c r="AB115" s="192"/>
      <c r="AC115" s="192"/>
      <c r="AD115" s="192"/>
      <c r="AM115" s="192"/>
    </row>
    <row r="116" spans="3:39" x14ac:dyDescent="0.25">
      <c r="C116" s="185"/>
      <c r="H116" s="192"/>
      <c r="I116" s="192"/>
      <c r="J116" s="192"/>
      <c r="K116" s="192"/>
      <c r="O116" s="192"/>
      <c r="P116" s="192"/>
      <c r="Q116" s="192"/>
      <c r="R116" s="192"/>
      <c r="S116" s="192"/>
      <c r="T116" s="192"/>
      <c r="U116" s="192"/>
      <c r="V116" s="192"/>
      <c r="W116" s="192"/>
      <c r="X116" s="192"/>
      <c r="Y116" s="192"/>
      <c r="Z116" s="192"/>
      <c r="AA116" s="192"/>
      <c r="AB116" s="192"/>
      <c r="AC116" s="192"/>
      <c r="AD116" s="192"/>
      <c r="AM116" s="192"/>
    </row>
    <row r="117" spans="3:39" x14ac:dyDescent="0.25">
      <c r="C117" s="185"/>
      <c r="H117" s="192"/>
      <c r="I117" s="192"/>
      <c r="J117" s="192"/>
      <c r="K117" s="192"/>
      <c r="O117" s="192"/>
      <c r="P117" s="192"/>
      <c r="Q117" s="192"/>
      <c r="R117" s="192"/>
      <c r="S117" s="192"/>
      <c r="T117" s="192"/>
      <c r="U117" s="192"/>
      <c r="V117" s="192"/>
      <c r="W117" s="192"/>
      <c r="X117" s="192"/>
      <c r="Y117" s="192"/>
      <c r="Z117" s="192"/>
      <c r="AA117" s="192"/>
      <c r="AB117" s="192"/>
      <c r="AC117" s="192"/>
      <c r="AD117" s="192"/>
      <c r="AM117" s="192"/>
    </row>
    <row r="118" spans="3:39" x14ac:dyDescent="0.25">
      <c r="C118" s="185"/>
      <c r="H118" s="192"/>
      <c r="I118" s="192"/>
      <c r="J118" s="192"/>
      <c r="K118" s="192"/>
      <c r="O118" s="192"/>
      <c r="P118" s="192"/>
      <c r="Q118" s="192"/>
      <c r="R118" s="192"/>
      <c r="S118" s="192"/>
      <c r="T118" s="192"/>
      <c r="U118" s="192"/>
      <c r="V118" s="192"/>
      <c r="W118" s="192"/>
      <c r="X118" s="192"/>
      <c r="Y118" s="192"/>
      <c r="Z118" s="192"/>
      <c r="AA118" s="192"/>
      <c r="AB118" s="192"/>
      <c r="AC118" s="192"/>
      <c r="AD118" s="192"/>
      <c r="AM118" s="192"/>
    </row>
    <row r="119" spans="3:39" x14ac:dyDescent="0.25">
      <c r="C119" s="185"/>
      <c r="H119" s="192"/>
      <c r="I119" s="192"/>
      <c r="J119" s="192"/>
      <c r="K119" s="192"/>
      <c r="O119" s="192"/>
      <c r="P119" s="192"/>
      <c r="Q119" s="192"/>
      <c r="R119" s="192"/>
      <c r="S119" s="192"/>
      <c r="T119" s="192"/>
      <c r="U119" s="192"/>
      <c r="V119" s="192"/>
      <c r="W119" s="192"/>
      <c r="X119" s="192"/>
      <c r="Y119" s="192"/>
      <c r="Z119" s="192"/>
      <c r="AA119" s="192"/>
      <c r="AB119" s="192"/>
      <c r="AC119" s="192"/>
      <c r="AD119" s="192"/>
      <c r="AM119" s="192"/>
    </row>
    <row r="120" spans="3:39" x14ac:dyDescent="0.25">
      <c r="C120" s="185"/>
      <c r="H120" s="192"/>
      <c r="I120" s="192"/>
      <c r="J120" s="192"/>
      <c r="K120" s="192"/>
      <c r="O120" s="192"/>
      <c r="P120" s="192"/>
      <c r="Q120" s="192"/>
      <c r="R120" s="192"/>
      <c r="S120" s="192"/>
      <c r="T120" s="192"/>
      <c r="U120" s="192"/>
      <c r="V120" s="192"/>
      <c r="W120" s="192"/>
      <c r="X120" s="192"/>
      <c r="Y120" s="192"/>
      <c r="Z120" s="192"/>
      <c r="AA120" s="192"/>
      <c r="AB120" s="192"/>
      <c r="AC120" s="192"/>
      <c r="AD120" s="192"/>
      <c r="AM120" s="192"/>
    </row>
    <row r="121" spans="3:39" x14ac:dyDescent="0.25">
      <c r="C121" s="185"/>
      <c r="H121" s="192"/>
      <c r="I121" s="192"/>
      <c r="J121" s="192"/>
      <c r="K121" s="192"/>
      <c r="O121" s="192"/>
      <c r="P121" s="192"/>
      <c r="Q121" s="192"/>
      <c r="R121" s="192"/>
      <c r="S121" s="192"/>
      <c r="T121" s="192"/>
      <c r="U121" s="192"/>
      <c r="V121" s="192"/>
      <c r="W121" s="192"/>
      <c r="X121" s="192"/>
      <c r="Y121" s="192"/>
      <c r="Z121" s="192"/>
      <c r="AA121" s="192"/>
      <c r="AB121" s="192"/>
      <c r="AC121" s="192"/>
      <c r="AD121" s="192"/>
      <c r="AM121" s="192"/>
    </row>
    <row r="122" spans="3:39" x14ac:dyDescent="0.25">
      <c r="C122" s="185"/>
      <c r="H122" s="192"/>
      <c r="I122" s="192"/>
      <c r="J122" s="192"/>
      <c r="K122" s="192"/>
      <c r="O122" s="192"/>
      <c r="P122" s="192"/>
      <c r="Q122" s="192"/>
      <c r="R122" s="192"/>
      <c r="S122" s="192"/>
      <c r="T122" s="192"/>
      <c r="U122" s="192"/>
      <c r="V122" s="192"/>
      <c r="W122" s="192"/>
      <c r="X122" s="192"/>
      <c r="Y122" s="192"/>
      <c r="Z122" s="192"/>
      <c r="AA122" s="192"/>
      <c r="AB122" s="192"/>
      <c r="AC122" s="192"/>
      <c r="AD122" s="192"/>
      <c r="AM122" s="192"/>
    </row>
    <row r="123" spans="3:39" x14ac:dyDescent="0.25">
      <c r="C123" s="185"/>
      <c r="H123" s="192"/>
      <c r="I123" s="192"/>
      <c r="J123" s="192"/>
      <c r="K123" s="192"/>
      <c r="O123" s="192"/>
      <c r="P123" s="192"/>
      <c r="Q123" s="192"/>
      <c r="R123" s="192"/>
      <c r="S123" s="192"/>
      <c r="T123" s="192"/>
      <c r="U123" s="192"/>
      <c r="V123" s="192"/>
      <c r="W123" s="192"/>
      <c r="X123" s="192"/>
      <c r="Y123" s="192"/>
      <c r="Z123" s="192"/>
      <c r="AA123" s="192"/>
      <c r="AB123" s="192"/>
      <c r="AC123" s="192"/>
      <c r="AD123" s="192"/>
      <c r="AM123" s="192"/>
    </row>
    <row r="124" spans="3:39" x14ac:dyDescent="0.25">
      <c r="C124" s="185"/>
      <c r="H124" s="192"/>
      <c r="I124" s="192"/>
      <c r="J124" s="192"/>
      <c r="K124" s="192"/>
      <c r="O124" s="192"/>
      <c r="P124" s="192"/>
      <c r="Q124" s="192"/>
      <c r="R124" s="192"/>
      <c r="S124" s="192"/>
      <c r="T124" s="192"/>
      <c r="U124" s="192"/>
      <c r="V124" s="192"/>
      <c r="W124" s="192"/>
      <c r="X124" s="192"/>
      <c r="Y124" s="192"/>
      <c r="Z124" s="192"/>
      <c r="AA124" s="192"/>
      <c r="AB124" s="192"/>
      <c r="AC124" s="192"/>
      <c r="AD124" s="192"/>
      <c r="AM124" s="192"/>
    </row>
    <row r="125" spans="3:39" x14ac:dyDescent="0.25">
      <c r="AE125" s="183"/>
      <c r="AI125" s="183"/>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neItem_Diabetes"/>
  <dimension ref="A1:L34"/>
  <sheetViews>
    <sheetView workbookViewId="0"/>
  </sheetViews>
  <sheetFormatPr defaultRowHeight="15" x14ac:dyDescent="0.25"/>
  <cols>
    <col min="1" max="1" width="10.7109375" customWidth="1"/>
    <col min="2" max="3" width="20.7109375" style="1" customWidth="1"/>
    <col min="4" max="4" width="20.7109375" customWidth="1"/>
    <col min="5" max="5" width="40.7109375" customWidth="1"/>
    <col min="6" max="6" width="40.7109375" style="4" customWidth="1"/>
    <col min="7" max="7" width="16.7109375" customWidth="1"/>
    <col min="8" max="8" width="20.7109375" customWidth="1"/>
    <col min="9" max="9" width="22" bestFit="1" customWidth="1"/>
    <col min="10" max="10" width="15.28515625" style="1" bestFit="1" customWidth="1"/>
  </cols>
  <sheetData>
    <row r="1" spans="1:12" s="2" customFormat="1" ht="45" x14ac:dyDescent="0.25">
      <c r="A1" s="133" t="s">
        <v>18</v>
      </c>
      <c r="B1" s="134" t="s">
        <v>240</v>
      </c>
      <c r="C1" s="134" t="s">
        <v>41</v>
      </c>
      <c r="D1" s="133" t="s">
        <v>42</v>
      </c>
      <c r="E1" s="133" t="s">
        <v>6</v>
      </c>
      <c r="F1" s="133" t="s">
        <v>136</v>
      </c>
      <c r="G1" s="133" t="s">
        <v>43</v>
      </c>
      <c r="H1" s="133" t="s">
        <v>44</v>
      </c>
      <c r="I1" s="133" t="s">
        <v>225</v>
      </c>
      <c r="J1" s="134" t="s">
        <v>226</v>
      </c>
    </row>
    <row r="2" spans="1:12" s="127" customFormat="1" x14ac:dyDescent="0.25">
      <c r="A2" s="127">
        <v>1</v>
      </c>
      <c r="B2" s="128" t="s">
        <v>234</v>
      </c>
      <c r="C2" s="128">
        <v>2803101</v>
      </c>
      <c r="D2" s="127" t="s">
        <v>45</v>
      </c>
      <c r="E2" s="139" t="s">
        <v>34</v>
      </c>
      <c r="F2" s="135" t="s">
        <v>46</v>
      </c>
      <c r="G2" s="129">
        <v>241.05</v>
      </c>
      <c r="I2" s="127" t="b">
        <f t="shared" ref="I2:I28" si="0">IF(ISERROR(VLOOKUP(E2,BenefitCategoryList,1,FALSE)),FALSE,TRUE)</f>
        <v>1</v>
      </c>
      <c r="J2" s="130">
        <f>COUNTIF(DIABETES_TIMELINE!ServiceCode,A2)</f>
        <v>1</v>
      </c>
      <c r="L2" s="129"/>
    </row>
    <row r="3" spans="1:12" s="127" customFormat="1" x14ac:dyDescent="0.25">
      <c r="A3" s="127">
        <v>2</v>
      </c>
      <c r="B3" s="128" t="s">
        <v>234</v>
      </c>
      <c r="C3" s="128">
        <v>36415</v>
      </c>
      <c r="D3" s="127" t="s">
        <v>47</v>
      </c>
      <c r="E3" s="139" t="s">
        <v>33</v>
      </c>
      <c r="F3" s="135" t="s">
        <v>48</v>
      </c>
      <c r="G3" s="129">
        <v>6.43</v>
      </c>
      <c r="I3" s="127" t="b">
        <f t="shared" si="0"/>
        <v>1</v>
      </c>
      <c r="J3" s="130">
        <f>COUNTIF(DIABETES_TIMELINE!ServiceCode,A3)</f>
        <v>2</v>
      </c>
      <c r="L3" s="129"/>
    </row>
    <row r="4" spans="1:12" s="127" customFormat="1" x14ac:dyDescent="0.25">
      <c r="A4" s="127">
        <v>3</v>
      </c>
      <c r="B4" s="128" t="s">
        <v>234</v>
      </c>
      <c r="C4" s="128">
        <v>53885014201</v>
      </c>
      <c r="D4" s="127" t="s">
        <v>45</v>
      </c>
      <c r="E4" s="139" t="s">
        <v>39</v>
      </c>
      <c r="F4" s="135" t="s">
        <v>49</v>
      </c>
      <c r="G4" s="129">
        <v>14.33</v>
      </c>
      <c r="I4" s="127" t="b">
        <f t="shared" si="0"/>
        <v>1</v>
      </c>
      <c r="J4" s="130">
        <f>COUNTIF(DIABETES_TIMELINE!ServiceCode,A4)</f>
        <v>1</v>
      </c>
      <c r="L4" s="129"/>
    </row>
    <row r="5" spans="1:12" s="127" customFormat="1" ht="30" x14ac:dyDescent="0.25">
      <c r="A5" s="127">
        <v>4</v>
      </c>
      <c r="B5" s="128" t="s">
        <v>234</v>
      </c>
      <c r="C5" s="128">
        <v>53885024510</v>
      </c>
      <c r="D5" s="127" t="s">
        <v>45</v>
      </c>
      <c r="E5" s="139" t="s">
        <v>39</v>
      </c>
      <c r="F5" s="135" t="s">
        <v>50</v>
      </c>
      <c r="G5" s="129">
        <v>109.61</v>
      </c>
      <c r="I5" s="127" t="b">
        <f t="shared" si="0"/>
        <v>1</v>
      </c>
      <c r="J5" s="130">
        <f>COUNTIF(DIABETES_TIMELINE!ServiceCode,A5)</f>
        <v>4</v>
      </c>
      <c r="L5" s="129"/>
    </row>
    <row r="6" spans="1:12" s="127" customFormat="1" ht="30" x14ac:dyDescent="0.25">
      <c r="A6" s="127">
        <v>5</v>
      </c>
      <c r="B6" s="128" t="s">
        <v>234</v>
      </c>
      <c r="C6" s="128">
        <v>53885039310</v>
      </c>
      <c r="D6" s="127" t="s">
        <v>45</v>
      </c>
      <c r="E6" s="139" t="s">
        <v>39</v>
      </c>
      <c r="F6" s="135" t="s">
        <v>51</v>
      </c>
      <c r="G6" s="129">
        <v>8.73</v>
      </c>
      <c r="I6" s="127" t="b">
        <f t="shared" si="0"/>
        <v>1</v>
      </c>
      <c r="J6" s="130">
        <f>COUNTIF(DIABETES_TIMELINE!ServiceCode,A6)</f>
        <v>4</v>
      </c>
      <c r="L6" s="129"/>
    </row>
    <row r="7" spans="1:12" s="127" customFormat="1" ht="30" x14ac:dyDescent="0.25">
      <c r="A7" s="127">
        <v>6</v>
      </c>
      <c r="B7" s="128" t="s">
        <v>234</v>
      </c>
      <c r="C7" s="128">
        <v>53885045802</v>
      </c>
      <c r="D7" s="127" t="s">
        <v>45</v>
      </c>
      <c r="E7" s="139" t="s">
        <v>39</v>
      </c>
      <c r="F7" s="135" t="s">
        <v>52</v>
      </c>
      <c r="G7" s="129">
        <v>6.63</v>
      </c>
      <c r="I7" s="127" t="b">
        <f t="shared" si="0"/>
        <v>1</v>
      </c>
      <c r="J7" s="130">
        <f>COUNTIF(DIABETES_TIMELINE!ServiceCode,A7)</f>
        <v>3</v>
      </c>
      <c r="L7" s="129"/>
    </row>
    <row r="8" spans="1:12" s="127" customFormat="1" x14ac:dyDescent="0.25">
      <c r="A8" s="127">
        <v>7</v>
      </c>
      <c r="B8" s="128" t="s">
        <v>234</v>
      </c>
      <c r="C8" s="128">
        <v>53885044801</v>
      </c>
      <c r="D8" s="127" t="s">
        <v>45</v>
      </c>
      <c r="E8" s="139" t="s">
        <v>39</v>
      </c>
      <c r="F8" s="135" t="s">
        <v>53</v>
      </c>
      <c r="G8" s="129">
        <v>14.7</v>
      </c>
      <c r="I8" s="127" t="b">
        <f t="shared" si="0"/>
        <v>1</v>
      </c>
      <c r="J8" s="130">
        <f>COUNTIF(DIABETES_TIMELINE!ServiceCode,A8)</f>
        <v>1</v>
      </c>
      <c r="L8" s="129"/>
    </row>
    <row r="9" spans="1:12" s="127" customFormat="1" x14ac:dyDescent="0.25">
      <c r="A9" s="127">
        <v>8</v>
      </c>
      <c r="B9" s="128" t="s">
        <v>234</v>
      </c>
      <c r="C9" s="128">
        <v>80053</v>
      </c>
      <c r="D9" s="127" t="s">
        <v>47</v>
      </c>
      <c r="E9" s="139" t="s">
        <v>33</v>
      </c>
      <c r="F9" s="135" t="s">
        <v>54</v>
      </c>
      <c r="G9" s="129">
        <v>29.63</v>
      </c>
      <c r="I9" s="127" t="b">
        <f t="shared" si="0"/>
        <v>1</v>
      </c>
      <c r="J9" s="130">
        <f>COUNTIF(DIABETES_TIMELINE!ServiceCode,A9)</f>
        <v>1</v>
      </c>
      <c r="L9" s="129"/>
    </row>
    <row r="10" spans="1:12" s="127" customFormat="1" x14ac:dyDescent="0.25">
      <c r="A10" s="127">
        <v>9</v>
      </c>
      <c r="B10" s="128" t="s">
        <v>234</v>
      </c>
      <c r="C10" s="128">
        <v>80061</v>
      </c>
      <c r="D10" s="127" t="s">
        <v>47</v>
      </c>
      <c r="E10" s="139" t="s">
        <v>33</v>
      </c>
      <c r="F10" s="135" t="s">
        <v>55</v>
      </c>
      <c r="G10" s="129">
        <v>23.4</v>
      </c>
      <c r="I10" s="127" t="b">
        <f t="shared" si="0"/>
        <v>1</v>
      </c>
      <c r="J10" s="130">
        <f>COUNTIF(DIABETES_TIMELINE!ServiceCode,A10)</f>
        <v>1</v>
      </c>
      <c r="L10" s="129"/>
    </row>
    <row r="11" spans="1:12" s="127" customFormat="1" x14ac:dyDescent="0.25">
      <c r="A11" s="127">
        <v>12</v>
      </c>
      <c r="B11" s="128" t="s">
        <v>234</v>
      </c>
      <c r="C11" s="128">
        <v>82043</v>
      </c>
      <c r="D11" s="127" t="s">
        <v>47</v>
      </c>
      <c r="E11" s="139" t="s">
        <v>33</v>
      </c>
      <c r="F11" s="135" t="s">
        <v>56</v>
      </c>
      <c r="G11" s="129">
        <v>13.1</v>
      </c>
      <c r="I11" s="127" t="b">
        <f t="shared" si="0"/>
        <v>1</v>
      </c>
      <c r="J11" s="130">
        <f>COUNTIF(DIABETES_TIMELINE!ServiceCode,A11)</f>
        <v>1</v>
      </c>
      <c r="L11" s="129"/>
    </row>
    <row r="12" spans="1:12" s="127" customFormat="1" x14ac:dyDescent="0.25">
      <c r="A12" s="127">
        <v>13</v>
      </c>
      <c r="B12" s="128" t="s">
        <v>234</v>
      </c>
      <c r="C12" s="128">
        <v>82570</v>
      </c>
      <c r="D12" s="127" t="s">
        <v>47</v>
      </c>
      <c r="E12" s="139" t="s">
        <v>33</v>
      </c>
      <c r="F12" s="135" t="s">
        <v>57</v>
      </c>
      <c r="G12" s="129">
        <v>9.5299999999999994</v>
      </c>
      <c r="I12" s="127" t="b">
        <f t="shared" si="0"/>
        <v>1</v>
      </c>
      <c r="J12" s="130">
        <f>COUNTIF(DIABETES_TIMELINE!ServiceCode,A12)</f>
        <v>1</v>
      </c>
      <c r="L12" s="129"/>
    </row>
    <row r="13" spans="1:12" s="127" customFormat="1" ht="30" x14ac:dyDescent="0.25">
      <c r="A13" s="127">
        <v>14</v>
      </c>
      <c r="B13" s="128" t="s">
        <v>234</v>
      </c>
      <c r="C13" s="128">
        <v>8290328279</v>
      </c>
      <c r="D13" s="127" t="s">
        <v>45</v>
      </c>
      <c r="E13" s="139" t="s">
        <v>39</v>
      </c>
      <c r="F13" s="135" t="s">
        <v>58</v>
      </c>
      <c r="G13" s="129">
        <v>20.62</v>
      </c>
      <c r="I13" s="127" t="b">
        <f t="shared" si="0"/>
        <v>1</v>
      </c>
      <c r="J13" s="130">
        <f>COUNTIF(DIABETES_TIMELINE!ServiceCode,A13)</f>
        <v>13</v>
      </c>
      <c r="L13" s="129"/>
    </row>
    <row r="14" spans="1:12" s="127" customFormat="1" x14ac:dyDescent="0.25">
      <c r="A14" s="127">
        <v>16</v>
      </c>
      <c r="B14" s="128" t="s">
        <v>234</v>
      </c>
      <c r="C14" s="128">
        <v>83036</v>
      </c>
      <c r="D14" s="127" t="s">
        <v>47</v>
      </c>
      <c r="E14" s="139" t="s">
        <v>33</v>
      </c>
      <c r="F14" s="135" t="s">
        <v>60</v>
      </c>
      <c r="G14" s="129">
        <v>16.98</v>
      </c>
      <c r="I14" s="127" t="b">
        <f t="shared" si="0"/>
        <v>1</v>
      </c>
      <c r="J14" s="130">
        <f>COUNTIF(DIABETES_TIMELINE!ServiceCode,A14)</f>
        <v>2</v>
      </c>
      <c r="L14" s="129"/>
    </row>
    <row r="15" spans="1:12" s="127" customFormat="1" ht="45" x14ac:dyDescent="0.25">
      <c r="A15" s="127">
        <v>17</v>
      </c>
      <c r="B15" s="128" t="s">
        <v>234</v>
      </c>
      <c r="C15" s="128">
        <v>88222033</v>
      </c>
      <c r="D15" s="127" t="s">
        <v>45</v>
      </c>
      <c r="E15" s="139" t="s">
        <v>359</v>
      </c>
      <c r="F15" s="135" t="s">
        <v>61</v>
      </c>
      <c r="G15" s="129">
        <v>240.37</v>
      </c>
      <c r="I15" s="127" t="b">
        <f t="shared" si="0"/>
        <v>1</v>
      </c>
      <c r="J15" s="130">
        <f>COUNTIF(DIABETES_TIMELINE!ServiceCode,A15)</f>
        <v>13</v>
      </c>
      <c r="L15" s="129"/>
    </row>
    <row r="16" spans="1:12" s="127" customFormat="1" x14ac:dyDescent="0.25">
      <c r="A16" s="127">
        <v>19</v>
      </c>
      <c r="B16" s="128" t="s">
        <v>234</v>
      </c>
      <c r="C16" s="128">
        <v>68180051503</v>
      </c>
      <c r="D16" s="127" t="s">
        <v>45</v>
      </c>
      <c r="E16" s="139" t="s">
        <v>34</v>
      </c>
      <c r="F16" s="135" t="s">
        <v>347</v>
      </c>
      <c r="G16" s="129">
        <v>3.38</v>
      </c>
      <c r="I16" s="127" t="b">
        <f t="shared" si="0"/>
        <v>1</v>
      </c>
      <c r="J16" s="130">
        <f>COUNTIF(DIABETES_TIMELINE!ServiceCode,A16)</f>
        <v>13</v>
      </c>
      <c r="L16" s="129"/>
    </row>
    <row r="17" spans="1:12" s="127" customFormat="1" x14ac:dyDescent="0.25">
      <c r="A17" s="127">
        <v>20</v>
      </c>
      <c r="B17" s="128" t="s">
        <v>234</v>
      </c>
      <c r="C17" s="128">
        <v>97803</v>
      </c>
      <c r="D17" s="127" t="s">
        <v>62</v>
      </c>
      <c r="E17" s="139" t="s">
        <v>29</v>
      </c>
      <c r="F17" s="135" t="s">
        <v>63</v>
      </c>
      <c r="G17" s="129">
        <v>36.83</v>
      </c>
      <c r="I17" s="127" t="b">
        <f t="shared" si="0"/>
        <v>1</v>
      </c>
      <c r="J17" s="130">
        <f>COUNTIF(DIABETES_TIMELINE!ServiceCode,A17)</f>
        <v>2</v>
      </c>
      <c r="L17" s="129"/>
    </row>
    <row r="18" spans="1:12" s="127" customFormat="1" ht="30" x14ac:dyDescent="0.25">
      <c r="A18" s="127">
        <v>21</v>
      </c>
      <c r="B18" s="128" t="s">
        <v>234</v>
      </c>
      <c r="C18" s="128" t="s">
        <v>348</v>
      </c>
      <c r="D18" s="127" t="s">
        <v>64</v>
      </c>
      <c r="E18" s="139" t="s">
        <v>29</v>
      </c>
      <c r="F18" s="135" t="s">
        <v>349</v>
      </c>
      <c r="G18" s="129">
        <v>77.819999999999993</v>
      </c>
      <c r="I18" s="127" t="b">
        <f t="shared" si="0"/>
        <v>1</v>
      </c>
      <c r="J18" s="130">
        <f>COUNTIF(DIABETES_TIMELINE!ServiceCode,A18)</f>
        <v>2</v>
      </c>
      <c r="L18" s="129"/>
    </row>
    <row r="19" spans="1:12" s="127" customFormat="1" ht="75" x14ac:dyDescent="0.25">
      <c r="A19" s="127">
        <v>22</v>
      </c>
      <c r="B19" s="128" t="s">
        <v>234</v>
      </c>
      <c r="C19" s="128">
        <v>92014</v>
      </c>
      <c r="D19" s="127" t="s">
        <v>65</v>
      </c>
      <c r="E19" s="139" t="s">
        <v>208</v>
      </c>
      <c r="F19" s="135" t="s">
        <v>183</v>
      </c>
      <c r="G19" s="129">
        <v>118.55</v>
      </c>
      <c r="I19" s="127" t="b">
        <f t="shared" si="0"/>
        <v>1</v>
      </c>
      <c r="J19" s="130">
        <f>COUNTIF(DIABETES_TIMELINE!ServiceCode,A19)</f>
        <v>1</v>
      </c>
      <c r="L19" s="129"/>
    </row>
    <row r="20" spans="1:12" s="127" customFormat="1" x14ac:dyDescent="0.25">
      <c r="A20" s="127">
        <v>23</v>
      </c>
      <c r="B20" s="128" t="s">
        <v>234</v>
      </c>
      <c r="C20" s="128">
        <v>99204</v>
      </c>
      <c r="D20" s="127" t="s">
        <v>67</v>
      </c>
      <c r="E20" s="139" t="s">
        <v>208</v>
      </c>
      <c r="F20" s="135" t="s">
        <v>66</v>
      </c>
      <c r="G20" s="129">
        <v>182.19</v>
      </c>
      <c r="I20" s="127" t="b">
        <f t="shared" si="0"/>
        <v>1</v>
      </c>
      <c r="J20" s="130">
        <f>COUNTIF(DIABETES_TIMELINE!ServiceCode,A20)</f>
        <v>1</v>
      </c>
      <c r="L20" s="129"/>
    </row>
    <row r="21" spans="1:12" s="127" customFormat="1" x14ac:dyDescent="0.25">
      <c r="A21" s="127">
        <v>24</v>
      </c>
      <c r="B21" s="128" t="s">
        <v>234</v>
      </c>
      <c r="C21" s="128">
        <v>99214</v>
      </c>
      <c r="D21" s="127" t="s">
        <v>47</v>
      </c>
      <c r="E21" s="139" t="s">
        <v>29</v>
      </c>
      <c r="F21" s="135" t="s">
        <v>68</v>
      </c>
      <c r="G21" s="129">
        <v>121.7</v>
      </c>
      <c r="I21" s="127" t="b">
        <f t="shared" si="0"/>
        <v>1</v>
      </c>
      <c r="J21" s="130">
        <f>COUNTIF(DIABETES_TIMELINE!ServiceCode,A21)</f>
        <v>4</v>
      </c>
      <c r="L21" s="129"/>
    </row>
    <row r="22" spans="1:12" s="127" customFormat="1" ht="30" x14ac:dyDescent="0.25">
      <c r="A22" s="127">
        <v>26</v>
      </c>
      <c r="B22" s="128" t="s">
        <v>234</v>
      </c>
      <c r="C22" s="128">
        <v>603002632</v>
      </c>
      <c r="D22" s="127" t="s">
        <v>45</v>
      </c>
      <c r="E22" s="139" t="s">
        <v>36</v>
      </c>
      <c r="F22" s="135" t="s">
        <v>69</v>
      </c>
      <c r="G22" s="129">
        <v>4.47</v>
      </c>
      <c r="I22" s="127" t="b">
        <f t="shared" si="0"/>
        <v>1</v>
      </c>
      <c r="J22" s="130">
        <f>COUNTIF(DIABETES_TIMELINE!ServiceCode,A22)</f>
        <v>5</v>
      </c>
      <c r="L22" s="129"/>
    </row>
    <row r="23" spans="1:12" s="131" customFormat="1" x14ac:dyDescent="0.25">
      <c r="A23" s="131">
        <v>27</v>
      </c>
      <c r="B23" s="130" t="s">
        <v>236</v>
      </c>
      <c r="C23" s="130">
        <v>90471</v>
      </c>
      <c r="D23" s="131" t="s">
        <v>47</v>
      </c>
      <c r="E23" s="139" t="s">
        <v>37</v>
      </c>
      <c r="F23" s="136" t="s">
        <v>70</v>
      </c>
      <c r="G23" s="132">
        <v>28.31</v>
      </c>
      <c r="I23" s="127" t="b">
        <f t="shared" si="0"/>
        <v>1</v>
      </c>
      <c r="J23" s="130">
        <f>COUNTIF(DIABETES_TIMELINE!ServiceCode,A23)</f>
        <v>1</v>
      </c>
      <c r="L23" s="129"/>
    </row>
    <row r="24" spans="1:12" s="127" customFormat="1" x14ac:dyDescent="0.25">
      <c r="A24" s="127">
        <v>28</v>
      </c>
      <c r="B24" s="128" t="s">
        <v>236</v>
      </c>
      <c r="C24" s="128">
        <v>90472</v>
      </c>
      <c r="D24" s="127" t="s">
        <v>47</v>
      </c>
      <c r="E24" s="139" t="s">
        <v>37</v>
      </c>
      <c r="F24" s="135" t="s">
        <v>71</v>
      </c>
      <c r="G24" s="129">
        <v>15.88</v>
      </c>
      <c r="I24" s="127" t="b">
        <f t="shared" si="0"/>
        <v>1</v>
      </c>
      <c r="J24" s="130">
        <f>COUNTIF(DIABETES_TIMELINE!ServiceCode,A24)</f>
        <v>1</v>
      </c>
      <c r="L24" s="129"/>
    </row>
    <row r="25" spans="1:12" s="127" customFormat="1" ht="45" x14ac:dyDescent="0.25">
      <c r="A25" s="127">
        <v>29</v>
      </c>
      <c r="B25" s="128" t="s">
        <v>236</v>
      </c>
      <c r="C25" s="128">
        <v>90732</v>
      </c>
      <c r="D25" s="127" t="s">
        <v>47</v>
      </c>
      <c r="E25" s="139" t="s">
        <v>37</v>
      </c>
      <c r="F25" s="135" t="s">
        <v>350</v>
      </c>
      <c r="G25" s="129">
        <v>93.74</v>
      </c>
      <c r="I25" s="127" t="b">
        <f t="shared" si="0"/>
        <v>1</v>
      </c>
      <c r="J25" s="130">
        <f>COUNTIF(DIABETES_TIMELINE!ServiceCode,A25)</f>
        <v>1</v>
      </c>
      <c r="L25" s="129"/>
    </row>
    <row r="26" spans="1:12" s="127" customFormat="1" x14ac:dyDescent="0.25">
      <c r="A26" s="127">
        <v>30</v>
      </c>
      <c r="B26" s="128" t="s">
        <v>236</v>
      </c>
      <c r="C26" s="128">
        <v>90656</v>
      </c>
      <c r="D26" s="127" t="s">
        <v>47</v>
      </c>
      <c r="E26" s="139" t="s">
        <v>37</v>
      </c>
      <c r="F26" s="135" t="s">
        <v>72</v>
      </c>
      <c r="G26" s="129">
        <v>21.02</v>
      </c>
      <c r="I26" s="127" t="b">
        <f t="shared" si="0"/>
        <v>1</v>
      </c>
      <c r="J26" s="130">
        <f>COUNTIF(DIABETES_TIMELINE!ServiceCode,A26)</f>
        <v>1</v>
      </c>
      <c r="L26" s="129"/>
    </row>
    <row r="27" spans="1:12" s="127" customFormat="1" ht="30" x14ac:dyDescent="0.25">
      <c r="A27" s="127">
        <v>32</v>
      </c>
      <c r="B27" s="128"/>
      <c r="C27" s="128">
        <v>68382075810</v>
      </c>
      <c r="D27" s="127" t="s">
        <v>45</v>
      </c>
      <c r="E27" s="139" t="s">
        <v>34</v>
      </c>
      <c r="F27" s="135" t="s">
        <v>351</v>
      </c>
      <c r="G27" s="129">
        <v>3.21</v>
      </c>
      <c r="I27" s="127" t="b">
        <f t="shared" si="0"/>
        <v>1</v>
      </c>
      <c r="J27" s="130">
        <f>COUNTIF(DIABETES_TIMELINE!ServiceCode,A27)</f>
        <v>13</v>
      </c>
      <c r="L27" s="129"/>
    </row>
    <row r="28" spans="1:12" s="127" customFormat="1" ht="30" x14ac:dyDescent="0.25">
      <c r="A28" s="127">
        <v>33</v>
      </c>
      <c r="B28" s="128"/>
      <c r="C28" s="128">
        <v>378395277</v>
      </c>
      <c r="D28" s="127" t="s">
        <v>45</v>
      </c>
      <c r="E28" s="139" t="s">
        <v>34</v>
      </c>
      <c r="F28" s="135" t="s">
        <v>352</v>
      </c>
      <c r="G28" s="129">
        <v>9.66</v>
      </c>
      <c r="I28" s="127" t="b">
        <f t="shared" si="0"/>
        <v>1</v>
      </c>
      <c r="J28" s="130">
        <f>COUNTIF(DIABETES_TIMELINE!ServiceCode,A28)</f>
        <v>4</v>
      </c>
      <c r="L28" s="129"/>
    </row>
    <row r="29" spans="1:12" s="127" customFormat="1" x14ac:dyDescent="0.25">
      <c r="B29" s="128"/>
      <c r="C29" s="128"/>
      <c r="E29" s="139"/>
      <c r="F29" s="135"/>
      <c r="G29" s="129"/>
      <c r="J29" s="130"/>
    </row>
    <row r="30" spans="1:12" s="127" customFormat="1" x14ac:dyDescent="0.25">
      <c r="B30" s="128"/>
      <c r="C30" s="128"/>
      <c r="E30" s="139"/>
      <c r="F30" s="135"/>
      <c r="G30" s="129"/>
      <c r="J30" s="130"/>
    </row>
    <row r="31" spans="1:12" s="127" customFormat="1" x14ac:dyDescent="0.25">
      <c r="B31" s="128"/>
      <c r="C31" s="128"/>
      <c r="E31" s="139"/>
      <c r="F31" s="135"/>
      <c r="G31" s="129"/>
      <c r="J31" s="130"/>
    </row>
    <row r="32" spans="1:12" s="127" customFormat="1" x14ac:dyDescent="0.25">
      <c r="B32" s="128"/>
      <c r="C32" s="128"/>
      <c r="E32" s="139"/>
      <c r="F32" s="135"/>
      <c r="J32" s="130"/>
    </row>
    <row r="33" spans="2:10" s="127" customFormat="1" x14ac:dyDescent="0.25">
      <c r="B33" s="128"/>
      <c r="C33" s="128"/>
      <c r="E33" s="139"/>
      <c r="F33" s="135"/>
      <c r="J33" s="130"/>
    </row>
    <row r="34" spans="2:10" s="127" customFormat="1" x14ac:dyDescent="0.25">
      <c r="B34" s="128"/>
      <c r="C34" s="128"/>
      <c r="E34" s="139"/>
      <c r="F34" s="135"/>
      <c r="J34" s="130"/>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BENEFIT_DESIGN!$B$10:$B$31</xm:f>
          </x14:formula1>
          <xm:sqref>E2:E34</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ummary_Fracture"/>
  <dimension ref="A1:K30"/>
  <sheetViews>
    <sheetView workbookViewId="0">
      <selection activeCell="C19" sqref="C19"/>
    </sheetView>
  </sheetViews>
  <sheetFormatPr defaultColWidth="0" defaultRowHeight="15" customHeight="1" zeroHeight="1" x14ac:dyDescent="0.25"/>
  <cols>
    <col min="1" max="1" width="2.7109375" customWidth="1"/>
    <col min="2" max="2" width="43.7109375" bestFit="1" customWidth="1"/>
    <col min="3" max="3" width="16.140625" bestFit="1" customWidth="1"/>
    <col min="4" max="9" width="12.7109375" customWidth="1"/>
    <col min="10" max="10" width="2.7109375" customWidth="1"/>
    <col min="11" max="11" width="0" hidden="1" customWidth="1"/>
    <col min="12" max="16384" width="9.140625" hidden="1"/>
  </cols>
  <sheetData>
    <row r="1" spans="1:10" x14ac:dyDescent="0.25">
      <c r="A1" s="66"/>
      <c r="B1" s="66"/>
      <c r="C1" s="66"/>
      <c r="D1" s="66"/>
      <c r="E1" s="66"/>
      <c r="F1" s="66"/>
      <c r="G1" s="66"/>
      <c r="H1" s="66"/>
      <c r="I1" s="66"/>
      <c r="J1" s="66"/>
    </row>
    <row r="2" spans="1:10" x14ac:dyDescent="0.25">
      <c r="A2" s="66"/>
      <c r="B2" s="78" t="s">
        <v>178</v>
      </c>
      <c r="C2" s="66"/>
      <c r="D2" s="66"/>
      <c r="E2" s="66"/>
      <c r="F2" s="66"/>
      <c r="G2" s="66"/>
      <c r="H2" s="66"/>
      <c r="I2" s="66"/>
      <c r="J2" s="66"/>
    </row>
    <row r="3" spans="1:10" x14ac:dyDescent="0.25">
      <c r="A3" s="66"/>
      <c r="B3" s="66"/>
      <c r="C3" s="66"/>
      <c r="D3" s="66"/>
      <c r="E3" s="66"/>
      <c r="F3" s="66"/>
      <c r="G3" s="66"/>
      <c r="H3" s="66"/>
      <c r="I3" s="66"/>
      <c r="J3" s="66"/>
    </row>
    <row r="4" spans="1:10" x14ac:dyDescent="0.25">
      <c r="A4" s="66"/>
      <c r="B4" s="297" t="str">
        <f>nrCBPlanNameRS</f>
        <v>Plan 1</v>
      </c>
      <c r="C4" s="356" t="s">
        <v>141</v>
      </c>
      <c r="D4" s="356" t="s">
        <v>326</v>
      </c>
      <c r="E4" s="298" t="s">
        <v>73</v>
      </c>
      <c r="F4" s="298"/>
      <c r="G4" s="298"/>
      <c r="H4" s="298"/>
      <c r="I4" s="299"/>
      <c r="J4" s="66"/>
    </row>
    <row r="5" spans="1:10" ht="45" x14ac:dyDescent="0.25">
      <c r="A5" s="66"/>
      <c r="B5" s="300" t="s">
        <v>8</v>
      </c>
      <c r="C5" s="357" t="s">
        <v>75</v>
      </c>
      <c r="D5" s="357" t="s">
        <v>74</v>
      </c>
      <c r="E5" s="301" t="s">
        <v>11</v>
      </c>
      <c r="F5" s="302" t="s">
        <v>25</v>
      </c>
      <c r="G5" s="303" t="s">
        <v>26</v>
      </c>
      <c r="H5" s="303" t="s">
        <v>27</v>
      </c>
      <c r="I5" s="304" t="s">
        <v>24</v>
      </c>
      <c r="J5" s="66"/>
    </row>
    <row r="6" spans="1:10" x14ac:dyDescent="0.25">
      <c r="A6" s="66"/>
      <c r="B6" s="296" t="str">
        <f>BENEFIT_DESIGN!B10</f>
        <v>Inpatient Hospital Care (Facility)</v>
      </c>
      <c r="C6" s="60">
        <f>SUMIFS(FRACTURE_TIMELINE!AllowedAmt,FRACTURE_TIMELINE!BenefitCategory,$B6)</f>
        <v>0</v>
      </c>
      <c r="D6" s="61">
        <f>SUMIFS(FRACTURE_TIMELINE!PlanPaymentAmt,FRACTURE_TIMELINE!BenefitCategory,$B6)</f>
        <v>0</v>
      </c>
      <c r="E6" s="61">
        <f t="shared" ref="E6:E20" si="0">SUM(F6:I6)</f>
        <v>0</v>
      </c>
      <c r="F6" s="62">
        <f>SUMIFS(FRACTURE_TIMELINE!SubscriberPayDeduc,FRACTURE_TIMELINE!BenefitCategory,$B6)</f>
        <v>0</v>
      </c>
      <c r="G6" s="63">
        <f>SUMIFS(FRACTURE_TIMELINE!SubscriberPayCopay,FRACTURE_TIMELINE!BenefitCategory,$B6)</f>
        <v>0</v>
      </c>
      <c r="H6" s="63">
        <f>SUMIFS(FRACTURE_TIMELINE!SubscriberPayCoins,FRACTURE_TIMELINE!BenefitCategory,$B6)</f>
        <v>0</v>
      </c>
      <c r="I6" s="64">
        <f>SUMIFS(FRACTURE_TIMELINE!SubscriberPayNonCov,FRACTURE_TIMELINE!BenefitCategory,$B6)+SUMIFS(FRACTURE_TIMELINE!SubscriberPayExclusion,FRACTURE_TIMELINE!BenefitCategory,$B6)</f>
        <v>0</v>
      </c>
      <c r="J6" s="66"/>
    </row>
    <row r="7" spans="1:10" x14ac:dyDescent="0.25">
      <c r="A7" s="66"/>
      <c r="B7" s="296" t="str">
        <f>BENEFIT_DESIGN!B11</f>
        <v>Other Facility Services</v>
      </c>
      <c r="C7" s="60">
        <f>SUMIFS(FRACTURE_TIMELINE!AllowedAmt,FRACTURE_TIMELINE!BenefitCategory,$B7)</f>
        <v>43.22</v>
      </c>
      <c r="D7" s="61">
        <f>SUMIFS(FRACTURE_TIMELINE!PlanPaymentAmt,FRACTURE_TIMELINE!BenefitCategory,$B7)</f>
        <v>0</v>
      </c>
      <c r="E7" s="61">
        <f t="shared" si="0"/>
        <v>43.22</v>
      </c>
      <c r="F7" s="62">
        <f>SUMIFS(FRACTURE_TIMELINE!SubscriberPayDeduc,FRACTURE_TIMELINE!BenefitCategory,$B7)</f>
        <v>0</v>
      </c>
      <c r="G7" s="63">
        <f>SUMIFS(FRACTURE_TIMELINE!SubscriberPayCopay,FRACTURE_TIMELINE!BenefitCategory,$B7)</f>
        <v>0</v>
      </c>
      <c r="H7" s="63">
        <f>SUMIFS(FRACTURE_TIMELINE!SubscriberPayCoins,FRACTURE_TIMELINE!BenefitCategory,$B7)</f>
        <v>0</v>
      </c>
      <c r="I7" s="64">
        <f>SUMIFS(FRACTURE_TIMELINE!SubscriberPayNonCov,FRACTURE_TIMELINE!BenefitCategory,$B7)+SUMIFS(FRACTURE_TIMELINE!SubscriberPayExclusion,FRACTURE_TIMELINE!BenefitCategory,$B7)</f>
        <v>43.22</v>
      </c>
      <c r="J7" s="66"/>
    </row>
    <row r="8" spans="1:10" x14ac:dyDescent="0.25">
      <c r="A8" s="66"/>
      <c r="B8" s="296" t="str">
        <f>BENEFIT_DESIGN!B12</f>
        <v>Emergency Department (Facility)</v>
      </c>
      <c r="C8" s="60">
        <f>SUMIFS(FRACTURE_TIMELINE!AllowedAmt,FRACTURE_TIMELINE!BenefitCategory,$B8)</f>
        <v>357.31</v>
      </c>
      <c r="D8" s="61">
        <f>SUMIFS(FRACTURE_TIMELINE!PlanPaymentAmt,FRACTURE_TIMELINE!BenefitCategory,$B8)</f>
        <v>0</v>
      </c>
      <c r="E8" s="61">
        <f t="shared" si="0"/>
        <v>357.31</v>
      </c>
      <c r="F8" s="62">
        <f>SUMIFS(FRACTURE_TIMELINE!SubscriberPayDeduc,FRACTURE_TIMELINE!BenefitCategory,$B8)</f>
        <v>0</v>
      </c>
      <c r="G8" s="63">
        <f>SUMIFS(FRACTURE_TIMELINE!SubscriberPayCopay,FRACTURE_TIMELINE!BenefitCategory,$B8)</f>
        <v>0</v>
      </c>
      <c r="H8" s="63">
        <f>SUMIFS(FRACTURE_TIMELINE!SubscriberPayCoins,FRACTURE_TIMELINE!BenefitCategory,$B8)</f>
        <v>0</v>
      </c>
      <c r="I8" s="64">
        <f>SUMIFS(FRACTURE_TIMELINE!SubscriberPayNonCov,FRACTURE_TIMELINE!BenefitCategory,$B8)+SUMIFS(FRACTURE_TIMELINE!SubscriberPayExclusion,FRACTURE_TIMELINE!BenefitCategory,$B8)</f>
        <v>357.31</v>
      </c>
      <c r="J8" s="66"/>
    </row>
    <row r="9" spans="1:10" x14ac:dyDescent="0.25">
      <c r="A9" s="66"/>
      <c r="B9" s="296" t="str">
        <f>BENEFIT_DESIGN!B13</f>
        <v>Ambulance</v>
      </c>
      <c r="C9" s="60">
        <f>SUMIFS(FRACTURE_TIMELINE!AllowedAmt,FRACTURE_TIMELINE!BenefitCategory,$B9)</f>
        <v>943.87</v>
      </c>
      <c r="D9" s="61">
        <f>SUMIFS(FRACTURE_TIMELINE!PlanPaymentAmt,FRACTURE_TIMELINE!BenefitCategory,$B9)</f>
        <v>0</v>
      </c>
      <c r="E9" s="61">
        <f t="shared" si="0"/>
        <v>943.87</v>
      </c>
      <c r="F9" s="62">
        <f>SUMIFS(FRACTURE_TIMELINE!SubscriberPayDeduc,FRACTURE_TIMELINE!BenefitCategory,$B9)</f>
        <v>0</v>
      </c>
      <c r="G9" s="63">
        <f>SUMIFS(FRACTURE_TIMELINE!SubscriberPayCopay,FRACTURE_TIMELINE!BenefitCategory,$B9)</f>
        <v>0</v>
      </c>
      <c r="H9" s="63">
        <f>SUMIFS(FRACTURE_TIMELINE!SubscriberPayCoins,FRACTURE_TIMELINE!BenefitCategory,$B9)</f>
        <v>0</v>
      </c>
      <c r="I9" s="64">
        <f>SUMIFS(FRACTURE_TIMELINE!SubscriberPayNonCov,FRACTURE_TIMELINE!BenefitCategory,$B9)+SUMIFS(FRACTURE_TIMELINE!SubscriberPayExclusion,FRACTURE_TIMELINE!BenefitCategory,$B9)</f>
        <v>943.87</v>
      </c>
      <c r="J9" s="66"/>
    </row>
    <row r="10" spans="1:10" x14ac:dyDescent="0.25">
      <c r="A10" s="66"/>
      <c r="B10" s="296" t="str">
        <f>BENEFIT_DESIGN!B14</f>
        <v>Professional Services: Primary Care</v>
      </c>
      <c r="C10" s="60">
        <f>SUMIFS(FRACTURE_TIMELINE!AllowedAmt,FRACTURE_TIMELINE!BenefitCategory,$B10)</f>
        <v>0</v>
      </c>
      <c r="D10" s="61">
        <f>SUMIFS(FRACTURE_TIMELINE!PlanPaymentAmt,FRACTURE_TIMELINE!BenefitCategory,$B10)</f>
        <v>0</v>
      </c>
      <c r="E10" s="61">
        <f t="shared" si="0"/>
        <v>0</v>
      </c>
      <c r="F10" s="62">
        <f>SUMIFS(FRACTURE_TIMELINE!SubscriberPayDeduc,FRACTURE_TIMELINE!BenefitCategory,$B10)</f>
        <v>0</v>
      </c>
      <c r="G10" s="63">
        <f>SUMIFS(FRACTURE_TIMELINE!SubscriberPayCopay,FRACTURE_TIMELINE!BenefitCategory,$B10)</f>
        <v>0</v>
      </c>
      <c r="H10" s="63">
        <f>SUMIFS(FRACTURE_TIMELINE!SubscriberPayCoins,FRACTURE_TIMELINE!BenefitCategory,$B10)</f>
        <v>0</v>
      </c>
      <c r="I10" s="64">
        <f>SUMIFS(FRACTURE_TIMELINE!SubscriberPayNonCov,FRACTURE_TIMELINE!BenefitCategory,$B10)+SUMIFS(FRACTURE_TIMELINE!SubscriberPayExclusion,FRACTURE_TIMELINE!BenefitCategory,$B10)</f>
        <v>0</v>
      </c>
      <c r="J10" s="66"/>
    </row>
    <row r="11" spans="1:10" x14ac:dyDescent="0.25">
      <c r="A11" s="66"/>
      <c r="B11" s="296" t="str">
        <f>BENEFIT_DESIGN!B15</f>
        <v>Professional Services: Emergency Department</v>
      </c>
      <c r="C11" s="60">
        <f>SUMIFS(FRACTURE_TIMELINE!AllowedAmt,FRACTURE_TIMELINE!BenefitCategory,$B11)</f>
        <v>384.88</v>
      </c>
      <c r="D11" s="61">
        <f>SUMIFS(FRACTURE_TIMELINE!PlanPaymentAmt,FRACTURE_TIMELINE!BenefitCategory,$B11)</f>
        <v>0</v>
      </c>
      <c r="E11" s="61">
        <f t="shared" si="0"/>
        <v>384.88</v>
      </c>
      <c r="F11" s="62">
        <f>SUMIFS(FRACTURE_TIMELINE!SubscriberPayDeduc,FRACTURE_TIMELINE!BenefitCategory,$B11)</f>
        <v>0</v>
      </c>
      <c r="G11" s="63">
        <f>SUMIFS(FRACTURE_TIMELINE!SubscriberPayCopay,FRACTURE_TIMELINE!BenefitCategory,$B11)</f>
        <v>0</v>
      </c>
      <c r="H11" s="63">
        <f>SUMIFS(FRACTURE_TIMELINE!SubscriberPayCoins,FRACTURE_TIMELINE!BenefitCategory,$B11)</f>
        <v>0</v>
      </c>
      <c r="I11" s="64">
        <f>SUMIFS(FRACTURE_TIMELINE!SubscriberPayNonCov,FRACTURE_TIMELINE!BenefitCategory,$B11)+SUMIFS(FRACTURE_TIMELINE!SubscriberPayExclusion,FRACTURE_TIMELINE!BenefitCategory,$B11)</f>
        <v>384.88</v>
      </c>
      <c r="J11" s="66"/>
    </row>
    <row r="12" spans="1:10" x14ac:dyDescent="0.25">
      <c r="A12" s="66"/>
      <c r="B12" s="296" t="str">
        <f>BENEFIT_DESIGN!B16</f>
        <v>Professional Services: Inpatient</v>
      </c>
      <c r="C12" s="60">
        <f>SUMIFS(FRACTURE_TIMELINE!AllowedAmt,FRACTURE_TIMELINE!BenefitCategory,$B12)</f>
        <v>0</v>
      </c>
      <c r="D12" s="61">
        <f>SUMIFS(FRACTURE_TIMELINE!PlanPaymentAmt,FRACTURE_TIMELINE!BenefitCategory,$B12)</f>
        <v>0</v>
      </c>
      <c r="E12" s="61">
        <f t="shared" ref="E12" si="1">SUM(F12:I12)</f>
        <v>0</v>
      </c>
      <c r="F12" s="62">
        <f>SUMIFS(FRACTURE_TIMELINE!SubscriberPayDeduc,FRACTURE_TIMELINE!BenefitCategory,$B12)</f>
        <v>0</v>
      </c>
      <c r="G12" s="63">
        <f>SUMIFS(FRACTURE_TIMELINE!SubscriberPayCopay,FRACTURE_TIMELINE!BenefitCategory,$B12)</f>
        <v>0</v>
      </c>
      <c r="H12" s="63">
        <f>SUMIFS(FRACTURE_TIMELINE!SubscriberPayCoins,FRACTURE_TIMELINE!BenefitCategory,$B12)</f>
        <v>0</v>
      </c>
      <c r="I12" s="64">
        <f>SUMIFS(FRACTURE_TIMELINE!SubscriberPayNonCov,FRACTURE_TIMELINE!BenefitCategory,$B12)+SUMIFS(FRACTURE_TIMELINE!SubscriberPayExclusion,FRACTURE_TIMELINE!BenefitCategory,$B12)</f>
        <v>0</v>
      </c>
      <c r="J12" s="66"/>
    </row>
    <row r="13" spans="1:10" x14ac:dyDescent="0.25">
      <c r="A13" s="66"/>
      <c r="B13" s="296" t="str">
        <f>BENEFIT_DESIGN!B17</f>
        <v>Professional Services: Specialist</v>
      </c>
      <c r="C13" s="60">
        <f>SUMIFS(FRACTURE_TIMELINE!AllowedAmt,FRACTURE_TIMELINE!BenefitCategory,$B13)</f>
        <v>341.20000000000005</v>
      </c>
      <c r="D13" s="61">
        <f>SUMIFS(FRACTURE_TIMELINE!PlanPaymentAmt,FRACTURE_TIMELINE!BenefitCategory,$B13)</f>
        <v>0</v>
      </c>
      <c r="E13" s="61">
        <f t="shared" si="0"/>
        <v>341.20000000000005</v>
      </c>
      <c r="F13" s="62">
        <f>SUMIFS(FRACTURE_TIMELINE!SubscriberPayDeduc,FRACTURE_TIMELINE!BenefitCategory,$B13)</f>
        <v>0</v>
      </c>
      <c r="G13" s="63">
        <f>SUMIFS(FRACTURE_TIMELINE!SubscriberPayCopay,FRACTURE_TIMELINE!BenefitCategory,$B13)</f>
        <v>0</v>
      </c>
      <c r="H13" s="63">
        <f>SUMIFS(FRACTURE_TIMELINE!SubscriberPayCoins,FRACTURE_TIMELINE!BenefitCategory,$B13)</f>
        <v>0</v>
      </c>
      <c r="I13" s="64">
        <f>SUMIFS(FRACTURE_TIMELINE!SubscriberPayNonCov,FRACTURE_TIMELINE!BenefitCategory,$B13)+SUMIFS(FRACTURE_TIMELINE!SubscriberPayExclusion,FRACTURE_TIMELINE!BenefitCategory,$B13)</f>
        <v>341.20000000000005</v>
      </c>
      <c r="J13" s="66"/>
    </row>
    <row r="14" spans="1:10" x14ac:dyDescent="0.25">
      <c r="A14" s="66"/>
      <c r="B14" s="296" t="str">
        <f>BENEFIT_DESIGN!B18</f>
        <v>Professional Services: Obstetric Care (Bundled)</v>
      </c>
      <c r="C14" s="60">
        <f>SUMIFS(FRACTURE_TIMELINE!AllowedAmt,FRACTURE_TIMELINE!BenefitCategory,$B14)</f>
        <v>0</v>
      </c>
      <c r="D14" s="61">
        <f>SUMIFS(FRACTURE_TIMELINE!PlanPaymentAmt,FRACTURE_TIMELINE!BenefitCategory,$B14)</f>
        <v>0</v>
      </c>
      <c r="E14" s="61">
        <f t="shared" si="0"/>
        <v>0</v>
      </c>
      <c r="F14" s="62">
        <f>SUMIFS(FRACTURE_TIMELINE!SubscriberPayDeduc,FRACTURE_TIMELINE!BenefitCategory,$B14)</f>
        <v>0</v>
      </c>
      <c r="G14" s="63">
        <f>SUMIFS(FRACTURE_TIMELINE!SubscriberPayCopay,FRACTURE_TIMELINE!BenefitCategory,$B14)</f>
        <v>0</v>
      </c>
      <c r="H14" s="63">
        <f>SUMIFS(FRACTURE_TIMELINE!SubscriberPayCoins,FRACTURE_TIMELINE!BenefitCategory,$B14)</f>
        <v>0</v>
      </c>
      <c r="I14" s="64">
        <f>SUMIFS(FRACTURE_TIMELINE!SubscriberPayNonCov,FRACTURE_TIMELINE!BenefitCategory,$B14)+SUMIFS(FRACTURE_TIMELINE!SubscriberPayExclusion,FRACTURE_TIMELINE!BenefitCategory,$B14)</f>
        <v>0</v>
      </c>
      <c r="J14" s="66"/>
    </row>
    <row r="15" spans="1:10" x14ac:dyDescent="0.25">
      <c r="A15" s="66"/>
      <c r="B15" s="296" t="str">
        <f>BENEFIT_DESIGN!B19</f>
        <v>Professional Services: Procedures &amp; Other</v>
      </c>
      <c r="C15" s="60">
        <f>SUMIFS(FRACTURE_TIMELINE!AllowedAmt,FRACTURE_TIMELINE!BenefitCategory,$B15)</f>
        <v>0</v>
      </c>
      <c r="D15" s="61">
        <f>SUMIFS(FRACTURE_TIMELINE!PlanPaymentAmt,FRACTURE_TIMELINE!BenefitCategory,$B15)</f>
        <v>0</v>
      </c>
      <c r="E15" s="61">
        <f t="shared" si="0"/>
        <v>0</v>
      </c>
      <c r="F15" s="62">
        <f>SUMIFS(FRACTURE_TIMELINE!SubscriberPayDeduc,FRACTURE_TIMELINE!BenefitCategory,$B15)</f>
        <v>0</v>
      </c>
      <c r="G15" s="63">
        <f>SUMIFS(FRACTURE_TIMELINE!SubscriberPayCopay,FRACTURE_TIMELINE!BenefitCategory,$B15)</f>
        <v>0</v>
      </c>
      <c r="H15" s="63">
        <f>SUMIFS(FRACTURE_TIMELINE!SubscriberPayCoins,FRACTURE_TIMELINE!BenefitCategory,$B15)</f>
        <v>0</v>
      </c>
      <c r="I15" s="64">
        <f>SUMIFS(FRACTURE_TIMELINE!SubscriberPayNonCov,FRACTURE_TIMELINE!BenefitCategory,$B15)+SUMIFS(FRACTURE_TIMELINE!SubscriberPayExclusion,FRACTURE_TIMELINE!BenefitCategory,$B15)</f>
        <v>0</v>
      </c>
      <c r="J15" s="66"/>
    </row>
    <row r="16" spans="1:10" x14ac:dyDescent="0.25">
      <c r="A16" s="66"/>
      <c r="B16" s="296" t="str">
        <f>BENEFIT_DESIGN!B20</f>
        <v>Professional Services: Physical Therapy</v>
      </c>
      <c r="C16" s="60">
        <f>SUMIFS(FRACTURE_TIMELINE!AllowedAmt,FRACTURE_TIMELINE!BenefitCategory,$B16)</f>
        <v>364.02</v>
      </c>
      <c r="D16" s="61">
        <f>SUMIFS(FRACTURE_TIMELINE!PlanPaymentAmt,FRACTURE_TIMELINE!BenefitCategory,$B16)</f>
        <v>0</v>
      </c>
      <c r="E16" s="61">
        <f t="shared" si="0"/>
        <v>364.02</v>
      </c>
      <c r="F16" s="62">
        <f>SUMIFS(FRACTURE_TIMELINE!SubscriberPayDeduc,FRACTURE_TIMELINE!BenefitCategory,$B16)</f>
        <v>0</v>
      </c>
      <c r="G16" s="63">
        <f>SUMIFS(FRACTURE_TIMELINE!SubscriberPayCopay,FRACTURE_TIMELINE!BenefitCategory,$B16)</f>
        <v>0</v>
      </c>
      <c r="H16" s="63">
        <f>SUMIFS(FRACTURE_TIMELINE!SubscriberPayCoins,FRACTURE_TIMELINE!BenefitCategory,$B16)</f>
        <v>0</v>
      </c>
      <c r="I16" s="64">
        <f>SUMIFS(FRACTURE_TIMELINE!SubscriberPayNonCov,FRACTURE_TIMELINE!BenefitCategory,$B16)+SUMIFS(FRACTURE_TIMELINE!SubscriberPayExclusion,FRACTURE_TIMELINE!BenefitCategory,$B16)</f>
        <v>364.02</v>
      </c>
      <c r="J16" s="66"/>
    </row>
    <row r="17" spans="1:10" x14ac:dyDescent="0.25">
      <c r="A17" s="66"/>
      <c r="B17" s="296" t="str">
        <f>BENEFIT_DESIGN!B21</f>
        <v>Diagnostic Services: Radiology</v>
      </c>
      <c r="C17" s="60">
        <f>SUMIFS(FRACTURE_TIMELINE!AllowedAmt,FRACTURE_TIMELINE!BenefitCategory,$B17)</f>
        <v>112.9</v>
      </c>
      <c r="D17" s="61">
        <f>SUMIFS(FRACTURE_TIMELINE!PlanPaymentAmt,FRACTURE_TIMELINE!BenefitCategory,$B17)</f>
        <v>0</v>
      </c>
      <c r="E17" s="61">
        <f t="shared" si="0"/>
        <v>112.9</v>
      </c>
      <c r="F17" s="62">
        <f>SUMIFS(FRACTURE_TIMELINE!SubscriberPayDeduc,FRACTURE_TIMELINE!BenefitCategory,$B17)</f>
        <v>0</v>
      </c>
      <c r="G17" s="63">
        <f>SUMIFS(FRACTURE_TIMELINE!SubscriberPayCopay,FRACTURE_TIMELINE!BenefitCategory,$B17)</f>
        <v>0</v>
      </c>
      <c r="H17" s="63">
        <f>SUMIFS(FRACTURE_TIMELINE!SubscriberPayCoins,FRACTURE_TIMELINE!BenefitCategory,$B17)</f>
        <v>0</v>
      </c>
      <c r="I17" s="64">
        <f>SUMIFS(FRACTURE_TIMELINE!SubscriberPayNonCov,FRACTURE_TIMELINE!BenefitCategory,$B17)+SUMIFS(FRACTURE_TIMELINE!SubscriberPayExclusion,FRACTURE_TIMELINE!BenefitCategory,$B17)</f>
        <v>112.9</v>
      </c>
      <c r="J17" s="66"/>
    </row>
    <row r="18" spans="1:10" x14ac:dyDescent="0.25">
      <c r="A18" s="66"/>
      <c r="B18" s="296" t="str">
        <f>BENEFIT_DESIGN!B22</f>
        <v>Diagnostic Services: Laboratory</v>
      </c>
      <c r="C18" s="60">
        <f>SUMIFS(FRACTURE_TIMELINE!AllowedAmt,FRACTURE_TIMELINE!BenefitCategory,$B18)</f>
        <v>0</v>
      </c>
      <c r="D18" s="61">
        <f>SUMIFS(FRACTURE_TIMELINE!PlanPaymentAmt,FRACTURE_TIMELINE!BenefitCategory,$B18)</f>
        <v>0</v>
      </c>
      <c r="E18" s="61">
        <f t="shared" si="0"/>
        <v>0</v>
      </c>
      <c r="F18" s="62">
        <f>SUMIFS(FRACTURE_TIMELINE!SubscriberPayDeduc,FRACTURE_TIMELINE!BenefitCategory,$B18)</f>
        <v>0</v>
      </c>
      <c r="G18" s="63">
        <f>SUMIFS(FRACTURE_TIMELINE!SubscriberPayCopay,FRACTURE_TIMELINE!BenefitCategory,$B18)</f>
        <v>0</v>
      </c>
      <c r="H18" s="63">
        <f>SUMIFS(FRACTURE_TIMELINE!SubscriberPayCoins,FRACTURE_TIMELINE!BenefitCategory,$B18)</f>
        <v>0</v>
      </c>
      <c r="I18" s="64">
        <f>SUMIFS(FRACTURE_TIMELINE!SubscriberPayNonCov,FRACTURE_TIMELINE!BenefitCategory,$B18)+SUMIFS(FRACTURE_TIMELINE!SubscriberPayExclusion,FRACTURE_TIMELINE!BenefitCategory,$B18)</f>
        <v>0</v>
      </c>
      <c r="J18" s="66"/>
    </row>
    <row r="19" spans="1:10" x14ac:dyDescent="0.25">
      <c r="A19" s="66"/>
      <c r="B19" s="296" t="str">
        <f>BENEFIT_DESIGN!B23</f>
        <v>Prescription Drugs: Generic</v>
      </c>
      <c r="C19" s="60">
        <f>SUMIFS(FRACTURE_TIMELINE!AllowedAmt,FRACTURE_TIMELINE!BenefitCategory,$B19)</f>
        <v>5.24</v>
      </c>
      <c r="D19" s="61">
        <f>SUMIFS(FRACTURE_TIMELINE!PlanPaymentAmt,FRACTURE_TIMELINE!BenefitCategory,$B19)</f>
        <v>0</v>
      </c>
      <c r="E19" s="61">
        <f t="shared" si="0"/>
        <v>5.24</v>
      </c>
      <c r="F19" s="62">
        <f>SUMIFS(FRACTURE_TIMELINE!SubscriberPayDeduc,FRACTURE_TIMELINE!BenefitCategory,$B19)</f>
        <v>0</v>
      </c>
      <c r="G19" s="63">
        <f>SUMIFS(FRACTURE_TIMELINE!SubscriberPayCopay,FRACTURE_TIMELINE!BenefitCategory,$B19)</f>
        <v>0</v>
      </c>
      <c r="H19" s="63">
        <f>SUMIFS(FRACTURE_TIMELINE!SubscriberPayCoins,FRACTURE_TIMELINE!BenefitCategory,$B19)</f>
        <v>0</v>
      </c>
      <c r="I19" s="64">
        <f>SUMIFS(FRACTURE_TIMELINE!SubscriberPayNonCov,FRACTURE_TIMELINE!BenefitCategory,$B19)+SUMIFS(FRACTURE_TIMELINE!SubscriberPayExclusion,FRACTURE_TIMELINE!BenefitCategory,$B19)</f>
        <v>5.24</v>
      </c>
      <c r="J19" s="66"/>
    </row>
    <row r="20" spans="1:10" x14ac:dyDescent="0.25">
      <c r="A20" s="66"/>
      <c r="B20" s="296" t="str">
        <f>BENEFIT_DESIGN!B24</f>
        <v>Prescription Drugs: Branded</v>
      </c>
      <c r="C20" s="60">
        <f>SUMIFS(FRACTURE_TIMELINE!AllowedAmt,FRACTURE_TIMELINE!BenefitCategory,$B20)</f>
        <v>0</v>
      </c>
      <c r="D20" s="61">
        <f>SUMIFS(FRACTURE_TIMELINE!PlanPaymentAmt,FRACTURE_TIMELINE!BenefitCategory,$B20)</f>
        <v>0</v>
      </c>
      <c r="E20" s="61">
        <f t="shared" si="0"/>
        <v>0</v>
      </c>
      <c r="F20" s="62">
        <f>SUMIFS(FRACTURE_TIMELINE!SubscriberPayDeduc,FRACTURE_TIMELINE!BenefitCategory,$B20)</f>
        <v>0</v>
      </c>
      <c r="G20" s="63">
        <f>SUMIFS(FRACTURE_TIMELINE!SubscriberPayCopay,FRACTURE_TIMELINE!BenefitCategory,$B20)</f>
        <v>0</v>
      </c>
      <c r="H20" s="63">
        <f>SUMIFS(FRACTURE_TIMELINE!SubscriberPayCoins,FRACTURE_TIMELINE!BenefitCategory,$B20)</f>
        <v>0</v>
      </c>
      <c r="I20" s="64">
        <f>SUMIFS(FRACTURE_TIMELINE!SubscriberPayNonCov,FRACTURE_TIMELINE!BenefitCategory,$B20)+SUMIFS(FRACTURE_TIMELINE!SubscriberPayExclusion,FRACTURE_TIMELINE!BenefitCategory,$B20)</f>
        <v>0</v>
      </c>
      <c r="J20" s="66"/>
    </row>
    <row r="21" spans="1:10" x14ac:dyDescent="0.25">
      <c r="A21" s="66"/>
      <c r="B21" s="296" t="str">
        <f>BENEFIT_DESIGN!B25</f>
        <v>Prescription Drugs: Insulin</v>
      </c>
      <c r="C21" s="60">
        <f>SUMIFS(FRACTURE_TIMELINE!AllowedAmt,FRACTURE_TIMELINE!BenefitCategory,$B21)</f>
        <v>0</v>
      </c>
      <c r="D21" s="61">
        <f>SUMIFS(FRACTURE_TIMELINE!PlanPaymentAmt,FRACTURE_TIMELINE!BenefitCategory,$B21)</f>
        <v>0</v>
      </c>
      <c r="E21" s="61">
        <f t="shared" ref="E21:E27" si="2">SUM(F21:I21)</f>
        <v>0</v>
      </c>
      <c r="F21" s="62">
        <f>SUMIFS(FRACTURE_TIMELINE!SubscriberPayDeduc,FRACTURE_TIMELINE!BenefitCategory,$B21)</f>
        <v>0</v>
      </c>
      <c r="G21" s="63">
        <f>SUMIFS(FRACTURE_TIMELINE!SubscriberPayCopay,FRACTURE_TIMELINE!BenefitCategory,$B21)</f>
        <v>0</v>
      </c>
      <c r="H21" s="63">
        <f>SUMIFS(FRACTURE_TIMELINE!SubscriberPayCoins,FRACTURE_TIMELINE!BenefitCategory,$B21)</f>
        <v>0</v>
      </c>
      <c r="I21" s="64">
        <f>SUMIFS(FRACTURE_TIMELINE!SubscriberPayNonCov,FRACTURE_TIMELINE!BenefitCategory,$B21)+SUMIFS(FRACTURE_TIMELINE!SubscriberPayExclusion,FRACTURE_TIMELINE!BenefitCategory,$B21)</f>
        <v>0</v>
      </c>
      <c r="J21" s="66"/>
    </row>
    <row r="22" spans="1:10" x14ac:dyDescent="0.25">
      <c r="A22" s="66"/>
      <c r="B22" s="296" t="str">
        <f>BENEFIT_DESIGN!B26</f>
        <v>Over-the-counter Drugs</v>
      </c>
      <c r="C22" s="60">
        <f>SUMIFS(FRACTURE_TIMELINE!AllowedAmt,FRACTURE_TIMELINE!BenefitCategory,$B22)</f>
        <v>0</v>
      </c>
      <c r="D22" s="61">
        <f>SUMIFS(FRACTURE_TIMELINE!PlanPaymentAmt,FRACTURE_TIMELINE!BenefitCategory,$B22)</f>
        <v>0</v>
      </c>
      <c r="E22" s="61">
        <f t="shared" si="2"/>
        <v>0</v>
      </c>
      <c r="F22" s="62">
        <f>SUMIFS(FRACTURE_TIMELINE!SubscriberPayDeduc,FRACTURE_TIMELINE!BenefitCategory,$B22)</f>
        <v>0</v>
      </c>
      <c r="G22" s="63">
        <f>SUMIFS(FRACTURE_TIMELINE!SubscriberPayCopay,FRACTURE_TIMELINE!BenefitCategory,$B22)</f>
        <v>0</v>
      </c>
      <c r="H22" s="63">
        <f>SUMIFS(FRACTURE_TIMELINE!SubscriberPayCoins,FRACTURE_TIMELINE!BenefitCategory,$B22)</f>
        <v>0</v>
      </c>
      <c r="I22" s="64">
        <f>SUMIFS(FRACTURE_TIMELINE!SubscriberPayNonCov,FRACTURE_TIMELINE!BenefitCategory,$B22)+SUMIFS(FRACTURE_TIMELINE!SubscriberPayExclusion,FRACTURE_TIMELINE!BenefitCategory,$B22)</f>
        <v>0</v>
      </c>
      <c r="J22" s="66"/>
    </row>
    <row r="23" spans="1:10" x14ac:dyDescent="0.25">
      <c r="A23" s="66"/>
      <c r="B23" s="296" t="str">
        <f>BENEFIT_DESIGN!B27</f>
        <v>Preventive Services &amp; Vaccines</v>
      </c>
      <c r="C23" s="60">
        <f>SUMIFS(FRACTURE_TIMELINE!AllowedAmt,FRACTURE_TIMELINE!BenefitCategory,$B23)</f>
        <v>0</v>
      </c>
      <c r="D23" s="61">
        <f>SUMIFS(FRACTURE_TIMELINE!PlanPaymentAmt,FRACTURE_TIMELINE!BenefitCategory,$B23)</f>
        <v>0</v>
      </c>
      <c r="E23" s="61">
        <f t="shared" si="2"/>
        <v>0</v>
      </c>
      <c r="F23" s="62">
        <f>SUMIFS(FRACTURE_TIMELINE!SubscriberPayDeduc,FRACTURE_TIMELINE!BenefitCategory,$B23)</f>
        <v>0</v>
      </c>
      <c r="G23" s="63">
        <f>SUMIFS(FRACTURE_TIMELINE!SubscriberPayCopay,FRACTURE_TIMELINE!BenefitCategory,$B23)</f>
        <v>0</v>
      </c>
      <c r="H23" s="63">
        <f>SUMIFS(FRACTURE_TIMELINE!SubscriberPayCoins,FRACTURE_TIMELINE!BenefitCategory,$B23)</f>
        <v>0</v>
      </c>
      <c r="I23" s="64">
        <f>SUMIFS(FRACTURE_TIMELINE!SubscriberPayNonCov,FRACTURE_TIMELINE!BenefitCategory,$B23)+SUMIFS(FRACTURE_TIMELINE!SubscriberPayExclusion,FRACTURE_TIMELINE!BenefitCategory,$B23)</f>
        <v>0</v>
      </c>
      <c r="J23" s="66"/>
    </row>
    <row r="24" spans="1:10" x14ac:dyDescent="0.25">
      <c r="A24" s="66"/>
      <c r="B24" s="296" t="str">
        <f>BENEFIT_DESIGN!B28</f>
        <v>Durable Medical Equipment</v>
      </c>
      <c r="C24" s="60">
        <f>SUMIFS(FRACTURE_TIMELINE!AllowedAmt,FRACTURE_TIMELINE!BenefitCategory,$B24)</f>
        <v>247.53</v>
      </c>
      <c r="D24" s="61">
        <f>SUMIFS(FRACTURE_TIMELINE!PlanPaymentAmt,FRACTURE_TIMELINE!BenefitCategory,$B24)</f>
        <v>0</v>
      </c>
      <c r="E24" s="61">
        <f t="shared" si="2"/>
        <v>247.53</v>
      </c>
      <c r="F24" s="62">
        <f>SUMIFS(FRACTURE_TIMELINE!SubscriberPayDeduc,FRACTURE_TIMELINE!BenefitCategory,$B24)</f>
        <v>0</v>
      </c>
      <c r="G24" s="63">
        <f>SUMIFS(FRACTURE_TIMELINE!SubscriberPayCopay,FRACTURE_TIMELINE!BenefitCategory,$B24)</f>
        <v>0</v>
      </c>
      <c r="H24" s="63">
        <f>SUMIFS(FRACTURE_TIMELINE!SubscriberPayCoins,FRACTURE_TIMELINE!BenefitCategory,$B24)</f>
        <v>0</v>
      </c>
      <c r="I24" s="64">
        <f>SUMIFS(FRACTURE_TIMELINE!SubscriberPayNonCov,FRACTURE_TIMELINE!BenefitCategory,$B24)+SUMIFS(FRACTURE_TIMELINE!SubscriberPayExclusion,FRACTURE_TIMELINE!BenefitCategory,$B24)</f>
        <v>247.53</v>
      </c>
      <c r="J24" s="66"/>
    </row>
    <row r="25" spans="1:10" x14ac:dyDescent="0.25">
      <c r="A25" s="66"/>
      <c r="B25" s="296" t="str">
        <f>BENEFIT_DESIGN!B29</f>
        <v>Medical Supplies</v>
      </c>
      <c r="C25" s="60">
        <f>SUMIFS(FRACTURE_TIMELINE!AllowedAmt,FRACTURE_TIMELINE!BenefitCategory,$B25)</f>
        <v>0</v>
      </c>
      <c r="D25" s="61">
        <f>SUMIFS(FRACTURE_TIMELINE!PlanPaymentAmt,FRACTURE_TIMELINE!BenefitCategory,$B25)</f>
        <v>0</v>
      </c>
      <c r="E25" s="61">
        <f t="shared" si="2"/>
        <v>0</v>
      </c>
      <c r="F25" s="62">
        <f>SUMIFS(FRACTURE_TIMELINE!SubscriberPayDeduc,FRACTURE_TIMELINE!BenefitCategory,$B25)</f>
        <v>0</v>
      </c>
      <c r="G25" s="63">
        <f>SUMIFS(FRACTURE_TIMELINE!SubscriberPayCopay,FRACTURE_TIMELINE!BenefitCategory,$B25)</f>
        <v>0</v>
      </c>
      <c r="H25" s="63">
        <f>SUMIFS(FRACTURE_TIMELINE!SubscriberPayCoins,FRACTURE_TIMELINE!BenefitCategory,$B25)</f>
        <v>0</v>
      </c>
      <c r="I25" s="64">
        <f>SUMIFS(FRACTURE_TIMELINE!SubscriberPayNonCov,FRACTURE_TIMELINE!BenefitCategory,$B25)+SUMIFS(FRACTURE_TIMELINE!SubscriberPayExclusion,FRACTURE_TIMELINE!BenefitCategory,$B25)</f>
        <v>0</v>
      </c>
      <c r="J25" s="66"/>
    </row>
    <row r="26" spans="1:10" x14ac:dyDescent="0.25">
      <c r="A26" s="66"/>
      <c r="B26" s="296" t="str">
        <f>BENEFIT_DESIGN!B30</f>
        <v>Over-the-counter Medical Supplies</v>
      </c>
      <c r="C26" s="60">
        <f>SUMIFS(FRACTURE_TIMELINE!AllowedAmt,FRACTURE_TIMELINE!BenefitCategory,$B26)</f>
        <v>0</v>
      </c>
      <c r="D26" s="61">
        <f>SUMIFS(FRACTURE_TIMELINE!PlanPaymentAmt,FRACTURE_TIMELINE!BenefitCategory,$B26)</f>
        <v>0</v>
      </c>
      <c r="E26" s="61">
        <f t="shared" si="2"/>
        <v>0</v>
      </c>
      <c r="F26" s="62">
        <f>SUMIFS(FRACTURE_TIMELINE!SubscriberPayDeduc,FRACTURE_TIMELINE!BenefitCategory,$B26)</f>
        <v>0</v>
      </c>
      <c r="G26" s="63">
        <f>SUMIFS(FRACTURE_TIMELINE!SubscriberPayCopay,FRACTURE_TIMELINE!BenefitCategory,$B26)</f>
        <v>0</v>
      </c>
      <c r="H26" s="63">
        <f>SUMIFS(FRACTURE_TIMELINE!SubscriberPayCoins,FRACTURE_TIMELINE!BenefitCategory,$B26)</f>
        <v>0</v>
      </c>
      <c r="I26" s="64">
        <f>SUMIFS(FRACTURE_TIMELINE!SubscriberPayNonCov,FRACTURE_TIMELINE!BenefitCategory,$B26)+SUMIFS(FRACTURE_TIMELINE!SubscriberPayExclusion,FRACTURE_TIMELINE!BenefitCategory,$B26)</f>
        <v>0</v>
      </c>
      <c r="J26" s="66"/>
    </row>
    <row r="27" spans="1:10" x14ac:dyDescent="0.25">
      <c r="A27" s="66"/>
      <c r="B27" s="296" t="str">
        <f>BENEFIT_DESIGN!B31</f>
        <v>Other Items &amp; Services</v>
      </c>
      <c r="C27" s="60">
        <f>SUMIFS(FRACTURE_TIMELINE!AllowedAmt,FRACTURE_TIMELINE!BenefitCategory,$B27)</f>
        <v>0</v>
      </c>
      <c r="D27" s="61">
        <f>SUMIFS(FRACTURE_TIMELINE!PlanPaymentAmt,FRACTURE_TIMELINE!BenefitCategory,$B27)</f>
        <v>0</v>
      </c>
      <c r="E27" s="61">
        <f t="shared" si="2"/>
        <v>0</v>
      </c>
      <c r="F27" s="62">
        <f>SUMIFS(FRACTURE_TIMELINE!SubscriberPayDeduc,FRACTURE_TIMELINE!BenefitCategory,$B27)</f>
        <v>0</v>
      </c>
      <c r="G27" s="63">
        <f>SUMIFS(FRACTURE_TIMELINE!SubscriberPayCopay,FRACTURE_TIMELINE!BenefitCategory,$B27)</f>
        <v>0</v>
      </c>
      <c r="H27" s="63">
        <f>SUMIFS(FRACTURE_TIMELINE!SubscriberPayCoins,FRACTURE_TIMELINE!BenefitCategory,$B27)</f>
        <v>0</v>
      </c>
      <c r="I27" s="64">
        <f>SUMIFS(FRACTURE_TIMELINE!SubscriberPayNonCov,FRACTURE_TIMELINE!BenefitCategory,$B27)+SUMIFS(FRACTURE_TIMELINE!SubscriberPayExclusion,FRACTURE_TIMELINE!BenefitCategory,$B27)</f>
        <v>0</v>
      </c>
      <c r="J27" s="66"/>
    </row>
    <row r="28" spans="1:10" x14ac:dyDescent="0.25">
      <c r="A28" s="66"/>
      <c r="B28" s="305" t="s">
        <v>76</v>
      </c>
      <c r="C28" s="306">
        <f>SUM(C6:C27)</f>
        <v>2800.1700000000005</v>
      </c>
      <c r="D28" s="307">
        <f>IFERROR(IF(BENEFIT_DESIGN_ERRORS!$C$39,"ERROR",SUM(D6:D27)),"ERROR")</f>
        <v>0</v>
      </c>
      <c r="E28" s="307">
        <f>IFERROR(IF(BENEFIT_DESIGN_ERRORS!$C$39,"ERROR",SUM(E6:E27)),"ERROR")</f>
        <v>2800.1700000000005</v>
      </c>
      <c r="F28" s="308">
        <f>IFERROR(IF(BENEFIT_DESIGN_ERRORS!$C$39,"ERROR",SUM(F6:F27)),"ERROR")</f>
        <v>0</v>
      </c>
      <c r="G28" s="309">
        <f>IFERROR(IF(BENEFIT_DESIGN_ERRORS!$C$39,"ERROR",SUM(G6:G27)),"ERROR")</f>
        <v>0</v>
      </c>
      <c r="H28" s="309">
        <f>IFERROR(IF(BENEFIT_DESIGN_ERRORS!$C$39,"ERROR",SUM(H6:H27)),"ERROR")</f>
        <v>0</v>
      </c>
      <c r="I28" s="310">
        <f>IFERROR(IF(BENEFIT_DESIGN_ERRORS!$C$39,"ERROR",SUM(I6:I27)),"ERROR")</f>
        <v>2800.1700000000005</v>
      </c>
      <c r="J28" s="66"/>
    </row>
    <row r="29" spans="1:10" x14ac:dyDescent="0.25">
      <c r="A29" s="66"/>
      <c r="B29" s="311" t="s">
        <v>142</v>
      </c>
      <c r="C29" s="312">
        <f t="shared" ref="C29" si="3">MROUND(C28,IF(C28&gt;=100,100,10))</f>
        <v>2800</v>
      </c>
      <c r="D29" s="312">
        <f>IFERROR(C29-E29,"ERROR")</f>
        <v>0</v>
      </c>
      <c r="E29" s="312">
        <f>IFERROR(IF(BENEFIT_DESIGN_ERRORS!$C$39,"ERROR",MIN(SUM(F29:H29),BENEFIT_DESIGN!C36)+I29),"ERROR")</f>
        <v>2800</v>
      </c>
      <c r="F29" s="313">
        <f>IFERROR(
IF(BENEFIT_DESIGN_ERRORS!$C$39,"ERROR",
MIN(
MROUND(F28,IF(F28&gt;=100,100,10)),
BENEFIT_PARAMETERS!$P$80)
),"ERROR")</f>
        <v>0</v>
      </c>
      <c r="G29" s="314">
        <f>IFERROR(IF(BENEFIT_DESIGN_ERRORS!$C$39,"ERROR",MROUND(G28,IF(G28&gt;=100,100,10))),"ERROR")</f>
        <v>0</v>
      </c>
      <c r="H29" s="314">
        <f>IFERROR(IF(BENEFIT_DESIGN_ERRORS!$C$39,"ERROR",MROUND(H28,IF(H28&gt;=100,100,10))),"ERROR")</f>
        <v>0</v>
      </c>
      <c r="I29" s="315">
        <f>IFERROR(IF(BENEFIT_DESIGN_ERRORS!$C$39,"ERROR",MROUND(I28,IF(I28&gt;=100,100,10))),"ERROR")</f>
        <v>2800</v>
      </c>
      <c r="J29" s="66"/>
    </row>
    <row r="30" spans="1:10" x14ac:dyDescent="0.25">
      <c r="A30" s="66"/>
      <c r="B30" s="66"/>
      <c r="C30" s="66"/>
      <c r="D30" s="66"/>
      <c r="E30" s="66"/>
      <c r="F30" s="66"/>
      <c r="G30" s="66"/>
      <c r="H30" s="66"/>
      <c r="I30" s="66"/>
      <c r="J30" s="66"/>
    </row>
  </sheetData>
  <mergeCells count="2">
    <mergeCell ref="C4:C5"/>
    <mergeCell ref="D4:D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imeline_Fracture"/>
  <dimension ref="A1:CB46"/>
  <sheetViews>
    <sheetView zoomScale="85" zoomScaleNormal="85" workbookViewId="0">
      <pane xSplit="7" ySplit="3" topLeftCell="H4" activePane="bottomRight" state="frozen"/>
      <selection activeCell="R4" sqref="R4"/>
      <selection pane="topRight" activeCell="R4" sqref="R4"/>
      <selection pane="bottomLeft" activeCell="R4" sqref="R4"/>
      <selection pane="bottomRight" activeCell="H4" sqref="H4"/>
    </sheetView>
  </sheetViews>
  <sheetFormatPr defaultRowHeight="15" x14ac:dyDescent="0.25"/>
  <cols>
    <col min="1" max="1" width="8.7109375" style="179" customWidth="1"/>
    <col min="2" max="2" width="12.7109375" style="180" customWidth="1"/>
    <col min="3" max="3" width="9.7109375" style="180" customWidth="1"/>
    <col min="4" max="4" width="12.7109375" style="181" customWidth="1"/>
    <col min="5" max="5" width="25.7109375" style="182" customWidth="1"/>
    <col min="6" max="6" width="45.28515625" style="183" bestFit="1" customWidth="1"/>
    <col min="7" max="7" width="25.7109375" style="183" customWidth="1"/>
    <col min="8" max="9" width="12.7109375" style="184" customWidth="1"/>
    <col min="10" max="10" width="17.85546875" style="184" customWidth="1"/>
    <col min="11" max="11" width="12.7109375" style="184" customWidth="1"/>
    <col min="12" max="12" width="12.7109375" style="187" customWidth="1"/>
    <col min="13" max="13" width="12.7109375" style="188" customWidth="1"/>
    <col min="14" max="14" width="16.5703125" style="188" customWidth="1"/>
    <col min="15" max="17" width="17.85546875" style="184" customWidth="1"/>
    <col min="18" max="19" width="16.42578125" style="184" customWidth="1"/>
    <col min="20" max="20" width="12.7109375" style="184" customWidth="1"/>
    <col min="21" max="21" width="17.85546875" style="184" customWidth="1"/>
    <col min="22" max="22" width="20.85546875" style="184" customWidth="1"/>
    <col min="23" max="23" width="17.85546875" style="184" customWidth="1"/>
    <col min="24" max="28" width="16.42578125" style="184" customWidth="1"/>
    <col min="29" max="29" width="15.7109375" style="184" customWidth="1"/>
    <col min="30" max="30" width="12.7109375" style="184" customWidth="1"/>
    <col min="31" max="31" width="12.7109375" style="185" customWidth="1"/>
    <col min="32" max="32" width="12.7109375" style="186" customWidth="1"/>
    <col min="33" max="34" width="12.7109375" style="184" customWidth="1"/>
    <col min="35" max="35" width="12.7109375" style="185" customWidth="1"/>
    <col min="36" max="36" width="12.7109375" style="186" customWidth="1"/>
    <col min="37" max="39" width="12.7109375" style="184" customWidth="1"/>
    <col min="40" max="41" width="12.7109375" style="185" customWidth="1"/>
    <col min="42" max="42" width="15.42578125" style="184" customWidth="1"/>
    <col min="43" max="43" width="19.7109375" style="184" customWidth="1"/>
    <col min="44" max="45" width="12.7109375" style="185" customWidth="1"/>
    <col min="46" max="46" width="18.42578125" style="184" customWidth="1"/>
    <col min="47" max="47" width="12.7109375" style="184" customWidth="1"/>
    <col min="48" max="49" width="12.7109375" style="185" customWidth="1"/>
    <col min="50" max="50" width="17.85546875" style="184" customWidth="1"/>
    <col min="51" max="51" width="12.7109375" style="184" customWidth="1"/>
    <col min="52" max="53" width="12.7109375" style="185" customWidth="1"/>
    <col min="54" max="55" width="12.7109375" style="184" customWidth="1"/>
    <col min="56" max="57" width="12.7109375" style="185" customWidth="1"/>
    <col min="58" max="58" width="17.28515625" style="184" customWidth="1"/>
    <col min="59" max="59" width="12.7109375" style="184" customWidth="1"/>
    <col min="60" max="60" width="12.7109375" style="189" customWidth="1"/>
    <col min="61" max="61" width="15" style="189" customWidth="1"/>
    <col min="62" max="62" width="12.7109375" style="189" customWidth="1"/>
    <col min="63" max="67" width="12.7109375" style="184" customWidth="1"/>
    <col min="68" max="68" width="12.7109375" style="240" customWidth="1"/>
    <col min="69" max="73" width="12.7109375" style="184" customWidth="1"/>
    <col min="74" max="74" width="12.7109375" style="190" customWidth="1"/>
    <col min="75" max="79" width="12.7109375" style="191" customWidth="1"/>
    <col min="80" max="80" width="12.7109375" style="183" customWidth="1"/>
    <col min="81" max="16384" width="9.140625" style="183"/>
  </cols>
  <sheetData>
    <row r="1" spans="1:80" ht="15.75" thickBot="1" x14ac:dyDescent="0.3">
      <c r="I1" s="239"/>
      <c r="J1" s="239"/>
      <c r="O1" s="239"/>
      <c r="P1" s="239"/>
      <c r="Q1" s="239"/>
      <c r="R1" s="239"/>
      <c r="S1" s="239"/>
      <c r="T1" s="239"/>
      <c r="U1" s="239"/>
      <c r="V1" s="239"/>
      <c r="W1" s="239"/>
      <c r="X1" s="239"/>
      <c r="Y1" s="239"/>
      <c r="Z1" s="239"/>
      <c r="AA1" s="239"/>
      <c r="AB1" s="239"/>
      <c r="AC1" s="239"/>
      <c r="CB1" s="183" t="b">
        <f>COUNTIF(CB4:CB21,FALSE)=0</f>
        <v>1</v>
      </c>
    </row>
    <row r="2" spans="1:80" ht="15.75" thickBot="1" x14ac:dyDescent="0.3">
      <c r="H2" s="164" t="s">
        <v>363</v>
      </c>
      <c r="I2" s="165"/>
      <c r="J2" s="164"/>
      <c r="K2" s="170" t="s">
        <v>364</v>
      </c>
      <c r="L2" s="167"/>
      <c r="M2" s="169"/>
      <c r="N2" s="165"/>
      <c r="O2" s="172" t="s">
        <v>365</v>
      </c>
      <c r="P2" s="172"/>
      <c r="Q2" s="172"/>
      <c r="R2" s="169"/>
      <c r="S2" s="169"/>
      <c r="T2" s="165"/>
      <c r="U2" s="164" t="s">
        <v>366</v>
      </c>
      <c r="V2" s="172"/>
      <c r="W2" s="172"/>
      <c r="X2" s="169"/>
      <c r="Y2" s="169"/>
      <c r="Z2" s="169"/>
      <c r="AA2" s="169"/>
      <c r="AB2" s="169"/>
      <c r="AC2" s="165"/>
      <c r="AD2" s="166" t="s">
        <v>367</v>
      </c>
      <c r="AE2" s="167"/>
      <c r="AF2" s="168"/>
      <c r="AG2" s="169"/>
      <c r="AH2" s="169"/>
      <c r="AI2" s="167"/>
      <c r="AJ2" s="168"/>
      <c r="AK2" s="169"/>
      <c r="AL2" s="169"/>
      <c r="AM2" s="165"/>
      <c r="AN2" s="170" t="s">
        <v>368</v>
      </c>
      <c r="AO2" s="171"/>
      <c r="AP2" s="169"/>
      <c r="AQ2" s="165"/>
      <c r="AR2" s="170" t="s">
        <v>369</v>
      </c>
      <c r="AS2" s="171"/>
      <c r="AT2" s="172"/>
      <c r="AU2" s="173"/>
      <c r="AV2" s="170" t="s">
        <v>370</v>
      </c>
      <c r="AW2" s="171"/>
      <c r="AX2" s="169"/>
      <c r="AY2" s="165"/>
      <c r="AZ2" s="170" t="s">
        <v>371</v>
      </c>
      <c r="BA2" s="171"/>
      <c r="BB2" s="169"/>
      <c r="BC2" s="165"/>
      <c r="BD2" s="170" t="s">
        <v>372</v>
      </c>
      <c r="BE2" s="167"/>
      <c r="BF2" s="169"/>
      <c r="BG2" s="165"/>
      <c r="BH2" s="174" t="s">
        <v>373</v>
      </c>
      <c r="BI2" s="175"/>
      <c r="BJ2" s="164" t="s">
        <v>374</v>
      </c>
      <c r="BK2" s="172"/>
      <c r="BL2" s="172"/>
      <c r="BM2" s="172"/>
      <c r="BN2" s="172"/>
      <c r="BO2" s="172"/>
      <c r="BP2" s="241"/>
      <c r="BQ2" s="172"/>
      <c r="BR2" s="173"/>
      <c r="BS2" s="164" t="s">
        <v>375</v>
      </c>
      <c r="BT2" s="172"/>
      <c r="BU2" s="173"/>
      <c r="BV2" s="176" t="s">
        <v>376</v>
      </c>
      <c r="BW2" s="177"/>
      <c r="BX2" s="177"/>
      <c r="BY2" s="177"/>
      <c r="BZ2" s="177"/>
      <c r="CA2" s="177"/>
      <c r="CB2" s="178"/>
    </row>
    <row r="3" spans="1:80" ht="90.75" thickBot="1" x14ac:dyDescent="0.3">
      <c r="A3" s="149" t="s">
        <v>9</v>
      </c>
      <c r="B3" s="150" t="s">
        <v>7</v>
      </c>
      <c r="C3" s="150" t="s">
        <v>20</v>
      </c>
      <c r="D3" s="151" t="s">
        <v>18</v>
      </c>
      <c r="E3" s="151" t="s">
        <v>136</v>
      </c>
      <c r="F3" s="152" t="s">
        <v>6</v>
      </c>
      <c r="G3" s="153" t="s">
        <v>15</v>
      </c>
      <c r="H3" s="154" t="s">
        <v>5</v>
      </c>
      <c r="I3" s="157" t="s">
        <v>265</v>
      </c>
      <c r="J3" s="249" t="s">
        <v>304</v>
      </c>
      <c r="K3" s="154" t="s">
        <v>290</v>
      </c>
      <c r="L3" s="151" t="s">
        <v>217</v>
      </c>
      <c r="M3" s="157" t="s">
        <v>261</v>
      </c>
      <c r="N3" s="155" t="s">
        <v>269</v>
      </c>
      <c r="O3" s="249" t="s">
        <v>306</v>
      </c>
      <c r="P3" s="249" t="s">
        <v>259</v>
      </c>
      <c r="Q3" s="249" t="s">
        <v>308</v>
      </c>
      <c r="R3" s="157" t="s">
        <v>303</v>
      </c>
      <c r="S3" s="157" t="s">
        <v>305</v>
      </c>
      <c r="T3" s="155" t="s">
        <v>304</v>
      </c>
      <c r="U3" s="154" t="s">
        <v>306</v>
      </c>
      <c r="V3" s="249" t="s">
        <v>310</v>
      </c>
      <c r="W3" s="249" t="s">
        <v>308</v>
      </c>
      <c r="X3" s="157" t="s">
        <v>313</v>
      </c>
      <c r="Y3" s="157" t="s">
        <v>299</v>
      </c>
      <c r="Z3" s="291" t="s">
        <v>380</v>
      </c>
      <c r="AA3" s="291" t="s">
        <v>314</v>
      </c>
      <c r="AB3" s="291" t="s">
        <v>262</v>
      </c>
      <c r="AC3" s="155" t="s">
        <v>304</v>
      </c>
      <c r="AD3" s="154" t="s">
        <v>287</v>
      </c>
      <c r="AE3" s="151" t="s">
        <v>22</v>
      </c>
      <c r="AF3" s="156" t="s">
        <v>21</v>
      </c>
      <c r="AG3" s="157" t="s">
        <v>289</v>
      </c>
      <c r="AH3" s="157" t="s">
        <v>288</v>
      </c>
      <c r="AI3" s="151" t="s">
        <v>23</v>
      </c>
      <c r="AJ3" s="156" t="s">
        <v>19</v>
      </c>
      <c r="AK3" s="157" t="s">
        <v>266</v>
      </c>
      <c r="AL3" s="157" t="s">
        <v>312</v>
      </c>
      <c r="AM3" s="155" t="s">
        <v>12</v>
      </c>
      <c r="AN3" s="158" t="s">
        <v>291</v>
      </c>
      <c r="AO3" s="159" t="s">
        <v>40</v>
      </c>
      <c r="AP3" s="157" t="s">
        <v>271</v>
      </c>
      <c r="AQ3" s="155" t="s">
        <v>200</v>
      </c>
      <c r="AR3" s="158" t="s">
        <v>292</v>
      </c>
      <c r="AS3" s="159" t="s">
        <v>144</v>
      </c>
      <c r="AT3" s="157" t="s">
        <v>270</v>
      </c>
      <c r="AU3" s="155" t="s">
        <v>201</v>
      </c>
      <c r="AV3" s="158" t="s">
        <v>293</v>
      </c>
      <c r="AW3" s="151" t="s">
        <v>205</v>
      </c>
      <c r="AX3" s="157" t="s">
        <v>272</v>
      </c>
      <c r="AY3" s="155" t="s">
        <v>214</v>
      </c>
      <c r="AZ3" s="158" t="s">
        <v>294</v>
      </c>
      <c r="BA3" s="151" t="s">
        <v>204</v>
      </c>
      <c r="BB3" s="157" t="s">
        <v>274</v>
      </c>
      <c r="BC3" s="155" t="s">
        <v>215</v>
      </c>
      <c r="BD3" s="158" t="s">
        <v>295</v>
      </c>
      <c r="BE3" s="151" t="s">
        <v>3</v>
      </c>
      <c r="BF3" s="157" t="s">
        <v>275</v>
      </c>
      <c r="BG3" s="155" t="s">
        <v>202</v>
      </c>
      <c r="BH3" s="160" t="s">
        <v>216</v>
      </c>
      <c r="BI3" s="161" t="s">
        <v>263</v>
      </c>
      <c r="BJ3" s="160" t="s">
        <v>262</v>
      </c>
      <c r="BK3" s="157" t="s">
        <v>137</v>
      </c>
      <c r="BL3" s="157" t="s">
        <v>297</v>
      </c>
      <c r="BM3" s="157" t="s">
        <v>299</v>
      </c>
      <c r="BN3" s="157" t="s">
        <v>296</v>
      </c>
      <c r="BO3" s="157" t="s">
        <v>298</v>
      </c>
      <c r="BP3" s="242" t="s">
        <v>300</v>
      </c>
      <c r="BQ3" s="157" t="s">
        <v>302</v>
      </c>
      <c r="BR3" s="161" t="s">
        <v>264</v>
      </c>
      <c r="BS3" s="160" t="s">
        <v>262</v>
      </c>
      <c r="BT3" s="157" t="s">
        <v>260</v>
      </c>
      <c r="BU3" s="155" t="s">
        <v>301</v>
      </c>
      <c r="BV3" s="162" t="s">
        <v>227</v>
      </c>
      <c r="BW3" s="163" t="s">
        <v>265</v>
      </c>
      <c r="BX3" s="163" t="s">
        <v>218</v>
      </c>
      <c r="BY3" s="163" t="s">
        <v>25</v>
      </c>
      <c r="BZ3" s="163" t="s">
        <v>26</v>
      </c>
      <c r="CA3" s="163" t="s">
        <v>27</v>
      </c>
      <c r="CB3" s="153" t="s">
        <v>219</v>
      </c>
    </row>
    <row r="4" spans="1:80" x14ac:dyDescent="0.25">
      <c r="A4" s="193">
        <v>1</v>
      </c>
      <c r="B4" s="194">
        <v>42523</v>
      </c>
      <c r="C4" s="195">
        <v>6</v>
      </c>
      <c r="D4" s="196">
        <v>2</v>
      </c>
      <c r="E4" s="197" t="str">
        <f t="shared" ref="E4:E21" si="0">VLOOKUP(ServiceCode,FractureFeeSchedule,6,FALSE)</f>
        <v>Ground mileage, per statute mile</v>
      </c>
      <c r="F4" s="198" t="str">
        <f t="shared" ref="F4:F21" si="1">VLOOKUP(ServiceCode,FractureFeeSchedule,5,FALSE)</f>
        <v>Ambulance</v>
      </c>
      <c r="G4" s="199" t="str">
        <f t="shared" ref="G4:G21" si="2">VLOOKUP(BenefitCategory,BenefitDesignTable,COLUMN(BenefitCostSharing),FALSE)</f>
        <v>Not Covered</v>
      </c>
      <c r="H4" s="200">
        <f t="shared" ref="H4" si="3">VLOOKUP(D4,FractureFeeSchedule,7,FALSE)</f>
        <v>161.71</v>
      </c>
      <c r="I4" s="203">
        <f t="shared" ref="I4" si="4">IF(G4="Not Covered",H4,0)</f>
        <v>161.71</v>
      </c>
      <c r="J4" s="295">
        <f t="shared" ref="J4" si="5">H4-I4</f>
        <v>0</v>
      </c>
      <c r="K4" s="200" t="b">
        <f t="shared" ref="K4" si="6">VLOOKUP(F4,nrCoverageTable,COLUMN(nrOOPLimitValid),FALSE)</f>
        <v>0</v>
      </c>
      <c r="L4" s="204" t="str">
        <f t="shared" ref="L4" si="7">IF(K4,VLOOKUP(F4,BenefitDesignTable,COLUMN(BenefitOOPLimitApplies),FALSE),"No")</f>
        <v>No</v>
      </c>
      <c r="M4" s="203" t="str">
        <f t="shared" ref="M4" si="8">VLOOKUP(F4,BenefitDesignTable,COLUMN(OPLimit),FALSE)</f>
        <v>.</v>
      </c>
      <c r="N4" s="201" t="str">
        <f>IFERROR(IF(AND(L4="Yes",ISNUMBER(M4)),MAX(0,M4-SUMIFS(BU$3:BU3,L$3:L3,"Yes")),IF(OR(L4="No",M4="None"),"N/A","ERR")),"ERR")</f>
        <v>N/A</v>
      </c>
      <c r="O4" s="250" t="b">
        <f>IF(F4="Professional Services: Primary Care",TRUE, FALSE)</f>
        <v>0</v>
      </c>
      <c r="P4" s="250" t="str">
        <f>IF(O4,BENEFIT_PARAMETERS!$C$76,"N/A")</f>
        <v>N/A</v>
      </c>
      <c r="Q4" s="287" t="str">
        <f>IF(P4="Yes", BENEFIT_PARAMETERS!$D$76,"N/A")</f>
        <v>N/A</v>
      </c>
      <c r="R4" s="253" t="str">
        <f t="shared" ref="R4:R10" si="9">IF(O4,COUNTIFS(BenefitCategory,"Professional Services: Primary Care",ClaimNumber,"&lt;"&amp;A4),"N/A")</f>
        <v>N/A</v>
      </c>
      <c r="S4" s="203">
        <f>IF(P4="Yes",IF(R4&lt;Q4,MIN(J4,N4),0),0)</f>
        <v>0</v>
      </c>
      <c r="T4" s="290">
        <f t="shared" ref="T4" si="10">J4-S4</f>
        <v>0</v>
      </c>
      <c r="U4" s="200" t="b">
        <f>IF(F4="Professional Services: Primary Care",TRUE, FALSE)</f>
        <v>0</v>
      </c>
      <c r="V4" s="250" t="str">
        <f>IF(O4,BENEFIT_PARAMETERS!$C$77,"N/A")</f>
        <v>N/A</v>
      </c>
      <c r="W4" s="287" t="str">
        <f>IF(V4="Yes", BENEFIT_PARAMETERS!$D$77,"N/A")</f>
        <v>N/A</v>
      </c>
      <c r="X4" s="253" t="str">
        <f>IF(O4,COUNTIF(Z$3:Z3,"&gt;0"),"N/A")</f>
        <v>N/A</v>
      </c>
      <c r="Y4" s="203" t="str">
        <f t="shared" ref="Y4" si="11">IF(V4="Yes",VLOOKUP("Professional Services: Primary Care",BenefitDesignTable,COLUMN(BenefitCopay),FALSE),"N/A")</f>
        <v>N/A</v>
      </c>
      <c r="Z4" s="292" t="str">
        <f>IF(AND(V4="Yes",U4=TRUE,X4&lt;W4), MIN(Y4,T4,N4),"N/A")</f>
        <v>N/A</v>
      </c>
      <c r="AA4" s="292">
        <f>IF(Z4="N/A",0,T4-Z4)</f>
        <v>0</v>
      </c>
      <c r="AB4" s="293" t="str">
        <f t="shared" ref="AB4" si="12">IF(L4="Yes",IF(Z4="N/A",N4,N4-Z4),"N/A")</f>
        <v>N/A</v>
      </c>
      <c r="AC4" s="290">
        <f>IF(Z4="N/A",T4,0)</f>
        <v>0</v>
      </c>
      <c r="AD4" s="200" t="b">
        <f t="shared" ref="AD4" si="13">VLOOKUP(F4,nrCoverageTable,COLUMN(nrMonthlyLimitValid),FALSE)</f>
        <v>0</v>
      </c>
      <c r="AE4" s="195" t="str">
        <f t="shared" ref="AE4" si="14">IF(AD4,VLOOKUP(F4,BenefitDesignTable,COLUMN(BenefitLimithMonth),FALSE),".")</f>
        <v>.</v>
      </c>
      <c r="AF4" s="202">
        <f t="shared" ref="AF4" si="15">COUNTIFS(ServiceCode,D4,ClaimMonth,C4,ClaimNumber,"&lt;"&amp;A4)</f>
        <v>0</v>
      </c>
      <c r="AG4" s="203" t="str">
        <f t="shared" ref="AG4" si="16">IF(AD4,IF(OR(AE4="None",ISNUMBER(AE4)),IF(AF4&gt;=AE4,H4,0),"ERR"),"N/A")</f>
        <v>N/A</v>
      </c>
      <c r="AH4" s="203" t="b">
        <f t="shared" ref="AH4" si="17">VLOOKUP(F4,nrCoverageTable,COLUMN(nrAnnualLimitValid),FALSE)</f>
        <v>0</v>
      </c>
      <c r="AI4" s="195" t="str">
        <f t="shared" ref="AI4" si="18">IF(AH4,VLOOKUP(F4,BenefitDesignTable,COLUMN(BenefitLimitAnnual),FALSE),".")</f>
        <v>.</v>
      </c>
      <c r="AJ4" s="202">
        <f t="shared" ref="AJ4" si="19">COUNTIFS(ServiceCode,D4,ClaimNumber,"&lt;"&amp;A4)</f>
        <v>0</v>
      </c>
      <c r="AK4" s="203" t="str">
        <f t="shared" ref="AK4" si="20">IF(AH4,IF(OR(AI4="None",ISNUMBER(AI4)),IF(AJ4&gt;=AI4,H4,0),"ERR"),"N/A")</f>
        <v>N/A</v>
      </c>
      <c r="AL4" s="203">
        <f>IF(OR(AG4="ERR",AK4="ERR"),"ERR",MAX(AG4,AK4))</f>
        <v>0</v>
      </c>
      <c r="AM4" s="201">
        <f>IFERROR(AC4-AL4,"ERR")</f>
        <v>0</v>
      </c>
      <c r="AN4" s="205" t="b">
        <f t="shared" ref="AN4" si="21">VLOOKUP(F4,nrCoverageTable,COLUMN(nrUsesPlanDeduct),FALSE)</f>
        <v>0</v>
      </c>
      <c r="AO4" s="203" t="str">
        <f t="shared" ref="AO4" si="22">IF(AN4,VLOOKUP(F4,BenefitDesignTable,COLUMN(PlanDeductible),FALSE),"N/A")</f>
        <v>N/A</v>
      </c>
      <c r="AP4" s="203" t="str">
        <f>IF(AND(ISNUMBER(AO4),AN4=TRUE),MAX(0,AO4-SUMIFS($AM$3:$AM3,AN$3:AN3,TRUE)),IF(AND(AN4=TRUE,ISNUMBER(AO4)=FALSE),"ERR","N/A"))</f>
        <v>N/A</v>
      </c>
      <c r="AQ4" s="201" t="str">
        <f t="shared" ref="AQ4" si="23">IF(ISNUMBER(AP4),MIN($AM4,AP4),"N/A")</f>
        <v>N/A</v>
      </c>
      <c r="AR4" s="205" t="b">
        <f t="shared" ref="AR4" si="24">VLOOKUP(F4,nrCoverageTable,COLUMN(nrUsesRxDeduct),FALSE)</f>
        <v>0</v>
      </c>
      <c r="AS4" s="203" t="str">
        <f t="shared" ref="AS4" si="25">IF(AR4,VLOOKUP(F4,BenefitDesignTable,COLUMN(RxDeductible),FALSE),"N/A")</f>
        <v>N/A</v>
      </c>
      <c r="AT4" s="203" t="str">
        <f>IF(AND(AR4=TRUE,ISNUMBER(AS4)),MAX(0,AS4-SUMIFS($AM$3:$AM3,AR$3:AR3,TRUE)),IF(AND(AR4=TRUE,ISNUMBER(AS4)=FALSE),"ERR","N/A"))</f>
        <v>N/A</v>
      </c>
      <c r="AU4" s="201" t="str">
        <f t="shared" ref="AU4" si="26">IF(ISNUMBER(AT4),MIN($AM4,AT4),"N/A")</f>
        <v>N/A</v>
      </c>
      <c r="AV4" s="205" t="b">
        <f t="shared" ref="AV4" si="27">VLOOKUP(F4,nrCoverageTable,COLUMN(nrUsesDeductC),FALSE)</f>
        <v>0</v>
      </c>
      <c r="AW4" s="203" t="str">
        <f t="shared" ref="AW4" si="28">IF(AV4,VLOOKUP(F4,BenefitDesignTable,COLUMN(OptDeductibleC),FALSE),"N/A")</f>
        <v>N/A</v>
      </c>
      <c r="AX4" s="203" t="str">
        <f>IF(AND(AV4=TRUE,ISNUMBER(AW4)),MAX(0,AW4-SUMIFS($AM$3:$AM3,AV$3:AV3,TRUE)),IF(AND(AV4=TRUE,ISNUMBER(AW4)=FALSE),"ERR","N/A"))</f>
        <v>N/A</v>
      </c>
      <c r="AY4" s="201" t="str">
        <f t="shared" ref="AY4" si="29">IF(ISNUMBER(AX4),MIN($AM4,AX4),"N/A")</f>
        <v>N/A</v>
      </c>
      <c r="AZ4" s="205" t="b">
        <f t="shared" ref="AZ4" si="30">VLOOKUP(F4,nrCoverageTable,COLUMN(nrUsesDeductD),FALSE)</f>
        <v>0</v>
      </c>
      <c r="BA4" s="203" t="str">
        <f t="shared" ref="BA4" si="31">IF(AZ4,VLOOKUP(F4,BenefitDesignTable,COLUMN(OptDeductibleD),FALSE),"N/A")</f>
        <v>N/A</v>
      </c>
      <c r="BB4" s="203" t="str">
        <f>IF(AND(AZ4=TRUE,ISNUMBER(BA4)),MAX(0,BA4-SUMIFS($AM$3:$AM3,AZ$3:AZ3,TRUE)),IF(AND(AZ4=TRUE,ISNUMBER(BA4)=FALSE),"ERR","N/A"))</f>
        <v>N/A</v>
      </c>
      <c r="BC4" s="201" t="str">
        <f t="shared" ref="BC4" si="32">IF(ISNUMBER(BB4),MIN($AM4,BB4),"N/A")</f>
        <v>N/A</v>
      </c>
      <c r="BD4" s="205" t="b">
        <f t="shared" ref="BD4" si="33">VLOOKUP(F4,nrCoverageTable,COLUMN(nrUsesBenDeduct),FALSE)</f>
        <v>0</v>
      </c>
      <c r="BE4" s="203" t="str">
        <f t="shared" ref="BE4" si="34">IF(BD4,VLOOKUP(F4,BenefitDesignTable,COLUMN(BenefitDeductible),FALSE),"N/A")</f>
        <v>N/A</v>
      </c>
      <c r="BF4" s="203" t="str">
        <f>IF(AND(BD4=TRUE,ISNUMBER(BE4)=TRUE),MAX(0,BE4-SUMIFS(AM$3:AM3,BD$3:BD3,TRUE,F$3:F3,F4)),IF(AND(BD4=TRUE,ISNUMBER(BE4)=FALSE),"ERR","N/A"))</f>
        <v>N/A</v>
      </c>
      <c r="BG4" s="201" t="str">
        <f t="shared" ref="BG4" si="35">IF(ISNUMBER(BF4),MIN($AM4,BF4),"N/A")</f>
        <v>N/A</v>
      </c>
      <c r="BH4" s="200">
        <f t="shared" ref="BH4" si="36">SUM(AQ4,AU4,AY4,BC4,BG4)</f>
        <v>0</v>
      </c>
      <c r="BI4" s="201">
        <f>IF(OR(AB4="ERR",BH4="ERR"),"ERR",MIN(BH4,AB4))</f>
        <v>0</v>
      </c>
      <c r="BJ4" s="200" t="str">
        <f>IF(AND(L4="Yes",ISNUMBER(M4)),IF(OR(BI4="ERR",AB4="ERR"),"ERR",MAX($AB4-BI4,0)),"N/A")</f>
        <v>N/A</v>
      </c>
      <c r="BK4" s="203">
        <f t="shared" ref="BK4" si="37">IF(OR(BI4="ERR",AM4="ERR"),"ERR",MAX(0,AM4-BI4))</f>
        <v>0</v>
      </c>
      <c r="BL4" s="206" t="b">
        <f t="shared" ref="BL4" si="38">VLOOKUP(F4,nrCoverageTable,COLUMN(nrUsesCopay),FALSE)</f>
        <v>0</v>
      </c>
      <c r="BM4" s="203" t="str">
        <f t="shared" ref="BM4" si="39">IF(BL4,VLOOKUP(F4,BenefitDesignTable,COLUMN(BenefitCopay),FALSE),"N/A")</f>
        <v>N/A</v>
      </c>
      <c r="BN4" s="203" t="str">
        <f>IF(BK4="ERR","ERR",IF(AND(BL4=TRUE,ISNUMBER(BM4)),MIN(BK4,BM4,BJ4),IF(AND(BL4=TRUE,ISNUMBER(BM4)=FALSE),"ERR","N/A")))</f>
        <v>N/A</v>
      </c>
      <c r="BO4" s="206" t="b">
        <f t="shared" ref="BO4" si="40">VLOOKUP(F4,nrCoverageTable,COLUMN(nrUsesCoins),FALSE)</f>
        <v>0</v>
      </c>
      <c r="BP4" s="243" t="str">
        <f t="shared" ref="BP4" si="41">IF(BO4,VLOOKUP(F4,BenefitDesignTable,COLUMN(BenefitCoins),FALSE),"N/A")</f>
        <v>N/A</v>
      </c>
      <c r="BQ4" s="203" t="str">
        <f>IF(BK4="ERR","ERR",IF(AND(BO4=TRUE,ISNUMBER(BP4)=TRUE),MIN(BJ4,BK4*BP4),IF(AND(BO4=TRUE,ISNUMBER(BP4)=FALSE),"ERR","N/A")))</f>
        <v>N/A</v>
      </c>
      <c r="BR4" s="201">
        <f>IF(OR(BJ4="ERR",BN4="ERR",BQ4="ERR"),"ERR",MIN(BJ4,SUM(BN4,BQ4)))</f>
        <v>0</v>
      </c>
      <c r="BS4" s="200" t="str">
        <f>IF(AND(L4="Yes",ISNUMBER(M4)),IF(OR(BJ4="ERR",BR4="ERR"),"ERR",MAX(BJ4-BR4,0)),"N/A")</f>
        <v>N/A</v>
      </c>
      <c r="BT4" s="203">
        <f>IF(OR(BK4="ERR",BR4="ERR"),"ERR",MAX(BK4-BR4,0))</f>
        <v>0</v>
      </c>
      <c r="BU4" s="201">
        <f>IF(OR(BI4="ERR",BR4="ERR"),"ERR",SUM(BI4,BR4,Z4))</f>
        <v>0</v>
      </c>
      <c r="BV4" s="200">
        <f>IF(OR(AM4="ERR",BU4="ERR"),"ERR",MAX(S4+AA4+AM4-BI4-BR4,0))</f>
        <v>0</v>
      </c>
      <c r="BW4" s="203">
        <f t="shared" ref="BW4" si="42">I4</f>
        <v>161.71</v>
      </c>
      <c r="BX4" s="203">
        <f t="shared" ref="BX4" si="43">IF(OR(AG4="ERR",AK4="ERR"),"ERR",SUM(AG4,AK4))</f>
        <v>0</v>
      </c>
      <c r="BY4" s="203">
        <f>BI4</f>
        <v>0</v>
      </c>
      <c r="BZ4" s="203">
        <f t="shared" ref="BZ4" si="44">IF(V4="Yes",IF(Z4="N/A",0,Z4),0)+IF(BL4,BN4,0)</f>
        <v>0</v>
      </c>
      <c r="CA4" s="203">
        <f>IF(BO4,BQ4,0)</f>
        <v>0</v>
      </c>
      <c r="CB4" s="199" t="b">
        <f t="shared" ref="CB4" si="45">SUM(BV4:CA4)=H4</f>
        <v>1</v>
      </c>
    </row>
    <row r="5" spans="1:80" x14ac:dyDescent="0.25">
      <c r="A5" s="207">
        <v>2</v>
      </c>
      <c r="B5" s="208">
        <v>42523</v>
      </c>
      <c r="C5" s="209">
        <v>6</v>
      </c>
      <c r="D5" s="210">
        <v>18</v>
      </c>
      <c r="E5" s="211" t="str">
        <f t="shared" si="0"/>
        <v>Ambulance service, basic life support, emergency transport (bls-emergency)</v>
      </c>
      <c r="F5" s="212" t="str">
        <f t="shared" si="1"/>
        <v>Ambulance</v>
      </c>
      <c r="G5" s="213" t="str">
        <f t="shared" si="2"/>
        <v>Not Covered</v>
      </c>
      <c r="H5" s="214">
        <f t="shared" ref="H5:H10" si="46">VLOOKUP(D5,FractureFeeSchedule,7,FALSE)</f>
        <v>782.16</v>
      </c>
      <c r="I5" s="217">
        <f t="shared" ref="I5:I10" si="47">IF(G5="Not Covered",H5,0)</f>
        <v>782.16</v>
      </c>
      <c r="J5" s="251">
        <f t="shared" ref="J5:J10" si="48">H5-I5</f>
        <v>0</v>
      </c>
      <c r="K5" s="214" t="b">
        <f t="shared" ref="K5:K10" si="49">VLOOKUP(F5,nrCoverageTable,COLUMN(nrOOPLimitValid),FALSE)</f>
        <v>0</v>
      </c>
      <c r="L5" s="218" t="str">
        <f t="shared" ref="L5:L10" si="50">IF(K5,VLOOKUP(F5,BenefitDesignTable,COLUMN(BenefitOOPLimitApplies),FALSE),"No")</f>
        <v>No</v>
      </c>
      <c r="M5" s="217" t="str">
        <f t="shared" ref="M5:M10" si="51">VLOOKUP(F5,BenefitDesignTable,COLUMN(OPLimit),FALSE)</f>
        <v>.</v>
      </c>
      <c r="N5" s="215" t="str">
        <f>IFERROR(IF(AND(L5="Yes",ISNUMBER(M5)),MAX(0,M5-SUMIFS(BU$3:BU4,L$3:L4,"Yes")),IF(OR(L5="No",M5="None"),"N/A","ERR")),"ERR")</f>
        <v>N/A</v>
      </c>
      <c r="O5" s="251" t="b">
        <f t="shared" ref="O5:O10" si="52">IF(F5="Professional Services: Primary Care",TRUE, FALSE)</f>
        <v>0</v>
      </c>
      <c r="P5" s="251" t="str">
        <f>IF(O5,BENEFIT_PARAMETERS!$C$76,"N/A")</f>
        <v>N/A</v>
      </c>
      <c r="Q5" s="288" t="str">
        <f>IF(P5="Yes", BENEFIT_PARAMETERS!$D$76,"N/A")</f>
        <v>N/A</v>
      </c>
      <c r="R5" s="253" t="str">
        <f t="shared" si="9"/>
        <v>N/A</v>
      </c>
      <c r="S5" s="217">
        <f t="shared" ref="S5:S10" si="53">IF(P5="Yes",IF(R5&lt;Q5,MIN(J5,N5),0),0)</f>
        <v>0</v>
      </c>
      <c r="T5" s="215">
        <f t="shared" ref="T5:T10" si="54">J5-S5</f>
        <v>0</v>
      </c>
      <c r="U5" s="214" t="b">
        <f t="shared" ref="U5:U10" si="55">IF(F5="Professional Services: Primary Care",TRUE, FALSE)</f>
        <v>0</v>
      </c>
      <c r="V5" s="251" t="str">
        <f>IF(O5,BENEFIT_PARAMETERS!$C$77,"N/A")</f>
        <v>N/A</v>
      </c>
      <c r="W5" s="288" t="str">
        <f>IF(V5="Yes", BENEFIT_PARAMETERS!$D$77,"N/A")</f>
        <v>N/A</v>
      </c>
      <c r="X5" s="253" t="str">
        <f>IF(O5,COUNTIF(Z$3:Z4,"&gt;0"),"N/A")</f>
        <v>N/A</v>
      </c>
      <c r="Y5" s="217" t="str">
        <f t="shared" ref="Y5:Y10" si="56">IF(V5="Yes",VLOOKUP("Professional Services: Primary Care",BenefitDesignTable,COLUMN(BenefitCopay),FALSE),"N/A")</f>
        <v>N/A</v>
      </c>
      <c r="Z5" s="293" t="str">
        <f t="shared" ref="Z5:Z10" si="57">IF(AND(V5="Yes",U5=TRUE,X5&lt;W5), MIN(Y5,T5,N5),"N/A")</f>
        <v>N/A</v>
      </c>
      <c r="AA5" s="293">
        <f t="shared" ref="AA5:AA10" si="58">IF(Z5="N/A",0,T5-Z5)</f>
        <v>0</v>
      </c>
      <c r="AB5" s="293" t="str">
        <f t="shared" ref="AB5:AB10" si="59">IF(L5="Yes",IF(Z5="N/A",N5,N5-Z5),"N/A")</f>
        <v>N/A</v>
      </c>
      <c r="AC5" s="215">
        <f t="shared" ref="AC5:AC10" si="60">IF(Z5="N/A",T5,0)</f>
        <v>0</v>
      </c>
      <c r="AD5" s="214" t="b">
        <f t="shared" ref="AD5:AD10" si="61">VLOOKUP(F5,nrCoverageTable,COLUMN(nrMonthlyLimitValid),FALSE)</f>
        <v>0</v>
      </c>
      <c r="AE5" s="209" t="str">
        <f t="shared" ref="AE5:AE10" si="62">IF(AD5,VLOOKUP(F5,BenefitDesignTable,COLUMN(BenefitLimithMonth),FALSE),".")</f>
        <v>.</v>
      </c>
      <c r="AF5" s="216">
        <f t="shared" ref="AF5:AF10" si="63">COUNTIFS(ServiceCode,D5,ClaimMonth,C5,ClaimNumber,"&lt;"&amp;A5)</f>
        <v>0</v>
      </c>
      <c r="AG5" s="217" t="str">
        <f t="shared" ref="AG5:AG10" si="64">IF(AD5,IF(OR(AE5="None",ISNUMBER(AE5)),IF(AF5&gt;=AE5,H5,0),"ERR"),"N/A")</f>
        <v>N/A</v>
      </c>
      <c r="AH5" s="217" t="b">
        <f t="shared" ref="AH5:AH10" si="65">VLOOKUP(F5,nrCoverageTable,COLUMN(nrAnnualLimitValid),FALSE)</f>
        <v>0</v>
      </c>
      <c r="AI5" s="209" t="str">
        <f t="shared" ref="AI5:AI10" si="66">IF(AH5,VLOOKUP(F5,BenefitDesignTable,COLUMN(BenefitLimitAnnual),FALSE),".")</f>
        <v>.</v>
      </c>
      <c r="AJ5" s="216">
        <f t="shared" ref="AJ5:AJ10" si="67">COUNTIFS(ServiceCode,D5,ClaimNumber,"&lt;"&amp;A5)</f>
        <v>0</v>
      </c>
      <c r="AK5" s="217" t="str">
        <f t="shared" ref="AK5:AK10" si="68">IF(AH5,IF(OR(AI5="None",ISNUMBER(AI5)),IF(AJ5&gt;=AI5,H5,0),"ERR"),"N/A")</f>
        <v>N/A</v>
      </c>
      <c r="AL5" s="217">
        <f t="shared" ref="AL5:AL10" si="69">IF(OR(AG5="ERR",AK5="ERR"),"ERR",MAX(AG5,AK5))</f>
        <v>0</v>
      </c>
      <c r="AM5" s="215">
        <f t="shared" ref="AM5:AM10" si="70">IFERROR(AC5-AL5,"ERR")</f>
        <v>0</v>
      </c>
      <c r="AN5" s="219" t="b">
        <f t="shared" ref="AN5:AN10" si="71">VLOOKUP(F5,nrCoverageTable,COLUMN(nrUsesPlanDeduct),FALSE)</f>
        <v>0</v>
      </c>
      <c r="AO5" s="217" t="str">
        <f t="shared" ref="AO5:AO10" si="72">IF(AN5,VLOOKUP(F5,BenefitDesignTable,COLUMN(PlanDeductible),FALSE),"N/A")</f>
        <v>N/A</v>
      </c>
      <c r="AP5" s="217" t="str">
        <f>IF(AND(ISNUMBER(AO5),AN5=TRUE),MAX(0,AO5-SUMIFS($AM$3:$AM4,AN$3:AN4,TRUE)),IF(AND(AN5=TRUE,ISNUMBER(AO5)=FALSE),"ERR","N/A"))</f>
        <v>N/A</v>
      </c>
      <c r="AQ5" s="215" t="str">
        <f t="shared" ref="AQ5:AQ10" si="73">IF(ISNUMBER(AP5),MIN($AM5,AP5),"N/A")</f>
        <v>N/A</v>
      </c>
      <c r="AR5" s="219" t="b">
        <f t="shared" ref="AR5:AR10" si="74">VLOOKUP(F5,nrCoverageTable,COLUMN(nrUsesRxDeduct),FALSE)</f>
        <v>0</v>
      </c>
      <c r="AS5" s="217" t="str">
        <f t="shared" ref="AS5:AS10" si="75">IF(AR5,VLOOKUP(F5,BenefitDesignTable,COLUMN(RxDeductible),FALSE),"N/A")</f>
        <v>N/A</v>
      </c>
      <c r="AT5" s="217" t="str">
        <f>IF(AND(AR5=TRUE,ISNUMBER(AS5)),MAX(0,AS5-SUMIFS($AM$3:$AM4,AR$3:AR4,TRUE)),IF(AND(AR5=TRUE,ISNUMBER(AS5)=FALSE),"ERR","N/A"))</f>
        <v>N/A</v>
      </c>
      <c r="AU5" s="215" t="str">
        <f t="shared" ref="AU5:AU10" si="76">IF(ISNUMBER(AT5),MIN($AM5,AT5),"N/A")</f>
        <v>N/A</v>
      </c>
      <c r="AV5" s="219" t="b">
        <f t="shared" ref="AV5:AV10" si="77">VLOOKUP(F5,nrCoverageTable,COLUMN(nrUsesDeductC),FALSE)</f>
        <v>0</v>
      </c>
      <c r="AW5" s="217" t="str">
        <f t="shared" ref="AW5:AW10" si="78">IF(AV5,VLOOKUP(F5,BenefitDesignTable,COLUMN(OptDeductibleC),FALSE),"N/A")</f>
        <v>N/A</v>
      </c>
      <c r="AX5" s="217" t="str">
        <f>IF(AND(AV5=TRUE,ISNUMBER(AW5)),MAX(0,AW5-SUMIFS($AM$3:$AM4,AV$3:AV4,TRUE)),IF(AND(AV5=TRUE,ISNUMBER(AW5)=FALSE),"ERR","N/A"))</f>
        <v>N/A</v>
      </c>
      <c r="AY5" s="215" t="str">
        <f t="shared" ref="AY5:AY10" si="79">IF(ISNUMBER(AX5),MIN($AM5,AX5),"N/A")</f>
        <v>N/A</v>
      </c>
      <c r="AZ5" s="219" t="b">
        <f t="shared" ref="AZ5:AZ10" si="80">VLOOKUP(F5,nrCoverageTable,COLUMN(nrUsesDeductD),FALSE)</f>
        <v>0</v>
      </c>
      <c r="BA5" s="217" t="str">
        <f t="shared" ref="BA5:BA10" si="81">IF(AZ5,VLOOKUP(F5,BenefitDesignTable,COLUMN(OptDeductibleD),FALSE),"N/A")</f>
        <v>N/A</v>
      </c>
      <c r="BB5" s="217" t="str">
        <f>IF(AND(AZ5=TRUE,ISNUMBER(BA5)),MAX(0,BA5-SUMIFS($AM$3:$AM4,AZ$3:AZ4,TRUE)),IF(AND(AZ5=TRUE,ISNUMBER(BA5)=FALSE),"ERR","N/A"))</f>
        <v>N/A</v>
      </c>
      <c r="BC5" s="215" t="str">
        <f t="shared" ref="BC5:BC10" si="82">IF(ISNUMBER(BB5),MIN($AM5,BB5),"N/A")</f>
        <v>N/A</v>
      </c>
      <c r="BD5" s="219" t="b">
        <f t="shared" ref="BD5:BD10" si="83">VLOOKUP(F5,nrCoverageTable,COLUMN(nrUsesBenDeduct),FALSE)</f>
        <v>0</v>
      </c>
      <c r="BE5" s="217" t="str">
        <f t="shared" ref="BE5:BE10" si="84">IF(BD5,VLOOKUP(F5,BenefitDesignTable,COLUMN(BenefitDeductible),FALSE),"N/A")</f>
        <v>N/A</v>
      </c>
      <c r="BF5" s="217" t="str">
        <f>IF(AND(BD5=TRUE,ISNUMBER(BE5)=TRUE),MAX(0,BE5-SUMIFS(AM$3:AM4,BD$3:BD4,TRUE,F$3:F4,F5)),IF(AND(BD5=TRUE,ISNUMBER(BE5)=FALSE),"ERR","N/A"))</f>
        <v>N/A</v>
      </c>
      <c r="BG5" s="215" t="str">
        <f t="shared" ref="BG5:BG10" si="85">IF(ISNUMBER(BF5),MIN($AM5,BF5),"N/A")</f>
        <v>N/A</v>
      </c>
      <c r="BH5" s="214">
        <f t="shared" ref="BH5:BH10" si="86">SUM(AQ5,AU5,AY5,BC5,BG5)</f>
        <v>0</v>
      </c>
      <c r="BI5" s="215">
        <f t="shared" ref="BI5:BI10" si="87">IF(OR(AB5="ERR",BH5="ERR"),"ERR",MIN(BH5,AB5))</f>
        <v>0</v>
      </c>
      <c r="BJ5" s="214" t="str">
        <f t="shared" ref="BJ5:BJ10" si="88">IF(AND(L5="Yes",ISNUMBER(M5)),IF(OR(BI5="ERR",AB5="ERR"),"ERR",MAX($AB5-BI5,0)),"N/A")</f>
        <v>N/A</v>
      </c>
      <c r="BK5" s="217">
        <f t="shared" ref="BK5:BK10" si="89">IF(OR(BI5="ERR",AM5="ERR"),"ERR",MAX(0,AM5-BI5))</f>
        <v>0</v>
      </c>
      <c r="BL5" s="220" t="b">
        <f t="shared" ref="BL5:BL10" si="90">VLOOKUP(F5,nrCoverageTable,COLUMN(nrUsesCopay),FALSE)</f>
        <v>0</v>
      </c>
      <c r="BM5" s="217" t="str">
        <f t="shared" ref="BM5:BM10" si="91">IF(BL5,VLOOKUP(F5,BenefitDesignTable,COLUMN(BenefitCopay),FALSE),"N/A")</f>
        <v>N/A</v>
      </c>
      <c r="BN5" s="217" t="str">
        <f t="shared" ref="BN5:BN10" si="92">IF(BK5="ERR","ERR",IF(AND(BL5=TRUE,ISNUMBER(BM5)),MIN(BK5,BM5,BJ5),IF(AND(BL5=TRUE,ISNUMBER(BM5)=FALSE),"ERR","N/A")))</f>
        <v>N/A</v>
      </c>
      <c r="BO5" s="220" t="b">
        <f t="shared" ref="BO5:BO10" si="93">VLOOKUP(F5,nrCoverageTable,COLUMN(nrUsesCoins),FALSE)</f>
        <v>0</v>
      </c>
      <c r="BP5" s="244" t="str">
        <f t="shared" ref="BP5:BP10" si="94">IF(BO5,VLOOKUP(F5,BenefitDesignTable,COLUMN(BenefitCoins),FALSE),"N/A")</f>
        <v>N/A</v>
      </c>
      <c r="BQ5" s="217" t="str">
        <f t="shared" ref="BQ5:BQ10" si="95">IF(BK5="ERR","ERR",IF(AND(BO5=TRUE,ISNUMBER(BP5)=TRUE),MIN(BJ5,BK5*BP5),IF(AND(BO5=TRUE,ISNUMBER(BP5)=FALSE),"ERR","N/A")))</f>
        <v>N/A</v>
      </c>
      <c r="BR5" s="215">
        <f t="shared" ref="BR5:BR10" si="96">IF(OR(BJ5="ERR",BN5="ERR",BQ5="ERR"),"ERR",MIN(BJ5,SUM(BN5,BQ5)))</f>
        <v>0</v>
      </c>
      <c r="BS5" s="214" t="str">
        <f t="shared" ref="BS5:BS10" si="97">IF(AND(L5="Yes",ISNUMBER(M5)),IF(OR(BJ5="ERR",BR5="ERR"),"ERR",MAX(BJ5-BR5,0)),"N/A")</f>
        <v>N/A</v>
      </c>
      <c r="BT5" s="217">
        <f t="shared" ref="BT5:BT10" si="98">IF(OR(BK5="ERR",BR5="ERR"),"ERR",MAX(BK5-BR5,0))</f>
        <v>0</v>
      </c>
      <c r="BU5" s="215">
        <f t="shared" ref="BU5:BU21" si="99">IF(OR(BI5="ERR",BR5="ERR"),"ERR",SUM(BI5,BR5,Z5))</f>
        <v>0</v>
      </c>
      <c r="BV5" s="214">
        <f t="shared" ref="BV5:BV21" si="100">IF(OR(AM5="ERR",BU5="ERR"),"ERR",MAX(S5+AA5+AM5-BI5-BR5,0))</f>
        <v>0</v>
      </c>
      <c r="BW5" s="217">
        <f t="shared" ref="BW5:BW10" si="101">I5</f>
        <v>782.16</v>
      </c>
      <c r="BX5" s="217">
        <f t="shared" ref="BX5:BX10" si="102">IF(OR(AG5="ERR",AK5="ERR"),"ERR",SUM(AG5,AK5))</f>
        <v>0</v>
      </c>
      <c r="BY5" s="217">
        <f t="shared" ref="BY5:BY10" si="103">BI5</f>
        <v>0</v>
      </c>
      <c r="BZ5" s="217">
        <f t="shared" ref="BZ5:BZ10" si="104">IF(V5="Yes",IF(Z5="N/A",0,Z5),0)+IF(BL5,BN5,0)</f>
        <v>0</v>
      </c>
      <c r="CA5" s="217">
        <f t="shared" ref="CA5:CA10" si="105">IF(BO5,BQ5,0)</f>
        <v>0</v>
      </c>
      <c r="CB5" s="213" t="b">
        <f t="shared" ref="CB5:CB10" si="106">SUM(BV5:CA5)=H5</f>
        <v>1</v>
      </c>
    </row>
    <row r="6" spans="1:80" x14ac:dyDescent="0.25">
      <c r="A6" s="207">
        <v>3</v>
      </c>
      <c r="B6" s="208">
        <v>42523</v>
      </c>
      <c r="C6" s="209">
        <v>6</v>
      </c>
      <c r="D6" s="210">
        <v>4</v>
      </c>
      <c r="E6" s="211" t="str">
        <f t="shared" si="0"/>
        <v>Emergency department visit for evaluation and management of patient, which req 3 key components. Usually, presenting problem(s) are high severity, &amp; require urgent physician evaluation but do not pose</v>
      </c>
      <c r="F6" s="212" t="str">
        <f t="shared" si="1"/>
        <v>Emergency Department (Facility)</v>
      </c>
      <c r="G6" s="213" t="str">
        <f t="shared" si="2"/>
        <v>Not Covered</v>
      </c>
      <c r="H6" s="214">
        <f t="shared" si="46"/>
        <v>357.31</v>
      </c>
      <c r="I6" s="217">
        <f t="shared" si="47"/>
        <v>357.31</v>
      </c>
      <c r="J6" s="251">
        <f t="shared" si="48"/>
        <v>0</v>
      </c>
      <c r="K6" s="214" t="b">
        <f t="shared" si="49"/>
        <v>0</v>
      </c>
      <c r="L6" s="218" t="str">
        <f t="shared" si="50"/>
        <v>No</v>
      </c>
      <c r="M6" s="217" t="str">
        <f t="shared" si="51"/>
        <v>.</v>
      </c>
      <c r="N6" s="215" t="str">
        <f>IFERROR(IF(AND(L6="Yes",ISNUMBER(M6)),MAX(0,M6-SUMIFS(BU$3:BU5,L$3:L5,"Yes")),IF(OR(L6="No",M6="None"),"N/A","ERR")),"ERR")</f>
        <v>N/A</v>
      </c>
      <c r="O6" s="251" t="b">
        <f t="shared" si="52"/>
        <v>0</v>
      </c>
      <c r="P6" s="251" t="str">
        <f>IF(O6,BENEFIT_PARAMETERS!$C$76,"N/A")</f>
        <v>N/A</v>
      </c>
      <c r="Q6" s="288" t="str">
        <f>IF(P6="Yes", BENEFIT_PARAMETERS!$D$76,"N/A")</f>
        <v>N/A</v>
      </c>
      <c r="R6" s="253" t="str">
        <f t="shared" si="9"/>
        <v>N/A</v>
      </c>
      <c r="S6" s="217">
        <f t="shared" si="53"/>
        <v>0</v>
      </c>
      <c r="T6" s="215">
        <f t="shared" si="54"/>
        <v>0</v>
      </c>
      <c r="U6" s="214" t="b">
        <f t="shared" si="55"/>
        <v>0</v>
      </c>
      <c r="V6" s="251" t="str">
        <f>IF(O6,BENEFIT_PARAMETERS!$C$77,"N/A")</f>
        <v>N/A</v>
      </c>
      <c r="W6" s="288" t="str">
        <f>IF(V6="Yes", BENEFIT_PARAMETERS!$D$77,"N/A")</f>
        <v>N/A</v>
      </c>
      <c r="X6" s="253" t="str">
        <f>IF(O6,COUNTIF(Z$3:Z5,"&gt;0"),"N/A")</f>
        <v>N/A</v>
      </c>
      <c r="Y6" s="217" t="str">
        <f t="shared" si="56"/>
        <v>N/A</v>
      </c>
      <c r="Z6" s="293" t="str">
        <f t="shared" si="57"/>
        <v>N/A</v>
      </c>
      <c r="AA6" s="293">
        <f t="shared" si="58"/>
        <v>0</v>
      </c>
      <c r="AB6" s="293" t="str">
        <f t="shared" si="59"/>
        <v>N/A</v>
      </c>
      <c r="AC6" s="215">
        <f t="shared" si="60"/>
        <v>0</v>
      </c>
      <c r="AD6" s="214" t="b">
        <f t="shared" si="61"/>
        <v>0</v>
      </c>
      <c r="AE6" s="209" t="str">
        <f t="shared" si="62"/>
        <v>.</v>
      </c>
      <c r="AF6" s="216">
        <f t="shared" si="63"/>
        <v>0</v>
      </c>
      <c r="AG6" s="217" t="str">
        <f t="shared" si="64"/>
        <v>N/A</v>
      </c>
      <c r="AH6" s="217" t="b">
        <f t="shared" si="65"/>
        <v>0</v>
      </c>
      <c r="AI6" s="209" t="str">
        <f t="shared" si="66"/>
        <v>.</v>
      </c>
      <c r="AJ6" s="216">
        <f t="shared" si="67"/>
        <v>0</v>
      </c>
      <c r="AK6" s="217" t="str">
        <f t="shared" si="68"/>
        <v>N/A</v>
      </c>
      <c r="AL6" s="217">
        <f t="shared" si="69"/>
        <v>0</v>
      </c>
      <c r="AM6" s="215">
        <f t="shared" si="70"/>
        <v>0</v>
      </c>
      <c r="AN6" s="219" t="b">
        <f t="shared" si="71"/>
        <v>0</v>
      </c>
      <c r="AO6" s="217" t="str">
        <f t="shared" si="72"/>
        <v>N/A</v>
      </c>
      <c r="AP6" s="217" t="str">
        <f>IF(AND(ISNUMBER(AO6),AN6=TRUE),MAX(0,AO6-SUMIFS($AM$3:$AM5,AN$3:AN5,TRUE)),IF(AND(AN6=TRUE,ISNUMBER(AO6)=FALSE),"ERR","N/A"))</f>
        <v>N/A</v>
      </c>
      <c r="AQ6" s="215" t="str">
        <f t="shared" si="73"/>
        <v>N/A</v>
      </c>
      <c r="AR6" s="219" t="b">
        <f t="shared" si="74"/>
        <v>0</v>
      </c>
      <c r="AS6" s="217" t="str">
        <f t="shared" si="75"/>
        <v>N/A</v>
      </c>
      <c r="AT6" s="217" t="str">
        <f>IF(AND(AR6=TRUE,ISNUMBER(AS6)),MAX(0,AS6-SUMIFS($AM$3:$AM5,AR$3:AR5,TRUE)),IF(AND(AR6=TRUE,ISNUMBER(AS6)=FALSE),"ERR","N/A"))</f>
        <v>N/A</v>
      </c>
      <c r="AU6" s="215" t="str">
        <f t="shared" si="76"/>
        <v>N/A</v>
      </c>
      <c r="AV6" s="219" t="b">
        <f t="shared" si="77"/>
        <v>0</v>
      </c>
      <c r="AW6" s="217" t="str">
        <f t="shared" si="78"/>
        <v>N/A</v>
      </c>
      <c r="AX6" s="217" t="str">
        <f>IF(AND(AV6=TRUE,ISNUMBER(AW6)),MAX(0,AW6-SUMIFS($AM$3:$AM5,AV$3:AV5,TRUE)),IF(AND(AV6=TRUE,ISNUMBER(AW6)=FALSE),"ERR","N/A"))</f>
        <v>N/A</v>
      </c>
      <c r="AY6" s="215" t="str">
        <f t="shared" si="79"/>
        <v>N/A</v>
      </c>
      <c r="AZ6" s="219" t="b">
        <f t="shared" si="80"/>
        <v>0</v>
      </c>
      <c r="BA6" s="217" t="str">
        <f t="shared" si="81"/>
        <v>N/A</v>
      </c>
      <c r="BB6" s="217" t="str">
        <f>IF(AND(AZ6=TRUE,ISNUMBER(BA6)),MAX(0,BA6-SUMIFS($AM$3:$AM5,AZ$3:AZ5,TRUE)),IF(AND(AZ6=TRUE,ISNUMBER(BA6)=FALSE),"ERR","N/A"))</f>
        <v>N/A</v>
      </c>
      <c r="BC6" s="215" t="str">
        <f t="shared" si="82"/>
        <v>N/A</v>
      </c>
      <c r="BD6" s="219" t="b">
        <f t="shared" si="83"/>
        <v>0</v>
      </c>
      <c r="BE6" s="217" t="str">
        <f t="shared" si="84"/>
        <v>N/A</v>
      </c>
      <c r="BF6" s="217" t="str">
        <f>IF(AND(BD6=TRUE,ISNUMBER(BE6)=TRUE),MAX(0,BE6-SUMIFS(AM$3:AM5,BD$3:BD5,TRUE,F$3:F5,F6)),IF(AND(BD6=TRUE,ISNUMBER(BE6)=FALSE),"ERR","N/A"))</f>
        <v>N/A</v>
      </c>
      <c r="BG6" s="215" t="str">
        <f t="shared" si="85"/>
        <v>N/A</v>
      </c>
      <c r="BH6" s="214">
        <f t="shared" si="86"/>
        <v>0</v>
      </c>
      <c r="BI6" s="215">
        <f t="shared" si="87"/>
        <v>0</v>
      </c>
      <c r="BJ6" s="214" t="str">
        <f t="shared" si="88"/>
        <v>N/A</v>
      </c>
      <c r="BK6" s="217">
        <f t="shared" si="89"/>
        <v>0</v>
      </c>
      <c r="BL6" s="220" t="b">
        <f t="shared" si="90"/>
        <v>0</v>
      </c>
      <c r="BM6" s="217" t="str">
        <f t="shared" si="91"/>
        <v>N/A</v>
      </c>
      <c r="BN6" s="217" t="str">
        <f t="shared" si="92"/>
        <v>N/A</v>
      </c>
      <c r="BO6" s="220" t="b">
        <f t="shared" si="93"/>
        <v>0</v>
      </c>
      <c r="BP6" s="244" t="str">
        <f t="shared" si="94"/>
        <v>N/A</v>
      </c>
      <c r="BQ6" s="217" t="str">
        <f t="shared" si="95"/>
        <v>N/A</v>
      </c>
      <c r="BR6" s="215">
        <f t="shared" si="96"/>
        <v>0</v>
      </c>
      <c r="BS6" s="214" t="str">
        <f t="shared" si="97"/>
        <v>N/A</v>
      </c>
      <c r="BT6" s="217">
        <f t="shared" si="98"/>
        <v>0</v>
      </c>
      <c r="BU6" s="215">
        <f t="shared" si="99"/>
        <v>0</v>
      </c>
      <c r="BV6" s="214">
        <f t="shared" si="100"/>
        <v>0</v>
      </c>
      <c r="BW6" s="217">
        <f t="shared" si="101"/>
        <v>357.31</v>
      </c>
      <c r="BX6" s="217">
        <f t="shared" si="102"/>
        <v>0</v>
      </c>
      <c r="BY6" s="217">
        <f t="shared" si="103"/>
        <v>0</v>
      </c>
      <c r="BZ6" s="217">
        <f t="shared" si="104"/>
        <v>0</v>
      </c>
      <c r="CA6" s="217">
        <f t="shared" si="105"/>
        <v>0</v>
      </c>
      <c r="CB6" s="213" t="b">
        <f t="shared" si="106"/>
        <v>1</v>
      </c>
    </row>
    <row r="7" spans="1:80" x14ac:dyDescent="0.25">
      <c r="A7" s="207">
        <v>4</v>
      </c>
      <c r="B7" s="208">
        <v>42523</v>
      </c>
      <c r="C7" s="209">
        <v>6</v>
      </c>
      <c r="D7" s="210">
        <v>5</v>
      </c>
      <c r="E7" s="211" t="str">
        <f t="shared" si="0"/>
        <v>Radiologic examination, foot; complete, minimum of 3 views</v>
      </c>
      <c r="F7" s="212" t="str">
        <f t="shared" si="1"/>
        <v>Professional Services: Emergency Department</v>
      </c>
      <c r="G7" s="213" t="str">
        <f t="shared" si="2"/>
        <v>Not Covered</v>
      </c>
      <c r="H7" s="214">
        <f t="shared" si="46"/>
        <v>49.72</v>
      </c>
      <c r="I7" s="217">
        <f t="shared" si="47"/>
        <v>49.72</v>
      </c>
      <c r="J7" s="251">
        <f t="shared" si="48"/>
        <v>0</v>
      </c>
      <c r="K7" s="214" t="b">
        <f t="shared" si="49"/>
        <v>0</v>
      </c>
      <c r="L7" s="218" t="str">
        <f t="shared" si="50"/>
        <v>No</v>
      </c>
      <c r="M7" s="217" t="str">
        <f t="shared" si="51"/>
        <v>.</v>
      </c>
      <c r="N7" s="215" t="str">
        <f>IFERROR(IF(AND(L7="Yes",ISNUMBER(M7)),MAX(0,M7-SUMIFS(BU$3:BU6,L$3:L6,"Yes")),IF(OR(L7="No",M7="None"),"N/A","ERR")),"ERR")</f>
        <v>N/A</v>
      </c>
      <c r="O7" s="251" t="b">
        <f t="shared" si="52"/>
        <v>0</v>
      </c>
      <c r="P7" s="251" t="str">
        <f>IF(O7,BENEFIT_PARAMETERS!$C$76,"N/A")</f>
        <v>N/A</v>
      </c>
      <c r="Q7" s="288" t="str">
        <f>IF(P7="Yes", BENEFIT_PARAMETERS!$D$76,"N/A")</f>
        <v>N/A</v>
      </c>
      <c r="R7" s="253" t="str">
        <f t="shared" si="9"/>
        <v>N/A</v>
      </c>
      <c r="S7" s="217">
        <f t="shared" si="53"/>
        <v>0</v>
      </c>
      <c r="T7" s="215">
        <f t="shared" si="54"/>
        <v>0</v>
      </c>
      <c r="U7" s="214" t="b">
        <f t="shared" si="55"/>
        <v>0</v>
      </c>
      <c r="V7" s="251" t="str">
        <f>IF(O7,BENEFIT_PARAMETERS!$C$77,"N/A")</f>
        <v>N/A</v>
      </c>
      <c r="W7" s="288" t="str">
        <f>IF(V7="Yes", BENEFIT_PARAMETERS!$D$77,"N/A")</f>
        <v>N/A</v>
      </c>
      <c r="X7" s="253" t="str">
        <f>IF(O7,COUNTIF(Z$3:Z6,"&gt;0"),"N/A")</f>
        <v>N/A</v>
      </c>
      <c r="Y7" s="217" t="str">
        <f t="shared" si="56"/>
        <v>N/A</v>
      </c>
      <c r="Z7" s="293" t="str">
        <f t="shared" si="57"/>
        <v>N/A</v>
      </c>
      <c r="AA7" s="293">
        <f t="shared" si="58"/>
        <v>0</v>
      </c>
      <c r="AB7" s="293" t="str">
        <f t="shared" si="59"/>
        <v>N/A</v>
      </c>
      <c r="AC7" s="215">
        <f t="shared" si="60"/>
        <v>0</v>
      </c>
      <c r="AD7" s="214" t="b">
        <f t="shared" si="61"/>
        <v>0</v>
      </c>
      <c r="AE7" s="209" t="str">
        <f t="shared" si="62"/>
        <v>.</v>
      </c>
      <c r="AF7" s="216">
        <f t="shared" si="63"/>
        <v>0</v>
      </c>
      <c r="AG7" s="217" t="str">
        <f t="shared" si="64"/>
        <v>N/A</v>
      </c>
      <c r="AH7" s="217" t="b">
        <f t="shared" si="65"/>
        <v>0</v>
      </c>
      <c r="AI7" s="209" t="str">
        <f t="shared" si="66"/>
        <v>.</v>
      </c>
      <c r="AJ7" s="216">
        <f t="shared" si="67"/>
        <v>0</v>
      </c>
      <c r="AK7" s="217" t="str">
        <f t="shared" si="68"/>
        <v>N/A</v>
      </c>
      <c r="AL7" s="217">
        <f t="shared" si="69"/>
        <v>0</v>
      </c>
      <c r="AM7" s="215">
        <f t="shared" si="70"/>
        <v>0</v>
      </c>
      <c r="AN7" s="219" t="b">
        <f t="shared" si="71"/>
        <v>0</v>
      </c>
      <c r="AO7" s="217" t="str">
        <f t="shared" si="72"/>
        <v>N/A</v>
      </c>
      <c r="AP7" s="217" t="str">
        <f>IF(AND(ISNUMBER(AO7),AN7=TRUE),MAX(0,AO7-SUMIFS($AM$3:$AM6,AN$3:AN6,TRUE)),IF(AND(AN7=TRUE,ISNUMBER(AO7)=FALSE),"ERR","N/A"))</f>
        <v>N/A</v>
      </c>
      <c r="AQ7" s="215" t="str">
        <f t="shared" si="73"/>
        <v>N/A</v>
      </c>
      <c r="AR7" s="219" t="b">
        <f t="shared" si="74"/>
        <v>0</v>
      </c>
      <c r="AS7" s="217" t="str">
        <f t="shared" si="75"/>
        <v>N/A</v>
      </c>
      <c r="AT7" s="217" t="str">
        <f>IF(AND(AR7=TRUE,ISNUMBER(AS7)),MAX(0,AS7-SUMIFS($AM$3:$AM6,AR$3:AR6,TRUE)),IF(AND(AR7=TRUE,ISNUMBER(AS7)=FALSE),"ERR","N/A"))</f>
        <v>N/A</v>
      </c>
      <c r="AU7" s="215" t="str">
        <f t="shared" si="76"/>
        <v>N/A</v>
      </c>
      <c r="AV7" s="219" t="b">
        <f t="shared" si="77"/>
        <v>0</v>
      </c>
      <c r="AW7" s="217" t="str">
        <f t="shared" si="78"/>
        <v>N/A</v>
      </c>
      <c r="AX7" s="217" t="str">
        <f>IF(AND(AV7=TRUE,ISNUMBER(AW7)),MAX(0,AW7-SUMIFS($AM$3:$AM6,AV$3:AV6,TRUE)),IF(AND(AV7=TRUE,ISNUMBER(AW7)=FALSE),"ERR","N/A"))</f>
        <v>N/A</v>
      </c>
      <c r="AY7" s="215" t="str">
        <f t="shared" si="79"/>
        <v>N/A</v>
      </c>
      <c r="AZ7" s="219" t="b">
        <f t="shared" si="80"/>
        <v>0</v>
      </c>
      <c r="BA7" s="217" t="str">
        <f t="shared" si="81"/>
        <v>N/A</v>
      </c>
      <c r="BB7" s="217" t="str">
        <f>IF(AND(AZ7=TRUE,ISNUMBER(BA7)),MAX(0,BA7-SUMIFS($AM$3:$AM6,AZ$3:AZ6,TRUE)),IF(AND(AZ7=TRUE,ISNUMBER(BA7)=FALSE),"ERR","N/A"))</f>
        <v>N/A</v>
      </c>
      <c r="BC7" s="215" t="str">
        <f t="shared" si="82"/>
        <v>N/A</v>
      </c>
      <c r="BD7" s="219" t="b">
        <f t="shared" si="83"/>
        <v>0</v>
      </c>
      <c r="BE7" s="217" t="str">
        <f t="shared" si="84"/>
        <v>N/A</v>
      </c>
      <c r="BF7" s="217" t="str">
        <f>IF(AND(BD7=TRUE,ISNUMBER(BE7)=TRUE),MAX(0,BE7-SUMIFS(AM$3:AM6,BD$3:BD6,TRUE,F$3:F6,F7)),IF(AND(BD7=TRUE,ISNUMBER(BE7)=FALSE),"ERR","N/A"))</f>
        <v>N/A</v>
      </c>
      <c r="BG7" s="215" t="str">
        <f t="shared" si="85"/>
        <v>N/A</v>
      </c>
      <c r="BH7" s="214">
        <f t="shared" si="86"/>
        <v>0</v>
      </c>
      <c r="BI7" s="215">
        <f t="shared" si="87"/>
        <v>0</v>
      </c>
      <c r="BJ7" s="214" t="str">
        <f t="shared" si="88"/>
        <v>N/A</v>
      </c>
      <c r="BK7" s="217">
        <f t="shared" si="89"/>
        <v>0</v>
      </c>
      <c r="BL7" s="220" t="b">
        <f t="shared" si="90"/>
        <v>0</v>
      </c>
      <c r="BM7" s="217" t="str">
        <f t="shared" si="91"/>
        <v>N/A</v>
      </c>
      <c r="BN7" s="217" t="str">
        <f t="shared" si="92"/>
        <v>N/A</v>
      </c>
      <c r="BO7" s="220" t="b">
        <f t="shared" si="93"/>
        <v>0</v>
      </c>
      <c r="BP7" s="244" t="str">
        <f t="shared" si="94"/>
        <v>N/A</v>
      </c>
      <c r="BQ7" s="217" t="str">
        <f t="shared" si="95"/>
        <v>N/A</v>
      </c>
      <c r="BR7" s="215">
        <f t="shared" si="96"/>
        <v>0</v>
      </c>
      <c r="BS7" s="214" t="str">
        <f t="shared" si="97"/>
        <v>N/A</v>
      </c>
      <c r="BT7" s="217">
        <f t="shared" si="98"/>
        <v>0</v>
      </c>
      <c r="BU7" s="215">
        <f t="shared" si="99"/>
        <v>0</v>
      </c>
      <c r="BV7" s="214">
        <f t="shared" si="100"/>
        <v>0</v>
      </c>
      <c r="BW7" s="217">
        <f t="shared" si="101"/>
        <v>49.72</v>
      </c>
      <c r="BX7" s="217">
        <f t="shared" si="102"/>
        <v>0</v>
      </c>
      <c r="BY7" s="217">
        <f t="shared" si="103"/>
        <v>0</v>
      </c>
      <c r="BZ7" s="217">
        <f t="shared" si="104"/>
        <v>0</v>
      </c>
      <c r="CA7" s="217">
        <f t="shared" si="105"/>
        <v>0</v>
      </c>
      <c r="CB7" s="213" t="b">
        <f t="shared" si="106"/>
        <v>1</v>
      </c>
    </row>
    <row r="8" spans="1:80" x14ac:dyDescent="0.25">
      <c r="A8" s="207">
        <v>5</v>
      </c>
      <c r="B8" s="208">
        <v>42523</v>
      </c>
      <c r="C8" s="209">
        <v>6</v>
      </c>
      <c r="D8" s="210">
        <v>6</v>
      </c>
      <c r="E8" s="211" t="str">
        <f t="shared" si="0"/>
        <v>Closed treatment of metatarsal fracture; without manipulation, each</v>
      </c>
      <c r="F8" s="212" t="str">
        <f t="shared" si="1"/>
        <v>Professional Services: Emergency Department</v>
      </c>
      <c r="G8" s="213" t="str">
        <f t="shared" si="2"/>
        <v>Not Covered</v>
      </c>
      <c r="H8" s="214">
        <f t="shared" si="46"/>
        <v>335.16</v>
      </c>
      <c r="I8" s="217">
        <f t="shared" si="47"/>
        <v>335.16</v>
      </c>
      <c r="J8" s="251">
        <f t="shared" si="48"/>
        <v>0</v>
      </c>
      <c r="K8" s="214" t="b">
        <f t="shared" si="49"/>
        <v>0</v>
      </c>
      <c r="L8" s="218" t="str">
        <f t="shared" si="50"/>
        <v>No</v>
      </c>
      <c r="M8" s="217" t="str">
        <f t="shared" si="51"/>
        <v>.</v>
      </c>
      <c r="N8" s="215" t="str">
        <f>IFERROR(IF(AND(L8="Yes",ISNUMBER(M8)),MAX(0,M8-SUMIFS(BU$3:BU7,L$3:L7,"Yes")),IF(OR(L8="No",M8="None"),"N/A","ERR")),"ERR")</f>
        <v>N/A</v>
      </c>
      <c r="O8" s="251" t="b">
        <f t="shared" si="52"/>
        <v>0</v>
      </c>
      <c r="P8" s="251" t="str">
        <f>IF(O8,BENEFIT_PARAMETERS!$C$76,"N/A")</f>
        <v>N/A</v>
      </c>
      <c r="Q8" s="288" t="str">
        <f>IF(P8="Yes", BENEFIT_PARAMETERS!$D$76,"N/A")</f>
        <v>N/A</v>
      </c>
      <c r="R8" s="253" t="str">
        <f t="shared" si="9"/>
        <v>N/A</v>
      </c>
      <c r="S8" s="217">
        <f t="shared" si="53"/>
        <v>0</v>
      </c>
      <c r="T8" s="215">
        <f t="shared" si="54"/>
        <v>0</v>
      </c>
      <c r="U8" s="214" t="b">
        <f t="shared" si="55"/>
        <v>0</v>
      </c>
      <c r="V8" s="251" t="str">
        <f>IF(O8,BENEFIT_PARAMETERS!$C$77,"N/A")</f>
        <v>N/A</v>
      </c>
      <c r="W8" s="288" t="str">
        <f>IF(V8="Yes", BENEFIT_PARAMETERS!$D$77,"N/A")</f>
        <v>N/A</v>
      </c>
      <c r="X8" s="253" t="str">
        <f>IF(O8,COUNTIF(Z$3:Z7,"&gt;0"),"N/A")</f>
        <v>N/A</v>
      </c>
      <c r="Y8" s="217" t="str">
        <f t="shared" si="56"/>
        <v>N/A</v>
      </c>
      <c r="Z8" s="293" t="str">
        <f t="shared" si="57"/>
        <v>N/A</v>
      </c>
      <c r="AA8" s="293">
        <f t="shared" si="58"/>
        <v>0</v>
      </c>
      <c r="AB8" s="293" t="str">
        <f t="shared" si="59"/>
        <v>N/A</v>
      </c>
      <c r="AC8" s="215">
        <f t="shared" si="60"/>
        <v>0</v>
      </c>
      <c r="AD8" s="214" t="b">
        <f t="shared" si="61"/>
        <v>0</v>
      </c>
      <c r="AE8" s="209" t="str">
        <f t="shared" si="62"/>
        <v>.</v>
      </c>
      <c r="AF8" s="216">
        <f t="shared" si="63"/>
        <v>0</v>
      </c>
      <c r="AG8" s="217" t="str">
        <f t="shared" si="64"/>
        <v>N/A</v>
      </c>
      <c r="AH8" s="217" t="b">
        <f t="shared" si="65"/>
        <v>0</v>
      </c>
      <c r="AI8" s="209" t="str">
        <f t="shared" si="66"/>
        <v>.</v>
      </c>
      <c r="AJ8" s="216">
        <f t="shared" si="67"/>
        <v>0</v>
      </c>
      <c r="AK8" s="217" t="str">
        <f t="shared" si="68"/>
        <v>N/A</v>
      </c>
      <c r="AL8" s="217">
        <f t="shared" si="69"/>
        <v>0</v>
      </c>
      <c r="AM8" s="215">
        <f t="shared" si="70"/>
        <v>0</v>
      </c>
      <c r="AN8" s="219" t="b">
        <f t="shared" si="71"/>
        <v>0</v>
      </c>
      <c r="AO8" s="217" t="str">
        <f t="shared" si="72"/>
        <v>N/A</v>
      </c>
      <c r="AP8" s="217" t="str">
        <f>IF(AND(ISNUMBER(AO8),AN8=TRUE),MAX(0,AO8-SUMIFS($AM$3:$AM7,AN$3:AN7,TRUE)),IF(AND(AN8=TRUE,ISNUMBER(AO8)=FALSE),"ERR","N/A"))</f>
        <v>N/A</v>
      </c>
      <c r="AQ8" s="215" t="str">
        <f t="shared" si="73"/>
        <v>N/A</v>
      </c>
      <c r="AR8" s="219" t="b">
        <f t="shared" si="74"/>
        <v>0</v>
      </c>
      <c r="AS8" s="217" t="str">
        <f t="shared" si="75"/>
        <v>N/A</v>
      </c>
      <c r="AT8" s="217" t="str">
        <f>IF(AND(AR8=TRUE,ISNUMBER(AS8)),MAX(0,AS8-SUMIFS($AM$3:$AM7,AR$3:AR7,TRUE)),IF(AND(AR8=TRUE,ISNUMBER(AS8)=FALSE),"ERR","N/A"))</f>
        <v>N/A</v>
      </c>
      <c r="AU8" s="215" t="str">
        <f t="shared" si="76"/>
        <v>N/A</v>
      </c>
      <c r="AV8" s="219" t="b">
        <f t="shared" si="77"/>
        <v>0</v>
      </c>
      <c r="AW8" s="217" t="str">
        <f t="shared" si="78"/>
        <v>N/A</v>
      </c>
      <c r="AX8" s="217" t="str">
        <f>IF(AND(AV8=TRUE,ISNUMBER(AW8)),MAX(0,AW8-SUMIFS($AM$3:$AM7,AV$3:AV7,TRUE)),IF(AND(AV8=TRUE,ISNUMBER(AW8)=FALSE),"ERR","N/A"))</f>
        <v>N/A</v>
      </c>
      <c r="AY8" s="215" t="str">
        <f t="shared" si="79"/>
        <v>N/A</v>
      </c>
      <c r="AZ8" s="219" t="b">
        <f t="shared" si="80"/>
        <v>0</v>
      </c>
      <c r="BA8" s="217" t="str">
        <f t="shared" si="81"/>
        <v>N/A</v>
      </c>
      <c r="BB8" s="217" t="str">
        <f>IF(AND(AZ8=TRUE,ISNUMBER(BA8)),MAX(0,BA8-SUMIFS($AM$3:$AM7,AZ$3:AZ7,TRUE)),IF(AND(AZ8=TRUE,ISNUMBER(BA8)=FALSE),"ERR","N/A"))</f>
        <v>N/A</v>
      </c>
      <c r="BC8" s="215" t="str">
        <f t="shared" si="82"/>
        <v>N/A</v>
      </c>
      <c r="BD8" s="219" t="b">
        <f t="shared" si="83"/>
        <v>0</v>
      </c>
      <c r="BE8" s="217" t="str">
        <f t="shared" si="84"/>
        <v>N/A</v>
      </c>
      <c r="BF8" s="217" t="str">
        <f>IF(AND(BD8=TRUE,ISNUMBER(BE8)=TRUE),MAX(0,BE8-SUMIFS(AM$3:AM7,BD$3:BD7,TRUE,F$3:F7,F8)),IF(AND(BD8=TRUE,ISNUMBER(BE8)=FALSE),"ERR","N/A"))</f>
        <v>N/A</v>
      </c>
      <c r="BG8" s="215" t="str">
        <f t="shared" si="85"/>
        <v>N/A</v>
      </c>
      <c r="BH8" s="214">
        <f t="shared" si="86"/>
        <v>0</v>
      </c>
      <c r="BI8" s="215">
        <f t="shared" si="87"/>
        <v>0</v>
      </c>
      <c r="BJ8" s="214" t="str">
        <f t="shared" si="88"/>
        <v>N/A</v>
      </c>
      <c r="BK8" s="217">
        <f t="shared" si="89"/>
        <v>0</v>
      </c>
      <c r="BL8" s="220" t="b">
        <f t="shared" si="90"/>
        <v>0</v>
      </c>
      <c r="BM8" s="217" t="str">
        <f t="shared" si="91"/>
        <v>N/A</v>
      </c>
      <c r="BN8" s="217" t="str">
        <f t="shared" si="92"/>
        <v>N/A</v>
      </c>
      <c r="BO8" s="220" t="b">
        <f t="shared" si="93"/>
        <v>0</v>
      </c>
      <c r="BP8" s="244" t="str">
        <f t="shared" si="94"/>
        <v>N/A</v>
      </c>
      <c r="BQ8" s="217" t="str">
        <f t="shared" si="95"/>
        <v>N/A</v>
      </c>
      <c r="BR8" s="215">
        <f t="shared" si="96"/>
        <v>0</v>
      </c>
      <c r="BS8" s="214" t="str">
        <f t="shared" si="97"/>
        <v>N/A</v>
      </c>
      <c r="BT8" s="217">
        <f t="shared" si="98"/>
        <v>0</v>
      </c>
      <c r="BU8" s="215">
        <f t="shared" si="99"/>
        <v>0</v>
      </c>
      <c r="BV8" s="214">
        <f t="shared" si="100"/>
        <v>0</v>
      </c>
      <c r="BW8" s="217">
        <f t="shared" si="101"/>
        <v>335.16</v>
      </c>
      <c r="BX8" s="217">
        <f t="shared" si="102"/>
        <v>0</v>
      </c>
      <c r="BY8" s="217">
        <f t="shared" si="103"/>
        <v>0</v>
      </c>
      <c r="BZ8" s="217">
        <f t="shared" si="104"/>
        <v>0</v>
      </c>
      <c r="CA8" s="217">
        <f t="shared" si="105"/>
        <v>0</v>
      </c>
      <c r="CB8" s="213" t="b">
        <f t="shared" si="106"/>
        <v>1</v>
      </c>
    </row>
    <row r="9" spans="1:80" x14ac:dyDescent="0.25">
      <c r="A9" s="207">
        <v>6</v>
      </c>
      <c r="B9" s="208">
        <v>42523</v>
      </c>
      <c r="C9" s="209">
        <v>6</v>
      </c>
      <c r="D9" s="210">
        <v>19</v>
      </c>
      <c r="E9" s="211" t="str">
        <f t="shared" si="0"/>
        <v>Walking boot, pneumatic and/or vacuum, with or without joints, with or without interface material, prefabricated, off-the-shelf</v>
      </c>
      <c r="F9" s="212" t="str">
        <f t="shared" si="1"/>
        <v>Durable Medical Equipment</v>
      </c>
      <c r="G9" s="213" t="str">
        <f t="shared" si="2"/>
        <v>Not Covered</v>
      </c>
      <c r="H9" s="214">
        <f t="shared" si="46"/>
        <v>211.56</v>
      </c>
      <c r="I9" s="217">
        <f t="shared" si="47"/>
        <v>211.56</v>
      </c>
      <c r="J9" s="251">
        <f t="shared" si="48"/>
        <v>0</v>
      </c>
      <c r="K9" s="214" t="b">
        <f t="shared" si="49"/>
        <v>0</v>
      </c>
      <c r="L9" s="218" t="str">
        <f t="shared" si="50"/>
        <v>No</v>
      </c>
      <c r="M9" s="217" t="str">
        <f t="shared" si="51"/>
        <v>.</v>
      </c>
      <c r="N9" s="215" t="str">
        <f>IFERROR(IF(AND(L9="Yes",ISNUMBER(M9)),MAX(0,M9-SUMIFS(BU$3:BU8,L$3:L8,"Yes")),IF(OR(L9="No",M9="None"),"N/A","ERR")),"ERR")</f>
        <v>N/A</v>
      </c>
      <c r="O9" s="251" t="b">
        <f t="shared" si="52"/>
        <v>0</v>
      </c>
      <c r="P9" s="251" t="str">
        <f>IF(O9,BENEFIT_PARAMETERS!$C$76,"N/A")</f>
        <v>N/A</v>
      </c>
      <c r="Q9" s="288" t="str">
        <f>IF(P9="Yes", BENEFIT_PARAMETERS!$D$76,"N/A")</f>
        <v>N/A</v>
      </c>
      <c r="R9" s="253" t="str">
        <f t="shared" si="9"/>
        <v>N/A</v>
      </c>
      <c r="S9" s="217">
        <f t="shared" si="53"/>
        <v>0</v>
      </c>
      <c r="T9" s="215">
        <f t="shared" si="54"/>
        <v>0</v>
      </c>
      <c r="U9" s="214" t="b">
        <f t="shared" si="55"/>
        <v>0</v>
      </c>
      <c r="V9" s="251" t="str">
        <f>IF(O9,BENEFIT_PARAMETERS!$C$77,"N/A")</f>
        <v>N/A</v>
      </c>
      <c r="W9" s="288" t="str">
        <f>IF(V9="Yes", BENEFIT_PARAMETERS!$D$77,"N/A")</f>
        <v>N/A</v>
      </c>
      <c r="X9" s="253" t="str">
        <f>IF(O9,COUNTIF(Z$3:Z8,"&gt;0"),"N/A")</f>
        <v>N/A</v>
      </c>
      <c r="Y9" s="217" t="str">
        <f t="shared" si="56"/>
        <v>N/A</v>
      </c>
      <c r="Z9" s="293" t="str">
        <f t="shared" si="57"/>
        <v>N/A</v>
      </c>
      <c r="AA9" s="293">
        <f t="shared" si="58"/>
        <v>0</v>
      </c>
      <c r="AB9" s="293" t="str">
        <f t="shared" si="59"/>
        <v>N/A</v>
      </c>
      <c r="AC9" s="215">
        <f t="shared" si="60"/>
        <v>0</v>
      </c>
      <c r="AD9" s="214" t="b">
        <f t="shared" si="61"/>
        <v>0</v>
      </c>
      <c r="AE9" s="209" t="str">
        <f t="shared" si="62"/>
        <v>.</v>
      </c>
      <c r="AF9" s="216">
        <f t="shared" si="63"/>
        <v>0</v>
      </c>
      <c r="AG9" s="217" t="str">
        <f t="shared" si="64"/>
        <v>N/A</v>
      </c>
      <c r="AH9" s="217" t="b">
        <f t="shared" si="65"/>
        <v>0</v>
      </c>
      <c r="AI9" s="209" t="str">
        <f t="shared" si="66"/>
        <v>.</v>
      </c>
      <c r="AJ9" s="216">
        <f t="shared" si="67"/>
        <v>0</v>
      </c>
      <c r="AK9" s="217" t="str">
        <f t="shared" si="68"/>
        <v>N/A</v>
      </c>
      <c r="AL9" s="217">
        <f t="shared" si="69"/>
        <v>0</v>
      </c>
      <c r="AM9" s="215">
        <f t="shared" si="70"/>
        <v>0</v>
      </c>
      <c r="AN9" s="219" t="b">
        <f t="shared" si="71"/>
        <v>0</v>
      </c>
      <c r="AO9" s="217" t="str">
        <f t="shared" si="72"/>
        <v>N/A</v>
      </c>
      <c r="AP9" s="217" t="str">
        <f>IF(AND(ISNUMBER(AO9),AN9=TRUE),MAX(0,AO9-SUMIFS($AM$3:$AM8,AN$3:AN8,TRUE)),IF(AND(AN9=TRUE,ISNUMBER(AO9)=FALSE),"ERR","N/A"))</f>
        <v>N/A</v>
      </c>
      <c r="AQ9" s="215" t="str">
        <f t="shared" si="73"/>
        <v>N/A</v>
      </c>
      <c r="AR9" s="219" t="b">
        <f t="shared" si="74"/>
        <v>0</v>
      </c>
      <c r="AS9" s="217" t="str">
        <f t="shared" si="75"/>
        <v>N/A</v>
      </c>
      <c r="AT9" s="217" t="str">
        <f>IF(AND(AR9=TRUE,ISNUMBER(AS9)),MAX(0,AS9-SUMIFS($AM$3:$AM8,AR$3:AR8,TRUE)),IF(AND(AR9=TRUE,ISNUMBER(AS9)=FALSE),"ERR","N/A"))</f>
        <v>N/A</v>
      </c>
      <c r="AU9" s="215" t="str">
        <f t="shared" si="76"/>
        <v>N/A</v>
      </c>
      <c r="AV9" s="219" t="b">
        <f t="shared" si="77"/>
        <v>0</v>
      </c>
      <c r="AW9" s="217" t="str">
        <f t="shared" si="78"/>
        <v>N/A</v>
      </c>
      <c r="AX9" s="217" t="str">
        <f>IF(AND(AV9=TRUE,ISNUMBER(AW9)),MAX(0,AW9-SUMIFS($AM$3:$AM8,AV$3:AV8,TRUE)),IF(AND(AV9=TRUE,ISNUMBER(AW9)=FALSE),"ERR","N/A"))</f>
        <v>N/A</v>
      </c>
      <c r="AY9" s="215" t="str">
        <f t="shared" si="79"/>
        <v>N/A</v>
      </c>
      <c r="AZ9" s="219" t="b">
        <f t="shared" si="80"/>
        <v>0</v>
      </c>
      <c r="BA9" s="217" t="str">
        <f t="shared" si="81"/>
        <v>N/A</v>
      </c>
      <c r="BB9" s="217" t="str">
        <f>IF(AND(AZ9=TRUE,ISNUMBER(BA9)),MAX(0,BA9-SUMIFS($AM$3:$AM8,AZ$3:AZ8,TRUE)),IF(AND(AZ9=TRUE,ISNUMBER(BA9)=FALSE),"ERR","N/A"))</f>
        <v>N/A</v>
      </c>
      <c r="BC9" s="215" t="str">
        <f t="shared" si="82"/>
        <v>N/A</v>
      </c>
      <c r="BD9" s="219" t="b">
        <f t="shared" si="83"/>
        <v>0</v>
      </c>
      <c r="BE9" s="217" t="str">
        <f t="shared" si="84"/>
        <v>N/A</v>
      </c>
      <c r="BF9" s="217" t="str">
        <f>IF(AND(BD9=TRUE,ISNUMBER(BE9)=TRUE),MAX(0,BE9-SUMIFS(AM$3:AM8,BD$3:BD8,TRUE,F$3:F8,F9)),IF(AND(BD9=TRUE,ISNUMBER(BE9)=FALSE),"ERR","N/A"))</f>
        <v>N/A</v>
      </c>
      <c r="BG9" s="215" t="str">
        <f t="shared" si="85"/>
        <v>N/A</v>
      </c>
      <c r="BH9" s="214">
        <f t="shared" si="86"/>
        <v>0</v>
      </c>
      <c r="BI9" s="215">
        <f t="shared" si="87"/>
        <v>0</v>
      </c>
      <c r="BJ9" s="214" t="str">
        <f t="shared" si="88"/>
        <v>N/A</v>
      </c>
      <c r="BK9" s="217">
        <f t="shared" si="89"/>
        <v>0</v>
      </c>
      <c r="BL9" s="220" t="b">
        <f t="shared" si="90"/>
        <v>0</v>
      </c>
      <c r="BM9" s="217" t="str">
        <f t="shared" si="91"/>
        <v>N/A</v>
      </c>
      <c r="BN9" s="217" t="str">
        <f t="shared" si="92"/>
        <v>N/A</v>
      </c>
      <c r="BO9" s="220" t="b">
        <f t="shared" si="93"/>
        <v>0</v>
      </c>
      <c r="BP9" s="244" t="str">
        <f t="shared" si="94"/>
        <v>N/A</v>
      </c>
      <c r="BQ9" s="217" t="str">
        <f t="shared" si="95"/>
        <v>N/A</v>
      </c>
      <c r="BR9" s="215">
        <f t="shared" si="96"/>
        <v>0</v>
      </c>
      <c r="BS9" s="214" t="str">
        <f t="shared" si="97"/>
        <v>N/A</v>
      </c>
      <c r="BT9" s="217">
        <f t="shared" si="98"/>
        <v>0</v>
      </c>
      <c r="BU9" s="215">
        <f t="shared" si="99"/>
        <v>0</v>
      </c>
      <c r="BV9" s="214">
        <f t="shared" si="100"/>
        <v>0</v>
      </c>
      <c r="BW9" s="217">
        <f t="shared" si="101"/>
        <v>211.56</v>
      </c>
      <c r="BX9" s="217">
        <f t="shared" si="102"/>
        <v>0</v>
      </c>
      <c r="BY9" s="217">
        <f t="shared" si="103"/>
        <v>0</v>
      </c>
      <c r="BZ9" s="217">
        <f t="shared" si="104"/>
        <v>0</v>
      </c>
      <c r="CA9" s="217">
        <f t="shared" si="105"/>
        <v>0</v>
      </c>
      <c r="CB9" s="213" t="b">
        <f t="shared" si="106"/>
        <v>1</v>
      </c>
    </row>
    <row r="10" spans="1:80" x14ac:dyDescent="0.25">
      <c r="A10" s="207">
        <v>7</v>
      </c>
      <c r="B10" s="208">
        <v>42523</v>
      </c>
      <c r="C10" s="209">
        <v>6</v>
      </c>
      <c r="D10" s="210">
        <v>9</v>
      </c>
      <c r="E10" s="211" t="str">
        <f t="shared" si="0"/>
        <v>Crutches, underarm, other than wood, adjustable or fixed, pair, with pads, tips, and handgrips</v>
      </c>
      <c r="F10" s="212" t="str">
        <f t="shared" si="1"/>
        <v>Durable Medical Equipment</v>
      </c>
      <c r="G10" s="213" t="str">
        <f t="shared" si="2"/>
        <v>Not Covered</v>
      </c>
      <c r="H10" s="214">
        <f t="shared" si="46"/>
        <v>35.97</v>
      </c>
      <c r="I10" s="217">
        <f t="shared" si="47"/>
        <v>35.97</v>
      </c>
      <c r="J10" s="251">
        <f t="shared" si="48"/>
        <v>0</v>
      </c>
      <c r="K10" s="214" t="b">
        <f t="shared" si="49"/>
        <v>0</v>
      </c>
      <c r="L10" s="218" t="str">
        <f t="shared" si="50"/>
        <v>No</v>
      </c>
      <c r="M10" s="217" t="str">
        <f t="shared" si="51"/>
        <v>.</v>
      </c>
      <c r="N10" s="215" t="str">
        <f>IFERROR(IF(AND(L10="Yes",ISNUMBER(M10)),MAX(0,M10-SUMIFS(BU$3:BU9,L$3:L9,"Yes")),IF(OR(L10="No",M10="None"),"N/A","ERR")),"ERR")</f>
        <v>N/A</v>
      </c>
      <c r="O10" s="251" t="b">
        <f t="shared" si="52"/>
        <v>0</v>
      </c>
      <c r="P10" s="251" t="str">
        <f>IF(O10,BENEFIT_PARAMETERS!$C$76,"N/A")</f>
        <v>N/A</v>
      </c>
      <c r="Q10" s="288" t="str">
        <f>IF(P10="Yes", BENEFIT_PARAMETERS!$D$76,"N/A")</f>
        <v>N/A</v>
      </c>
      <c r="R10" s="253" t="str">
        <f t="shared" si="9"/>
        <v>N/A</v>
      </c>
      <c r="S10" s="217">
        <f t="shared" si="53"/>
        <v>0</v>
      </c>
      <c r="T10" s="215">
        <f t="shared" si="54"/>
        <v>0</v>
      </c>
      <c r="U10" s="214" t="b">
        <f t="shared" si="55"/>
        <v>0</v>
      </c>
      <c r="V10" s="251" t="str">
        <f>IF(O10,BENEFIT_PARAMETERS!$C$77,"N/A")</f>
        <v>N/A</v>
      </c>
      <c r="W10" s="288" t="str">
        <f>IF(V10="Yes", BENEFIT_PARAMETERS!$D$77,"N/A")</f>
        <v>N/A</v>
      </c>
      <c r="X10" s="253" t="str">
        <f>IF(O10,COUNTIF(Z$3:Z9,"&gt;0"),"N/A")</f>
        <v>N/A</v>
      </c>
      <c r="Y10" s="217" t="str">
        <f t="shared" si="56"/>
        <v>N/A</v>
      </c>
      <c r="Z10" s="293" t="str">
        <f t="shared" si="57"/>
        <v>N/A</v>
      </c>
      <c r="AA10" s="293">
        <f t="shared" si="58"/>
        <v>0</v>
      </c>
      <c r="AB10" s="293" t="str">
        <f t="shared" si="59"/>
        <v>N/A</v>
      </c>
      <c r="AC10" s="215">
        <f t="shared" si="60"/>
        <v>0</v>
      </c>
      <c r="AD10" s="214" t="b">
        <f t="shared" si="61"/>
        <v>0</v>
      </c>
      <c r="AE10" s="209" t="str">
        <f t="shared" si="62"/>
        <v>.</v>
      </c>
      <c r="AF10" s="216">
        <f t="shared" si="63"/>
        <v>0</v>
      </c>
      <c r="AG10" s="217" t="str">
        <f t="shared" si="64"/>
        <v>N/A</v>
      </c>
      <c r="AH10" s="217" t="b">
        <f t="shared" si="65"/>
        <v>0</v>
      </c>
      <c r="AI10" s="209" t="str">
        <f t="shared" si="66"/>
        <v>.</v>
      </c>
      <c r="AJ10" s="216">
        <f t="shared" si="67"/>
        <v>0</v>
      </c>
      <c r="AK10" s="217" t="str">
        <f t="shared" si="68"/>
        <v>N/A</v>
      </c>
      <c r="AL10" s="217">
        <f t="shared" si="69"/>
        <v>0</v>
      </c>
      <c r="AM10" s="215">
        <f t="shared" si="70"/>
        <v>0</v>
      </c>
      <c r="AN10" s="219" t="b">
        <f t="shared" si="71"/>
        <v>0</v>
      </c>
      <c r="AO10" s="217" t="str">
        <f t="shared" si="72"/>
        <v>N/A</v>
      </c>
      <c r="AP10" s="217" t="str">
        <f>IF(AND(ISNUMBER(AO10),AN10=TRUE),MAX(0,AO10-SUMIFS($AM$3:$AM9,AN$3:AN9,TRUE)),IF(AND(AN10=TRUE,ISNUMBER(AO10)=FALSE),"ERR","N/A"))</f>
        <v>N/A</v>
      </c>
      <c r="AQ10" s="215" t="str">
        <f t="shared" si="73"/>
        <v>N/A</v>
      </c>
      <c r="AR10" s="219" t="b">
        <f t="shared" si="74"/>
        <v>0</v>
      </c>
      <c r="AS10" s="217" t="str">
        <f t="shared" si="75"/>
        <v>N/A</v>
      </c>
      <c r="AT10" s="217" t="str">
        <f>IF(AND(AR10=TRUE,ISNUMBER(AS10)),MAX(0,AS10-SUMIFS($AM$3:$AM9,AR$3:AR9,TRUE)),IF(AND(AR10=TRUE,ISNUMBER(AS10)=FALSE),"ERR","N/A"))</f>
        <v>N/A</v>
      </c>
      <c r="AU10" s="215" t="str">
        <f t="shared" si="76"/>
        <v>N/A</v>
      </c>
      <c r="AV10" s="219" t="b">
        <f t="shared" si="77"/>
        <v>0</v>
      </c>
      <c r="AW10" s="217" t="str">
        <f t="shared" si="78"/>
        <v>N/A</v>
      </c>
      <c r="AX10" s="217" t="str">
        <f>IF(AND(AV10=TRUE,ISNUMBER(AW10)),MAX(0,AW10-SUMIFS($AM$3:$AM9,AV$3:AV9,TRUE)),IF(AND(AV10=TRUE,ISNUMBER(AW10)=FALSE),"ERR","N/A"))</f>
        <v>N/A</v>
      </c>
      <c r="AY10" s="215" t="str">
        <f t="shared" si="79"/>
        <v>N/A</v>
      </c>
      <c r="AZ10" s="219" t="b">
        <f t="shared" si="80"/>
        <v>0</v>
      </c>
      <c r="BA10" s="217" t="str">
        <f t="shared" si="81"/>
        <v>N/A</v>
      </c>
      <c r="BB10" s="217" t="str">
        <f>IF(AND(AZ10=TRUE,ISNUMBER(BA10)),MAX(0,BA10-SUMIFS($AM$3:$AM9,AZ$3:AZ9,TRUE)),IF(AND(AZ10=TRUE,ISNUMBER(BA10)=FALSE),"ERR","N/A"))</f>
        <v>N/A</v>
      </c>
      <c r="BC10" s="215" t="str">
        <f t="shared" si="82"/>
        <v>N/A</v>
      </c>
      <c r="BD10" s="219" t="b">
        <f t="shared" si="83"/>
        <v>0</v>
      </c>
      <c r="BE10" s="217" t="str">
        <f t="shared" si="84"/>
        <v>N/A</v>
      </c>
      <c r="BF10" s="217" t="str">
        <f>IF(AND(BD10=TRUE,ISNUMBER(BE10)=TRUE),MAX(0,BE10-SUMIFS(AM$3:AM9,BD$3:BD9,TRUE,F$3:F9,F10)),IF(AND(BD10=TRUE,ISNUMBER(BE10)=FALSE),"ERR","N/A"))</f>
        <v>N/A</v>
      </c>
      <c r="BG10" s="215" t="str">
        <f t="shared" si="85"/>
        <v>N/A</v>
      </c>
      <c r="BH10" s="214">
        <f t="shared" si="86"/>
        <v>0</v>
      </c>
      <c r="BI10" s="215">
        <f t="shared" si="87"/>
        <v>0</v>
      </c>
      <c r="BJ10" s="214" t="str">
        <f t="shared" si="88"/>
        <v>N/A</v>
      </c>
      <c r="BK10" s="217">
        <f t="shared" si="89"/>
        <v>0</v>
      </c>
      <c r="BL10" s="220" t="b">
        <f t="shared" si="90"/>
        <v>0</v>
      </c>
      <c r="BM10" s="217" t="str">
        <f t="shared" si="91"/>
        <v>N/A</v>
      </c>
      <c r="BN10" s="217" t="str">
        <f t="shared" si="92"/>
        <v>N/A</v>
      </c>
      <c r="BO10" s="220" t="b">
        <f t="shared" si="93"/>
        <v>0</v>
      </c>
      <c r="BP10" s="244" t="str">
        <f t="shared" si="94"/>
        <v>N/A</v>
      </c>
      <c r="BQ10" s="217" t="str">
        <f t="shared" si="95"/>
        <v>N/A</v>
      </c>
      <c r="BR10" s="215">
        <f t="shared" si="96"/>
        <v>0</v>
      </c>
      <c r="BS10" s="214" t="str">
        <f t="shared" si="97"/>
        <v>N/A</v>
      </c>
      <c r="BT10" s="217">
        <f t="shared" si="98"/>
        <v>0</v>
      </c>
      <c r="BU10" s="215">
        <f t="shared" si="99"/>
        <v>0</v>
      </c>
      <c r="BV10" s="214">
        <f t="shared" si="100"/>
        <v>0</v>
      </c>
      <c r="BW10" s="217">
        <f t="shared" si="101"/>
        <v>35.97</v>
      </c>
      <c r="BX10" s="217">
        <f t="shared" si="102"/>
        <v>0</v>
      </c>
      <c r="BY10" s="217">
        <f t="shared" si="103"/>
        <v>0</v>
      </c>
      <c r="BZ10" s="217">
        <f t="shared" si="104"/>
        <v>0</v>
      </c>
      <c r="CA10" s="217">
        <f t="shared" si="105"/>
        <v>0</v>
      </c>
      <c r="CB10" s="213" t="b">
        <f t="shared" si="106"/>
        <v>1</v>
      </c>
    </row>
    <row r="11" spans="1:80" x14ac:dyDescent="0.25">
      <c r="A11" s="207">
        <v>8</v>
      </c>
      <c r="B11" s="208">
        <v>42523</v>
      </c>
      <c r="C11" s="209">
        <v>6</v>
      </c>
      <c r="D11" s="210">
        <v>8</v>
      </c>
      <c r="E11" s="211" t="str">
        <f t="shared" si="0"/>
        <v>Week supply of Acetaminophen 300 MG / Codeine Phosphate 30 MG Oral Tablet</v>
      </c>
      <c r="F11" s="212" t="str">
        <f t="shared" si="1"/>
        <v>Prescription Drugs: Generic</v>
      </c>
      <c r="G11" s="213" t="str">
        <f t="shared" si="2"/>
        <v>Not Covered</v>
      </c>
      <c r="H11" s="214">
        <f t="shared" ref="H11:H18" si="107">VLOOKUP(D11,FractureFeeSchedule,7,FALSE)</f>
        <v>5.24</v>
      </c>
      <c r="I11" s="217">
        <f t="shared" ref="I11:I18" si="108">IF(G11="Not Covered",H11,0)</f>
        <v>5.24</v>
      </c>
      <c r="J11" s="251">
        <f t="shared" ref="J11:J18" si="109">H11-I11</f>
        <v>0</v>
      </c>
      <c r="K11" s="214" t="b">
        <f t="shared" ref="K11:K18" si="110">VLOOKUP(F11,nrCoverageTable,COLUMN(nrOOPLimitValid),FALSE)</f>
        <v>0</v>
      </c>
      <c r="L11" s="218" t="str">
        <f t="shared" ref="L11:L18" si="111">IF(K11,VLOOKUP(F11,BenefitDesignTable,COLUMN(BenefitOOPLimitApplies),FALSE),"No")</f>
        <v>No</v>
      </c>
      <c r="M11" s="217" t="str">
        <f t="shared" ref="M11:M18" si="112">VLOOKUP(F11,BenefitDesignTable,COLUMN(OPLimit),FALSE)</f>
        <v>.</v>
      </c>
      <c r="N11" s="215" t="str">
        <f>IFERROR(IF(AND(L11="Yes",ISNUMBER(M11)),MAX(0,M11-SUMIFS(BU$3:BU10,L$3:L10,"Yes")),IF(OR(L11="No",M11="None"),"N/A","ERR")),"ERR")</f>
        <v>N/A</v>
      </c>
      <c r="O11" s="251" t="b">
        <f t="shared" ref="O11:O18" si="113">IF(F11="Professional Services: Primary Care",TRUE, FALSE)</f>
        <v>0</v>
      </c>
      <c r="P11" s="251" t="str">
        <f>IF(O11,BENEFIT_PARAMETERS!$C$76,"N/A")</f>
        <v>N/A</v>
      </c>
      <c r="Q11" s="288" t="str">
        <f>IF(P11="Yes", BENEFIT_PARAMETERS!$D$76,"N/A")</f>
        <v>N/A</v>
      </c>
      <c r="R11" s="253" t="str">
        <f t="shared" ref="R11:R18" si="114">IF(O11,COUNTIFS(BenefitCategory,"Professional Services: Primary Care",ClaimNumber,"&lt;"&amp;A11),"N/A")</f>
        <v>N/A</v>
      </c>
      <c r="S11" s="217">
        <f t="shared" ref="S11:S18" si="115">IF(P11="Yes",IF(R11&lt;Q11,MIN(J11,N11),0),0)</f>
        <v>0</v>
      </c>
      <c r="T11" s="215">
        <f t="shared" ref="T11:T18" si="116">J11-S11</f>
        <v>0</v>
      </c>
      <c r="U11" s="214" t="b">
        <f t="shared" ref="U11:U18" si="117">IF(F11="Professional Services: Primary Care",TRUE, FALSE)</f>
        <v>0</v>
      </c>
      <c r="V11" s="251" t="str">
        <f>IF(O11,BENEFIT_PARAMETERS!$C$77,"N/A")</f>
        <v>N/A</v>
      </c>
      <c r="W11" s="288" t="str">
        <f>IF(V11="Yes", BENEFIT_PARAMETERS!$D$77,"N/A")</f>
        <v>N/A</v>
      </c>
      <c r="X11" s="253" t="str">
        <f>IF(O11,COUNTIF(Z$3:Z10,"&gt;0"),"N/A")</f>
        <v>N/A</v>
      </c>
      <c r="Y11" s="217" t="str">
        <f t="shared" ref="Y11:Y18" si="118">IF(V11="Yes",VLOOKUP("Professional Services: Primary Care",BenefitDesignTable,COLUMN(BenefitCopay),FALSE),"N/A")</f>
        <v>N/A</v>
      </c>
      <c r="Z11" s="293" t="str">
        <f t="shared" ref="Z11:Z18" si="119">IF(AND(V11="Yes",U11=TRUE,X11&lt;W11), MIN(Y11,T11,N11),"N/A")</f>
        <v>N/A</v>
      </c>
      <c r="AA11" s="293">
        <f t="shared" ref="AA11:AA18" si="120">IF(Z11="N/A",0,T11-Z11)</f>
        <v>0</v>
      </c>
      <c r="AB11" s="293" t="str">
        <f t="shared" ref="AB11:AB18" si="121">IF(L11="Yes",IF(Z11="N/A",N11,N11-Z11),"N/A")</f>
        <v>N/A</v>
      </c>
      <c r="AC11" s="215">
        <f t="shared" ref="AC11:AC18" si="122">IF(Z11="N/A",T11,0)</f>
        <v>0</v>
      </c>
      <c r="AD11" s="214" t="b">
        <f t="shared" ref="AD11:AD18" si="123">VLOOKUP(F11,nrCoverageTable,COLUMN(nrMonthlyLimitValid),FALSE)</f>
        <v>0</v>
      </c>
      <c r="AE11" s="209" t="str">
        <f t="shared" ref="AE11:AE18" si="124">IF(AD11,VLOOKUP(F11,BenefitDesignTable,COLUMN(BenefitLimithMonth),FALSE),".")</f>
        <v>.</v>
      </c>
      <c r="AF11" s="216">
        <f t="shared" ref="AF11:AF18" si="125">COUNTIFS(ServiceCode,D11,ClaimMonth,C11,ClaimNumber,"&lt;"&amp;A11)</f>
        <v>0</v>
      </c>
      <c r="AG11" s="217" t="str">
        <f t="shared" ref="AG11:AG18" si="126">IF(AD11,IF(OR(AE11="None",ISNUMBER(AE11)),IF(AF11&gt;=AE11,H11,0),"ERR"),"N/A")</f>
        <v>N/A</v>
      </c>
      <c r="AH11" s="217" t="b">
        <f t="shared" ref="AH11:AH18" si="127">VLOOKUP(F11,nrCoverageTable,COLUMN(nrAnnualLimitValid),FALSE)</f>
        <v>0</v>
      </c>
      <c r="AI11" s="209" t="str">
        <f t="shared" ref="AI11:AI18" si="128">IF(AH11,VLOOKUP(F11,BenefitDesignTable,COLUMN(BenefitLimitAnnual),FALSE),".")</f>
        <v>.</v>
      </c>
      <c r="AJ11" s="216">
        <f t="shared" ref="AJ11:AJ18" si="129">COUNTIFS(ServiceCode,D11,ClaimNumber,"&lt;"&amp;A11)</f>
        <v>0</v>
      </c>
      <c r="AK11" s="217" t="str">
        <f t="shared" ref="AK11:AK18" si="130">IF(AH11,IF(OR(AI11="None",ISNUMBER(AI11)),IF(AJ11&gt;=AI11,H11,0),"ERR"),"N/A")</f>
        <v>N/A</v>
      </c>
      <c r="AL11" s="217">
        <f t="shared" ref="AL11:AL18" si="131">IF(OR(AG11="ERR",AK11="ERR"),"ERR",MAX(AG11,AK11))</f>
        <v>0</v>
      </c>
      <c r="AM11" s="215">
        <f t="shared" ref="AM11:AM18" si="132">IFERROR(AC11-AL11,"ERR")</f>
        <v>0</v>
      </c>
      <c r="AN11" s="219" t="b">
        <f t="shared" ref="AN11:AN18" si="133">VLOOKUP(F11,nrCoverageTable,COLUMN(nrUsesPlanDeduct),FALSE)</f>
        <v>0</v>
      </c>
      <c r="AO11" s="217" t="str">
        <f t="shared" ref="AO11:AO18" si="134">IF(AN11,VLOOKUP(F11,BenefitDesignTable,COLUMN(PlanDeductible),FALSE),"N/A")</f>
        <v>N/A</v>
      </c>
      <c r="AP11" s="217" t="str">
        <f>IF(AND(ISNUMBER(AO11),AN11=TRUE),MAX(0,AO11-SUMIFS($AM$3:$AM10,AN$3:AN10,TRUE)),IF(AND(AN11=TRUE,ISNUMBER(AO11)=FALSE),"ERR","N/A"))</f>
        <v>N/A</v>
      </c>
      <c r="AQ11" s="215" t="str">
        <f t="shared" ref="AQ11:AQ18" si="135">IF(ISNUMBER(AP11),MIN($AM11,AP11),"N/A")</f>
        <v>N/A</v>
      </c>
      <c r="AR11" s="219" t="b">
        <f t="shared" ref="AR11:AR18" si="136">VLOOKUP(F11,nrCoverageTable,COLUMN(nrUsesRxDeduct),FALSE)</f>
        <v>0</v>
      </c>
      <c r="AS11" s="217" t="str">
        <f t="shared" ref="AS11:AS18" si="137">IF(AR11,VLOOKUP(F11,BenefitDesignTable,COLUMN(RxDeductible),FALSE),"N/A")</f>
        <v>N/A</v>
      </c>
      <c r="AT11" s="217" t="str">
        <f>IF(AND(AR11=TRUE,ISNUMBER(AS11)),MAX(0,AS11-SUMIFS($AM$3:$AM10,AR$3:AR10,TRUE)),IF(AND(AR11=TRUE,ISNUMBER(AS11)=FALSE),"ERR","N/A"))</f>
        <v>N/A</v>
      </c>
      <c r="AU11" s="215" t="str">
        <f t="shared" ref="AU11:AU18" si="138">IF(ISNUMBER(AT11),MIN($AM11,AT11),"N/A")</f>
        <v>N/A</v>
      </c>
      <c r="AV11" s="219" t="b">
        <f t="shared" ref="AV11:AV18" si="139">VLOOKUP(F11,nrCoverageTable,COLUMN(nrUsesDeductC),FALSE)</f>
        <v>0</v>
      </c>
      <c r="AW11" s="217" t="str">
        <f t="shared" ref="AW11:AW18" si="140">IF(AV11,VLOOKUP(F11,BenefitDesignTable,COLUMN(OptDeductibleC),FALSE),"N/A")</f>
        <v>N/A</v>
      </c>
      <c r="AX11" s="217" t="str">
        <f>IF(AND(AV11=TRUE,ISNUMBER(AW11)),MAX(0,AW11-SUMIFS($AM$3:$AM10,AV$3:AV10,TRUE)),IF(AND(AV11=TRUE,ISNUMBER(AW11)=FALSE),"ERR","N/A"))</f>
        <v>N/A</v>
      </c>
      <c r="AY11" s="215" t="str">
        <f t="shared" ref="AY11:AY18" si="141">IF(ISNUMBER(AX11),MIN($AM11,AX11),"N/A")</f>
        <v>N/A</v>
      </c>
      <c r="AZ11" s="219" t="b">
        <f t="shared" ref="AZ11:AZ18" si="142">VLOOKUP(F11,nrCoverageTable,COLUMN(nrUsesDeductD),FALSE)</f>
        <v>0</v>
      </c>
      <c r="BA11" s="217" t="str">
        <f t="shared" ref="BA11:BA18" si="143">IF(AZ11,VLOOKUP(F11,BenefitDesignTable,COLUMN(OptDeductibleD),FALSE),"N/A")</f>
        <v>N/A</v>
      </c>
      <c r="BB11" s="217" t="str">
        <f>IF(AND(AZ11=TRUE,ISNUMBER(BA11)),MAX(0,BA11-SUMIFS($AM$3:$AM10,AZ$3:AZ10,TRUE)),IF(AND(AZ11=TRUE,ISNUMBER(BA11)=FALSE),"ERR","N/A"))</f>
        <v>N/A</v>
      </c>
      <c r="BC11" s="215" t="str">
        <f t="shared" ref="BC11:BC18" si="144">IF(ISNUMBER(BB11),MIN($AM11,BB11),"N/A")</f>
        <v>N/A</v>
      </c>
      <c r="BD11" s="219" t="b">
        <f t="shared" ref="BD11:BD18" si="145">VLOOKUP(F11,nrCoverageTable,COLUMN(nrUsesBenDeduct),FALSE)</f>
        <v>0</v>
      </c>
      <c r="BE11" s="217" t="str">
        <f t="shared" ref="BE11:BE18" si="146">IF(BD11,VLOOKUP(F11,BenefitDesignTable,COLUMN(BenefitDeductible),FALSE),"N/A")</f>
        <v>N/A</v>
      </c>
      <c r="BF11" s="217" t="str">
        <f>IF(AND(BD11=TRUE,ISNUMBER(BE11)=TRUE),MAX(0,BE11-SUMIFS(AM$3:AM10,BD$3:BD10,TRUE,F$3:F10,F11)),IF(AND(BD11=TRUE,ISNUMBER(BE11)=FALSE),"ERR","N/A"))</f>
        <v>N/A</v>
      </c>
      <c r="BG11" s="215" t="str">
        <f t="shared" ref="BG11:BG18" si="147">IF(ISNUMBER(BF11),MIN($AM11,BF11),"N/A")</f>
        <v>N/A</v>
      </c>
      <c r="BH11" s="214">
        <f t="shared" ref="BH11:BH18" si="148">SUM(AQ11,AU11,AY11,BC11,BG11)</f>
        <v>0</v>
      </c>
      <c r="BI11" s="215">
        <f t="shared" ref="BI11:BI18" si="149">IF(OR(AB11="ERR",BH11="ERR"),"ERR",MIN(BH11,AB11))</f>
        <v>0</v>
      </c>
      <c r="BJ11" s="214" t="str">
        <f t="shared" ref="BJ11:BJ18" si="150">IF(AND(L11="Yes",ISNUMBER(M11)),IF(OR(BI11="ERR",AB11="ERR"),"ERR",MAX($AB11-BI11,0)),"N/A")</f>
        <v>N/A</v>
      </c>
      <c r="BK11" s="217">
        <f t="shared" ref="BK11:BK18" si="151">IF(OR(BI11="ERR",AM11="ERR"),"ERR",MAX(0,AM11-BI11))</f>
        <v>0</v>
      </c>
      <c r="BL11" s="220" t="b">
        <f t="shared" ref="BL11:BL18" si="152">VLOOKUP(F11,nrCoverageTable,COLUMN(nrUsesCopay),FALSE)</f>
        <v>0</v>
      </c>
      <c r="BM11" s="217" t="str">
        <f t="shared" ref="BM11:BM18" si="153">IF(BL11,VLOOKUP(F11,BenefitDesignTable,COLUMN(BenefitCopay),FALSE),"N/A")</f>
        <v>N/A</v>
      </c>
      <c r="BN11" s="217" t="str">
        <f t="shared" ref="BN11:BN18" si="154">IF(BK11="ERR","ERR",IF(AND(BL11=TRUE,ISNUMBER(BM11)),MIN(BK11,BM11,BJ11),IF(AND(BL11=TRUE,ISNUMBER(BM11)=FALSE),"ERR","N/A")))</f>
        <v>N/A</v>
      </c>
      <c r="BO11" s="220" t="b">
        <f t="shared" ref="BO11:BO18" si="155">VLOOKUP(F11,nrCoverageTable,COLUMN(nrUsesCoins),FALSE)</f>
        <v>0</v>
      </c>
      <c r="BP11" s="244" t="str">
        <f t="shared" ref="BP11:BP18" si="156">IF(BO11,VLOOKUP(F11,BenefitDesignTable,COLUMN(BenefitCoins),FALSE),"N/A")</f>
        <v>N/A</v>
      </c>
      <c r="BQ11" s="217" t="str">
        <f t="shared" ref="BQ11:BQ18" si="157">IF(BK11="ERR","ERR",IF(AND(BO11=TRUE,ISNUMBER(BP11)=TRUE),MIN(BJ11,BK11*BP11),IF(AND(BO11=TRUE,ISNUMBER(BP11)=FALSE),"ERR","N/A")))</f>
        <v>N/A</v>
      </c>
      <c r="BR11" s="215">
        <f t="shared" ref="BR11:BR18" si="158">IF(OR(BJ11="ERR",BN11="ERR",BQ11="ERR"),"ERR",MIN(BJ11,SUM(BN11,BQ11)))</f>
        <v>0</v>
      </c>
      <c r="BS11" s="214" t="str">
        <f t="shared" ref="BS11:BS18" si="159">IF(AND(L11="Yes",ISNUMBER(M11)),IF(OR(BJ11="ERR",BR11="ERR"),"ERR",MAX(BJ11-BR11,0)),"N/A")</f>
        <v>N/A</v>
      </c>
      <c r="BT11" s="217">
        <f t="shared" ref="BT11:BT18" si="160">IF(OR(BK11="ERR",BR11="ERR"),"ERR",MAX(BK11-BR11,0))</f>
        <v>0</v>
      </c>
      <c r="BU11" s="215">
        <f t="shared" si="99"/>
        <v>0</v>
      </c>
      <c r="BV11" s="214">
        <f t="shared" si="100"/>
        <v>0</v>
      </c>
      <c r="BW11" s="217">
        <f t="shared" ref="BW11:BW18" si="161">I11</f>
        <v>5.24</v>
      </c>
      <c r="BX11" s="217">
        <f t="shared" ref="BX11:BX18" si="162">IF(OR(AG11="ERR",AK11="ERR"),"ERR",SUM(AG11,AK11))</f>
        <v>0</v>
      </c>
      <c r="BY11" s="217">
        <f t="shared" ref="BY11:BY18" si="163">BI11</f>
        <v>0</v>
      </c>
      <c r="BZ11" s="217">
        <f t="shared" ref="BZ11:BZ18" si="164">IF(V11="Yes",IF(Z11="N/A",0,Z11),0)+IF(BL11,BN11,0)</f>
        <v>0</v>
      </c>
      <c r="CA11" s="217">
        <f t="shared" ref="CA11:CA18" si="165">IF(BO11,BQ11,0)</f>
        <v>0</v>
      </c>
      <c r="CB11" s="213" t="b">
        <f t="shared" ref="CB11:CB18" si="166">SUM(BV11:CA11)=H11</f>
        <v>1</v>
      </c>
    </row>
    <row r="12" spans="1:80" x14ac:dyDescent="0.25">
      <c r="A12" s="207">
        <v>9</v>
      </c>
      <c r="B12" s="208">
        <v>42530</v>
      </c>
      <c r="C12" s="209">
        <v>6</v>
      </c>
      <c r="D12" s="210">
        <v>11</v>
      </c>
      <c r="E12" s="211" t="str">
        <f t="shared" si="0"/>
        <v>Office or other outpatient visit for the evaluation and management of a new patient, which requires at least 3 key components. Physicians typically spend 30 minutes face-to-face with the patient.</v>
      </c>
      <c r="F12" s="212" t="str">
        <f t="shared" si="1"/>
        <v>Professional Services: Specialist</v>
      </c>
      <c r="G12" s="213" t="str">
        <f t="shared" si="2"/>
        <v>Not Covered</v>
      </c>
      <c r="H12" s="214">
        <f t="shared" si="107"/>
        <v>127.51</v>
      </c>
      <c r="I12" s="217">
        <f t="shared" si="108"/>
        <v>127.51</v>
      </c>
      <c r="J12" s="251">
        <f t="shared" si="109"/>
        <v>0</v>
      </c>
      <c r="K12" s="214" t="b">
        <f t="shared" si="110"/>
        <v>0</v>
      </c>
      <c r="L12" s="218" t="str">
        <f t="shared" si="111"/>
        <v>No</v>
      </c>
      <c r="M12" s="217" t="str">
        <f t="shared" si="112"/>
        <v>.</v>
      </c>
      <c r="N12" s="215" t="str">
        <f>IFERROR(IF(AND(L12="Yes",ISNUMBER(M12)),MAX(0,M12-SUMIFS(BU$3:BU11,L$3:L11,"Yes")),IF(OR(L12="No",M12="None"),"N/A","ERR")),"ERR")</f>
        <v>N/A</v>
      </c>
      <c r="O12" s="251" t="b">
        <f t="shared" si="113"/>
        <v>0</v>
      </c>
      <c r="P12" s="251" t="str">
        <f>IF(O12,BENEFIT_PARAMETERS!$C$76,"N/A")</f>
        <v>N/A</v>
      </c>
      <c r="Q12" s="288" t="str">
        <f>IF(P12="Yes", BENEFIT_PARAMETERS!$D$76,"N/A")</f>
        <v>N/A</v>
      </c>
      <c r="R12" s="253" t="str">
        <f t="shared" si="114"/>
        <v>N/A</v>
      </c>
      <c r="S12" s="217">
        <f t="shared" si="115"/>
        <v>0</v>
      </c>
      <c r="T12" s="215">
        <f t="shared" si="116"/>
        <v>0</v>
      </c>
      <c r="U12" s="214" t="b">
        <f t="shared" si="117"/>
        <v>0</v>
      </c>
      <c r="V12" s="251" t="str">
        <f>IF(O12,BENEFIT_PARAMETERS!$C$77,"N/A")</f>
        <v>N/A</v>
      </c>
      <c r="W12" s="288" t="str">
        <f>IF(V12="Yes", BENEFIT_PARAMETERS!$D$77,"N/A")</f>
        <v>N/A</v>
      </c>
      <c r="X12" s="253" t="str">
        <f>IF(O12,COUNTIF(Z$3:Z11,"&gt;0"),"N/A")</f>
        <v>N/A</v>
      </c>
      <c r="Y12" s="217" t="str">
        <f t="shared" si="118"/>
        <v>N/A</v>
      </c>
      <c r="Z12" s="293" t="str">
        <f t="shared" si="119"/>
        <v>N/A</v>
      </c>
      <c r="AA12" s="293">
        <f t="shared" si="120"/>
        <v>0</v>
      </c>
      <c r="AB12" s="293" t="str">
        <f t="shared" si="121"/>
        <v>N/A</v>
      </c>
      <c r="AC12" s="215">
        <f t="shared" si="122"/>
        <v>0</v>
      </c>
      <c r="AD12" s="214" t="b">
        <f t="shared" si="123"/>
        <v>0</v>
      </c>
      <c r="AE12" s="209" t="str">
        <f t="shared" si="124"/>
        <v>.</v>
      </c>
      <c r="AF12" s="216">
        <f t="shared" si="125"/>
        <v>0</v>
      </c>
      <c r="AG12" s="217" t="str">
        <f t="shared" si="126"/>
        <v>N/A</v>
      </c>
      <c r="AH12" s="217" t="b">
        <f t="shared" si="127"/>
        <v>0</v>
      </c>
      <c r="AI12" s="209" t="str">
        <f t="shared" si="128"/>
        <v>.</v>
      </c>
      <c r="AJ12" s="216">
        <f t="shared" si="129"/>
        <v>0</v>
      </c>
      <c r="AK12" s="217" t="str">
        <f t="shared" si="130"/>
        <v>N/A</v>
      </c>
      <c r="AL12" s="217">
        <f t="shared" si="131"/>
        <v>0</v>
      </c>
      <c r="AM12" s="215">
        <f t="shared" si="132"/>
        <v>0</v>
      </c>
      <c r="AN12" s="219" t="b">
        <f t="shared" si="133"/>
        <v>0</v>
      </c>
      <c r="AO12" s="217" t="str">
        <f t="shared" si="134"/>
        <v>N/A</v>
      </c>
      <c r="AP12" s="217" t="str">
        <f>IF(AND(ISNUMBER(AO12),AN12=TRUE),MAX(0,AO12-SUMIFS($AM$3:$AM11,AN$3:AN11,TRUE)),IF(AND(AN12=TRUE,ISNUMBER(AO12)=FALSE),"ERR","N/A"))</f>
        <v>N/A</v>
      </c>
      <c r="AQ12" s="215" t="str">
        <f t="shared" si="135"/>
        <v>N/A</v>
      </c>
      <c r="AR12" s="219" t="b">
        <f t="shared" si="136"/>
        <v>0</v>
      </c>
      <c r="AS12" s="217" t="str">
        <f t="shared" si="137"/>
        <v>N/A</v>
      </c>
      <c r="AT12" s="217" t="str">
        <f>IF(AND(AR12=TRUE,ISNUMBER(AS12)),MAX(0,AS12-SUMIFS($AM$3:$AM11,AR$3:AR11,TRUE)),IF(AND(AR12=TRUE,ISNUMBER(AS12)=FALSE),"ERR","N/A"))</f>
        <v>N/A</v>
      </c>
      <c r="AU12" s="215" t="str">
        <f t="shared" si="138"/>
        <v>N/A</v>
      </c>
      <c r="AV12" s="219" t="b">
        <f t="shared" si="139"/>
        <v>0</v>
      </c>
      <c r="AW12" s="217" t="str">
        <f t="shared" si="140"/>
        <v>N/A</v>
      </c>
      <c r="AX12" s="217" t="str">
        <f>IF(AND(AV12=TRUE,ISNUMBER(AW12)),MAX(0,AW12-SUMIFS($AM$3:$AM11,AV$3:AV11,TRUE)),IF(AND(AV12=TRUE,ISNUMBER(AW12)=FALSE),"ERR","N/A"))</f>
        <v>N/A</v>
      </c>
      <c r="AY12" s="215" t="str">
        <f t="shared" si="141"/>
        <v>N/A</v>
      </c>
      <c r="AZ12" s="219" t="b">
        <f t="shared" si="142"/>
        <v>0</v>
      </c>
      <c r="BA12" s="217" t="str">
        <f t="shared" si="143"/>
        <v>N/A</v>
      </c>
      <c r="BB12" s="217" t="str">
        <f>IF(AND(AZ12=TRUE,ISNUMBER(BA12)),MAX(0,BA12-SUMIFS($AM$3:$AM11,AZ$3:AZ11,TRUE)),IF(AND(AZ12=TRUE,ISNUMBER(BA12)=FALSE),"ERR","N/A"))</f>
        <v>N/A</v>
      </c>
      <c r="BC12" s="215" t="str">
        <f t="shared" si="144"/>
        <v>N/A</v>
      </c>
      <c r="BD12" s="219" t="b">
        <f t="shared" si="145"/>
        <v>0</v>
      </c>
      <c r="BE12" s="217" t="str">
        <f t="shared" si="146"/>
        <v>N/A</v>
      </c>
      <c r="BF12" s="217" t="str">
        <f>IF(AND(BD12=TRUE,ISNUMBER(BE12)=TRUE),MAX(0,BE12-SUMIFS(AM$3:AM11,BD$3:BD11,TRUE,F$3:F11,F12)),IF(AND(BD12=TRUE,ISNUMBER(BE12)=FALSE),"ERR","N/A"))</f>
        <v>N/A</v>
      </c>
      <c r="BG12" s="215" t="str">
        <f t="shared" si="147"/>
        <v>N/A</v>
      </c>
      <c r="BH12" s="214">
        <f t="shared" si="148"/>
        <v>0</v>
      </c>
      <c r="BI12" s="215">
        <f t="shared" si="149"/>
        <v>0</v>
      </c>
      <c r="BJ12" s="214" t="str">
        <f t="shared" si="150"/>
        <v>N/A</v>
      </c>
      <c r="BK12" s="217">
        <f t="shared" si="151"/>
        <v>0</v>
      </c>
      <c r="BL12" s="220" t="b">
        <f t="shared" si="152"/>
        <v>0</v>
      </c>
      <c r="BM12" s="217" t="str">
        <f t="shared" si="153"/>
        <v>N/A</v>
      </c>
      <c r="BN12" s="217" t="str">
        <f t="shared" si="154"/>
        <v>N/A</v>
      </c>
      <c r="BO12" s="220" t="b">
        <f t="shared" si="155"/>
        <v>0</v>
      </c>
      <c r="BP12" s="244" t="str">
        <f t="shared" si="156"/>
        <v>N/A</v>
      </c>
      <c r="BQ12" s="217" t="str">
        <f t="shared" si="157"/>
        <v>N/A</v>
      </c>
      <c r="BR12" s="215">
        <f t="shared" si="158"/>
        <v>0</v>
      </c>
      <c r="BS12" s="214" t="str">
        <f t="shared" si="159"/>
        <v>N/A</v>
      </c>
      <c r="BT12" s="217">
        <f t="shared" si="160"/>
        <v>0</v>
      </c>
      <c r="BU12" s="215">
        <f t="shared" si="99"/>
        <v>0</v>
      </c>
      <c r="BV12" s="214">
        <f t="shared" si="100"/>
        <v>0</v>
      </c>
      <c r="BW12" s="217">
        <f t="shared" si="161"/>
        <v>127.51</v>
      </c>
      <c r="BX12" s="217">
        <f t="shared" si="162"/>
        <v>0</v>
      </c>
      <c r="BY12" s="217">
        <f t="shared" si="163"/>
        <v>0</v>
      </c>
      <c r="BZ12" s="217">
        <f t="shared" si="164"/>
        <v>0</v>
      </c>
      <c r="CA12" s="217">
        <f t="shared" si="165"/>
        <v>0</v>
      </c>
      <c r="CB12" s="213" t="b">
        <f t="shared" si="166"/>
        <v>1</v>
      </c>
    </row>
    <row r="13" spans="1:80" x14ac:dyDescent="0.25">
      <c r="A13" s="207">
        <v>10</v>
      </c>
      <c r="B13" s="208">
        <v>42530</v>
      </c>
      <c r="C13" s="209">
        <v>6</v>
      </c>
      <c r="D13" s="210">
        <v>7</v>
      </c>
      <c r="E13" s="211" t="str">
        <f t="shared" si="0"/>
        <v>Radiologic examination, foot; complete, minimum of 3 views</v>
      </c>
      <c r="F13" s="212" t="str">
        <f t="shared" si="1"/>
        <v>Diagnostic Services: Radiology</v>
      </c>
      <c r="G13" s="213" t="str">
        <f t="shared" si="2"/>
        <v>Not Covered</v>
      </c>
      <c r="H13" s="214">
        <f t="shared" si="107"/>
        <v>49.72</v>
      </c>
      <c r="I13" s="217">
        <f t="shared" si="108"/>
        <v>49.72</v>
      </c>
      <c r="J13" s="251">
        <f t="shared" si="109"/>
        <v>0</v>
      </c>
      <c r="K13" s="214" t="b">
        <f t="shared" si="110"/>
        <v>0</v>
      </c>
      <c r="L13" s="218" t="str">
        <f t="shared" si="111"/>
        <v>No</v>
      </c>
      <c r="M13" s="217" t="str">
        <f t="shared" si="112"/>
        <v>.</v>
      </c>
      <c r="N13" s="215" t="str">
        <f>IFERROR(IF(AND(L13="Yes",ISNUMBER(M13)),MAX(0,M13-SUMIFS(BU$3:BU12,L$3:L12,"Yes")),IF(OR(L13="No",M13="None"),"N/A","ERR")),"ERR")</f>
        <v>N/A</v>
      </c>
      <c r="O13" s="251" t="b">
        <f t="shared" si="113"/>
        <v>0</v>
      </c>
      <c r="P13" s="251" t="str">
        <f>IF(O13,BENEFIT_PARAMETERS!$C$76,"N/A")</f>
        <v>N/A</v>
      </c>
      <c r="Q13" s="288" t="str">
        <f>IF(P13="Yes", BENEFIT_PARAMETERS!$D$76,"N/A")</f>
        <v>N/A</v>
      </c>
      <c r="R13" s="253" t="str">
        <f t="shared" si="114"/>
        <v>N/A</v>
      </c>
      <c r="S13" s="217">
        <f t="shared" si="115"/>
        <v>0</v>
      </c>
      <c r="T13" s="215">
        <f t="shared" si="116"/>
        <v>0</v>
      </c>
      <c r="U13" s="214" t="b">
        <f t="shared" si="117"/>
        <v>0</v>
      </c>
      <c r="V13" s="251" t="str">
        <f>IF(O13,BENEFIT_PARAMETERS!$C$77,"N/A")</f>
        <v>N/A</v>
      </c>
      <c r="W13" s="288" t="str">
        <f>IF(V13="Yes", BENEFIT_PARAMETERS!$D$77,"N/A")</f>
        <v>N/A</v>
      </c>
      <c r="X13" s="253" t="str">
        <f>IF(O13,COUNTIF(Z$3:Z12,"&gt;0"),"N/A")</f>
        <v>N/A</v>
      </c>
      <c r="Y13" s="217" t="str">
        <f t="shared" si="118"/>
        <v>N/A</v>
      </c>
      <c r="Z13" s="293" t="str">
        <f t="shared" si="119"/>
        <v>N/A</v>
      </c>
      <c r="AA13" s="293">
        <f t="shared" si="120"/>
        <v>0</v>
      </c>
      <c r="AB13" s="293" t="str">
        <f t="shared" si="121"/>
        <v>N/A</v>
      </c>
      <c r="AC13" s="215">
        <f t="shared" si="122"/>
        <v>0</v>
      </c>
      <c r="AD13" s="214" t="b">
        <f t="shared" si="123"/>
        <v>0</v>
      </c>
      <c r="AE13" s="209" t="str">
        <f t="shared" si="124"/>
        <v>.</v>
      </c>
      <c r="AF13" s="216">
        <f t="shared" si="125"/>
        <v>0</v>
      </c>
      <c r="AG13" s="217" t="str">
        <f t="shared" si="126"/>
        <v>N/A</v>
      </c>
      <c r="AH13" s="217" t="b">
        <f t="shared" si="127"/>
        <v>0</v>
      </c>
      <c r="AI13" s="209" t="str">
        <f t="shared" si="128"/>
        <v>.</v>
      </c>
      <c r="AJ13" s="216">
        <f t="shared" si="129"/>
        <v>0</v>
      </c>
      <c r="AK13" s="217" t="str">
        <f t="shared" si="130"/>
        <v>N/A</v>
      </c>
      <c r="AL13" s="217">
        <f t="shared" si="131"/>
        <v>0</v>
      </c>
      <c r="AM13" s="215">
        <f t="shared" si="132"/>
        <v>0</v>
      </c>
      <c r="AN13" s="219" t="b">
        <f t="shared" si="133"/>
        <v>0</v>
      </c>
      <c r="AO13" s="217" t="str">
        <f t="shared" si="134"/>
        <v>N/A</v>
      </c>
      <c r="AP13" s="217" t="str">
        <f>IF(AND(ISNUMBER(AO13),AN13=TRUE),MAX(0,AO13-SUMIFS($AM$3:$AM12,AN$3:AN12,TRUE)),IF(AND(AN13=TRUE,ISNUMBER(AO13)=FALSE),"ERR","N/A"))</f>
        <v>N/A</v>
      </c>
      <c r="AQ13" s="215" t="str">
        <f t="shared" si="135"/>
        <v>N/A</v>
      </c>
      <c r="AR13" s="219" t="b">
        <f t="shared" si="136"/>
        <v>0</v>
      </c>
      <c r="AS13" s="217" t="str">
        <f t="shared" si="137"/>
        <v>N/A</v>
      </c>
      <c r="AT13" s="217" t="str">
        <f>IF(AND(AR13=TRUE,ISNUMBER(AS13)),MAX(0,AS13-SUMIFS($AM$3:$AM12,AR$3:AR12,TRUE)),IF(AND(AR13=TRUE,ISNUMBER(AS13)=FALSE),"ERR","N/A"))</f>
        <v>N/A</v>
      </c>
      <c r="AU13" s="215" t="str">
        <f t="shared" si="138"/>
        <v>N/A</v>
      </c>
      <c r="AV13" s="219" t="b">
        <f t="shared" si="139"/>
        <v>0</v>
      </c>
      <c r="AW13" s="217" t="str">
        <f t="shared" si="140"/>
        <v>N/A</v>
      </c>
      <c r="AX13" s="217" t="str">
        <f>IF(AND(AV13=TRUE,ISNUMBER(AW13)),MAX(0,AW13-SUMIFS($AM$3:$AM12,AV$3:AV12,TRUE)),IF(AND(AV13=TRUE,ISNUMBER(AW13)=FALSE),"ERR","N/A"))</f>
        <v>N/A</v>
      </c>
      <c r="AY13" s="215" t="str">
        <f t="shared" si="141"/>
        <v>N/A</v>
      </c>
      <c r="AZ13" s="219" t="b">
        <f t="shared" si="142"/>
        <v>0</v>
      </c>
      <c r="BA13" s="217" t="str">
        <f t="shared" si="143"/>
        <v>N/A</v>
      </c>
      <c r="BB13" s="217" t="str">
        <f>IF(AND(AZ13=TRUE,ISNUMBER(BA13)),MAX(0,BA13-SUMIFS($AM$3:$AM12,AZ$3:AZ12,TRUE)),IF(AND(AZ13=TRUE,ISNUMBER(BA13)=FALSE),"ERR","N/A"))</f>
        <v>N/A</v>
      </c>
      <c r="BC13" s="215" t="str">
        <f t="shared" si="144"/>
        <v>N/A</v>
      </c>
      <c r="BD13" s="219" t="b">
        <f t="shared" si="145"/>
        <v>0</v>
      </c>
      <c r="BE13" s="217" t="str">
        <f t="shared" si="146"/>
        <v>N/A</v>
      </c>
      <c r="BF13" s="217" t="str">
        <f>IF(AND(BD13=TRUE,ISNUMBER(BE13)=TRUE),MAX(0,BE13-SUMIFS(AM$3:AM12,BD$3:BD12,TRUE,F$3:F12,F13)),IF(AND(BD13=TRUE,ISNUMBER(BE13)=FALSE),"ERR","N/A"))</f>
        <v>N/A</v>
      </c>
      <c r="BG13" s="215" t="str">
        <f t="shared" si="147"/>
        <v>N/A</v>
      </c>
      <c r="BH13" s="214">
        <f t="shared" si="148"/>
        <v>0</v>
      </c>
      <c r="BI13" s="215">
        <f t="shared" si="149"/>
        <v>0</v>
      </c>
      <c r="BJ13" s="214" t="str">
        <f t="shared" si="150"/>
        <v>N/A</v>
      </c>
      <c r="BK13" s="217">
        <f t="shared" si="151"/>
        <v>0</v>
      </c>
      <c r="BL13" s="220" t="b">
        <f t="shared" si="152"/>
        <v>0</v>
      </c>
      <c r="BM13" s="217" t="str">
        <f t="shared" si="153"/>
        <v>N/A</v>
      </c>
      <c r="BN13" s="217" t="str">
        <f t="shared" si="154"/>
        <v>N/A</v>
      </c>
      <c r="BO13" s="220" t="b">
        <f t="shared" si="155"/>
        <v>0</v>
      </c>
      <c r="BP13" s="244" t="str">
        <f t="shared" si="156"/>
        <v>N/A</v>
      </c>
      <c r="BQ13" s="217" t="str">
        <f t="shared" si="157"/>
        <v>N/A</v>
      </c>
      <c r="BR13" s="215">
        <f t="shared" si="158"/>
        <v>0</v>
      </c>
      <c r="BS13" s="214" t="str">
        <f t="shared" si="159"/>
        <v>N/A</v>
      </c>
      <c r="BT13" s="217">
        <f t="shared" si="160"/>
        <v>0</v>
      </c>
      <c r="BU13" s="215">
        <f t="shared" si="99"/>
        <v>0</v>
      </c>
      <c r="BV13" s="214">
        <f t="shared" si="100"/>
        <v>0</v>
      </c>
      <c r="BW13" s="217">
        <f t="shared" si="161"/>
        <v>49.72</v>
      </c>
      <c r="BX13" s="217">
        <f t="shared" si="162"/>
        <v>0</v>
      </c>
      <c r="BY13" s="217">
        <f t="shared" si="163"/>
        <v>0</v>
      </c>
      <c r="BZ13" s="217">
        <f t="shared" si="164"/>
        <v>0</v>
      </c>
      <c r="CA13" s="217">
        <f t="shared" si="165"/>
        <v>0</v>
      </c>
      <c r="CB13" s="213" t="b">
        <f t="shared" si="166"/>
        <v>1</v>
      </c>
    </row>
    <row r="14" spans="1:80" x14ac:dyDescent="0.25">
      <c r="A14" s="207">
        <v>11</v>
      </c>
      <c r="B14" s="208">
        <v>42530</v>
      </c>
      <c r="C14" s="209">
        <v>6</v>
      </c>
      <c r="D14" s="210">
        <v>12</v>
      </c>
      <c r="E14" s="211" t="str">
        <f t="shared" si="0"/>
        <v>Application of short leg cast (below knee to toes);</v>
      </c>
      <c r="F14" s="212" t="str">
        <f t="shared" si="1"/>
        <v>Professional Services: Specialist</v>
      </c>
      <c r="G14" s="213" t="str">
        <f t="shared" si="2"/>
        <v>Not Covered</v>
      </c>
      <c r="H14" s="214">
        <f t="shared" si="107"/>
        <v>132.03</v>
      </c>
      <c r="I14" s="217">
        <f t="shared" si="108"/>
        <v>132.03</v>
      </c>
      <c r="J14" s="251">
        <f t="shared" si="109"/>
        <v>0</v>
      </c>
      <c r="K14" s="214" t="b">
        <f t="shared" si="110"/>
        <v>0</v>
      </c>
      <c r="L14" s="218" t="str">
        <f t="shared" si="111"/>
        <v>No</v>
      </c>
      <c r="M14" s="217" t="str">
        <f t="shared" si="112"/>
        <v>.</v>
      </c>
      <c r="N14" s="215" t="str">
        <f>IFERROR(IF(AND(L14="Yes",ISNUMBER(M14)),MAX(0,M14-SUMIFS(BU$3:BU13,L$3:L13,"Yes")),IF(OR(L14="No",M14="None"),"N/A","ERR")),"ERR")</f>
        <v>N/A</v>
      </c>
      <c r="O14" s="251" t="b">
        <f t="shared" si="113"/>
        <v>0</v>
      </c>
      <c r="P14" s="251" t="str">
        <f>IF(O14,BENEFIT_PARAMETERS!$C$76,"N/A")</f>
        <v>N/A</v>
      </c>
      <c r="Q14" s="288" t="str">
        <f>IF(P14="Yes", BENEFIT_PARAMETERS!$D$76,"N/A")</f>
        <v>N/A</v>
      </c>
      <c r="R14" s="253" t="str">
        <f t="shared" si="114"/>
        <v>N/A</v>
      </c>
      <c r="S14" s="217">
        <f t="shared" si="115"/>
        <v>0</v>
      </c>
      <c r="T14" s="215">
        <f t="shared" si="116"/>
        <v>0</v>
      </c>
      <c r="U14" s="214" t="b">
        <f t="shared" si="117"/>
        <v>0</v>
      </c>
      <c r="V14" s="251" t="str">
        <f>IF(O14,BENEFIT_PARAMETERS!$C$77,"N/A")</f>
        <v>N/A</v>
      </c>
      <c r="W14" s="288" t="str">
        <f>IF(V14="Yes", BENEFIT_PARAMETERS!$D$77,"N/A")</f>
        <v>N/A</v>
      </c>
      <c r="X14" s="253" t="str">
        <f>IF(O14,COUNTIF(Z$3:Z13,"&gt;0"),"N/A")</f>
        <v>N/A</v>
      </c>
      <c r="Y14" s="217" t="str">
        <f t="shared" si="118"/>
        <v>N/A</v>
      </c>
      <c r="Z14" s="293" t="str">
        <f t="shared" si="119"/>
        <v>N/A</v>
      </c>
      <c r="AA14" s="293">
        <f t="shared" si="120"/>
        <v>0</v>
      </c>
      <c r="AB14" s="293" t="str">
        <f t="shared" si="121"/>
        <v>N/A</v>
      </c>
      <c r="AC14" s="215">
        <f t="shared" si="122"/>
        <v>0</v>
      </c>
      <c r="AD14" s="214" t="b">
        <f t="shared" si="123"/>
        <v>0</v>
      </c>
      <c r="AE14" s="209" t="str">
        <f t="shared" si="124"/>
        <v>.</v>
      </c>
      <c r="AF14" s="216">
        <f t="shared" si="125"/>
        <v>0</v>
      </c>
      <c r="AG14" s="217" t="str">
        <f t="shared" si="126"/>
        <v>N/A</v>
      </c>
      <c r="AH14" s="217" t="b">
        <f t="shared" si="127"/>
        <v>0</v>
      </c>
      <c r="AI14" s="209" t="str">
        <f t="shared" si="128"/>
        <v>.</v>
      </c>
      <c r="AJ14" s="216">
        <f t="shared" si="129"/>
        <v>0</v>
      </c>
      <c r="AK14" s="217" t="str">
        <f t="shared" si="130"/>
        <v>N/A</v>
      </c>
      <c r="AL14" s="217">
        <f t="shared" si="131"/>
        <v>0</v>
      </c>
      <c r="AM14" s="215">
        <f t="shared" si="132"/>
        <v>0</v>
      </c>
      <c r="AN14" s="219" t="b">
        <f t="shared" si="133"/>
        <v>0</v>
      </c>
      <c r="AO14" s="217" t="str">
        <f t="shared" si="134"/>
        <v>N/A</v>
      </c>
      <c r="AP14" s="217" t="str">
        <f>IF(AND(ISNUMBER(AO14),AN14=TRUE),MAX(0,AO14-SUMIFS($AM$3:$AM13,AN$3:AN13,TRUE)),IF(AND(AN14=TRUE,ISNUMBER(AO14)=FALSE),"ERR","N/A"))</f>
        <v>N/A</v>
      </c>
      <c r="AQ14" s="215" t="str">
        <f t="shared" si="135"/>
        <v>N/A</v>
      </c>
      <c r="AR14" s="219" t="b">
        <f t="shared" si="136"/>
        <v>0</v>
      </c>
      <c r="AS14" s="217" t="str">
        <f t="shared" si="137"/>
        <v>N/A</v>
      </c>
      <c r="AT14" s="217" t="str">
        <f>IF(AND(AR14=TRUE,ISNUMBER(AS14)),MAX(0,AS14-SUMIFS($AM$3:$AM13,AR$3:AR13,TRUE)),IF(AND(AR14=TRUE,ISNUMBER(AS14)=FALSE),"ERR","N/A"))</f>
        <v>N/A</v>
      </c>
      <c r="AU14" s="215" t="str">
        <f t="shared" si="138"/>
        <v>N/A</v>
      </c>
      <c r="AV14" s="219" t="b">
        <f t="shared" si="139"/>
        <v>0</v>
      </c>
      <c r="AW14" s="217" t="str">
        <f t="shared" si="140"/>
        <v>N/A</v>
      </c>
      <c r="AX14" s="217" t="str">
        <f>IF(AND(AV14=TRUE,ISNUMBER(AW14)),MAX(0,AW14-SUMIFS($AM$3:$AM13,AV$3:AV13,TRUE)),IF(AND(AV14=TRUE,ISNUMBER(AW14)=FALSE),"ERR","N/A"))</f>
        <v>N/A</v>
      </c>
      <c r="AY14" s="215" t="str">
        <f t="shared" si="141"/>
        <v>N/A</v>
      </c>
      <c r="AZ14" s="219" t="b">
        <f t="shared" si="142"/>
        <v>0</v>
      </c>
      <c r="BA14" s="217" t="str">
        <f t="shared" si="143"/>
        <v>N/A</v>
      </c>
      <c r="BB14" s="217" t="str">
        <f>IF(AND(AZ14=TRUE,ISNUMBER(BA14)),MAX(0,BA14-SUMIFS($AM$3:$AM13,AZ$3:AZ13,TRUE)),IF(AND(AZ14=TRUE,ISNUMBER(BA14)=FALSE),"ERR","N/A"))</f>
        <v>N/A</v>
      </c>
      <c r="BC14" s="215" t="str">
        <f t="shared" si="144"/>
        <v>N/A</v>
      </c>
      <c r="BD14" s="219" t="b">
        <f t="shared" si="145"/>
        <v>0</v>
      </c>
      <c r="BE14" s="217" t="str">
        <f t="shared" si="146"/>
        <v>N/A</v>
      </c>
      <c r="BF14" s="217" t="str">
        <f>IF(AND(BD14=TRUE,ISNUMBER(BE14)=TRUE),MAX(0,BE14-SUMIFS(AM$3:AM13,BD$3:BD13,TRUE,F$3:F13,F14)),IF(AND(BD14=TRUE,ISNUMBER(BE14)=FALSE),"ERR","N/A"))</f>
        <v>N/A</v>
      </c>
      <c r="BG14" s="215" t="str">
        <f t="shared" si="147"/>
        <v>N/A</v>
      </c>
      <c r="BH14" s="214">
        <f t="shared" si="148"/>
        <v>0</v>
      </c>
      <c r="BI14" s="215">
        <f t="shared" si="149"/>
        <v>0</v>
      </c>
      <c r="BJ14" s="214" t="str">
        <f t="shared" si="150"/>
        <v>N/A</v>
      </c>
      <c r="BK14" s="217">
        <f t="shared" si="151"/>
        <v>0</v>
      </c>
      <c r="BL14" s="220" t="b">
        <f t="shared" si="152"/>
        <v>0</v>
      </c>
      <c r="BM14" s="217" t="str">
        <f t="shared" si="153"/>
        <v>N/A</v>
      </c>
      <c r="BN14" s="217" t="str">
        <f t="shared" si="154"/>
        <v>N/A</v>
      </c>
      <c r="BO14" s="220" t="b">
        <f t="shared" si="155"/>
        <v>0</v>
      </c>
      <c r="BP14" s="244" t="str">
        <f t="shared" si="156"/>
        <v>N/A</v>
      </c>
      <c r="BQ14" s="217" t="str">
        <f t="shared" si="157"/>
        <v>N/A</v>
      </c>
      <c r="BR14" s="215">
        <f t="shared" si="158"/>
        <v>0</v>
      </c>
      <c r="BS14" s="214" t="str">
        <f t="shared" si="159"/>
        <v>N/A</v>
      </c>
      <c r="BT14" s="217">
        <f t="shared" si="160"/>
        <v>0</v>
      </c>
      <c r="BU14" s="215">
        <f t="shared" si="99"/>
        <v>0</v>
      </c>
      <c r="BV14" s="214">
        <f t="shared" si="100"/>
        <v>0</v>
      </c>
      <c r="BW14" s="217">
        <f t="shared" si="161"/>
        <v>132.03</v>
      </c>
      <c r="BX14" s="217">
        <f t="shared" si="162"/>
        <v>0</v>
      </c>
      <c r="BY14" s="217">
        <f t="shared" si="163"/>
        <v>0</v>
      </c>
      <c r="BZ14" s="217">
        <f t="shared" si="164"/>
        <v>0</v>
      </c>
      <c r="CA14" s="217">
        <f t="shared" si="165"/>
        <v>0</v>
      </c>
      <c r="CB14" s="213" t="b">
        <f t="shared" si="166"/>
        <v>1</v>
      </c>
    </row>
    <row r="15" spans="1:80" x14ac:dyDescent="0.25">
      <c r="A15" s="207">
        <v>12</v>
      </c>
      <c r="B15" s="208">
        <v>42530</v>
      </c>
      <c r="C15" s="209">
        <v>6</v>
      </c>
      <c r="D15" s="210">
        <v>13</v>
      </c>
      <c r="E15" s="211" t="str">
        <f t="shared" si="0"/>
        <v>Cast supplies, short leg cast, adult (11 years +), fiberglass</v>
      </c>
      <c r="F15" s="212" t="str">
        <f t="shared" si="1"/>
        <v>Other Facility Services</v>
      </c>
      <c r="G15" s="213" t="str">
        <f t="shared" si="2"/>
        <v>Not Covered</v>
      </c>
      <c r="H15" s="214">
        <f t="shared" si="107"/>
        <v>43.22</v>
      </c>
      <c r="I15" s="217">
        <f t="shared" si="108"/>
        <v>43.22</v>
      </c>
      <c r="J15" s="251">
        <f t="shared" si="109"/>
        <v>0</v>
      </c>
      <c r="K15" s="214" t="b">
        <f t="shared" si="110"/>
        <v>0</v>
      </c>
      <c r="L15" s="218" t="str">
        <f t="shared" si="111"/>
        <v>No</v>
      </c>
      <c r="M15" s="217" t="str">
        <f t="shared" si="112"/>
        <v>.</v>
      </c>
      <c r="N15" s="215" t="str">
        <f>IFERROR(IF(AND(L15="Yes",ISNUMBER(M15)),MAX(0,M15-SUMIFS(BU$3:BU14,L$3:L14,"Yes")),IF(OR(L15="No",M15="None"),"N/A","ERR")),"ERR")</f>
        <v>N/A</v>
      </c>
      <c r="O15" s="251" t="b">
        <f t="shared" si="113"/>
        <v>0</v>
      </c>
      <c r="P15" s="251" t="str">
        <f>IF(O15,BENEFIT_PARAMETERS!$C$76,"N/A")</f>
        <v>N/A</v>
      </c>
      <c r="Q15" s="288" t="str">
        <f>IF(P15="Yes", BENEFIT_PARAMETERS!$D$76,"N/A")</f>
        <v>N/A</v>
      </c>
      <c r="R15" s="253" t="str">
        <f t="shared" si="114"/>
        <v>N/A</v>
      </c>
      <c r="S15" s="217">
        <f t="shared" si="115"/>
        <v>0</v>
      </c>
      <c r="T15" s="215">
        <f t="shared" si="116"/>
        <v>0</v>
      </c>
      <c r="U15" s="214" t="b">
        <f t="shared" si="117"/>
        <v>0</v>
      </c>
      <c r="V15" s="251" t="str">
        <f>IF(O15,BENEFIT_PARAMETERS!$C$77,"N/A")</f>
        <v>N/A</v>
      </c>
      <c r="W15" s="288" t="str">
        <f>IF(V15="Yes", BENEFIT_PARAMETERS!$D$77,"N/A")</f>
        <v>N/A</v>
      </c>
      <c r="X15" s="253" t="str">
        <f>IF(O15,COUNTIF(Z$3:Z14,"&gt;0"),"N/A")</f>
        <v>N/A</v>
      </c>
      <c r="Y15" s="217" t="str">
        <f t="shared" si="118"/>
        <v>N/A</v>
      </c>
      <c r="Z15" s="293" t="str">
        <f t="shared" si="119"/>
        <v>N/A</v>
      </c>
      <c r="AA15" s="293">
        <f t="shared" si="120"/>
        <v>0</v>
      </c>
      <c r="AB15" s="293" t="str">
        <f t="shared" si="121"/>
        <v>N/A</v>
      </c>
      <c r="AC15" s="215">
        <f t="shared" si="122"/>
        <v>0</v>
      </c>
      <c r="AD15" s="214" t="b">
        <f t="shared" si="123"/>
        <v>0</v>
      </c>
      <c r="AE15" s="209" t="str">
        <f t="shared" si="124"/>
        <v>.</v>
      </c>
      <c r="AF15" s="216">
        <f t="shared" si="125"/>
        <v>0</v>
      </c>
      <c r="AG15" s="217" t="str">
        <f t="shared" si="126"/>
        <v>N/A</v>
      </c>
      <c r="AH15" s="217" t="b">
        <f t="shared" si="127"/>
        <v>0</v>
      </c>
      <c r="AI15" s="209" t="str">
        <f t="shared" si="128"/>
        <v>.</v>
      </c>
      <c r="AJ15" s="216">
        <f t="shared" si="129"/>
        <v>0</v>
      </c>
      <c r="AK15" s="217" t="str">
        <f t="shared" si="130"/>
        <v>N/A</v>
      </c>
      <c r="AL15" s="217">
        <f t="shared" si="131"/>
        <v>0</v>
      </c>
      <c r="AM15" s="215">
        <f t="shared" si="132"/>
        <v>0</v>
      </c>
      <c r="AN15" s="219" t="b">
        <f t="shared" si="133"/>
        <v>0</v>
      </c>
      <c r="AO15" s="217" t="str">
        <f t="shared" si="134"/>
        <v>N/A</v>
      </c>
      <c r="AP15" s="217" t="str">
        <f>IF(AND(ISNUMBER(AO15),AN15=TRUE),MAX(0,AO15-SUMIFS($AM$3:$AM14,AN$3:AN14,TRUE)),IF(AND(AN15=TRUE,ISNUMBER(AO15)=FALSE),"ERR","N/A"))</f>
        <v>N/A</v>
      </c>
      <c r="AQ15" s="215" t="str">
        <f t="shared" si="135"/>
        <v>N/A</v>
      </c>
      <c r="AR15" s="219" t="b">
        <f t="shared" si="136"/>
        <v>0</v>
      </c>
      <c r="AS15" s="217" t="str">
        <f t="shared" si="137"/>
        <v>N/A</v>
      </c>
      <c r="AT15" s="217" t="str">
        <f>IF(AND(AR15=TRUE,ISNUMBER(AS15)),MAX(0,AS15-SUMIFS($AM$3:$AM14,AR$3:AR14,TRUE)),IF(AND(AR15=TRUE,ISNUMBER(AS15)=FALSE),"ERR","N/A"))</f>
        <v>N/A</v>
      </c>
      <c r="AU15" s="215" t="str">
        <f t="shared" si="138"/>
        <v>N/A</v>
      </c>
      <c r="AV15" s="219" t="b">
        <f t="shared" si="139"/>
        <v>0</v>
      </c>
      <c r="AW15" s="217" t="str">
        <f t="shared" si="140"/>
        <v>N/A</v>
      </c>
      <c r="AX15" s="217" t="str">
        <f>IF(AND(AV15=TRUE,ISNUMBER(AW15)),MAX(0,AW15-SUMIFS($AM$3:$AM14,AV$3:AV14,TRUE)),IF(AND(AV15=TRUE,ISNUMBER(AW15)=FALSE),"ERR","N/A"))</f>
        <v>N/A</v>
      </c>
      <c r="AY15" s="215" t="str">
        <f t="shared" si="141"/>
        <v>N/A</v>
      </c>
      <c r="AZ15" s="219" t="b">
        <f t="shared" si="142"/>
        <v>0</v>
      </c>
      <c r="BA15" s="217" t="str">
        <f t="shared" si="143"/>
        <v>N/A</v>
      </c>
      <c r="BB15" s="217" t="str">
        <f>IF(AND(AZ15=TRUE,ISNUMBER(BA15)),MAX(0,BA15-SUMIFS($AM$3:$AM14,AZ$3:AZ14,TRUE)),IF(AND(AZ15=TRUE,ISNUMBER(BA15)=FALSE),"ERR","N/A"))</f>
        <v>N/A</v>
      </c>
      <c r="BC15" s="215" t="str">
        <f t="shared" si="144"/>
        <v>N/A</v>
      </c>
      <c r="BD15" s="219" t="b">
        <f t="shared" si="145"/>
        <v>0</v>
      </c>
      <c r="BE15" s="217" t="str">
        <f t="shared" si="146"/>
        <v>N/A</v>
      </c>
      <c r="BF15" s="217" t="str">
        <f>IF(AND(BD15=TRUE,ISNUMBER(BE15)=TRUE),MAX(0,BE15-SUMIFS(AM$3:AM14,BD$3:BD14,TRUE,F$3:F14,F15)),IF(AND(BD15=TRUE,ISNUMBER(BE15)=FALSE),"ERR","N/A"))</f>
        <v>N/A</v>
      </c>
      <c r="BG15" s="215" t="str">
        <f t="shared" si="147"/>
        <v>N/A</v>
      </c>
      <c r="BH15" s="214">
        <f t="shared" si="148"/>
        <v>0</v>
      </c>
      <c r="BI15" s="215">
        <f t="shared" si="149"/>
        <v>0</v>
      </c>
      <c r="BJ15" s="214" t="str">
        <f t="shared" si="150"/>
        <v>N/A</v>
      </c>
      <c r="BK15" s="217">
        <f t="shared" si="151"/>
        <v>0</v>
      </c>
      <c r="BL15" s="220" t="b">
        <f t="shared" si="152"/>
        <v>0</v>
      </c>
      <c r="BM15" s="217" t="str">
        <f t="shared" si="153"/>
        <v>N/A</v>
      </c>
      <c r="BN15" s="217" t="str">
        <f t="shared" si="154"/>
        <v>N/A</v>
      </c>
      <c r="BO15" s="220" t="b">
        <f t="shared" si="155"/>
        <v>0</v>
      </c>
      <c r="BP15" s="244" t="str">
        <f t="shared" si="156"/>
        <v>N/A</v>
      </c>
      <c r="BQ15" s="217" t="str">
        <f t="shared" si="157"/>
        <v>N/A</v>
      </c>
      <c r="BR15" s="215">
        <f t="shared" si="158"/>
        <v>0</v>
      </c>
      <c r="BS15" s="214" t="str">
        <f t="shared" si="159"/>
        <v>N/A</v>
      </c>
      <c r="BT15" s="217">
        <f t="shared" si="160"/>
        <v>0</v>
      </c>
      <c r="BU15" s="215">
        <f t="shared" si="99"/>
        <v>0</v>
      </c>
      <c r="BV15" s="214">
        <f t="shared" si="100"/>
        <v>0</v>
      </c>
      <c r="BW15" s="217">
        <f t="shared" si="161"/>
        <v>43.22</v>
      </c>
      <c r="BX15" s="217">
        <f t="shared" si="162"/>
        <v>0</v>
      </c>
      <c r="BY15" s="217">
        <f t="shared" si="163"/>
        <v>0</v>
      </c>
      <c r="BZ15" s="217">
        <f t="shared" si="164"/>
        <v>0</v>
      </c>
      <c r="CA15" s="217">
        <f t="shared" si="165"/>
        <v>0</v>
      </c>
      <c r="CB15" s="213" t="b">
        <f t="shared" si="166"/>
        <v>1</v>
      </c>
    </row>
    <row r="16" spans="1:80" x14ac:dyDescent="0.25">
      <c r="A16" s="207">
        <v>13</v>
      </c>
      <c r="B16" s="208">
        <v>42565</v>
      </c>
      <c r="C16" s="209">
        <v>7</v>
      </c>
      <c r="D16" s="210">
        <v>14</v>
      </c>
      <c r="E16" s="211" t="str">
        <f t="shared" si="0"/>
        <v>X-ray of ankle, minimum of 3 views</v>
      </c>
      <c r="F16" s="212" t="str">
        <f t="shared" si="1"/>
        <v>Diagnostic Services: Radiology</v>
      </c>
      <c r="G16" s="213" t="str">
        <f t="shared" si="2"/>
        <v>Not Covered</v>
      </c>
      <c r="H16" s="214">
        <f t="shared" si="107"/>
        <v>63.18</v>
      </c>
      <c r="I16" s="217">
        <f t="shared" si="108"/>
        <v>63.18</v>
      </c>
      <c r="J16" s="251">
        <f t="shared" si="109"/>
        <v>0</v>
      </c>
      <c r="K16" s="214" t="b">
        <f t="shared" si="110"/>
        <v>0</v>
      </c>
      <c r="L16" s="218" t="str">
        <f t="shared" si="111"/>
        <v>No</v>
      </c>
      <c r="M16" s="217" t="str">
        <f t="shared" si="112"/>
        <v>.</v>
      </c>
      <c r="N16" s="215" t="str">
        <f>IFERROR(IF(AND(L16="Yes",ISNUMBER(M16)),MAX(0,M16-SUMIFS(BU$3:BU15,L$3:L15,"Yes")),IF(OR(L16="No",M16="None"),"N/A","ERR")),"ERR")</f>
        <v>N/A</v>
      </c>
      <c r="O16" s="251" t="b">
        <f t="shared" si="113"/>
        <v>0</v>
      </c>
      <c r="P16" s="251" t="str">
        <f>IF(O16,BENEFIT_PARAMETERS!$C$76,"N/A")</f>
        <v>N/A</v>
      </c>
      <c r="Q16" s="288" t="str">
        <f>IF(P16="Yes", BENEFIT_PARAMETERS!$D$76,"N/A")</f>
        <v>N/A</v>
      </c>
      <c r="R16" s="253" t="str">
        <f t="shared" si="114"/>
        <v>N/A</v>
      </c>
      <c r="S16" s="217">
        <f t="shared" si="115"/>
        <v>0</v>
      </c>
      <c r="T16" s="215">
        <f t="shared" si="116"/>
        <v>0</v>
      </c>
      <c r="U16" s="214" t="b">
        <f t="shared" si="117"/>
        <v>0</v>
      </c>
      <c r="V16" s="251" t="str">
        <f>IF(O16,BENEFIT_PARAMETERS!$C$77,"N/A")</f>
        <v>N/A</v>
      </c>
      <c r="W16" s="288" t="str">
        <f>IF(V16="Yes", BENEFIT_PARAMETERS!$D$77,"N/A")</f>
        <v>N/A</v>
      </c>
      <c r="X16" s="253" t="str">
        <f>IF(O16,COUNTIF(Z$3:Z15,"&gt;0"),"N/A")</f>
        <v>N/A</v>
      </c>
      <c r="Y16" s="217" t="str">
        <f t="shared" si="118"/>
        <v>N/A</v>
      </c>
      <c r="Z16" s="293" t="str">
        <f t="shared" si="119"/>
        <v>N/A</v>
      </c>
      <c r="AA16" s="293">
        <f t="shared" si="120"/>
        <v>0</v>
      </c>
      <c r="AB16" s="293" t="str">
        <f t="shared" si="121"/>
        <v>N/A</v>
      </c>
      <c r="AC16" s="215">
        <f t="shared" si="122"/>
        <v>0</v>
      </c>
      <c r="AD16" s="214" t="b">
        <f t="shared" si="123"/>
        <v>0</v>
      </c>
      <c r="AE16" s="209" t="str">
        <f t="shared" si="124"/>
        <v>.</v>
      </c>
      <c r="AF16" s="216">
        <f t="shared" si="125"/>
        <v>0</v>
      </c>
      <c r="AG16" s="217" t="str">
        <f t="shared" si="126"/>
        <v>N/A</v>
      </c>
      <c r="AH16" s="217" t="b">
        <f t="shared" si="127"/>
        <v>0</v>
      </c>
      <c r="AI16" s="209" t="str">
        <f t="shared" si="128"/>
        <v>.</v>
      </c>
      <c r="AJ16" s="216">
        <f t="shared" si="129"/>
        <v>0</v>
      </c>
      <c r="AK16" s="217" t="str">
        <f t="shared" si="130"/>
        <v>N/A</v>
      </c>
      <c r="AL16" s="217">
        <f t="shared" si="131"/>
        <v>0</v>
      </c>
      <c r="AM16" s="215">
        <f t="shared" si="132"/>
        <v>0</v>
      </c>
      <c r="AN16" s="219" t="b">
        <f t="shared" si="133"/>
        <v>0</v>
      </c>
      <c r="AO16" s="217" t="str">
        <f t="shared" si="134"/>
        <v>N/A</v>
      </c>
      <c r="AP16" s="217" t="str">
        <f>IF(AND(ISNUMBER(AO16),AN16=TRUE),MAX(0,AO16-SUMIFS($AM$3:$AM15,AN$3:AN15,TRUE)),IF(AND(AN16=TRUE,ISNUMBER(AO16)=FALSE),"ERR","N/A"))</f>
        <v>N/A</v>
      </c>
      <c r="AQ16" s="215" t="str">
        <f t="shared" si="135"/>
        <v>N/A</v>
      </c>
      <c r="AR16" s="219" t="b">
        <f t="shared" si="136"/>
        <v>0</v>
      </c>
      <c r="AS16" s="217" t="str">
        <f t="shared" si="137"/>
        <v>N/A</v>
      </c>
      <c r="AT16" s="217" t="str">
        <f>IF(AND(AR16=TRUE,ISNUMBER(AS16)),MAX(0,AS16-SUMIFS($AM$3:$AM15,AR$3:AR15,TRUE)),IF(AND(AR16=TRUE,ISNUMBER(AS16)=FALSE),"ERR","N/A"))</f>
        <v>N/A</v>
      </c>
      <c r="AU16" s="215" t="str">
        <f t="shared" si="138"/>
        <v>N/A</v>
      </c>
      <c r="AV16" s="219" t="b">
        <f t="shared" si="139"/>
        <v>0</v>
      </c>
      <c r="AW16" s="217" t="str">
        <f t="shared" si="140"/>
        <v>N/A</v>
      </c>
      <c r="AX16" s="217" t="str">
        <f>IF(AND(AV16=TRUE,ISNUMBER(AW16)),MAX(0,AW16-SUMIFS($AM$3:$AM15,AV$3:AV15,TRUE)),IF(AND(AV16=TRUE,ISNUMBER(AW16)=FALSE),"ERR","N/A"))</f>
        <v>N/A</v>
      </c>
      <c r="AY16" s="215" t="str">
        <f t="shared" si="141"/>
        <v>N/A</v>
      </c>
      <c r="AZ16" s="219" t="b">
        <f t="shared" si="142"/>
        <v>0</v>
      </c>
      <c r="BA16" s="217" t="str">
        <f t="shared" si="143"/>
        <v>N/A</v>
      </c>
      <c r="BB16" s="217" t="str">
        <f>IF(AND(AZ16=TRUE,ISNUMBER(BA16)),MAX(0,BA16-SUMIFS($AM$3:$AM15,AZ$3:AZ15,TRUE)),IF(AND(AZ16=TRUE,ISNUMBER(BA16)=FALSE),"ERR","N/A"))</f>
        <v>N/A</v>
      </c>
      <c r="BC16" s="215" t="str">
        <f t="shared" si="144"/>
        <v>N/A</v>
      </c>
      <c r="BD16" s="219" t="b">
        <f t="shared" si="145"/>
        <v>0</v>
      </c>
      <c r="BE16" s="217" t="str">
        <f t="shared" si="146"/>
        <v>N/A</v>
      </c>
      <c r="BF16" s="217" t="str">
        <f>IF(AND(BD16=TRUE,ISNUMBER(BE16)=TRUE),MAX(0,BE16-SUMIFS(AM$3:AM15,BD$3:BD15,TRUE,F$3:F15,F16)),IF(AND(BD16=TRUE,ISNUMBER(BE16)=FALSE),"ERR","N/A"))</f>
        <v>N/A</v>
      </c>
      <c r="BG16" s="215" t="str">
        <f t="shared" si="147"/>
        <v>N/A</v>
      </c>
      <c r="BH16" s="214">
        <f t="shared" si="148"/>
        <v>0</v>
      </c>
      <c r="BI16" s="215">
        <f t="shared" si="149"/>
        <v>0</v>
      </c>
      <c r="BJ16" s="214" t="str">
        <f t="shared" si="150"/>
        <v>N/A</v>
      </c>
      <c r="BK16" s="217">
        <f t="shared" si="151"/>
        <v>0</v>
      </c>
      <c r="BL16" s="220" t="b">
        <f t="shared" si="152"/>
        <v>0</v>
      </c>
      <c r="BM16" s="217" t="str">
        <f t="shared" si="153"/>
        <v>N/A</v>
      </c>
      <c r="BN16" s="217" t="str">
        <f t="shared" si="154"/>
        <v>N/A</v>
      </c>
      <c r="BO16" s="220" t="b">
        <f t="shared" si="155"/>
        <v>0</v>
      </c>
      <c r="BP16" s="244" t="str">
        <f t="shared" si="156"/>
        <v>N/A</v>
      </c>
      <c r="BQ16" s="217" t="str">
        <f t="shared" si="157"/>
        <v>N/A</v>
      </c>
      <c r="BR16" s="215">
        <f t="shared" si="158"/>
        <v>0</v>
      </c>
      <c r="BS16" s="214" t="str">
        <f t="shared" si="159"/>
        <v>N/A</v>
      </c>
      <c r="BT16" s="217">
        <f t="shared" si="160"/>
        <v>0</v>
      </c>
      <c r="BU16" s="215">
        <f t="shared" si="99"/>
        <v>0</v>
      </c>
      <c r="BV16" s="214">
        <f t="shared" si="100"/>
        <v>0</v>
      </c>
      <c r="BW16" s="217">
        <f t="shared" si="161"/>
        <v>63.18</v>
      </c>
      <c r="BX16" s="217">
        <f t="shared" si="162"/>
        <v>0</v>
      </c>
      <c r="BY16" s="217">
        <f t="shared" si="163"/>
        <v>0</v>
      </c>
      <c r="BZ16" s="217">
        <f t="shared" si="164"/>
        <v>0</v>
      </c>
      <c r="CA16" s="217">
        <f t="shared" si="165"/>
        <v>0</v>
      </c>
      <c r="CB16" s="213" t="b">
        <f t="shared" si="166"/>
        <v>1</v>
      </c>
    </row>
    <row r="17" spans="1:80" x14ac:dyDescent="0.25">
      <c r="A17" s="207">
        <v>14</v>
      </c>
      <c r="B17" s="208">
        <v>42565</v>
      </c>
      <c r="C17" s="209">
        <v>7</v>
      </c>
      <c r="D17" s="210">
        <v>15</v>
      </c>
      <c r="E17" s="211" t="str">
        <f t="shared" si="0"/>
        <v>Office or other outpatient visit for the evaluation and management of an established patient, which requires at least 2 of 3 key components. Physicians typically spend 15 minutes face-to-face with the</v>
      </c>
      <c r="F17" s="212" t="str">
        <f t="shared" si="1"/>
        <v>Professional Services: Specialist</v>
      </c>
      <c r="G17" s="213" t="str">
        <f t="shared" si="2"/>
        <v>Not Covered</v>
      </c>
      <c r="H17" s="214">
        <f t="shared" si="107"/>
        <v>81.66</v>
      </c>
      <c r="I17" s="217">
        <f t="shared" si="108"/>
        <v>81.66</v>
      </c>
      <c r="J17" s="251">
        <f t="shared" si="109"/>
        <v>0</v>
      </c>
      <c r="K17" s="214" t="b">
        <f t="shared" si="110"/>
        <v>0</v>
      </c>
      <c r="L17" s="218" t="str">
        <f t="shared" si="111"/>
        <v>No</v>
      </c>
      <c r="M17" s="217" t="str">
        <f t="shared" si="112"/>
        <v>.</v>
      </c>
      <c r="N17" s="215" t="str">
        <f>IFERROR(IF(AND(L17="Yes",ISNUMBER(M17)),MAX(0,M17-SUMIFS(BU$3:BU16,L$3:L16,"Yes")),IF(OR(L17="No",M17="None"),"N/A","ERR")),"ERR")</f>
        <v>N/A</v>
      </c>
      <c r="O17" s="251" t="b">
        <f t="shared" si="113"/>
        <v>0</v>
      </c>
      <c r="P17" s="251" t="str">
        <f>IF(O17,BENEFIT_PARAMETERS!$C$76,"N/A")</f>
        <v>N/A</v>
      </c>
      <c r="Q17" s="288" t="str">
        <f>IF(P17="Yes", BENEFIT_PARAMETERS!$D$76,"N/A")</f>
        <v>N/A</v>
      </c>
      <c r="R17" s="253" t="str">
        <f t="shared" si="114"/>
        <v>N/A</v>
      </c>
      <c r="S17" s="217">
        <f t="shared" si="115"/>
        <v>0</v>
      </c>
      <c r="T17" s="215">
        <f t="shared" si="116"/>
        <v>0</v>
      </c>
      <c r="U17" s="214" t="b">
        <f t="shared" si="117"/>
        <v>0</v>
      </c>
      <c r="V17" s="251" t="str">
        <f>IF(O17,BENEFIT_PARAMETERS!$C$77,"N/A")</f>
        <v>N/A</v>
      </c>
      <c r="W17" s="288" t="str">
        <f>IF(V17="Yes", BENEFIT_PARAMETERS!$D$77,"N/A")</f>
        <v>N/A</v>
      </c>
      <c r="X17" s="253" t="str">
        <f>IF(O17,COUNTIF(Z$3:Z16,"&gt;0"),"N/A")</f>
        <v>N/A</v>
      </c>
      <c r="Y17" s="217" t="str">
        <f t="shared" si="118"/>
        <v>N/A</v>
      </c>
      <c r="Z17" s="293" t="str">
        <f t="shared" si="119"/>
        <v>N/A</v>
      </c>
      <c r="AA17" s="293">
        <f t="shared" si="120"/>
        <v>0</v>
      </c>
      <c r="AB17" s="293" t="str">
        <f t="shared" si="121"/>
        <v>N/A</v>
      </c>
      <c r="AC17" s="215">
        <f t="shared" si="122"/>
        <v>0</v>
      </c>
      <c r="AD17" s="214" t="b">
        <f t="shared" si="123"/>
        <v>0</v>
      </c>
      <c r="AE17" s="209" t="str">
        <f t="shared" si="124"/>
        <v>.</v>
      </c>
      <c r="AF17" s="216">
        <f t="shared" si="125"/>
        <v>0</v>
      </c>
      <c r="AG17" s="217" t="str">
        <f t="shared" si="126"/>
        <v>N/A</v>
      </c>
      <c r="AH17" s="217" t="b">
        <f t="shared" si="127"/>
        <v>0</v>
      </c>
      <c r="AI17" s="209" t="str">
        <f t="shared" si="128"/>
        <v>.</v>
      </c>
      <c r="AJ17" s="216">
        <f t="shared" si="129"/>
        <v>0</v>
      </c>
      <c r="AK17" s="217" t="str">
        <f t="shared" si="130"/>
        <v>N/A</v>
      </c>
      <c r="AL17" s="217">
        <f t="shared" si="131"/>
        <v>0</v>
      </c>
      <c r="AM17" s="215">
        <f t="shared" si="132"/>
        <v>0</v>
      </c>
      <c r="AN17" s="219" t="b">
        <f t="shared" si="133"/>
        <v>0</v>
      </c>
      <c r="AO17" s="217" t="str">
        <f t="shared" si="134"/>
        <v>N/A</v>
      </c>
      <c r="AP17" s="217" t="str">
        <f>IF(AND(ISNUMBER(AO17),AN17=TRUE),MAX(0,AO17-SUMIFS($AM$3:$AM16,AN$3:AN16,TRUE)),IF(AND(AN17=TRUE,ISNUMBER(AO17)=FALSE),"ERR","N/A"))</f>
        <v>N/A</v>
      </c>
      <c r="AQ17" s="215" t="str">
        <f t="shared" si="135"/>
        <v>N/A</v>
      </c>
      <c r="AR17" s="219" t="b">
        <f t="shared" si="136"/>
        <v>0</v>
      </c>
      <c r="AS17" s="217" t="str">
        <f t="shared" si="137"/>
        <v>N/A</v>
      </c>
      <c r="AT17" s="217" t="str">
        <f>IF(AND(AR17=TRUE,ISNUMBER(AS17)),MAX(0,AS17-SUMIFS($AM$3:$AM16,AR$3:AR16,TRUE)),IF(AND(AR17=TRUE,ISNUMBER(AS17)=FALSE),"ERR","N/A"))</f>
        <v>N/A</v>
      </c>
      <c r="AU17" s="215" t="str">
        <f t="shared" si="138"/>
        <v>N/A</v>
      </c>
      <c r="AV17" s="219" t="b">
        <f t="shared" si="139"/>
        <v>0</v>
      </c>
      <c r="AW17" s="217" t="str">
        <f t="shared" si="140"/>
        <v>N/A</v>
      </c>
      <c r="AX17" s="217" t="str">
        <f>IF(AND(AV17=TRUE,ISNUMBER(AW17)),MAX(0,AW17-SUMIFS($AM$3:$AM16,AV$3:AV16,TRUE)),IF(AND(AV17=TRUE,ISNUMBER(AW17)=FALSE),"ERR","N/A"))</f>
        <v>N/A</v>
      </c>
      <c r="AY17" s="215" t="str">
        <f t="shared" si="141"/>
        <v>N/A</v>
      </c>
      <c r="AZ17" s="219" t="b">
        <f t="shared" si="142"/>
        <v>0</v>
      </c>
      <c r="BA17" s="217" t="str">
        <f t="shared" si="143"/>
        <v>N/A</v>
      </c>
      <c r="BB17" s="217" t="str">
        <f>IF(AND(AZ17=TRUE,ISNUMBER(BA17)),MAX(0,BA17-SUMIFS($AM$3:$AM16,AZ$3:AZ16,TRUE)),IF(AND(AZ17=TRUE,ISNUMBER(BA17)=FALSE),"ERR","N/A"))</f>
        <v>N/A</v>
      </c>
      <c r="BC17" s="215" t="str">
        <f t="shared" si="144"/>
        <v>N/A</v>
      </c>
      <c r="BD17" s="219" t="b">
        <f t="shared" si="145"/>
        <v>0</v>
      </c>
      <c r="BE17" s="217" t="str">
        <f t="shared" si="146"/>
        <v>N/A</v>
      </c>
      <c r="BF17" s="217" t="str">
        <f>IF(AND(BD17=TRUE,ISNUMBER(BE17)=TRUE),MAX(0,BE17-SUMIFS(AM$3:AM16,BD$3:BD16,TRUE,F$3:F16,F17)),IF(AND(BD17=TRUE,ISNUMBER(BE17)=FALSE),"ERR","N/A"))</f>
        <v>N/A</v>
      </c>
      <c r="BG17" s="215" t="str">
        <f t="shared" si="147"/>
        <v>N/A</v>
      </c>
      <c r="BH17" s="214">
        <f t="shared" si="148"/>
        <v>0</v>
      </c>
      <c r="BI17" s="215">
        <f t="shared" si="149"/>
        <v>0</v>
      </c>
      <c r="BJ17" s="214" t="str">
        <f t="shared" si="150"/>
        <v>N/A</v>
      </c>
      <c r="BK17" s="217">
        <f t="shared" si="151"/>
        <v>0</v>
      </c>
      <c r="BL17" s="220" t="b">
        <f t="shared" si="152"/>
        <v>0</v>
      </c>
      <c r="BM17" s="217" t="str">
        <f t="shared" si="153"/>
        <v>N/A</v>
      </c>
      <c r="BN17" s="217" t="str">
        <f t="shared" si="154"/>
        <v>N/A</v>
      </c>
      <c r="BO17" s="220" t="b">
        <f t="shared" si="155"/>
        <v>0</v>
      </c>
      <c r="BP17" s="244" t="str">
        <f t="shared" si="156"/>
        <v>N/A</v>
      </c>
      <c r="BQ17" s="217" t="str">
        <f t="shared" si="157"/>
        <v>N/A</v>
      </c>
      <c r="BR17" s="215">
        <f t="shared" si="158"/>
        <v>0</v>
      </c>
      <c r="BS17" s="214" t="str">
        <f t="shared" si="159"/>
        <v>N/A</v>
      </c>
      <c r="BT17" s="217">
        <f t="shared" si="160"/>
        <v>0</v>
      </c>
      <c r="BU17" s="215">
        <f t="shared" si="99"/>
        <v>0</v>
      </c>
      <c r="BV17" s="214">
        <f t="shared" si="100"/>
        <v>0</v>
      </c>
      <c r="BW17" s="217">
        <f t="shared" si="161"/>
        <v>81.66</v>
      </c>
      <c r="BX17" s="217">
        <f t="shared" si="162"/>
        <v>0</v>
      </c>
      <c r="BY17" s="217">
        <f t="shared" si="163"/>
        <v>0</v>
      </c>
      <c r="BZ17" s="217">
        <f t="shared" si="164"/>
        <v>0</v>
      </c>
      <c r="CA17" s="217">
        <f t="shared" si="165"/>
        <v>0</v>
      </c>
      <c r="CB17" s="213" t="b">
        <f t="shared" si="166"/>
        <v>1</v>
      </c>
    </row>
    <row r="18" spans="1:80" x14ac:dyDescent="0.25">
      <c r="A18" s="207">
        <v>15</v>
      </c>
      <c r="B18" s="208">
        <v>42586</v>
      </c>
      <c r="C18" s="209">
        <v>8</v>
      </c>
      <c r="D18" s="210">
        <v>16</v>
      </c>
      <c r="E18" s="211" t="str">
        <f t="shared" si="0"/>
        <v>Physical therapy evaluation</v>
      </c>
      <c r="F18" s="212" t="str">
        <f t="shared" si="1"/>
        <v>Professional Services: Physical Therapy</v>
      </c>
      <c r="G18" s="213" t="str">
        <f t="shared" si="2"/>
        <v>Not Covered</v>
      </c>
      <c r="H18" s="214">
        <f t="shared" si="107"/>
        <v>116.43</v>
      </c>
      <c r="I18" s="217">
        <f t="shared" si="108"/>
        <v>116.43</v>
      </c>
      <c r="J18" s="251">
        <f t="shared" si="109"/>
        <v>0</v>
      </c>
      <c r="K18" s="214" t="b">
        <f t="shared" si="110"/>
        <v>0</v>
      </c>
      <c r="L18" s="218" t="str">
        <f t="shared" si="111"/>
        <v>No</v>
      </c>
      <c r="M18" s="217" t="str">
        <f t="shared" si="112"/>
        <v>.</v>
      </c>
      <c r="N18" s="215" t="str">
        <f>IFERROR(IF(AND(L18="Yes",ISNUMBER(M18)),MAX(0,M18-SUMIFS(BU$3:BU17,L$3:L17,"Yes")),IF(OR(L18="No",M18="None"),"N/A","ERR")),"ERR")</f>
        <v>N/A</v>
      </c>
      <c r="O18" s="251" t="b">
        <f t="shared" si="113"/>
        <v>0</v>
      </c>
      <c r="P18" s="251" t="str">
        <f>IF(O18,BENEFIT_PARAMETERS!$C$76,"N/A")</f>
        <v>N/A</v>
      </c>
      <c r="Q18" s="288" t="str">
        <f>IF(P18="Yes", BENEFIT_PARAMETERS!$D$76,"N/A")</f>
        <v>N/A</v>
      </c>
      <c r="R18" s="253" t="str">
        <f t="shared" si="114"/>
        <v>N/A</v>
      </c>
      <c r="S18" s="217">
        <f t="shared" si="115"/>
        <v>0</v>
      </c>
      <c r="T18" s="215">
        <f t="shared" si="116"/>
        <v>0</v>
      </c>
      <c r="U18" s="214" t="b">
        <f t="shared" si="117"/>
        <v>0</v>
      </c>
      <c r="V18" s="251" t="str">
        <f>IF(O18,BENEFIT_PARAMETERS!$C$77,"N/A")</f>
        <v>N/A</v>
      </c>
      <c r="W18" s="288" t="str">
        <f>IF(V18="Yes", BENEFIT_PARAMETERS!$D$77,"N/A")</f>
        <v>N/A</v>
      </c>
      <c r="X18" s="253" t="str">
        <f>IF(O18,COUNTIF(Z$3:Z17,"&gt;0"),"N/A")</f>
        <v>N/A</v>
      </c>
      <c r="Y18" s="217" t="str">
        <f t="shared" si="118"/>
        <v>N/A</v>
      </c>
      <c r="Z18" s="293" t="str">
        <f t="shared" si="119"/>
        <v>N/A</v>
      </c>
      <c r="AA18" s="293">
        <f t="shared" si="120"/>
        <v>0</v>
      </c>
      <c r="AB18" s="293" t="str">
        <f t="shared" si="121"/>
        <v>N/A</v>
      </c>
      <c r="AC18" s="215">
        <f t="shared" si="122"/>
        <v>0</v>
      </c>
      <c r="AD18" s="214" t="b">
        <f t="shared" si="123"/>
        <v>0</v>
      </c>
      <c r="AE18" s="209" t="str">
        <f t="shared" si="124"/>
        <v>.</v>
      </c>
      <c r="AF18" s="216">
        <f t="shared" si="125"/>
        <v>0</v>
      </c>
      <c r="AG18" s="217" t="str">
        <f t="shared" si="126"/>
        <v>N/A</v>
      </c>
      <c r="AH18" s="217" t="b">
        <f t="shared" si="127"/>
        <v>0</v>
      </c>
      <c r="AI18" s="209" t="str">
        <f t="shared" si="128"/>
        <v>.</v>
      </c>
      <c r="AJ18" s="216">
        <f t="shared" si="129"/>
        <v>0</v>
      </c>
      <c r="AK18" s="217" t="str">
        <f t="shared" si="130"/>
        <v>N/A</v>
      </c>
      <c r="AL18" s="217">
        <f t="shared" si="131"/>
        <v>0</v>
      </c>
      <c r="AM18" s="215">
        <f t="shared" si="132"/>
        <v>0</v>
      </c>
      <c r="AN18" s="219" t="b">
        <f t="shared" si="133"/>
        <v>0</v>
      </c>
      <c r="AO18" s="217" t="str">
        <f t="shared" si="134"/>
        <v>N/A</v>
      </c>
      <c r="AP18" s="217" t="str">
        <f>IF(AND(ISNUMBER(AO18),AN18=TRUE),MAX(0,AO18-SUMIFS($AM$3:$AM17,AN$3:AN17,TRUE)),IF(AND(AN18=TRUE,ISNUMBER(AO18)=FALSE),"ERR","N/A"))</f>
        <v>N/A</v>
      </c>
      <c r="AQ18" s="215" t="str">
        <f t="shared" si="135"/>
        <v>N/A</v>
      </c>
      <c r="AR18" s="219" t="b">
        <f t="shared" si="136"/>
        <v>0</v>
      </c>
      <c r="AS18" s="217" t="str">
        <f t="shared" si="137"/>
        <v>N/A</v>
      </c>
      <c r="AT18" s="217" t="str">
        <f>IF(AND(AR18=TRUE,ISNUMBER(AS18)),MAX(0,AS18-SUMIFS($AM$3:$AM17,AR$3:AR17,TRUE)),IF(AND(AR18=TRUE,ISNUMBER(AS18)=FALSE),"ERR","N/A"))</f>
        <v>N/A</v>
      </c>
      <c r="AU18" s="215" t="str">
        <f t="shared" si="138"/>
        <v>N/A</v>
      </c>
      <c r="AV18" s="219" t="b">
        <f t="shared" si="139"/>
        <v>0</v>
      </c>
      <c r="AW18" s="217" t="str">
        <f t="shared" si="140"/>
        <v>N/A</v>
      </c>
      <c r="AX18" s="217" t="str">
        <f>IF(AND(AV18=TRUE,ISNUMBER(AW18)),MAX(0,AW18-SUMIFS($AM$3:$AM17,AV$3:AV17,TRUE)),IF(AND(AV18=TRUE,ISNUMBER(AW18)=FALSE),"ERR","N/A"))</f>
        <v>N/A</v>
      </c>
      <c r="AY18" s="215" t="str">
        <f t="shared" si="141"/>
        <v>N/A</v>
      </c>
      <c r="AZ18" s="219" t="b">
        <f t="shared" si="142"/>
        <v>0</v>
      </c>
      <c r="BA18" s="217" t="str">
        <f t="shared" si="143"/>
        <v>N/A</v>
      </c>
      <c r="BB18" s="217" t="str">
        <f>IF(AND(AZ18=TRUE,ISNUMBER(BA18)),MAX(0,BA18-SUMIFS($AM$3:$AM17,AZ$3:AZ17,TRUE)),IF(AND(AZ18=TRUE,ISNUMBER(BA18)=FALSE),"ERR","N/A"))</f>
        <v>N/A</v>
      </c>
      <c r="BC18" s="215" t="str">
        <f t="shared" si="144"/>
        <v>N/A</v>
      </c>
      <c r="BD18" s="219" t="b">
        <f t="shared" si="145"/>
        <v>0</v>
      </c>
      <c r="BE18" s="217" t="str">
        <f t="shared" si="146"/>
        <v>N/A</v>
      </c>
      <c r="BF18" s="217" t="str">
        <f>IF(AND(BD18=TRUE,ISNUMBER(BE18)=TRUE),MAX(0,BE18-SUMIFS(AM$3:AM17,BD$3:BD17,TRUE,F$3:F17,F18)),IF(AND(BD18=TRUE,ISNUMBER(BE18)=FALSE),"ERR","N/A"))</f>
        <v>N/A</v>
      </c>
      <c r="BG18" s="215" t="str">
        <f t="shared" si="147"/>
        <v>N/A</v>
      </c>
      <c r="BH18" s="214">
        <f t="shared" si="148"/>
        <v>0</v>
      </c>
      <c r="BI18" s="215">
        <f t="shared" si="149"/>
        <v>0</v>
      </c>
      <c r="BJ18" s="214" t="str">
        <f t="shared" si="150"/>
        <v>N/A</v>
      </c>
      <c r="BK18" s="217">
        <f t="shared" si="151"/>
        <v>0</v>
      </c>
      <c r="BL18" s="220" t="b">
        <f t="shared" si="152"/>
        <v>0</v>
      </c>
      <c r="BM18" s="217" t="str">
        <f t="shared" si="153"/>
        <v>N/A</v>
      </c>
      <c r="BN18" s="217" t="str">
        <f t="shared" si="154"/>
        <v>N/A</v>
      </c>
      <c r="BO18" s="220" t="b">
        <f t="shared" si="155"/>
        <v>0</v>
      </c>
      <c r="BP18" s="244" t="str">
        <f t="shared" si="156"/>
        <v>N/A</v>
      </c>
      <c r="BQ18" s="217" t="str">
        <f t="shared" si="157"/>
        <v>N/A</v>
      </c>
      <c r="BR18" s="215">
        <f t="shared" si="158"/>
        <v>0</v>
      </c>
      <c r="BS18" s="214" t="str">
        <f t="shared" si="159"/>
        <v>N/A</v>
      </c>
      <c r="BT18" s="217">
        <f t="shared" si="160"/>
        <v>0</v>
      </c>
      <c r="BU18" s="215">
        <f t="shared" si="99"/>
        <v>0</v>
      </c>
      <c r="BV18" s="214">
        <f t="shared" si="100"/>
        <v>0</v>
      </c>
      <c r="BW18" s="217">
        <f t="shared" si="161"/>
        <v>116.43</v>
      </c>
      <c r="BX18" s="217">
        <f t="shared" si="162"/>
        <v>0</v>
      </c>
      <c r="BY18" s="217">
        <f t="shared" si="163"/>
        <v>0</v>
      </c>
      <c r="BZ18" s="217">
        <f t="shared" si="164"/>
        <v>0</v>
      </c>
      <c r="CA18" s="217">
        <f t="shared" si="165"/>
        <v>0</v>
      </c>
      <c r="CB18" s="213" t="b">
        <f t="shared" si="166"/>
        <v>1</v>
      </c>
    </row>
    <row r="19" spans="1:80" x14ac:dyDescent="0.25">
      <c r="A19" s="207">
        <v>16</v>
      </c>
      <c r="B19" s="208">
        <v>42593</v>
      </c>
      <c r="C19" s="209">
        <v>8</v>
      </c>
      <c r="D19" s="210">
        <v>17</v>
      </c>
      <c r="E19" s="211" t="str">
        <f t="shared" si="0"/>
        <v xml:space="preserve">Therapeutic procedure, 1 or more areas, 2 sessions (15 minutes/session); therapeutic exercises to develop strength and endurance, range of motion and flexibility. </v>
      </c>
      <c r="F19" s="212" t="str">
        <f t="shared" si="1"/>
        <v>Professional Services: Physical Therapy</v>
      </c>
      <c r="G19" s="213" t="str">
        <f t="shared" si="2"/>
        <v>Not Covered</v>
      </c>
      <c r="H19" s="214">
        <f t="shared" ref="H19:H21" si="167">VLOOKUP(D19,FractureFeeSchedule,7,FALSE)</f>
        <v>82.53</v>
      </c>
      <c r="I19" s="217">
        <f t="shared" ref="I19:I21" si="168">IF(G19="Not Covered",H19,0)</f>
        <v>82.53</v>
      </c>
      <c r="J19" s="251">
        <f t="shared" ref="J19:J21" si="169">H19-I19</f>
        <v>0</v>
      </c>
      <c r="K19" s="214" t="b">
        <f t="shared" ref="K19:K21" si="170">VLOOKUP(F19,nrCoverageTable,COLUMN(nrOOPLimitValid),FALSE)</f>
        <v>0</v>
      </c>
      <c r="L19" s="218" t="str">
        <f t="shared" ref="L19:L21" si="171">IF(K19,VLOOKUP(F19,BenefitDesignTable,COLUMN(BenefitOOPLimitApplies),FALSE),"No")</f>
        <v>No</v>
      </c>
      <c r="M19" s="217" t="str">
        <f t="shared" ref="M19:M21" si="172">VLOOKUP(F19,BenefitDesignTable,COLUMN(OPLimit),FALSE)</f>
        <v>.</v>
      </c>
      <c r="N19" s="215" t="str">
        <f>IFERROR(IF(AND(L19="Yes",ISNUMBER(M19)),MAX(0,M19-SUMIFS(BU$3:BU18,L$3:L18,"Yes")),IF(OR(L19="No",M19="None"),"N/A","ERR")),"ERR")</f>
        <v>N/A</v>
      </c>
      <c r="O19" s="251" t="b">
        <f t="shared" ref="O19:O21" si="173">IF(F19="Professional Services: Primary Care",TRUE, FALSE)</f>
        <v>0</v>
      </c>
      <c r="P19" s="251" t="str">
        <f>IF(O19,BENEFIT_PARAMETERS!$C$76,"N/A")</f>
        <v>N/A</v>
      </c>
      <c r="Q19" s="288" t="str">
        <f>IF(P19="Yes", BENEFIT_PARAMETERS!$D$76,"N/A")</f>
        <v>N/A</v>
      </c>
      <c r="R19" s="253" t="str">
        <f t="shared" ref="R19:R21" si="174">IF(O19,COUNTIFS(BenefitCategory,"Professional Services: Primary Care",ClaimNumber,"&lt;"&amp;A19),"N/A")</f>
        <v>N/A</v>
      </c>
      <c r="S19" s="217">
        <f t="shared" ref="S19:S21" si="175">IF(P19="Yes",IF(R19&lt;Q19,MIN(J19,N19),0),0)</f>
        <v>0</v>
      </c>
      <c r="T19" s="215">
        <f t="shared" ref="T19:T21" si="176">J19-S19</f>
        <v>0</v>
      </c>
      <c r="U19" s="214" t="b">
        <f t="shared" ref="U19:U21" si="177">IF(F19="Professional Services: Primary Care",TRUE, FALSE)</f>
        <v>0</v>
      </c>
      <c r="V19" s="251" t="str">
        <f>IF(O19,BENEFIT_PARAMETERS!$C$77,"N/A")</f>
        <v>N/A</v>
      </c>
      <c r="W19" s="288" t="str">
        <f>IF(V19="Yes", BENEFIT_PARAMETERS!$D$77,"N/A")</f>
        <v>N/A</v>
      </c>
      <c r="X19" s="253" t="str">
        <f>IF(O19,COUNTIF(Z$3:Z18,"&gt;0"),"N/A")</f>
        <v>N/A</v>
      </c>
      <c r="Y19" s="217" t="str">
        <f t="shared" ref="Y19:Y21" si="178">IF(V19="Yes",VLOOKUP("Professional Services: Primary Care",BenefitDesignTable,COLUMN(BenefitCopay),FALSE),"N/A")</f>
        <v>N/A</v>
      </c>
      <c r="Z19" s="293" t="str">
        <f t="shared" ref="Z19:Z21" si="179">IF(AND(V19="Yes",U19=TRUE,X19&lt;W19), MIN(Y19,T19,N19),"N/A")</f>
        <v>N/A</v>
      </c>
      <c r="AA19" s="293">
        <f t="shared" ref="AA19:AA21" si="180">IF(Z19="N/A",0,T19-Z19)</f>
        <v>0</v>
      </c>
      <c r="AB19" s="293" t="str">
        <f t="shared" ref="AB19:AB21" si="181">IF(L19="Yes",IF(Z19="N/A",N19,N19-Z19),"N/A")</f>
        <v>N/A</v>
      </c>
      <c r="AC19" s="215">
        <f t="shared" ref="AC19:AC21" si="182">IF(Z19="N/A",T19,0)</f>
        <v>0</v>
      </c>
      <c r="AD19" s="214" t="b">
        <f t="shared" ref="AD19:AD21" si="183">VLOOKUP(F19,nrCoverageTable,COLUMN(nrMonthlyLimitValid),FALSE)</f>
        <v>0</v>
      </c>
      <c r="AE19" s="209" t="str">
        <f t="shared" ref="AE19:AE21" si="184">IF(AD19,VLOOKUP(F19,BenefitDesignTable,COLUMN(BenefitLimithMonth),FALSE),".")</f>
        <v>.</v>
      </c>
      <c r="AF19" s="216">
        <f t="shared" ref="AF19:AF21" si="185">COUNTIFS(ServiceCode,D19,ClaimMonth,C19,ClaimNumber,"&lt;"&amp;A19)</f>
        <v>0</v>
      </c>
      <c r="AG19" s="217" t="str">
        <f t="shared" ref="AG19:AG21" si="186">IF(AD19,IF(OR(AE19="None",ISNUMBER(AE19)),IF(AF19&gt;=AE19,H19,0),"ERR"),"N/A")</f>
        <v>N/A</v>
      </c>
      <c r="AH19" s="217" t="b">
        <f t="shared" ref="AH19:AH21" si="187">VLOOKUP(F19,nrCoverageTable,COLUMN(nrAnnualLimitValid),FALSE)</f>
        <v>0</v>
      </c>
      <c r="AI19" s="209" t="str">
        <f t="shared" ref="AI19:AI21" si="188">IF(AH19,VLOOKUP(F19,BenefitDesignTable,COLUMN(BenefitLimitAnnual),FALSE),".")</f>
        <v>.</v>
      </c>
      <c r="AJ19" s="216">
        <f t="shared" ref="AJ19:AJ21" si="189">COUNTIFS(ServiceCode,D19,ClaimNumber,"&lt;"&amp;A19)</f>
        <v>0</v>
      </c>
      <c r="AK19" s="217" t="str">
        <f t="shared" ref="AK19:AK21" si="190">IF(AH19,IF(OR(AI19="None",ISNUMBER(AI19)),IF(AJ19&gt;=AI19,H19,0),"ERR"),"N/A")</f>
        <v>N/A</v>
      </c>
      <c r="AL19" s="217">
        <f t="shared" ref="AL19:AL21" si="191">IF(OR(AG19="ERR",AK19="ERR"),"ERR",MAX(AG19,AK19))</f>
        <v>0</v>
      </c>
      <c r="AM19" s="215">
        <f t="shared" ref="AM19:AM21" si="192">IFERROR(AC19-AL19,"ERR")</f>
        <v>0</v>
      </c>
      <c r="AN19" s="219" t="b">
        <f t="shared" ref="AN19:AN21" si="193">VLOOKUP(F19,nrCoverageTable,COLUMN(nrUsesPlanDeduct),FALSE)</f>
        <v>0</v>
      </c>
      <c r="AO19" s="217" t="str">
        <f t="shared" ref="AO19:AO21" si="194">IF(AN19,VLOOKUP(F19,BenefitDesignTable,COLUMN(PlanDeductible),FALSE),"N/A")</f>
        <v>N/A</v>
      </c>
      <c r="AP19" s="217" t="str">
        <f>IF(AND(ISNUMBER(AO19),AN19=TRUE),MAX(0,AO19-SUMIFS($AM$3:$AM18,AN$3:AN18,TRUE)),IF(AND(AN19=TRUE,ISNUMBER(AO19)=FALSE),"ERR","N/A"))</f>
        <v>N/A</v>
      </c>
      <c r="AQ19" s="215" t="str">
        <f t="shared" ref="AQ19:AQ21" si="195">IF(ISNUMBER(AP19),MIN($AM19,AP19),"N/A")</f>
        <v>N/A</v>
      </c>
      <c r="AR19" s="219" t="b">
        <f t="shared" ref="AR19:AR21" si="196">VLOOKUP(F19,nrCoverageTable,COLUMN(nrUsesRxDeduct),FALSE)</f>
        <v>0</v>
      </c>
      <c r="AS19" s="217" t="str">
        <f t="shared" ref="AS19:AS21" si="197">IF(AR19,VLOOKUP(F19,BenefitDesignTable,COLUMN(RxDeductible),FALSE),"N/A")</f>
        <v>N/A</v>
      </c>
      <c r="AT19" s="217" t="str">
        <f>IF(AND(AR19=TRUE,ISNUMBER(AS19)),MAX(0,AS19-SUMIFS($AM$3:$AM18,AR$3:AR18,TRUE)),IF(AND(AR19=TRUE,ISNUMBER(AS19)=FALSE),"ERR","N/A"))</f>
        <v>N/A</v>
      </c>
      <c r="AU19" s="215" t="str">
        <f t="shared" ref="AU19:AU21" si="198">IF(ISNUMBER(AT19),MIN($AM19,AT19),"N/A")</f>
        <v>N/A</v>
      </c>
      <c r="AV19" s="219" t="b">
        <f t="shared" ref="AV19:AV21" si="199">VLOOKUP(F19,nrCoverageTable,COLUMN(nrUsesDeductC),FALSE)</f>
        <v>0</v>
      </c>
      <c r="AW19" s="217" t="str">
        <f t="shared" ref="AW19:AW21" si="200">IF(AV19,VLOOKUP(F19,BenefitDesignTable,COLUMN(OptDeductibleC),FALSE),"N/A")</f>
        <v>N/A</v>
      </c>
      <c r="AX19" s="217" t="str">
        <f>IF(AND(AV19=TRUE,ISNUMBER(AW19)),MAX(0,AW19-SUMIFS($AM$3:$AM18,AV$3:AV18,TRUE)),IF(AND(AV19=TRUE,ISNUMBER(AW19)=FALSE),"ERR","N/A"))</f>
        <v>N/A</v>
      </c>
      <c r="AY19" s="215" t="str">
        <f t="shared" ref="AY19:AY21" si="201">IF(ISNUMBER(AX19),MIN($AM19,AX19),"N/A")</f>
        <v>N/A</v>
      </c>
      <c r="AZ19" s="219" t="b">
        <f t="shared" ref="AZ19:AZ21" si="202">VLOOKUP(F19,nrCoverageTable,COLUMN(nrUsesDeductD),FALSE)</f>
        <v>0</v>
      </c>
      <c r="BA19" s="217" t="str">
        <f t="shared" ref="BA19:BA21" si="203">IF(AZ19,VLOOKUP(F19,BenefitDesignTable,COLUMN(OptDeductibleD),FALSE),"N/A")</f>
        <v>N/A</v>
      </c>
      <c r="BB19" s="217" t="str">
        <f>IF(AND(AZ19=TRUE,ISNUMBER(BA19)),MAX(0,BA19-SUMIFS($AM$3:$AM18,AZ$3:AZ18,TRUE)),IF(AND(AZ19=TRUE,ISNUMBER(BA19)=FALSE),"ERR","N/A"))</f>
        <v>N/A</v>
      </c>
      <c r="BC19" s="215" t="str">
        <f t="shared" ref="BC19:BC21" si="204">IF(ISNUMBER(BB19),MIN($AM19,BB19),"N/A")</f>
        <v>N/A</v>
      </c>
      <c r="BD19" s="219" t="b">
        <f t="shared" ref="BD19:BD21" si="205">VLOOKUP(F19,nrCoverageTable,COLUMN(nrUsesBenDeduct),FALSE)</f>
        <v>0</v>
      </c>
      <c r="BE19" s="217" t="str">
        <f t="shared" ref="BE19:BE21" si="206">IF(BD19,VLOOKUP(F19,BenefitDesignTable,COLUMN(BenefitDeductible),FALSE),"N/A")</f>
        <v>N/A</v>
      </c>
      <c r="BF19" s="217" t="str">
        <f>IF(AND(BD19=TRUE,ISNUMBER(BE19)=TRUE),MAX(0,BE19-SUMIFS(AM$3:AM18,BD$3:BD18,TRUE,F$3:F18,F19)),IF(AND(BD19=TRUE,ISNUMBER(BE19)=FALSE),"ERR","N/A"))</f>
        <v>N/A</v>
      </c>
      <c r="BG19" s="215" t="str">
        <f t="shared" ref="BG19:BG21" si="207">IF(ISNUMBER(BF19),MIN($AM19,BF19),"N/A")</f>
        <v>N/A</v>
      </c>
      <c r="BH19" s="214">
        <f t="shared" ref="BH19:BH21" si="208">SUM(AQ19,AU19,AY19,BC19,BG19)</f>
        <v>0</v>
      </c>
      <c r="BI19" s="215">
        <f t="shared" ref="BI19:BI21" si="209">IF(OR(AB19="ERR",BH19="ERR"),"ERR",MIN(BH19,AB19))</f>
        <v>0</v>
      </c>
      <c r="BJ19" s="214" t="str">
        <f t="shared" ref="BJ19:BJ21" si="210">IF(AND(L19="Yes",ISNUMBER(M19)),IF(OR(BI19="ERR",AB19="ERR"),"ERR",MAX($AB19-BI19,0)),"N/A")</f>
        <v>N/A</v>
      </c>
      <c r="BK19" s="217">
        <f t="shared" ref="BK19:BK21" si="211">IF(OR(BI19="ERR",AM19="ERR"),"ERR",MAX(0,AM19-BI19))</f>
        <v>0</v>
      </c>
      <c r="BL19" s="220" t="b">
        <f t="shared" ref="BL19:BL21" si="212">VLOOKUP(F19,nrCoverageTable,COLUMN(nrUsesCopay),FALSE)</f>
        <v>0</v>
      </c>
      <c r="BM19" s="217" t="str">
        <f t="shared" ref="BM19:BM21" si="213">IF(BL19,VLOOKUP(F19,BenefitDesignTable,COLUMN(BenefitCopay),FALSE),"N/A")</f>
        <v>N/A</v>
      </c>
      <c r="BN19" s="217" t="str">
        <f t="shared" ref="BN19:BN21" si="214">IF(BK19="ERR","ERR",IF(AND(BL19=TRUE,ISNUMBER(BM19)),MIN(BK19,BM19,BJ19),IF(AND(BL19=TRUE,ISNUMBER(BM19)=FALSE),"ERR","N/A")))</f>
        <v>N/A</v>
      </c>
      <c r="BO19" s="220" t="b">
        <f t="shared" ref="BO19:BO21" si="215">VLOOKUP(F19,nrCoverageTable,COLUMN(nrUsesCoins),FALSE)</f>
        <v>0</v>
      </c>
      <c r="BP19" s="244" t="str">
        <f t="shared" ref="BP19:BP21" si="216">IF(BO19,VLOOKUP(F19,BenefitDesignTable,COLUMN(BenefitCoins),FALSE),"N/A")</f>
        <v>N/A</v>
      </c>
      <c r="BQ19" s="217" t="str">
        <f t="shared" ref="BQ19:BQ21" si="217">IF(BK19="ERR","ERR",IF(AND(BO19=TRUE,ISNUMBER(BP19)=TRUE),MIN(BJ19,BK19*BP19),IF(AND(BO19=TRUE,ISNUMBER(BP19)=FALSE),"ERR","N/A")))</f>
        <v>N/A</v>
      </c>
      <c r="BR19" s="215">
        <f t="shared" ref="BR19:BR21" si="218">IF(OR(BJ19="ERR",BN19="ERR",BQ19="ERR"),"ERR",MIN(BJ19,SUM(BN19,BQ19)))</f>
        <v>0</v>
      </c>
      <c r="BS19" s="214" t="str">
        <f t="shared" ref="BS19:BS21" si="219">IF(AND(L19="Yes",ISNUMBER(M19)),IF(OR(BJ19="ERR",BR19="ERR"),"ERR",MAX(BJ19-BR19,0)),"N/A")</f>
        <v>N/A</v>
      </c>
      <c r="BT19" s="217">
        <f t="shared" ref="BT19:BT21" si="220">IF(OR(BK19="ERR",BR19="ERR"),"ERR",MAX(BK19-BR19,0))</f>
        <v>0</v>
      </c>
      <c r="BU19" s="215">
        <f t="shared" si="99"/>
        <v>0</v>
      </c>
      <c r="BV19" s="214">
        <f t="shared" si="100"/>
        <v>0</v>
      </c>
      <c r="BW19" s="217">
        <f t="shared" ref="BW19:BW21" si="221">I19</f>
        <v>82.53</v>
      </c>
      <c r="BX19" s="217">
        <f t="shared" ref="BX19:BX21" si="222">IF(OR(AG19="ERR",AK19="ERR"),"ERR",SUM(AG19,AK19))</f>
        <v>0</v>
      </c>
      <c r="BY19" s="217">
        <f t="shared" ref="BY19:BY21" si="223">BI19</f>
        <v>0</v>
      </c>
      <c r="BZ19" s="217">
        <f t="shared" ref="BZ19:BZ21" si="224">IF(V19="Yes",IF(Z19="N/A",0,Z19),0)+IF(BL19,BN19,0)</f>
        <v>0</v>
      </c>
      <c r="CA19" s="217">
        <f t="shared" ref="CA19:CA21" si="225">IF(BO19,BQ19,0)</f>
        <v>0</v>
      </c>
      <c r="CB19" s="213" t="b">
        <f t="shared" ref="CB19:CB21" si="226">SUM(BV19:CA19)=H19</f>
        <v>1</v>
      </c>
    </row>
    <row r="20" spans="1:80" x14ac:dyDescent="0.25">
      <c r="A20" s="324">
        <v>17</v>
      </c>
      <c r="B20" s="325">
        <v>42593</v>
      </c>
      <c r="C20" s="209">
        <v>8</v>
      </c>
      <c r="D20" s="210">
        <v>17</v>
      </c>
      <c r="E20" s="327" t="str">
        <f t="shared" si="0"/>
        <v xml:space="preserve">Therapeutic procedure, 1 or more areas, 2 sessions (15 minutes/session); therapeutic exercises to develop strength and endurance, range of motion and flexibility. </v>
      </c>
      <c r="F20" s="328" t="str">
        <f t="shared" si="1"/>
        <v>Professional Services: Physical Therapy</v>
      </c>
      <c r="G20" s="329" t="str">
        <f t="shared" si="2"/>
        <v>Not Covered</v>
      </c>
      <c r="H20" s="330">
        <f t="shared" si="167"/>
        <v>82.53</v>
      </c>
      <c r="I20" s="331">
        <f t="shared" si="168"/>
        <v>82.53</v>
      </c>
      <c r="J20" s="332">
        <f t="shared" si="169"/>
        <v>0</v>
      </c>
      <c r="K20" s="330" t="b">
        <f t="shared" si="170"/>
        <v>0</v>
      </c>
      <c r="L20" s="333" t="str">
        <f t="shared" si="171"/>
        <v>No</v>
      </c>
      <c r="M20" s="331" t="str">
        <f t="shared" si="172"/>
        <v>.</v>
      </c>
      <c r="N20" s="334" t="str">
        <f>IFERROR(IF(AND(L20="Yes",ISNUMBER(M20)),MAX(0,M20-SUMIFS(BU$3:BU19,L$3:L19,"Yes")),IF(OR(L20="No",M20="None"),"N/A","ERR")),"ERR")</f>
        <v>N/A</v>
      </c>
      <c r="O20" s="332" t="b">
        <f t="shared" si="173"/>
        <v>0</v>
      </c>
      <c r="P20" s="332" t="str">
        <f>IF(O20,BENEFIT_PARAMETERS!$C$76,"N/A")</f>
        <v>N/A</v>
      </c>
      <c r="Q20" s="335" t="str">
        <f>IF(P20="Yes", BENEFIT_PARAMETERS!$D$76,"N/A")</f>
        <v>N/A</v>
      </c>
      <c r="R20" s="336" t="str">
        <f t="shared" si="174"/>
        <v>N/A</v>
      </c>
      <c r="S20" s="331">
        <f t="shared" si="175"/>
        <v>0</v>
      </c>
      <c r="T20" s="334">
        <f t="shared" si="176"/>
        <v>0</v>
      </c>
      <c r="U20" s="330" t="b">
        <f t="shared" si="177"/>
        <v>0</v>
      </c>
      <c r="V20" s="332" t="str">
        <f>IF(O20,BENEFIT_PARAMETERS!$C$77,"N/A")</f>
        <v>N/A</v>
      </c>
      <c r="W20" s="335" t="str">
        <f>IF(V20="Yes", BENEFIT_PARAMETERS!$D$77,"N/A")</f>
        <v>N/A</v>
      </c>
      <c r="X20" s="336" t="str">
        <f>IF(O20,COUNTIF(Z$3:Z19,"&gt;0"),"N/A")</f>
        <v>N/A</v>
      </c>
      <c r="Y20" s="331" t="str">
        <f t="shared" si="178"/>
        <v>N/A</v>
      </c>
      <c r="Z20" s="337" t="str">
        <f t="shared" si="179"/>
        <v>N/A</v>
      </c>
      <c r="AA20" s="337">
        <f t="shared" si="180"/>
        <v>0</v>
      </c>
      <c r="AB20" s="337" t="str">
        <f t="shared" si="181"/>
        <v>N/A</v>
      </c>
      <c r="AC20" s="334">
        <f t="shared" si="182"/>
        <v>0</v>
      </c>
      <c r="AD20" s="330" t="b">
        <f t="shared" si="183"/>
        <v>0</v>
      </c>
      <c r="AE20" s="326" t="str">
        <f t="shared" si="184"/>
        <v>.</v>
      </c>
      <c r="AF20" s="338">
        <f t="shared" si="185"/>
        <v>1</v>
      </c>
      <c r="AG20" s="331" t="str">
        <f t="shared" si="186"/>
        <v>N/A</v>
      </c>
      <c r="AH20" s="331" t="b">
        <f t="shared" si="187"/>
        <v>0</v>
      </c>
      <c r="AI20" s="326" t="str">
        <f t="shared" si="188"/>
        <v>.</v>
      </c>
      <c r="AJ20" s="338">
        <f t="shared" si="189"/>
        <v>1</v>
      </c>
      <c r="AK20" s="331" t="str">
        <f t="shared" si="190"/>
        <v>N/A</v>
      </c>
      <c r="AL20" s="331">
        <f t="shared" si="191"/>
        <v>0</v>
      </c>
      <c r="AM20" s="334">
        <f t="shared" si="192"/>
        <v>0</v>
      </c>
      <c r="AN20" s="339" t="b">
        <f t="shared" si="193"/>
        <v>0</v>
      </c>
      <c r="AO20" s="331" t="str">
        <f t="shared" si="194"/>
        <v>N/A</v>
      </c>
      <c r="AP20" s="331" t="str">
        <f>IF(AND(ISNUMBER(AO20),AN20=TRUE),MAX(0,AO20-SUMIFS($AM$3:$AM19,AN$3:AN19,TRUE)),IF(AND(AN20=TRUE,ISNUMBER(AO20)=FALSE),"ERR","N/A"))</f>
        <v>N/A</v>
      </c>
      <c r="AQ20" s="334" t="str">
        <f t="shared" si="195"/>
        <v>N/A</v>
      </c>
      <c r="AR20" s="339" t="b">
        <f t="shared" si="196"/>
        <v>0</v>
      </c>
      <c r="AS20" s="331" t="str">
        <f t="shared" si="197"/>
        <v>N/A</v>
      </c>
      <c r="AT20" s="331" t="str">
        <f>IF(AND(AR20=TRUE,ISNUMBER(AS20)),MAX(0,AS20-SUMIFS($AM$3:$AM19,AR$3:AR19,TRUE)),IF(AND(AR20=TRUE,ISNUMBER(AS20)=FALSE),"ERR","N/A"))</f>
        <v>N/A</v>
      </c>
      <c r="AU20" s="334" t="str">
        <f t="shared" si="198"/>
        <v>N/A</v>
      </c>
      <c r="AV20" s="339" t="b">
        <f t="shared" si="199"/>
        <v>0</v>
      </c>
      <c r="AW20" s="331" t="str">
        <f t="shared" si="200"/>
        <v>N/A</v>
      </c>
      <c r="AX20" s="331" t="str">
        <f>IF(AND(AV20=TRUE,ISNUMBER(AW20)),MAX(0,AW20-SUMIFS($AM$3:$AM19,AV$3:AV19,TRUE)),IF(AND(AV20=TRUE,ISNUMBER(AW20)=FALSE),"ERR","N/A"))</f>
        <v>N/A</v>
      </c>
      <c r="AY20" s="334" t="str">
        <f t="shared" si="201"/>
        <v>N/A</v>
      </c>
      <c r="AZ20" s="339" t="b">
        <f t="shared" si="202"/>
        <v>0</v>
      </c>
      <c r="BA20" s="331" t="str">
        <f t="shared" si="203"/>
        <v>N/A</v>
      </c>
      <c r="BB20" s="331" t="str">
        <f>IF(AND(AZ20=TRUE,ISNUMBER(BA20)),MAX(0,BA20-SUMIFS($AM$3:$AM19,AZ$3:AZ19,TRUE)),IF(AND(AZ20=TRUE,ISNUMBER(BA20)=FALSE),"ERR","N/A"))</f>
        <v>N/A</v>
      </c>
      <c r="BC20" s="334" t="str">
        <f t="shared" si="204"/>
        <v>N/A</v>
      </c>
      <c r="BD20" s="339" t="b">
        <f t="shared" si="205"/>
        <v>0</v>
      </c>
      <c r="BE20" s="331" t="str">
        <f t="shared" si="206"/>
        <v>N/A</v>
      </c>
      <c r="BF20" s="331" t="str">
        <f>IF(AND(BD20=TRUE,ISNUMBER(BE20)=TRUE),MAX(0,BE20-SUMIFS(AM$3:AM19,BD$3:BD19,TRUE,F$3:F19,F20)),IF(AND(BD20=TRUE,ISNUMBER(BE20)=FALSE),"ERR","N/A"))</f>
        <v>N/A</v>
      </c>
      <c r="BG20" s="334" t="str">
        <f t="shared" si="207"/>
        <v>N/A</v>
      </c>
      <c r="BH20" s="330">
        <f t="shared" si="208"/>
        <v>0</v>
      </c>
      <c r="BI20" s="334">
        <f t="shared" si="209"/>
        <v>0</v>
      </c>
      <c r="BJ20" s="330" t="str">
        <f t="shared" si="210"/>
        <v>N/A</v>
      </c>
      <c r="BK20" s="331">
        <f t="shared" si="211"/>
        <v>0</v>
      </c>
      <c r="BL20" s="340" t="b">
        <f t="shared" si="212"/>
        <v>0</v>
      </c>
      <c r="BM20" s="331" t="str">
        <f t="shared" si="213"/>
        <v>N/A</v>
      </c>
      <c r="BN20" s="331" t="str">
        <f t="shared" si="214"/>
        <v>N/A</v>
      </c>
      <c r="BO20" s="340" t="b">
        <f t="shared" si="215"/>
        <v>0</v>
      </c>
      <c r="BP20" s="341" t="str">
        <f t="shared" si="216"/>
        <v>N/A</v>
      </c>
      <c r="BQ20" s="331" t="str">
        <f t="shared" si="217"/>
        <v>N/A</v>
      </c>
      <c r="BR20" s="334">
        <f t="shared" si="218"/>
        <v>0</v>
      </c>
      <c r="BS20" s="330" t="str">
        <f t="shared" si="219"/>
        <v>N/A</v>
      </c>
      <c r="BT20" s="331">
        <f t="shared" si="220"/>
        <v>0</v>
      </c>
      <c r="BU20" s="334">
        <f t="shared" si="99"/>
        <v>0</v>
      </c>
      <c r="BV20" s="330">
        <f t="shared" si="100"/>
        <v>0</v>
      </c>
      <c r="BW20" s="331">
        <f t="shared" si="221"/>
        <v>82.53</v>
      </c>
      <c r="BX20" s="331">
        <f t="shared" si="222"/>
        <v>0</v>
      </c>
      <c r="BY20" s="331">
        <f t="shared" si="223"/>
        <v>0</v>
      </c>
      <c r="BZ20" s="331">
        <f t="shared" si="224"/>
        <v>0</v>
      </c>
      <c r="CA20" s="331">
        <f t="shared" si="225"/>
        <v>0</v>
      </c>
      <c r="CB20" s="329" t="b">
        <f t="shared" si="226"/>
        <v>1</v>
      </c>
    </row>
    <row r="21" spans="1:80" ht="15.75" thickBot="1" x14ac:dyDescent="0.3">
      <c r="A21" s="221">
        <v>18</v>
      </c>
      <c r="B21" s="222">
        <v>42600</v>
      </c>
      <c r="C21" s="223">
        <v>8</v>
      </c>
      <c r="D21" s="224">
        <v>17</v>
      </c>
      <c r="E21" s="225" t="str">
        <f t="shared" si="0"/>
        <v xml:space="preserve">Therapeutic procedure, 1 or more areas, 2 sessions (15 minutes/session); therapeutic exercises to develop strength and endurance, range of motion and flexibility. </v>
      </c>
      <c r="F21" s="226" t="str">
        <f t="shared" si="1"/>
        <v>Professional Services: Physical Therapy</v>
      </c>
      <c r="G21" s="227" t="str">
        <f t="shared" si="2"/>
        <v>Not Covered</v>
      </c>
      <c r="H21" s="228">
        <f t="shared" si="167"/>
        <v>82.53</v>
      </c>
      <c r="I21" s="231">
        <f t="shared" si="168"/>
        <v>82.53</v>
      </c>
      <c r="J21" s="252">
        <f t="shared" si="169"/>
        <v>0</v>
      </c>
      <c r="K21" s="228" t="b">
        <f t="shared" si="170"/>
        <v>0</v>
      </c>
      <c r="L21" s="232" t="str">
        <f t="shared" si="171"/>
        <v>No</v>
      </c>
      <c r="M21" s="231" t="str">
        <f t="shared" si="172"/>
        <v>.</v>
      </c>
      <c r="N21" s="229" t="str">
        <f>IFERROR(IF(AND(L21="Yes",ISNUMBER(M21)),MAX(0,M21-SUMIFS(BU$3:BU20,L$3:L20,"Yes")),IF(OR(L21="No",M21="None"),"N/A","ERR")),"ERR")</f>
        <v>N/A</v>
      </c>
      <c r="O21" s="252" t="b">
        <f t="shared" si="173"/>
        <v>0</v>
      </c>
      <c r="P21" s="252" t="str">
        <f>IF(O21,BENEFIT_PARAMETERS!$C$76,"N/A")</f>
        <v>N/A</v>
      </c>
      <c r="Q21" s="289" t="str">
        <f>IF(P21="Yes", BENEFIT_PARAMETERS!$D$76,"N/A")</f>
        <v>N/A</v>
      </c>
      <c r="R21" s="254" t="str">
        <f t="shared" si="174"/>
        <v>N/A</v>
      </c>
      <c r="S21" s="231">
        <f t="shared" si="175"/>
        <v>0</v>
      </c>
      <c r="T21" s="229">
        <f t="shared" si="176"/>
        <v>0</v>
      </c>
      <c r="U21" s="228" t="b">
        <f t="shared" si="177"/>
        <v>0</v>
      </c>
      <c r="V21" s="252" t="str">
        <f>IF(O21,BENEFIT_PARAMETERS!$C$77,"N/A")</f>
        <v>N/A</v>
      </c>
      <c r="W21" s="289" t="str">
        <f>IF(V21="Yes", BENEFIT_PARAMETERS!$D$77,"N/A")</f>
        <v>N/A</v>
      </c>
      <c r="X21" s="254" t="str">
        <f>IF(O21,COUNTIF(Z$3:Z20,"&gt;0"),"N/A")</f>
        <v>N/A</v>
      </c>
      <c r="Y21" s="231" t="str">
        <f t="shared" si="178"/>
        <v>N/A</v>
      </c>
      <c r="Z21" s="294" t="str">
        <f t="shared" si="179"/>
        <v>N/A</v>
      </c>
      <c r="AA21" s="294">
        <f t="shared" si="180"/>
        <v>0</v>
      </c>
      <c r="AB21" s="294" t="str">
        <f t="shared" si="181"/>
        <v>N/A</v>
      </c>
      <c r="AC21" s="229">
        <f t="shared" si="182"/>
        <v>0</v>
      </c>
      <c r="AD21" s="228" t="b">
        <f t="shared" si="183"/>
        <v>0</v>
      </c>
      <c r="AE21" s="223" t="str">
        <f t="shared" si="184"/>
        <v>.</v>
      </c>
      <c r="AF21" s="230">
        <f t="shared" si="185"/>
        <v>2</v>
      </c>
      <c r="AG21" s="231" t="str">
        <f t="shared" si="186"/>
        <v>N/A</v>
      </c>
      <c r="AH21" s="231" t="b">
        <f t="shared" si="187"/>
        <v>0</v>
      </c>
      <c r="AI21" s="223" t="str">
        <f t="shared" si="188"/>
        <v>.</v>
      </c>
      <c r="AJ21" s="230">
        <f t="shared" si="189"/>
        <v>2</v>
      </c>
      <c r="AK21" s="231" t="str">
        <f t="shared" si="190"/>
        <v>N/A</v>
      </c>
      <c r="AL21" s="231">
        <f t="shared" si="191"/>
        <v>0</v>
      </c>
      <c r="AM21" s="229">
        <f t="shared" si="192"/>
        <v>0</v>
      </c>
      <c r="AN21" s="233" t="b">
        <f t="shared" si="193"/>
        <v>0</v>
      </c>
      <c r="AO21" s="231" t="str">
        <f t="shared" si="194"/>
        <v>N/A</v>
      </c>
      <c r="AP21" s="231" t="str">
        <f>IF(AND(ISNUMBER(AO21),AN21=TRUE),MAX(0,AO21-SUMIFS($AM$3:$AM20,AN$3:AN20,TRUE)),IF(AND(AN21=TRUE,ISNUMBER(AO21)=FALSE),"ERR","N/A"))</f>
        <v>N/A</v>
      </c>
      <c r="AQ21" s="229" t="str">
        <f t="shared" si="195"/>
        <v>N/A</v>
      </c>
      <c r="AR21" s="233" t="b">
        <f t="shared" si="196"/>
        <v>0</v>
      </c>
      <c r="AS21" s="231" t="str">
        <f t="shared" si="197"/>
        <v>N/A</v>
      </c>
      <c r="AT21" s="231" t="str">
        <f>IF(AND(AR21=TRUE,ISNUMBER(AS21)),MAX(0,AS21-SUMIFS($AM$3:$AM20,AR$3:AR20,TRUE)),IF(AND(AR21=TRUE,ISNUMBER(AS21)=FALSE),"ERR","N/A"))</f>
        <v>N/A</v>
      </c>
      <c r="AU21" s="229" t="str">
        <f t="shared" si="198"/>
        <v>N/A</v>
      </c>
      <c r="AV21" s="233" t="b">
        <f t="shared" si="199"/>
        <v>0</v>
      </c>
      <c r="AW21" s="231" t="str">
        <f t="shared" si="200"/>
        <v>N/A</v>
      </c>
      <c r="AX21" s="231" t="str">
        <f>IF(AND(AV21=TRUE,ISNUMBER(AW21)),MAX(0,AW21-SUMIFS($AM$3:$AM20,AV$3:AV20,TRUE)),IF(AND(AV21=TRUE,ISNUMBER(AW21)=FALSE),"ERR","N/A"))</f>
        <v>N/A</v>
      </c>
      <c r="AY21" s="229" t="str">
        <f t="shared" si="201"/>
        <v>N/A</v>
      </c>
      <c r="AZ21" s="233" t="b">
        <f t="shared" si="202"/>
        <v>0</v>
      </c>
      <c r="BA21" s="231" t="str">
        <f t="shared" si="203"/>
        <v>N/A</v>
      </c>
      <c r="BB21" s="231" t="str">
        <f>IF(AND(AZ21=TRUE,ISNUMBER(BA21)),MAX(0,BA21-SUMIFS($AM$3:$AM20,AZ$3:AZ20,TRUE)),IF(AND(AZ21=TRUE,ISNUMBER(BA21)=FALSE),"ERR","N/A"))</f>
        <v>N/A</v>
      </c>
      <c r="BC21" s="229" t="str">
        <f t="shared" si="204"/>
        <v>N/A</v>
      </c>
      <c r="BD21" s="233" t="b">
        <f t="shared" si="205"/>
        <v>0</v>
      </c>
      <c r="BE21" s="231" t="str">
        <f t="shared" si="206"/>
        <v>N/A</v>
      </c>
      <c r="BF21" s="231" t="str">
        <f>IF(AND(BD21=TRUE,ISNUMBER(BE21)=TRUE),MAX(0,BE21-SUMIFS(AM$3:AM20,BD$3:BD20,TRUE,F$3:F20,F21)),IF(AND(BD21=TRUE,ISNUMBER(BE21)=FALSE),"ERR","N/A"))</f>
        <v>N/A</v>
      </c>
      <c r="BG21" s="229" t="str">
        <f t="shared" si="207"/>
        <v>N/A</v>
      </c>
      <c r="BH21" s="228">
        <f t="shared" si="208"/>
        <v>0</v>
      </c>
      <c r="BI21" s="229">
        <f t="shared" si="209"/>
        <v>0</v>
      </c>
      <c r="BJ21" s="228" t="str">
        <f t="shared" si="210"/>
        <v>N/A</v>
      </c>
      <c r="BK21" s="231">
        <f t="shared" si="211"/>
        <v>0</v>
      </c>
      <c r="BL21" s="234" t="b">
        <f t="shared" si="212"/>
        <v>0</v>
      </c>
      <c r="BM21" s="231" t="str">
        <f t="shared" si="213"/>
        <v>N/A</v>
      </c>
      <c r="BN21" s="231" t="str">
        <f t="shared" si="214"/>
        <v>N/A</v>
      </c>
      <c r="BO21" s="234" t="b">
        <f t="shared" si="215"/>
        <v>0</v>
      </c>
      <c r="BP21" s="245" t="str">
        <f t="shared" si="216"/>
        <v>N/A</v>
      </c>
      <c r="BQ21" s="231" t="str">
        <f t="shared" si="217"/>
        <v>N/A</v>
      </c>
      <c r="BR21" s="229">
        <f t="shared" si="218"/>
        <v>0</v>
      </c>
      <c r="BS21" s="228" t="str">
        <f t="shared" si="219"/>
        <v>N/A</v>
      </c>
      <c r="BT21" s="231">
        <f t="shared" si="220"/>
        <v>0</v>
      </c>
      <c r="BU21" s="229">
        <f t="shared" si="99"/>
        <v>0</v>
      </c>
      <c r="BV21" s="228">
        <f t="shared" si="100"/>
        <v>0</v>
      </c>
      <c r="BW21" s="231">
        <f t="shared" si="221"/>
        <v>82.53</v>
      </c>
      <c r="BX21" s="231">
        <f t="shared" si="222"/>
        <v>0</v>
      </c>
      <c r="BY21" s="231">
        <f t="shared" si="223"/>
        <v>0</v>
      </c>
      <c r="BZ21" s="231">
        <f t="shared" si="224"/>
        <v>0</v>
      </c>
      <c r="CA21" s="231">
        <f t="shared" si="225"/>
        <v>0</v>
      </c>
      <c r="CB21" s="227" t="b">
        <f t="shared" si="226"/>
        <v>1</v>
      </c>
    </row>
    <row r="22" spans="1:80" x14ac:dyDescent="0.25">
      <c r="C22" s="185"/>
      <c r="H22" s="192"/>
      <c r="I22" s="192"/>
      <c r="J22" s="192"/>
      <c r="K22" s="192"/>
      <c r="O22" s="192"/>
      <c r="P22" s="192"/>
      <c r="Q22" s="192"/>
      <c r="R22" s="192"/>
      <c r="S22" s="192"/>
      <c r="T22" s="192"/>
      <c r="U22" s="192"/>
      <c r="V22" s="192"/>
      <c r="W22" s="192"/>
      <c r="X22" s="192"/>
      <c r="Y22" s="192"/>
      <c r="Z22" s="192"/>
      <c r="AA22" s="192"/>
      <c r="AB22" s="192"/>
      <c r="AC22" s="192"/>
      <c r="AD22" s="192"/>
      <c r="AM22" s="192"/>
    </row>
    <row r="23" spans="1:80" x14ac:dyDescent="0.25">
      <c r="C23" s="185"/>
      <c r="H23" s="192"/>
      <c r="I23" s="192"/>
      <c r="J23" s="192"/>
      <c r="K23" s="192"/>
      <c r="O23" s="192"/>
      <c r="P23" s="192"/>
      <c r="Q23" s="192"/>
      <c r="R23" s="192"/>
      <c r="S23" s="192"/>
      <c r="T23" s="192"/>
      <c r="U23" s="192"/>
      <c r="V23" s="192"/>
      <c r="W23" s="192"/>
      <c r="X23" s="192"/>
      <c r="Y23" s="192"/>
      <c r="Z23" s="192"/>
      <c r="AA23" s="192"/>
      <c r="AB23" s="192"/>
      <c r="AC23" s="192"/>
      <c r="AD23" s="192"/>
      <c r="AM23" s="192"/>
    </row>
    <row r="24" spans="1:80" x14ac:dyDescent="0.25">
      <c r="C24" s="185"/>
      <c r="H24" s="192"/>
      <c r="I24" s="192"/>
      <c r="J24" s="192"/>
      <c r="K24" s="192"/>
      <c r="O24" s="192"/>
      <c r="P24" s="192"/>
      <c r="Q24" s="192"/>
      <c r="R24" s="192"/>
      <c r="S24" s="192"/>
      <c r="T24" s="192"/>
      <c r="U24" s="192"/>
      <c r="V24" s="192"/>
      <c r="W24" s="192"/>
      <c r="X24" s="192"/>
      <c r="Y24" s="192"/>
      <c r="Z24" s="192"/>
      <c r="AA24" s="192"/>
      <c r="AB24" s="192"/>
      <c r="AC24" s="192"/>
      <c r="AD24" s="192"/>
      <c r="AM24" s="192"/>
    </row>
    <row r="25" spans="1:80" x14ac:dyDescent="0.25">
      <c r="C25" s="185"/>
      <c r="H25" s="192"/>
      <c r="I25" s="192"/>
      <c r="J25" s="192"/>
      <c r="K25" s="192"/>
      <c r="O25" s="192"/>
      <c r="P25" s="192"/>
      <c r="Q25" s="192"/>
      <c r="R25" s="192"/>
      <c r="S25" s="192"/>
      <c r="T25" s="192"/>
      <c r="U25" s="192"/>
      <c r="V25" s="192"/>
      <c r="W25" s="192"/>
      <c r="X25" s="192"/>
      <c r="Y25" s="192"/>
      <c r="Z25" s="192"/>
      <c r="AA25" s="192"/>
      <c r="AB25" s="192"/>
      <c r="AC25" s="192"/>
      <c r="AD25" s="192"/>
      <c r="AM25" s="192"/>
    </row>
    <row r="26" spans="1:80" x14ac:dyDescent="0.25">
      <c r="C26" s="185"/>
      <c r="H26" s="192"/>
      <c r="I26" s="192"/>
      <c r="J26" s="192"/>
      <c r="K26" s="192"/>
      <c r="O26" s="192"/>
      <c r="P26" s="192"/>
      <c r="Q26" s="192"/>
      <c r="R26" s="192"/>
      <c r="S26" s="192"/>
      <c r="T26" s="192"/>
      <c r="U26" s="192"/>
      <c r="V26" s="192"/>
      <c r="W26" s="192"/>
      <c r="X26" s="192"/>
      <c r="Y26" s="192"/>
      <c r="Z26" s="192"/>
      <c r="AA26" s="192"/>
      <c r="AB26" s="192"/>
      <c r="AC26" s="192"/>
      <c r="AD26" s="192"/>
      <c r="AM26" s="192"/>
    </row>
    <row r="27" spans="1:80" x14ac:dyDescent="0.25">
      <c r="C27" s="185"/>
      <c r="H27" s="192"/>
      <c r="I27" s="192"/>
      <c r="J27" s="192"/>
      <c r="K27" s="192"/>
      <c r="O27" s="192"/>
      <c r="P27" s="192"/>
      <c r="Q27" s="192"/>
      <c r="R27" s="192"/>
      <c r="S27" s="192"/>
      <c r="T27" s="192"/>
      <c r="U27" s="192"/>
      <c r="V27" s="192"/>
      <c r="W27" s="192"/>
      <c r="X27" s="192"/>
      <c r="Y27" s="192"/>
      <c r="Z27" s="192"/>
      <c r="AA27" s="192"/>
      <c r="AB27" s="192"/>
      <c r="AC27" s="192"/>
      <c r="AD27" s="192"/>
      <c r="AM27" s="192"/>
    </row>
    <row r="28" spans="1:80" x14ac:dyDescent="0.25">
      <c r="C28" s="185"/>
      <c r="H28" s="192"/>
      <c r="I28" s="192"/>
      <c r="J28" s="192"/>
      <c r="K28" s="192"/>
      <c r="O28" s="192"/>
      <c r="P28" s="192"/>
      <c r="Q28" s="192"/>
      <c r="R28" s="192"/>
      <c r="S28" s="192"/>
      <c r="T28" s="192"/>
      <c r="U28" s="192"/>
      <c r="V28" s="192"/>
      <c r="W28" s="192"/>
      <c r="X28" s="192"/>
      <c r="Y28" s="192"/>
      <c r="Z28" s="192"/>
      <c r="AA28" s="192"/>
      <c r="AB28" s="192"/>
      <c r="AC28" s="192"/>
      <c r="AD28" s="192"/>
      <c r="AM28" s="192"/>
    </row>
    <row r="29" spans="1:80" x14ac:dyDescent="0.25">
      <c r="C29" s="185"/>
      <c r="H29" s="192"/>
      <c r="I29" s="192"/>
      <c r="J29" s="192"/>
      <c r="K29" s="192"/>
      <c r="O29" s="192"/>
      <c r="P29" s="192"/>
      <c r="Q29" s="192"/>
      <c r="R29" s="192"/>
      <c r="S29" s="192"/>
      <c r="T29" s="192"/>
      <c r="U29" s="192"/>
      <c r="V29" s="192"/>
      <c r="W29" s="192"/>
      <c r="X29" s="192"/>
      <c r="Y29" s="192"/>
      <c r="Z29" s="192"/>
      <c r="AA29" s="192"/>
      <c r="AB29" s="192"/>
      <c r="AC29" s="192"/>
      <c r="AD29" s="192"/>
      <c r="AM29" s="192"/>
    </row>
    <row r="30" spans="1:80" x14ac:dyDescent="0.25">
      <c r="C30" s="185"/>
      <c r="H30" s="192"/>
      <c r="I30" s="192"/>
      <c r="J30" s="192"/>
      <c r="K30" s="192"/>
      <c r="O30" s="192"/>
      <c r="P30" s="192"/>
      <c r="Q30" s="192"/>
      <c r="R30" s="192"/>
      <c r="S30" s="192"/>
      <c r="T30" s="192"/>
      <c r="U30" s="192"/>
      <c r="V30" s="192"/>
      <c r="W30" s="192"/>
      <c r="X30" s="192"/>
      <c r="Y30" s="192"/>
      <c r="Z30" s="192"/>
      <c r="AA30" s="192"/>
      <c r="AB30" s="192"/>
      <c r="AC30" s="192"/>
      <c r="AD30" s="192"/>
      <c r="AM30" s="192"/>
    </row>
    <row r="31" spans="1:80" x14ac:dyDescent="0.25">
      <c r="C31" s="185"/>
      <c r="H31" s="192"/>
      <c r="I31" s="192"/>
      <c r="J31" s="192"/>
      <c r="K31" s="192"/>
      <c r="O31" s="192"/>
      <c r="P31" s="192"/>
      <c r="Q31" s="192"/>
      <c r="R31" s="192"/>
      <c r="S31" s="192"/>
      <c r="T31" s="192"/>
      <c r="U31" s="192"/>
      <c r="V31" s="192"/>
      <c r="W31" s="192"/>
      <c r="X31" s="192"/>
      <c r="Y31" s="192"/>
      <c r="Z31" s="192"/>
      <c r="AA31" s="192"/>
      <c r="AB31" s="192"/>
      <c r="AC31" s="192"/>
      <c r="AD31" s="192"/>
      <c r="AM31" s="192"/>
    </row>
    <row r="32" spans="1:80" x14ac:dyDescent="0.25">
      <c r="C32" s="185"/>
      <c r="H32" s="192"/>
      <c r="I32" s="192"/>
      <c r="J32" s="192"/>
      <c r="K32" s="192"/>
      <c r="O32" s="192"/>
      <c r="P32" s="192"/>
      <c r="Q32" s="192"/>
      <c r="R32" s="192"/>
      <c r="S32" s="192"/>
      <c r="T32" s="192"/>
      <c r="U32" s="192"/>
      <c r="V32" s="192"/>
      <c r="W32" s="192"/>
      <c r="X32" s="192"/>
      <c r="Y32" s="192"/>
      <c r="Z32" s="192"/>
      <c r="AA32" s="192"/>
      <c r="AB32" s="192"/>
      <c r="AC32" s="192"/>
      <c r="AD32" s="192"/>
      <c r="AM32" s="192"/>
    </row>
    <row r="33" spans="3:39" x14ac:dyDescent="0.25">
      <c r="C33" s="185"/>
      <c r="H33" s="192"/>
      <c r="I33" s="192"/>
      <c r="J33" s="192"/>
      <c r="K33" s="192"/>
      <c r="O33" s="192"/>
      <c r="P33" s="192"/>
      <c r="Q33" s="192"/>
      <c r="R33" s="192"/>
      <c r="S33" s="192"/>
      <c r="T33" s="192"/>
      <c r="U33" s="192"/>
      <c r="V33" s="192"/>
      <c r="W33" s="192"/>
      <c r="X33" s="192"/>
      <c r="Y33" s="192"/>
      <c r="Z33" s="192"/>
      <c r="AA33" s="192"/>
      <c r="AB33" s="192"/>
      <c r="AC33" s="192"/>
      <c r="AD33" s="192"/>
      <c r="AM33" s="192"/>
    </row>
    <row r="34" spans="3:39" x14ac:dyDescent="0.25">
      <c r="C34" s="185"/>
      <c r="H34" s="192"/>
      <c r="I34" s="192"/>
      <c r="J34" s="192"/>
      <c r="K34" s="192"/>
      <c r="O34" s="192"/>
      <c r="P34" s="192"/>
      <c r="Q34" s="192"/>
      <c r="R34" s="192"/>
      <c r="S34" s="192"/>
      <c r="T34" s="192"/>
      <c r="U34" s="192"/>
      <c r="V34" s="192"/>
      <c r="W34" s="192"/>
      <c r="X34" s="192"/>
      <c r="Y34" s="192"/>
      <c r="Z34" s="192"/>
      <c r="AA34" s="192"/>
      <c r="AB34" s="192"/>
      <c r="AC34" s="192"/>
      <c r="AD34" s="192"/>
      <c r="AM34" s="192"/>
    </row>
    <row r="35" spans="3:39" x14ac:dyDescent="0.25">
      <c r="C35" s="185"/>
      <c r="H35" s="192"/>
      <c r="I35" s="192"/>
      <c r="J35" s="192"/>
      <c r="K35" s="192"/>
      <c r="O35" s="192"/>
      <c r="P35" s="192"/>
      <c r="Q35" s="192"/>
      <c r="R35" s="192"/>
      <c r="S35" s="192"/>
      <c r="T35" s="192"/>
      <c r="U35" s="192"/>
      <c r="V35" s="192"/>
      <c r="W35" s="192"/>
      <c r="X35" s="192"/>
      <c r="Y35" s="192"/>
      <c r="Z35" s="192"/>
      <c r="AA35" s="192"/>
      <c r="AB35" s="192"/>
      <c r="AC35" s="192"/>
      <c r="AD35" s="192"/>
      <c r="AM35" s="192"/>
    </row>
    <row r="36" spans="3:39" x14ac:dyDescent="0.25">
      <c r="C36" s="185"/>
      <c r="H36" s="192"/>
      <c r="I36" s="192"/>
      <c r="J36" s="192"/>
      <c r="K36" s="192"/>
      <c r="O36" s="192"/>
      <c r="P36" s="192"/>
      <c r="Q36" s="192"/>
      <c r="R36" s="192"/>
      <c r="S36" s="192"/>
      <c r="T36" s="192"/>
      <c r="U36" s="192"/>
      <c r="V36" s="192"/>
      <c r="W36" s="192"/>
      <c r="X36" s="192"/>
      <c r="Y36" s="192"/>
      <c r="Z36" s="192"/>
      <c r="AA36" s="192"/>
      <c r="AB36" s="192"/>
      <c r="AC36" s="192"/>
      <c r="AD36" s="192"/>
      <c r="AM36" s="192"/>
    </row>
    <row r="37" spans="3:39" x14ac:dyDescent="0.25">
      <c r="C37" s="185"/>
      <c r="H37" s="192"/>
      <c r="I37" s="192"/>
      <c r="J37" s="192"/>
      <c r="K37" s="192"/>
      <c r="O37" s="192"/>
      <c r="P37" s="192"/>
      <c r="Q37" s="192"/>
      <c r="R37" s="192"/>
      <c r="S37" s="192"/>
      <c r="T37" s="192"/>
      <c r="U37" s="192"/>
      <c r="V37" s="192"/>
      <c r="W37" s="192"/>
      <c r="X37" s="192"/>
      <c r="Y37" s="192"/>
      <c r="Z37" s="192"/>
      <c r="AA37" s="192"/>
      <c r="AB37" s="192"/>
      <c r="AC37" s="192"/>
      <c r="AD37" s="192"/>
      <c r="AM37" s="192"/>
    </row>
    <row r="38" spans="3:39" x14ac:dyDescent="0.25">
      <c r="C38" s="185"/>
      <c r="H38" s="192"/>
      <c r="I38" s="192"/>
      <c r="J38" s="192"/>
      <c r="K38" s="192"/>
      <c r="O38" s="192"/>
      <c r="P38" s="192"/>
      <c r="Q38" s="192"/>
      <c r="R38" s="192"/>
      <c r="S38" s="192"/>
      <c r="T38" s="192"/>
      <c r="U38" s="192"/>
      <c r="V38" s="192"/>
      <c r="W38" s="192"/>
      <c r="X38" s="192"/>
      <c r="Y38" s="192"/>
      <c r="Z38" s="192"/>
      <c r="AA38" s="192"/>
      <c r="AB38" s="192"/>
      <c r="AC38" s="192"/>
      <c r="AD38" s="192"/>
      <c r="AM38" s="192"/>
    </row>
    <row r="39" spans="3:39" x14ac:dyDescent="0.25">
      <c r="C39" s="185"/>
      <c r="H39" s="192"/>
      <c r="I39" s="192"/>
      <c r="J39" s="192"/>
      <c r="K39" s="192"/>
      <c r="O39" s="192"/>
      <c r="P39" s="192"/>
      <c r="Q39" s="192"/>
      <c r="R39" s="192"/>
      <c r="S39" s="192"/>
      <c r="T39" s="192"/>
      <c r="U39" s="192"/>
      <c r="V39" s="192"/>
      <c r="W39" s="192"/>
      <c r="X39" s="192"/>
      <c r="Y39" s="192"/>
      <c r="Z39" s="192"/>
      <c r="AA39" s="192"/>
      <c r="AB39" s="192"/>
      <c r="AC39" s="192"/>
      <c r="AD39" s="192"/>
      <c r="AM39" s="192"/>
    </row>
    <row r="40" spans="3:39" x14ac:dyDescent="0.25">
      <c r="C40" s="185"/>
      <c r="H40" s="192"/>
      <c r="I40" s="192"/>
      <c r="J40" s="192"/>
      <c r="K40" s="192"/>
      <c r="O40" s="192"/>
      <c r="P40" s="192"/>
      <c r="Q40" s="192"/>
      <c r="R40" s="192"/>
      <c r="S40" s="192"/>
      <c r="T40" s="192"/>
      <c r="U40" s="192"/>
      <c r="V40" s="192"/>
      <c r="W40" s="192"/>
      <c r="X40" s="192"/>
      <c r="Y40" s="192"/>
      <c r="Z40" s="192"/>
      <c r="AA40" s="192"/>
      <c r="AB40" s="192"/>
      <c r="AC40" s="192"/>
      <c r="AD40" s="192"/>
      <c r="AM40" s="192"/>
    </row>
    <row r="41" spans="3:39" x14ac:dyDescent="0.25">
      <c r="C41" s="185"/>
      <c r="H41" s="192"/>
      <c r="I41" s="192"/>
      <c r="J41" s="192"/>
      <c r="K41" s="192"/>
      <c r="O41" s="192"/>
      <c r="P41" s="192"/>
      <c r="Q41" s="192"/>
      <c r="R41" s="192"/>
      <c r="S41" s="192"/>
      <c r="T41" s="192"/>
      <c r="U41" s="192"/>
      <c r="V41" s="192"/>
      <c r="W41" s="192"/>
      <c r="X41" s="192"/>
      <c r="Y41" s="192"/>
      <c r="Z41" s="192"/>
      <c r="AA41" s="192"/>
      <c r="AB41" s="192"/>
      <c r="AC41" s="192"/>
      <c r="AD41" s="192"/>
      <c r="AM41" s="192"/>
    </row>
    <row r="42" spans="3:39" x14ac:dyDescent="0.25">
      <c r="C42" s="185"/>
      <c r="H42" s="192"/>
      <c r="I42" s="192"/>
      <c r="J42" s="192"/>
      <c r="K42" s="192"/>
      <c r="O42" s="192"/>
      <c r="P42" s="192"/>
      <c r="Q42" s="192"/>
      <c r="R42" s="192"/>
      <c r="S42" s="192"/>
      <c r="T42" s="192"/>
      <c r="U42" s="192"/>
      <c r="V42" s="192"/>
      <c r="W42" s="192"/>
      <c r="X42" s="192"/>
      <c r="Y42" s="192"/>
      <c r="Z42" s="192"/>
      <c r="AA42" s="192"/>
      <c r="AB42" s="192"/>
      <c r="AC42" s="192"/>
      <c r="AD42" s="192"/>
      <c r="AM42" s="192"/>
    </row>
    <row r="43" spans="3:39" x14ac:dyDescent="0.25">
      <c r="C43" s="185"/>
      <c r="H43" s="192"/>
      <c r="I43" s="192"/>
      <c r="J43" s="192"/>
      <c r="K43" s="192"/>
      <c r="O43" s="192"/>
      <c r="P43" s="192"/>
      <c r="Q43" s="192"/>
      <c r="R43" s="192"/>
      <c r="S43" s="192"/>
      <c r="T43" s="192"/>
      <c r="U43" s="192"/>
      <c r="V43" s="192"/>
      <c r="W43" s="192"/>
      <c r="X43" s="192"/>
      <c r="Y43" s="192"/>
      <c r="Z43" s="192"/>
      <c r="AA43" s="192"/>
      <c r="AB43" s="192"/>
      <c r="AC43" s="192"/>
      <c r="AD43" s="192"/>
      <c r="AM43" s="192"/>
    </row>
    <row r="44" spans="3:39" x14ac:dyDescent="0.25">
      <c r="C44" s="185"/>
      <c r="H44" s="192"/>
      <c r="I44" s="192"/>
      <c r="J44" s="192"/>
      <c r="K44" s="192"/>
      <c r="O44" s="192"/>
      <c r="P44" s="192"/>
      <c r="Q44" s="192"/>
      <c r="R44" s="192"/>
      <c r="S44" s="192"/>
      <c r="T44" s="192"/>
      <c r="U44" s="192"/>
      <c r="V44" s="192"/>
      <c r="W44" s="192"/>
      <c r="X44" s="192"/>
      <c r="Y44" s="192"/>
      <c r="Z44" s="192"/>
      <c r="AA44" s="192"/>
      <c r="AB44" s="192"/>
      <c r="AC44" s="192"/>
      <c r="AD44" s="192"/>
      <c r="AM44" s="192"/>
    </row>
    <row r="45" spans="3:39" x14ac:dyDescent="0.25">
      <c r="C45" s="185"/>
      <c r="H45" s="192"/>
      <c r="I45" s="192"/>
      <c r="J45" s="192"/>
      <c r="K45" s="192"/>
      <c r="O45" s="192"/>
      <c r="P45" s="192"/>
      <c r="Q45" s="192"/>
      <c r="R45" s="192"/>
      <c r="S45" s="192"/>
      <c r="T45" s="192"/>
      <c r="U45" s="192"/>
      <c r="V45" s="192"/>
      <c r="W45" s="192"/>
      <c r="X45" s="192"/>
      <c r="Y45" s="192"/>
      <c r="Z45" s="192"/>
      <c r="AA45" s="192"/>
      <c r="AB45" s="192"/>
      <c r="AC45" s="192"/>
      <c r="AD45" s="192"/>
      <c r="AM45" s="192"/>
    </row>
    <row r="46" spans="3:39" x14ac:dyDescent="0.25">
      <c r="AE46" s="183"/>
      <c r="AI46" s="183"/>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neItem_Fracture"/>
  <dimension ref="A1:L17"/>
  <sheetViews>
    <sheetView topLeftCell="A4" workbookViewId="0">
      <selection activeCell="C14" sqref="C14"/>
    </sheetView>
  </sheetViews>
  <sheetFormatPr defaultRowHeight="15" x14ac:dyDescent="0.25"/>
  <cols>
    <col min="1" max="1" width="10.7109375" style="127" customWidth="1"/>
    <col min="2" max="3" width="20.7109375" style="128" customWidth="1"/>
    <col min="4" max="4" width="20.7109375" style="127" customWidth="1"/>
    <col min="5" max="5" width="40.7109375" style="127" customWidth="1"/>
    <col min="6" max="6" width="40.7109375" style="135" customWidth="1"/>
    <col min="7" max="7" width="16.7109375" style="127" customWidth="1"/>
    <col min="8" max="8" width="20.7109375" style="127" customWidth="1"/>
    <col min="9" max="9" width="22" style="127" bestFit="1" customWidth="1"/>
    <col min="10" max="10" width="15.28515625" style="128" bestFit="1" customWidth="1"/>
  </cols>
  <sheetData>
    <row r="1" spans="1:12" s="2" customFormat="1" ht="45" x14ac:dyDescent="0.25">
      <c r="A1" s="133" t="s">
        <v>18</v>
      </c>
      <c r="B1" s="134" t="s">
        <v>240</v>
      </c>
      <c r="C1" s="134" t="s">
        <v>41</v>
      </c>
      <c r="D1" s="133" t="s">
        <v>42</v>
      </c>
      <c r="E1" s="133" t="s">
        <v>6</v>
      </c>
      <c r="F1" s="133" t="s">
        <v>136</v>
      </c>
      <c r="G1" s="133" t="s">
        <v>43</v>
      </c>
      <c r="H1" s="133" t="s">
        <v>44</v>
      </c>
      <c r="I1" s="133" t="s">
        <v>225</v>
      </c>
      <c r="J1" s="134" t="s">
        <v>226</v>
      </c>
    </row>
    <row r="2" spans="1:12" s="14" customFormat="1" x14ac:dyDescent="0.25">
      <c r="A2" s="127">
        <v>2</v>
      </c>
      <c r="B2" s="128" t="s">
        <v>231</v>
      </c>
      <c r="C2" s="128" t="s">
        <v>116</v>
      </c>
      <c r="D2" s="127" t="s">
        <v>360</v>
      </c>
      <c r="E2" s="139" t="s">
        <v>188</v>
      </c>
      <c r="F2" s="135" t="s">
        <v>119</v>
      </c>
      <c r="G2" s="129">
        <v>161.71</v>
      </c>
      <c r="H2" s="127"/>
      <c r="I2" s="127" t="b">
        <f t="shared" ref="I2:I17" si="0">IF(ISERROR(VLOOKUP(E2,BenefitCategoryList,1,FALSE)),FALSE,TRUE)</f>
        <v>1</v>
      </c>
      <c r="J2" s="130">
        <f>COUNTIF(FRACTURE_TIMELINE!ServiceCode,A2)</f>
        <v>1</v>
      </c>
      <c r="L2" s="322"/>
    </row>
    <row r="3" spans="1:12" s="14" customFormat="1" ht="75" x14ac:dyDescent="0.25">
      <c r="A3" s="127">
        <v>4</v>
      </c>
      <c r="B3" s="128" t="s">
        <v>233</v>
      </c>
      <c r="C3" s="128">
        <v>99283</v>
      </c>
      <c r="D3" s="127" t="s">
        <v>361</v>
      </c>
      <c r="E3" s="139" t="s">
        <v>187</v>
      </c>
      <c r="F3" s="135" t="s">
        <v>120</v>
      </c>
      <c r="G3" s="129">
        <v>357.31</v>
      </c>
      <c r="H3" s="127"/>
      <c r="I3" s="127" t="b">
        <f t="shared" si="0"/>
        <v>1</v>
      </c>
      <c r="J3" s="130">
        <f>COUNTIF(FRACTURE_TIMELINE!ServiceCode,A3)</f>
        <v>1</v>
      </c>
      <c r="L3" s="322"/>
    </row>
    <row r="4" spans="1:12" s="14" customFormat="1" ht="30" x14ac:dyDescent="0.25">
      <c r="A4" s="127">
        <v>5</v>
      </c>
      <c r="B4" s="128" t="s">
        <v>233</v>
      </c>
      <c r="C4" s="128">
        <v>73630</v>
      </c>
      <c r="D4" s="127" t="s">
        <v>361</v>
      </c>
      <c r="E4" s="139" t="s">
        <v>209</v>
      </c>
      <c r="F4" s="135" t="s">
        <v>121</v>
      </c>
      <c r="G4" s="129">
        <v>49.72</v>
      </c>
      <c r="H4" s="127"/>
      <c r="I4" s="127" t="b">
        <f t="shared" si="0"/>
        <v>1</v>
      </c>
      <c r="J4" s="130">
        <f>COUNTIF(FRACTURE_TIMELINE!ServiceCode,A4)</f>
        <v>1</v>
      </c>
      <c r="L4" s="322"/>
    </row>
    <row r="5" spans="1:12" s="14" customFormat="1" ht="30" x14ac:dyDescent="0.25">
      <c r="A5" s="127">
        <v>6</v>
      </c>
      <c r="B5" s="128" t="s">
        <v>233</v>
      </c>
      <c r="C5" s="128">
        <v>28470</v>
      </c>
      <c r="D5" s="127" t="s">
        <v>361</v>
      </c>
      <c r="E5" s="139" t="s">
        <v>209</v>
      </c>
      <c r="F5" s="135" t="s">
        <v>122</v>
      </c>
      <c r="G5" s="129">
        <v>335.16</v>
      </c>
      <c r="H5" s="127"/>
      <c r="I5" s="127" t="b">
        <f t="shared" si="0"/>
        <v>1</v>
      </c>
      <c r="J5" s="130">
        <f>COUNTIF(FRACTURE_TIMELINE!ServiceCode,A5)</f>
        <v>1</v>
      </c>
      <c r="L5" s="322"/>
    </row>
    <row r="6" spans="1:12" s="14" customFormat="1" ht="30" x14ac:dyDescent="0.25">
      <c r="A6" s="127">
        <v>7</v>
      </c>
      <c r="B6" s="128" t="s">
        <v>233</v>
      </c>
      <c r="C6" s="128">
        <v>73630</v>
      </c>
      <c r="D6" s="127" t="s">
        <v>361</v>
      </c>
      <c r="E6" s="139" t="s">
        <v>32</v>
      </c>
      <c r="F6" s="135" t="s">
        <v>121</v>
      </c>
      <c r="G6" s="129">
        <v>49.72</v>
      </c>
      <c r="H6" s="127"/>
      <c r="I6" s="127" t="b">
        <f t="shared" ref="I6" si="1">IF(ISERROR(VLOOKUP(E6,BenefitCategoryList,1,FALSE)),FALSE,TRUE)</f>
        <v>1</v>
      </c>
      <c r="J6" s="130">
        <f>COUNTIF(FRACTURE_TIMELINE!ServiceCode,A6)</f>
        <v>1</v>
      </c>
      <c r="L6" s="322"/>
    </row>
    <row r="7" spans="1:12" s="14" customFormat="1" ht="30" x14ac:dyDescent="0.25">
      <c r="A7" s="127">
        <v>8</v>
      </c>
      <c r="B7" s="128" t="s">
        <v>233</v>
      </c>
      <c r="C7" s="321" t="s">
        <v>378</v>
      </c>
      <c r="D7" s="127" t="s">
        <v>45</v>
      </c>
      <c r="E7" s="139" t="s">
        <v>34</v>
      </c>
      <c r="F7" s="135" t="s">
        <v>379</v>
      </c>
      <c r="G7" s="129">
        <v>5.24</v>
      </c>
      <c r="H7" s="127"/>
      <c r="I7" s="127" t="b">
        <f t="shared" ref="I7" si="2">IF(ISERROR(VLOOKUP(E7,BenefitCategoryList,1,FALSE)),FALSE,TRUE)</f>
        <v>1</v>
      </c>
      <c r="J7" s="130">
        <f>COUNTIF(FRACTURE_TIMELINE!ServiceCode,A7)</f>
        <v>1</v>
      </c>
      <c r="L7" s="322"/>
    </row>
    <row r="8" spans="1:12" s="14" customFormat="1" ht="45" x14ac:dyDescent="0.25">
      <c r="A8" s="127">
        <v>9</v>
      </c>
      <c r="B8" s="128"/>
      <c r="C8" s="128" t="s">
        <v>117</v>
      </c>
      <c r="D8" s="127" t="s">
        <v>45</v>
      </c>
      <c r="E8" s="139" t="s">
        <v>38</v>
      </c>
      <c r="F8" s="135" t="s">
        <v>123</v>
      </c>
      <c r="G8" s="129">
        <v>35.97</v>
      </c>
      <c r="H8" s="127"/>
      <c r="I8" s="127" t="b">
        <f t="shared" si="0"/>
        <v>1</v>
      </c>
      <c r="J8" s="130">
        <f>COUNTIF(FRACTURE_TIMELINE!ServiceCode,A8)</f>
        <v>1</v>
      </c>
      <c r="L8" s="322"/>
    </row>
    <row r="9" spans="1:12" s="14" customFormat="1" ht="75" x14ac:dyDescent="0.25">
      <c r="A9" s="127">
        <v>11</v>
      </c>
      <c r="B9" s="128" t="s">
        <v>233</v>
      </c>
      <c r="C9" s="128">
        <v>99203</v>
      </c>
      <c r="D9" s="127" t="s">
        <v>361</v>
      </c>
      <c r="E9" s="139" t="s">
        <v>208</v>
      </c>
      <c r="F9" s="135" t="s">
        <v>124</v>
      </c>
      <c r="G9" s="129">
        <v>127.51</v>
      </c>
      <c r="H9" s="127"/>
      <c r="I9" s="127" t="b">
        <f t="shared" si="0"/>
        <v>1</v>
      </c>
      <c r="J9" s="130">
        <f>COUNTIF(FRACTURE_TIMELINE!ServiceCode,A9)</f>
        <v>1</v>
      </c>
      <c r="L9" s="322"/>
    </row>
    <row r="10" spans="1:12" s="14" customFormat="1" ht="30" x14ac:dyDescent="0.25">
      <c r="A10" s="127">
        <v>12</v>
      </c>
      <c r="B10" s="128" t="s">
        <v>233</v>
      </c>
      <c r="C10" s="128">
        <v>29405</v>
      </c>
      <c r="D10" s="127" t="s">
        <v>361</v>
      </c>
      <c r="E10" s="139" t="s">
        <v>208</v>
      </c>
      <c r="F10" s="135" t="s">
        <v>125</v>
      </c>
      <c r="G10" s="129">
        <v>132.03</v>
      </c>
      <c r="H10" s="127"/>
      <c r="I10" s="127" t="b">
        <f t="shared" si="0"/>
        <v>1</v>
      </c>
      <c r="J10" s="130">
        <f>COUNTIF(FRACTURE_TIMELINE!ServiceCode,A10)</f>
        <v>1</v>
      </c>
      <c r="L10" s="322"/>
    </row>
    <row r="11" spans="1:12" s="14" customFormat="1" ht="30" x14ac:dyDescent="0.25">
      <c r="A11" s="127">
        <v>13</v>
      </c>
      <c r="B11" s="128" t="s">
        <v>233</v>
      </c>
      <c r="C11" s="128" t="s">
        <v>118</v>
      </c>
      <c r="D11" s="127" t="s">
        <v>361</v>
      </c>
      <c r="E11" s="139" t="s">
        <v>207</v>
      </c>
      <c r="F11" s="135" t="s">
        <v>126</v>
      </c>
      <c r="G11" s="129">
        <v>43.22</v>
      </c>
      <c r="H11" s="127"/>
      <c r="I11" s="127" t="b">
        <f t="shared" si="0"/>
        <v>1</v>
      </c>
      <c r="J11" s="130">
        <f>COUNTIF(FRACTURE_TIMELINE!ServiceCode,A11)</f>
        <v>1</v>
      </c>
      <c r="L11" s="322"/>
    </row>
    <row r="12" spans="1:12" s="14" customFormat="1" x14ac:dyDescent="0.25">
      <c r="A12" s="127">
        <v>14</v>
      </c>
      <c r="B12" s="128" t="s">
        <v>233</v>
      </c>
      <c r="C12" s="128">
        <v>73610</v>
      </c>
      <c r="D12" s="127" t="s">
        <v>47</v>
      </c>
      <c r="E12" s="139" t="s">
        <v>32</v>
      </c>
      <c r="F12" s="135" t="s">
        <v>355</v>
      </c>
      <c r="G12" s="129">
        <v>63.18</v>
      </c>
      <c r="H12" s="127"/>
      <c r="I12" s="127" t="b">
        <f t="shared" si="0"/>
        <v>1</v>
      </c>
      <c r="J12" s="130">
        <f>COUNTIF(FRACTURE_TIMELINE!ServiceCode,A12)</f>
        <v>1</v>
      </c>
      <c r="L12" s="322"/>
    </row>
    <row r="13" spans="1:12" s="14" customFormat="1" ht="75" x14ac:dyDescent="0.25">
      <c r="A13" s="127">
        <v>15</v>
      </c>
      <c r="B13" s="128" t="s">
        <v>233</v>
      </c>
      <c r="C13" s="128">
        <v>99213</v>
      </c>
      <c r="D13" s="127" t="s">
        <v>47</v>
      </c>
      <c r="E13" s="139" t="s">
        <v>208</v>
      </c>
      <c r="F13" s="135" t="s">
        <v>127</v>
      </c>
      <c r="G13" s="129">
        <v>81.66</v>
      </c>
      <c r="H13" s="127"/>
      <c r="I13" s="127" t="b">
        <f t="shared" si="0"/>
        <v>1</v>
      </c>
      <c r="J13" s="130">
        <f>COUNTIF(FRACTURE_TIMELINE!ServiceCode,A13)</f>
        <v>1</v>
      </c>
      <c r="L13" s="322"/>
    </row>
    <row r="14" spans="1:12" s="14" customFormat="1" x14ac:dyDescent="0.25">
      <c r="A14" s="127">
        <v>16</v>
      </c>
      <c r="B14" s="128" t="s">
        <v>233</v>
      </c>
      <c r="C14" s="128">
        <v>97001</v>
      </c>
      <c r="D14" s="127" t="s">
        <v>362</v>
      </c>
      <c r="E14" s="139" t="s">
        <v>189</v>
      </c>
      <c r="F14" s="135" t="s">
        <v>128</v>
      </c>
      <c r="G14" s="129">
        <v>116.43</v>
      </c>
      <c r="H14" s="127"/>
      <c r="I14" s="127" t="b">
        <f t="shared" si="0"/>
        <v>1</v>
      </c>
      <c r="J14" s="130">
        <f>COUNTIF(FRACTURE_TIMELINE!ServiceCode,A14)</f>
        <v>1</v>
      </c>
      <c r="L14" s="322"/>
    </row>
    <row r="15" spans="1:12" s="14" customFormat="1" ht="60" x14ac:dyDescent="0.25">
      <c r="A15" s="127">
        <v>17</v>
      </c>
      <c r="B15" s="128" t="s">
        <v>233</v>
      </c>
      <c r="C15" s="128">
        <v>97110</v>
      </c>
      <c r="D15" s="127" t="s">
        <v>362</v>
      </c>
      <c r="E15" s="139" t="s">
        <v>189</v>
      </c>
      <c r="F15" s="135" t="s">
        <v>356</v>
      </c>
      <c r="G15" s="129">
        <v>82.53</v>
      </c>
      <c r="H15" s="127"/>
      <c r="I15" s="127" t="b">
        <f t="shared" si="0"/>
        <v>1</v>
      </c>
      <c r="J15" s="130">
        <f>COUNTIF(FRACTURE_TIMELINE!ServiceCode,A15)</f>
        <v>3</v>
      </c>
      <c r="L15" s="322"/>
    </row>
    <row r="16" spans="1:12" s="14" customFormat="1" ht="30" x14ac:dyDescent="0.25">
      <c r="A16" s="127">
        <v>18</v>
      </c>
      <c r="B16" s="128"/>
      <c r="C16" s="128" t="s">
        <v>221</v>
      </c>
      <c r="D16" s="127" t="s">
        <v>360</v>
      </c>
      <c r="E16" s="139" t="s">
        <v>188</v>
      </c>
      <c r="F16" s="135" t="s">
        <v>222</v>
      </c>
      <c r="G16" s="129">
        <v>782.16</v>
      </c>
      <c r="H16" s="127"/>
      <c r="I16" s="127" t="b">
        <f t="shared" si="0"/>
        <v>1</v>
      </c>
      <c r="J16" s="130">
        <f>COUNTIF(FRACTURE_TIMELINE!ServiceCode,A16)</f>
        <v>1</v>
      </c>
      <c r="L16" s="322"/>
    </row>
    <row r="17" spans="1:12" s="14" customFormat="1" ht="60" x14ac:dyDescent="0.25">
      <c r="A17" s="127">
        <v>19</v>
      </c>
      <c r="B17" s="128"/>
      <c r="C17" s="128" t="s">
        <v>357</v>
      </c>
      <c r="D17" s="127" t="s">
        <v>361</v>
      </c>
      <c r="E17" s="139" t="s">
        <v>38</v>
      </c>
      <c r="F17" s="135" t="s">
        <v>358</v>
      </c>
      <c r="G17" s="129">
        <v>211.56</v>
      </c>
      <c r="H17" s="127"/>
      <c r="I17" s="127" t="b">
        <f t="shared" si="0"/>
        <v>1</v>
      </c>
      <c r="J17" s="130">
        <f>COUNTIF(FRACTURE_TIMELINE!ServiceCode,A17)</f>
        <v>1</v>
      </c>
      <c r="L17" s="322"/>
    </row>
  </sheetData>
  <dataValidations disablePrompts="1" count="1">
    <dataValidation type="list" allowBlank="1" showInputMessage="1" showErrorMessage="1" sqref="E2:E17">
      <formula1>BenefitCategoryList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MultiPlanMode"/>
  <dimension ref="A1:L22"/>
  <sheetViews>
    <sheetView workbookViewId="0"/>
  </sheetViews>
  <sheetFormatPr defaultColWidth="0" defaultRowHeight="15" zeroHeight="1" x14ac:dyDescent="0.25"/>
  <cols>
    <col min="1" max="1" width="2.7109375" customWidth="1"/>
    <col min="2" max="2" width="11" customWidth="1"/>
    <col min="3" max="4" width="9.140625" customWidth="1"/>
    <col min="5" max="9" width="11.7109375" customWidth="1"/>
    <col min="10" max="10" width="9.140625" customWidth="1"/>
    <col min="11" max="11" width="11.42578125" customWidth="1"/>
    <col min="12" max="12" width="2.7109375" customWidth="1"/>
    <col min="13" max="16384" width="9.140625" hidden="1"/>
  </cols>
  <sheetData>
    <row r="1" spans="1:12" x14ac:dyDescent="0.25">
      <c r="A1" s="66"/>
      <c r="B1" s="66"/>
      <c r="C1" s="66"/>
      <c r="D1" s="66"/>
      <c r="E1" s="66"/>
      <c r="F1" s="66"/>
      <c r="G1" s="66"/>
      <c r="H1" s="66"/>
      <c r="I1" s="66"/>
      <c r="J1" s="66"/>
      <c r="K1" s="66"/>
      <c r="L1" s="66"/>
    </row>
    <row r="2" spans="1:12" x14ac:dyDescent="0.25">
      <c r="A2" s="66"/>
      <c r="B2" s="90" t="s">
        <v>165</v>
      </c>
      <c r="C2" s="90"/>
      <c r="D2" s="90"/>
      <c r="E2" s="90"/>
      <c r="F2" s="90"/>
      <c r="G2" s="90"/>
      <c r="H2" s="90"/>
      <c r="I2" s="90"/>
      <c r="J2" s="90"/>
      <c r="K2" s="90"/>
      <c r="L2" s="66"/>
    </row>
    <row r="3" spans="1:12" x14ac:dyDescent="0.25">
      <c r="A3" s="66"/>
      <c r="B3" s="82"/>
      <c r="C3" s="82" t="s">
        <v>166</v>
      </c>
      <c r="D3" s="82"/>
      <c r="E3" s="82"/>
      <c r="F3" s="82"/>
      <c r="G3" s="82"/>
      <c r="H3" s="82"/>
      <c r="I3" s="82"/>
      <c r="J3" s="82"/>
      <c r="K3" s="82"/>
      <c r="L3" s="66"/>
    </row>
    <row r="4" spans="1:12" x14ac:dyDescent="0.25">
      <c r="A4" s="66"/>
      <c r="B4" s="82"/>
      <c r="C4" s="82" t="s">
        <v>167</v>
      </c>
      <c r="D4" s="82"/>
      <c r="E4" s="82"/>
      <c r="F4" s="82"/>
      <c r="G4" s="82"/>
      <c r="H4" s="82"/>
      <c r="I4" s="82"/>
      <c r="J4" s="82"/>
      <c r="K4" s="82"/>
      <c r="L4" s="66"/>
    </row>
    <row r="5" spans="1:12" x14ac:dyDescent="0.25">
      <c r="A5" s="66"/>
      <c r="B5" s="82"/>
      <c r="C5" s="82" t="s">
        <v>168</v>
      </c>
      <c r="D5" s="82"/>
      <c r="E5" s="82"/>
      <c r="F5" s="82"/>
      <c r="G5" s="82"/>
      <c r="H5" s="82"/>
      <c r="I5" s="82"/>
      <c r="J5" s="82"/>
      <c r="K5" s="82"/>
      <c r="L5" s="66"/>
    </row>
    <row r="6" spans="1:12" x14ac:dyDescent="0.25">
      <c r="A6" s="66"/>
      <c r="B6" s="82"/>
      <c r="C6" s="82" t="s">
        <v>169</v>
      </c>
      <c r="D6" s="82"/>
      <c r="E6" s="82"/>
      <c r="F6" s="82"/>
      <c r="G6" s="82"/>
      <c r="H6" s="82"/>
      <c r="I6" s="82"/>
      <c r="J6" s="82"/>
      <c r="K6" s="82"/>
      <c r="L6" s="66"/>
    </row>
    <row r="7" spans="1:12" x14ac:dyDescent="0.25">
      <c r="A7" s="66"/>
      <c r="B7" s="82"/>
      <c r="C7" s="82" t="s">
        <v>170</v>
      </c>
      <c r="D7" s="82"/>
      <c r="E7" s="82"/>
      <c r="F7" s="82"/>
      <c r="G7" s="82"/>
      <c r="H7" s="82"/>
      <c r="I7" s="82"/>
      <c r="J7" s="82"/>
      <c r="K7" s="82"/>
      <c r="L7" s="66"/>
    </row>
    <row r="8" spans="1:12" x14ac:dyDescent="0.25">
      <c r="A8" s="66"/>
      <c r="B8" s="82"/>
      <c r="C8" s="82" t="s">
        <v>171</v>
      </c>
      <c r="D8" s="82"/>
      <c r="E8" s="82"/>
      <c r="F8" s="82"/>
      <c r="G8" s="82"/>
      <c r="H8" s="82"/>
      <c r="I8" s="82"/>
      <c r="J8" s="82"/>
      <c r="K8" s="82"/>
      <c r="L8" s="66"/>
    </row>
    <row r="9" spans="1:12" x14ac:dyDescent="0.25">
      <c r="A9" s="66"/>
      <c r="B9" s="82"/>
      <c r="C9" s="82"/>
      <c r="D9" s="82"/>
      <c r="E9" s="82"/>
      <c r="F9" s="82"/>
      <c r="G9" s="82"/>
      <c r="H9" s="82"/>
      <c r="I9" s="82"/>
      <c r="J9" s="82"/>
      <c r="K9" s="82"/>
      <c r="L9" s="66"/>
    </row>
    <row r="10" spans="1:12" x14ac:dyDescent="0.25">
      <c r="A10" s="66"/>
      <c r="B10" s="82"/>
      <c r="C10" s="82"/>
      <c r="D10" s="82"/>
      <c r="E10" s="82"/>
      <c r="F10" s="82"/>
      <c r="G10" s="82"/>
      <c r="H10" s="82"/>
      <c r="I10" s="82"/>
      <c r="J10" s="82"/>
      <c r="K10" s="82"/>
      <c r="L10" s="66"/>
    </row>
    <row r="11" spans="1:12" x14ac:dyDescent="0.25">
      <c r="A11" s="66"/>
      <c r="B11" s="80" t="s">
        <v>146</v>
      </c>
      <c r="C11" s="80"/>
      <c r="D11" s="80"/>
      <c r="E11" s="80"/>
      <c r="F11" s="80"/>
      <c r="G11" s="80"/>
      <c r="H11" s="80"/>
      <c r="I11" s="80"/>
      <c r="J11" s="80"/>
      <c r="K11" s="80"/>
      <c r="L11" s="66"/>
    </row>
    <row r="12" spans="1:12" x14ac:dyDescent="0.25">
      <c r="A12" s="66"/>
      <c r="B12" s="80" t="s">
        <v>172</v>
      </c>
      <c r="C12" s="80"/>
      <c r="D12" s="80"/>
      <c r="E12" s="80"/>
      <c r="F12" s="80"/>
      <c r="G12" s="80"/>
      <c r="H12" s="80"/>
      <c r="I12" s="80"/>
      <c r="J12" s="80"/>
      <c r="K12" s="80"/>
      <c r="L12" s="66"/>
    </row>
    <row r="13" spans="1:12" x14ac:dyDescent="0.25">
      <c r="A13" s="66"/>
      <c r="B13" s="66"/>
      <c r="C13" s="66"/>
      <c r="D13" s="66"/>
      <c r="E13" s="66"/>
      <c r="F13" s="66"/>
      <c r="G13" s="66"/>
      <c r="H13" s="66"/>
      <c r="I13" s="66"/>
      <c r="J13" s="66"/>
      <c r="K13" s="66"/>
      <c r="L13" s="66"/>
    </row>
    <row r="14" spans="1:12" x14ac:dyDescent="0.25">
      <c r="A14" s="66"/>
      <c r="B14" s="66"/>
      <c r="C14" s="80" t="s">
        <v>255</v>
      </c>
      <c r="D14" s="80"/>
      <c r="E14" s="80"/>
      <c r="F14" s="80"/>
      <c r="G14" s="80"/>
      <c r="H14" s="80"/>
      <c r="I14" s="80"/>
      <c r="J14" s="80"/>
      <c r="K14" s="80"/>
      <c r="L14" s="66"/>
    </row>
    <row r="15" spans="1:12" x14ac:dyDescent="0.25">
      <c r="A15" s="66"/>
      <c r="B15" s="66"/>
      <c r="C15" s="66"/>
      <c r="D15" s="66"/>
      <c r="E15" s="66"/>
      <c r="F15" s="66"/>
      <c r="G15" s="66"/>
      <c r="H15" s="66"/>
      <c r="I15" s="66"/>
      <c r="J15" s="66"/>
      <c r="K15" s="66"/>
      <c r="L15" s="66"/>
    </row>
    <row r="16" spans="1:12" x14ac:dyDescent="0.25">
      <c r="A16" s="66"/>
      <c r="B16" s="66" t="s">
        <v>145</v>
      </c>
      <c r="C16" s="80" t="s">
        <v>148</v>
      </c>
      <c r="D16" s="80"/>
      <c r="E16" s="80"/>
      <c r="F16" s="80"/>
      <c r="G16" s="80"/>
      <c r="H16" s="80"/>
      <c r="I16" s="80"/>
      <c r="J16" s="80"/>
      <c r="K16" s="80"/>
      <c r="L16" s="66"/>
    </row>
    <row r="17" spans="1:12" x14ac:dyDescent="0.25">
      <c r="A17" s="66"/>
      <c r="B17" s="66"/>
      <c r="C17" s="66"/>
      <c r="D17" s="66"/>
      <c r="E17" s="66"/>
      <c r="F17" s="66"/>
      <c r="G17" s="66"/>
      <c r="H17" s="66"/>
      <c r="I17" s="66"/>
      <c r="J17" s="66"/>
      <c r="K17" s="66"/>
      <c r="L17" s="66"/>
    </row>
    <row r="18" spans="1:12" x14ac:dyDescent="0.25">
      <c r="A18" s="66"/>
      <c r="B18" s="66" t="s">
        <v>147</v>
      </c>
      <c r="C18" s="80" t="s">
        <v>229</v>
      </c>
      <c r="D18" s="80"/>
      <c r="E18" s="80"/>
      <c r="F18" s="80"/>
      <c r="G18" s="80"/>
      <c r="H18" s="80"/>
      <c r="I18" s="80"/>
      <c r="J18" s="80"/>
      <c r="K18" s="80"/>
      <c r="L18" s="66"/>
    </row>
    <row r="19" spans="1:12" x14ac:dyDescent="0.25">
      <c r="A19" s="66"/>
      <c r="B19" s="66"/>
      <c r="C19" s="66"/>
      <c r="D19" s="66"/>
      <c r="E19" s="66"/>
      <c r="F19" s="66"/>
      <c r="G19" s="66"/>
      <c r="H19" s="66"/>
      <c r="I19" s="66"/>
      <c r="J19" s="66"/>
      <c r="K19" s="66"/>
      <c r="L19" s="66"/>
    </row>
    <row r="20" spans="1:12" x14ac:dyDescent="0.25">
      <c r="A20" s="66"/>
      <c r="B20" s="66"/>
      <c r="C20" s="66"/>
      <c r="D20" s="80" t="s">
        <v>173</v>
      </c>
      <c r="E20" s="80"/>
      <c r="F20" s="80"/>
      <c r="G20" s="80"/>
      <c r="H20" s="80"/>
      <c r="I20" s="80"/>
      <c r="J20" s="80"/>
      <c r="K20" s="80"/>
      <c r="L20" s="66"/>
    </row>
    <row r="21" spans="1:12" x14ac:dyDescent="0.25">
      <c r="A21" s="66"/>
      <c r="B21" s="66"/>
      <c r="C21" s="66"/>
      <c r="D21" s="66"/>
      <c r="E21" s="66"/>
      <c r="F21" s="66"/>
      <c r="G21" s="66"/>
      <c r="H21" s="66"/>
      <c r="I21" s="66"/>
      <c r="J21" s="66"/>
      <c r="K21" s="66"/>
      <c r="L21" s="66"/>
    </row>
    <row r="22" spans="1:12" x14ac:dyDescent="0.25">
      <c r="A22" s="66"/>
      <c r="B22" s="66"/>
      <c r="C22" s="66"/>
      <c r="D22" s="66"/>
      <c r="E22" s="66"/>
      <c r="F22" s="66"/>
      <c r="G22" s="66"/>
      <c r="H22" s="66"/>
      <c r="I22" s="66"/>
      <c r="J22" s="66"/>
      <c r="K22" s="66"/>
      <c r="L22" s="66"/>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MultiPlanModeOption1">
                <anchor moveWithCells="1" sizeWithCells="1">
                  <from>
                    <xdr:col>1</xdr:col>
                    <xdr:colOff>0</xdr:colOff>
                    <xdr:row>13</xdr:row>
                    <xdr:rowOff>9525</xdr:rowOff>
                  </from>
                  <to>
                    <xdr:col>1</xdr:col>
                    <xdr:colOff>638175</xdr:colOff>
                    <xdr:row>14</xdr:row>
                    <xdr:rowOff>85725</xdr:rowOff>
                  </to>
                </anchor>
              </controlPr>
            </control>
          </mc:Choice>
        </mc:AlternateContent>
        <mc:AlternateContent xmlns:mc="http://schemas.openxmlformats.org/markup-compatibility/2006">
          <mc:Choice Requires="x14">
            <control shapeId="19460" r:id="rId5" name="Button 4">
              <controlPr defaultSize="0" print="0" autoFill="0" autoPict="0" macro="[0]!SinglePlanMode">
                <anchor moveWithCells="1" sizeWithCells="1">
                  <from>
                    <xdr:col>1</xdr:col>
                    <xdr:colOff>0</xdr:colOff>
                    <xdr:row>19</xdr:row>
                    <xdr:rowOff>9525</xdr:rowOff>
                  </from>
                  <to>
                    <xdr:col>2</xdr:col>
                    <xdr:colOff>466725</xdr:colOff>
                    <xdr:row>20</xdr:row>
                    <xdr:rowOff>85725</xdr:rowOff>
                  </to>
                </anchor>
              </controlPr>
            </control>
          </mc:Choice>
        </mc:AlternateContent>
        <mc:AlternateContent xmlns:mc="http://schemas.openxmlformats.org/markup-compatibility/2006">
          <mc:Choice Requires="x14">
            <control shapeId="19461" r:id="rId6" name="Button 5">
              <controlPr defaultSize="0" print="0" autoFill="0" autoPict="0" macro="[0]!MultiPlanModeOption2">
                <anchor moveWithCells="1" sizeWithCells="1">
                  <from>
                    <xdr:col>1</xdr:col>
                    <xdr:colOff>0</xdr:colOff>
                    <xdr:row>15</xdr:row>
                    <xdr:rowOff>0</xdr:rowOff>
                  </from>
                  <to>
                    <xdr:col>1</xdr:col>
                    <xdr:colOff>638175</xdr:colOff>
                    <xdr:row>16</xdr:row>
                    <xdr:rowOff>76200</xdr:rowOff>
                  </to>
                </anchor>
              </controlPr>
            </control>
          </mc:Choice>
        </mc:AlternateContent>
        <mc:AlternateContent xmlns:mc="http://schemas.openxmlformats.org/markup-compatibility/2006">
          <mc:Choice Requires="x14">
            <control shapeId="19462" r:id="rId7" name="Button 6">
              <controlPr defaultSize="0" print="0" autoFill="0" autoPict="0" macro="[0]!MultiPlanModeOption3">
                <anchor moveWithCells="1" sizeWithCells="1">
                  <from>
                    <xdr:col>1</xdr:col>
                    <xdr:colOff>0</xdr:colOff>
                    <xdr:row>17</xdr:row>
                    <xdr:rowOff>0</xdr:rowOff>
                  </from>
                  <to>
                    <xdr:col>1</xdr:col>
                    <xdr:colOff>638175</xdr:colOff>
                    <xdr:row>18</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BenefitDesign"/>
  <dimension ref="A1:J44"/>
  <sheetViews>
    <sheetView workbookViewId="0"/>
  </sheetViews>
  <sheetFormatPr defaultColWidth="0" defaultRowHeight="15" zeroHeight="1" x14ac:dyDescent="0.25"/>
  <cols>
    <col min="1" max="1" width="3" customWidth="1"/>
    <col min="2" max="2" width="43.7109375" bestFit="1" customWidth="1"/>
    <col min="3" max="3" width="24.7109375" bestFit="1" customWidth="1"/>
    <col min="4" max="6" width="10.7109375" style="16" customWidth="1"/>
    <col min="7" max="8" width="8.7109375" style="1" customWidth="1"/>
    <col min="9" max="9" width="8.7109375" customWidth="1"/>
    <col min="10" max="10" width="2.7109375" customWidth="1"/>
    <col min="11" max="16384" width="9.140625" style="137" hidden="1"/>
  </cols>
  <sheetData>
    <row r="1" spans="1:10" x14ac:dyDescent="0.25">
      <c r="A1" s="66"/>
      <c r="B1" s="66"/>
      <c r="C1" s="66"/>
      <c r="D1" s="67"/>
      <c r="E1" s="67"/>
      <c r="F1" s="67"/>
      <c r="G1" s="68"/>
      <c r="H1" s="68"/>
      <c r="I1" s="66"/>
      <c r="J1" s="66"/>
    </row>
    <row r="2" spans="1:10" x14ac:dyDescent="0.25">
      <c r="A2" s="66"/>
      <c r="B2" s="78" t="s">
        <v>162</v>
      </c>
      <c r="C2" s="143" t="s">
        <v>246</v>
      </c>
      <c r="D2" s="140"/>
      <c r="E2" s="91"/>
      <c r="F2" s="67"/>
      <c r="G2" s="68"/>
      <c r="H2" s="68"/>
      <c r="I2" s="66"/>
      <c r="J2" s="66"/>
    </row>
    <row r="3" spans="1:10" x14ac:dyDescent="0.25">
      <c r="A3" s="66"/>
      <c r="B3" s="66" t="s">
        <v>163</v>
      </c>
      <c r="C3" s="66"/>
      <c r="D3" s="69"/>
      <c r="E3" s="69"/>
      <c r="F3" s="69"/>
      <c r="G3" s="68"/>
      <c r="H3" s="68"/>
      <c r="I3" s="66"/>
      <c r="J3" s="66"/>
    </row>
    <row r="4" spans="1:10" x14ac:dyDescent="0.25">
      <c r="A4" s="66"/>
      <c r="B4" s="66" t="s">
        <v>164</v>
      </c>
      <c r="C4" s="66"/>
      <c r="D4" s="67"/>
      <c r="E4" s="67"/>
      <c r="F4" s="67"/>
      <c r="G4" s="68"/>
      <c r="H4" s="68"/>
      <c r="I4" s="66"/>
      <c r="J4" s="66"/>
    </row>
    <row r="5" spans="1:10" ht="15.75" thickBot="1" x14ac:dyDescent="0.3">
      <c r="A5" s="66"/>
      <c r="B5" s="66"/>
      <c r="C5" s="66"/>
      <c r="D5" s="67"/>
      <c r="E5" s="67"/>
      <c r="F5" s="67"/>
      <c r="G5" s="68"/>
      <c r="H5" s="68"/>
      <c r="I5" s="66"/>
      <c r="J5" s="66"/>
    </row>
    <row r="6" spans="1:10" ht="15.75" thickBot="1" x14ac:dyDescent="0.3">
      <c r="A6" s="66"/>
      <c r="B6" s="142" t="s">
        <v>250</v>
      </c>
      <c r="C6" s="141" t="s">
        <v>256</v>
      </c>
      <c r="D6" s="67"/>
      <c r="E6" s="67"/>
      <c r="F6" s="67"/>
      <c r="G6" s="67"/>
      <c r="H6" s="68"/>
      <c r="I6" s="66"/>
      <c r="J6" s="66"/>
    </row>
    <row r="7" spans="1:10" ht="15.75" thickBot="1" x14ac:dyDescent="0.3">
      <c r="A7" s="66"/>
      <c r="B7" s="66"/>
      <c r="C7" s="66"/>
      <c r="D7" s="67"/>
      <c r="E7" s="67"/>
      <c r="F7" s="67"/>
      <c r="G7" s="68"/>
      <c r="H7" s="68"/>
      <c r="I7" s="66"/>
      <c r="J7" s="66"/>
    </row>
    <row r="8" spans="1:10" ht="15" customHeight="1" x14ac:dyDescent="0.25">
      <c r="A8" s="66"/>
      <c r="B8" s="343" t="s">
        <v>8</v>
      </c>
      <c r="C8" s="345" t="s">
        <v>107</v>
      </c>
      <c r="D8" s="266" t="s">
        <v>184</v>
      </c>
      <c r="E8" s="267"/>
      <c r="F8" s="267"/>
      <c r="G8" s="266" t="s">
        <v>106</v>
      </c>
      <c r="H8" s="267"/>
      <c r="I8" s="268" t="s">
        <v>138</v>
      </c>
      <c r="J8" s="66"/>
    </row>
    <row r="9" spans="1:10" ht="30.75" thickBot="1" x14ac:dyDescent="0.3">
      <c r="A9" s="66"/>
      <c r="B9" s="344"/>
      <c r="C9" s="346"/>
      <c r="D9" s="269" t="s">
        <v>105</v>
      </c>
      <c r="E9" s="270" t="s">
        <v>4</v>
      </c>
      <c r="F9" s="270" t="s">
        <v>10</v>
      </c>
      <c r="G9" s="271" t="s">
        <v>108</v>
      </c>
      <c r="H9" s="272" t="s">
        <v>109</v>
      </c>
      <c r="I9" s="273" t="s">
        <v>139</v>
      </c>
      <c r="J9" s="66"/>
    </row>
    <row r="10" spans="1:10" x14ac:dyDescent="0.25">
      <c r="A10" s="66"/>
      <c r="B10" s="25" t="s">
        <v>28</v>
      </c>
      <c r="C10" s="26" t="s">
        <v>14</v>
      </c>
      <c r="D10" s="27"/>
      <c r="E10" s="27"/>
      <c r="F10" s="246"/>
      <c r="G10" s="247"/>
      <c r="H10" s="247"/>
      <c r="I10" s="255"/>
      <c r="J10" s="66"/>
    </row>
    <row r="11" spans="1:10" x14ac:dyDescent="0.25">
      <c r="A11" s="66"/>
      <c r="B11" s="25" t="s">
        <v>207</v>
      </c>
      <c r="C11" s="26" t="s">
        <v>14</v>
      </c>
      <c r="D11" s="27"/>
      <c r="E11" s="27"/>
      <c r="F11" s="246"/>
      <c r="G11" s="247"/>
      <c r="H11" s="247"/>
      <c r="I11" s="255"/>
      <c r="J11" s="66"/>
    </row>
    <row r="12" spans="1:10" x14ac:dyDescent="0.25">
      <c r="A12" s="66"/>
      <c r="B12" s="25" t="s">
        <v>187</v>
      </c>
      <c r="C12" s="26" t="s">
        <v>14</v>
      </c>
      <c r="D12" s="27"/>
      <c r="E12" s="27"/>
      <c r="F12" s="246"/>
      <c r="G12" s="247"/>
      <c r="H12" s="247"/>
      <c r="I12" s="255"/>
      <c r="J12" s="66"/>
    </row>
    <row r="13" spans="1:10" x14ac:dyDescent="0.25">
      <c r="A13" s="66"/>
      <c r="B13" s="25" t="s">
        <v>188</v>
      </c>
      <c r="C13" s="26" t="s">
        <v>14</v>
      </c>
      <c r="D13" s="27"/>
      <c r="E13" s="27"/>
      <c r="F13" s="246"/>
      <c r="G13" s="247"/>
      <c r="H13" s="247"/>
      <c r="I13" s="255"/>
      <c r="J13" s="66"/>
    </row>
    <row r="14" spans="1:10" x14ac:dyDescent="0.25">
      <c r="A14" s="66"/>
      <c r="B14" s="25" t="s">
        <v>29</v>
      </c>
      <c r="C14" s="26" t="s">
        <v>14</v>
      </c>
      <c r="D14" s="27"/>
      <c r="E14" s="27"/>
      <c r="F14" s="246"/>
      <c r="G14" s="247"/>
      <c r="H14" s="247"/>
      <c r="I14" s="255"/>
      <c r="J14" s="66"/>
    </row>
    <row r="15" spans="1:10" x14ac:dyDescent="0.25">
      <c r="A15" s="66"/>
      <c r="B15" s="25" t="s">
        <v>209</v>
      </c>
      <c r="C15" s="26" t="s">
        <v>14</v>
      </c>
      <c r="D15" s="27"/>
      <c r="E15" s="27"/>
      <c r="F15" s="246"/>
      <c r="G15" s="247"/>
      <c r="H15" s="247"/>
      <c r="I15" s="255"/>
      <c r="J15" s="66"/>
    </row>
    <row r="16" spans="1:10" x14ac:dyDescent="0.25">
      <c r="A16" s="66"/>
      <c r="B16" s="25" t="s">
        <v>377</v>
      </c>
      <c r="C16" s="26" t="s">
        <v>14</v>
      </c>
      <c r="D16" s="27"/>
      <c r="E16" s="27"/>
      <c r="F16" s="246"/>
      <c r="G16" s="247"/>
      <c r="H16" s="247"/>
      <c r="I16" s="255"/>
      <c r="J16" s="66"/>
    </row>
    <row r="17" spans="1:10" x14ac:dyDescent="0.25">
      <c r="A17" s="66"/>
      <c r="B17" s="25" t="s">
        <v>208</v>
      </c>
      <c r="C17" s="26" t="s">
        <v>14</v>
      </c>
      <c r="D17" s="27"/>
      <c r="E17" s="27"/>
      <c r="F17" s="246"/>
      <c r="G17" s="247"/>
      <c r="H17" s="247"/>
      <c r="I17" s="255"/>
      <c r="J17" s="66"/>
    </row>
    <row r="18" spans="1:10" x14ac:dyDescent="0.25">
      <c r="A18" s="66"/>
      <c r="B18" s="25" t="s">
        <v>30</v>
      </c>
      <c r="C18" s="26" t="s">
        <v>14</v>
      </c>
      <c r="D18" s="27"/>
      <c r="E18" s="27"/>
      <c r="F18" s="246"/>
      <c r="G18" s="247"/>
      <c r="H18" s="247"/>
      <c r="I18" s="255"/>
      <c r="J18" s="66"/>
    </row>
    <row r="19" spans="1:10" x14ac:dyDescent="0.25">
      <c r="A19" s="66"/>
      <c r="B19" s="25" t="s">
        <v>31</v>
      </c>
      <c r="C19" s="26" t="s">
        <v>14</v>
      </c>
      <c r="D19" s="27"/>
      <c r="E19" s="27"/>
      <c r="F19" s="246"/>
      <c r="G19" s="247"/>
      <c r="H19" s="247"/>
      <c r="I19" s="255"/>
      <c r="J19" s="66"/>
    </row>
    <row r="20" spans="1:10" x14ac:dyDescent="0.25">
      <c r="A20" s="66"/>
      <c r="B20" s="25" t="s">
        <v>189</v>
      </c>
      <c r="C20" s="26" t="s">
        <v>14</v>
      </c>
      <c r="D20" s="27"/>
      <c r="E20" s="27"/>
      <c r="F20" s="246"/>
      <c r="G20" s="247"/>
      <c r="H20" s="247"/>
      <c r="I20" s="255"/>
      <c r="J20" s="66"/>
    </row>
    <row r="21" spans="1:10" x14ac:dyDescent="0.25">
      <c r="A21" s="66"/>
      <c r="B21" s="25" t="s">
        <v>32</v>
      </c>
      <c r="C21" s="26" t="s">
        <v>14</v>
      </c>
      <c r="D21" s="27"/>
      <c r="E21" s="27"/>
      <c r="F21" s="246"/>
      <c r="G21" s="247"/>
      <c r="H21" s="247"/>
      <c r="I21" s="255"/>
      <c r="J21" s="66"/>
    </row>
    <row r="22" spans="1:10" x14ac:dyDescent="0.25">
      <c r="A22" s="66"/>
      <c r="B22" s="25" t="s">
        <v>33</v>
      </c>
      <c r="C22" s="26" t="s">
        <v>14</v>
      </c>
      <c r="D22" s="27"/>
      <c r="E22" s="27"/>
      <c r="F22" s="246"/>
      <c r="G22" s="247"/>
      <c r="H22" s="247"/>
      <c r="I22" s="255"/>
      <c r="J22" s="66"/>
    </row>
    <row r="23" spans="1:10" x14ac:dyDescent="0.25">
      <c r="A23" s="66"/>
      <c r="B23" s="25" t="s">
        <v>34</v>
      </c>
      <c r="C23" s="26" t="s">
        <v>14</v>
      </c>
      <c r="D23" s="27"/>
      <c r="E23" s="27"/>
      <c r="F23" s="246"/>
      <c r="G23" s="247"/>
      <c r="H23" s="247"/>
      <c r="I23" s="255"/>
      <c r="J23" s="66"/>
    </row>
    <row r="24" spans="1:10" x14ac:dyDescent="0.25">
      <c r="A24" s="66"/>
      <c r="B24" s="25" t="s">
        <v>35</v>
      </c>
      <c r="C24" s="26" t="s">
        <v>14</v>
      </c>
      <c r="D24" s="27"/>
      <c r="E24" s="27"/>
      <c r="F24" s="246"/>
      <c r="G24" s="247"/>
      <c r="H24" s="247"/>
      <c r="I24" s="255"/>
      <c r="J24" s="66"/>
    </row>
    <row r="25" spans="1:10" x14ac:dyDescent="0.25">
      <c r="A25" s="66"/>
      <c r="B25" s="25" t="s">
        <v>359</v>
      </c>
      <c r="C25" s="26" t="s">
        <v>14</v>
      </c>
      <c r="D25" s="27"/>
      <c r="E25" s="27"/>
      <c r="F25" s="246"/>
      <c r="G25" s="247"/>
      <c r="H25" s="247"/>
      <c r="I25" s="255"/>
      <c r="J25" s="66"/>
    </row>
    <row r="26" spans="1:10" x14ac:dyDescent="0.25">
      <c r="A26" s="66"/>
      <c r="B26" s="25" t="s">
        <v>36</v>
      </c>
      <c r="C26" s="26" t="s">
        <v>14</v>
      </c>
      <c r="D26" s="27"/>
      <c r="E26" s="27"/>
      <c r="F26" s="246"/>
      <c r="G26" s="247"/>
      <c r="H26" s="247"/>
      <c r="I26" s="255"/>
      <c r="J26" s="66"/>
    </row>
    <row r="27" spans="1:10" x14ac:dyDescent="0.25">
      <c r="A27" s="66"/>
      <c r="B27" s="25" t="s">
        <v>37</v>
      </c>
      <c r="C27" s="26" t="s">
        <v>14</v>
      </c>
      <c r="D27" s="27"/>
      <c r="E27" s="27"/>
      <c r="F27" s="246"/>
      <c r="G27" s="247"/>
      <c r="H27" s="247"/>
      <c r="I27" s="255"/>
      <c r="J27" s="66"/>
    </row>
    <row r="28" spans="1:10" x14ac:dyDescent="0.25">
      <c r="A28" s="66"/>
      <c r="B28" s="29" t="s">
        <v>38</v>
      </c>
      <c r="C28" s="26" t="s">
        <v>14</v>
      </c>
      <c r="D28" s="27"/>
      <c r="E28" s="27"/>
      <c r="F28" s="246"/>
      <c r="G28" s="247"/>
      <c r="H28" s="247"/>
      <c r="I28" s="255"/>
      <c r="J28" s="66"/>
    </row>
    <row r="29" spans="1:10" x14ac:dyDescent="0.25">
      <c r="A29" s="66"/>
      <c r="B29" s="25" t="s">
        <v>39</v>
      </c>
      <c r="C29" s="26" t="s">
        <v>14</v>
      </c>
      <c r="D29" s="27"/>
      <c r="E29" s="27"/>
      <c r="F29" s="246"/>
      <c r="G29" s="247"/>
      <c r="H29" s="247"/>
      <c r="I29" s="255"/>
      <c r="J29" s="66"/>
    </row>
    <row r="30" spans="1:10" x14ac:dyDescent="0.25">
      <c r="A30" s="66"/>
      <c r="B30" s="25" t="s">
        <v>190</v>
      </c>
      <c r="C30" s="26" t="s">
        <v>14</v>
      </c>
      <c r="D30" s="27"/>
      <c r="E30" s="27"/>
      <c r="F30" s="246"/>
      <c r="G30" s="247"/>
      <c r="H30" s="247"/>
      <c r="I30" s="255"/>
      <c r="J30" s="66"/>
    </row>
    <row r="31" spans="1:10" x14ac:dyDescent="0.25">
      <c r="A31" s="66"/>
      <c r="B31" s="25" t="s">
        <v>210</v>
      </c>
      <c r="C31" s="26" t="s">
        <v>14</v>
      </c>
      <c r="D31" s="27"/>
      <c r="E31" s="27"/>
      <c r="F31" s="246"/>
      <c r="G31" s="247"/>
      <c r="H31" s="247"/>
      <c r="I31" s="255"/>
      <c r="J31" s="66"/>
    </row>
    <row r="32" spans="1:10" x14ac:dyDescent="0.25">
      <c r="A32" s="66"/>
      <c r="B32" s="25" t="s">
        <v>40</v>
      </c>
      <c r="C32" s="27"/>
      <c r="D32" s="30"/>
      <c r="E32" s="30"/>
      <c r="F32" s="30"/>
      <c r="G32" s="28"/>
      <c r="H32" s="28"/>
      <c r="I32" s="34"/>
      <c r="J32" s="66"/>
    </row>
    <row r="33" spans="1:10" x14ac:dyDescent="0.25">
      <c r="A33" s="66"/>
      <c r="B33" s="71" t="s">
        <v>144</v>
      </c>
      <c r="C33" s="27"/>
      <c r="D33" s="72"/>
      <c r="E33" s="72"/>
      <c r="F33" s="72"/>
      <c r="G33" s="73"/>
      <c r="H33" s="73"/>
      <c r="I33" s="74"/>
      <c r="J33" s="66"/>
    </row>
    <row r="34" spans="1:10" x14ac:dyDescent="0.25">
      <c r="A34" s="66"/>
      <c r="B34" s="71" t="s">
        <v>205</v>
      </c>
      <c r="C34" s="27"/>
      <c r="D34" s="72"/>
      <c r="E34" s="72"/>
      <c r="F34" s="72"/>
      <c r="G34" s="73"/>
      <c r="H34" s="73"/>
      <c r="I34" s="74"/>
      <c r="J34" s="66"/>
    </row>
    <row r="35" spans="1:10" x14ac:dyDescent="0.25">
      <c r="A35" s="66"/>
      <c r="B35" s="71" t="s">
        <v>204</v>
      </c>
      <c r="C35" s="27"/>
      <c r="D35" s="72"/>
      <c r="E35" s="72"/>
      <c r="F35" s="72"/>
      <c r="G35" s="73"/>
      <c r="H35" s="73"/>
      <c r="I35" s="74"/>
      <c r="J35" s="66"/>
    </row>
    <row r="36" spans="1:10" ht="15.75" thickBot="1" x14ac:dyDescent="0.3">
      <c r="A36" s="66"/>
      <c r="B36" s="31" t="s">
        <v>115</v>
      </c>
      <c r="C36" s="256"/>
      <c r="D36" s="257"/>
      <c r="E36" s="32">
        <v>0</v>
      </c>
      <c r="F36" s="32"/>
      <c r="G36" s="33"/>
      <c r="H36" s="33"/>
      <c r="I36" s="35"/>
      <c r="J36" s="66"/>
    </row>
    <row r="37" spans="1:10" ht="15.75" thickBot="1" x14ac:dyDescent="0.3">
      <c r="A37" s="66"/>
      <c r="B37" s="66"/>
      <c r="C37" s="66"/>
      <c r="D37" s="67"/>
      <c r="E37" s="67"/>
      <c r="F37" s="67"/>
      <c r="G37" s="68"/>
      <c r="H37" s="68"/>
      <c r="I37" s="66"/>
      <c r="J37" s="66"/>
    </row>
    <row r="38" spans="1:10" ht="15.75" thickBot="1" x14ac:dyDescent="0.3">
      <c r="A38" s="66"/>
      <c r="B38" s="142" t="s">
        <v>307</v>
      </c>
      <c r="C38" s="260" t="s">
        <v>309</v>
      </c>
      <c r="D38" s="259" t="s">
        <v>308</v>
      </c>
      <c r="E38" s="67"/>
      <c r="F38" s="67"/>
      <c r="G38" s="67"/>
      <c r="H38" s="67"/>
      <c r="I38" s="67"/>
      <c r="J38" s="66"/>
    </row>
    <row r="39" spans="1:10" ht="30" x14ac:dyDescent="0.25">
      <c r="A39" s="66"/>
      <c r="B39" s="261" t="s">
        <v>259</v>
      </c>
      <c r="C39" s="263" t="s">
        <v>268</v>
      </c>
      <c r="D39" s="264"/>
      <c r="E39" s="67"/>
      <c r="F39" s="67"/>
      <c r="G39" s="67"/>
      <c r="H39" s="67"/>
      <c r="I39" s="67"/>
      <c r="J39" s="66"/>
    </row>
    <row r="40" spans="1:10" ht="30.75" thickBot="1" x14ac:dyDescent="0.3">
      <c r="A40" s="66"/>
      <c r="B40" s="262" t="s">
        <v>310</v>
      </c>
      <c r="C40" s="342" t="s">
        <v>268</v>
      </c>
      <c r="D40" s="265"/>
      <c r="E40" s="67"/>
      <c r="F40" s="67"/>
      <c r="G40" s="67"/>
      <c r="H40" s="67"/>
      <c r="I40" s="67"/>
      <c r="J40" s="66"/>
    </row>
    <row r="41" spans="1:10" x14ac:dyDescent="0.25">
      <c r="A41" s="66"/>
      <c r="B41" s="66"/>
      <c r="C41" s="66"/>
      <c r="D41" s="67"/>
      <c r="E41" s="67"/>
      <c r="F41" s="67"/>
      <c r="G41" s="68"/>
      <c r="H41" s="68"/>
      <c r="I41" s="66"/>
      <c r="J41" s="66"/>
    </row>
    <row r="42" spans="1:10" s="138" customFormat="1" x14ac:dyDescent="0.25">
      <c r="A42" s="92"/>
      <c r="B42" s="92" t="s">
        <v>185</v>
      </c>
      <c r="C42" s="92"/>
      <c r="D42" s="93"/>
      <c r="E42" s="67"/>
      <c r="F42" s="67"/>
      <c r="G42" s="67"/>
      <c r="H42" s="67"/>
      <c r="I42" s="67"/>
      <c r="J42" s="92"/>
    </row>
    <row r="43" spans="1:10" s="138" customFormat="1" ht="12.75" x14ac:dyDescent="0.2">
      <c r="A43" s="92"/>
      <c r="B43" s="92" t="s">
        <v>186</v>
      </c>
      <c r="C43" s="92"/>
      <c r="D43" s="93"/>
      <c r="E43" s="93"/>
      <c r="F43" s="93"/>
      <c r="G43" s="94"/>
      <c r="H43" s="94"/>
      <c r="I43" s="92"/>
      <c r="J43" s="92"/>
    </row>
    <row r="44" spans="1:10" x14ac:dyDescent="0.25">
      <c r="A44" s="66"/>
      <c r="B44" s="66"/>
      <c r="C44" s="66"/>
      <c r="D44" s="67"/>
      <c r="E44" s="67"/>
      <c r="F44" s="67"/>
      <c r="G44" s="68"/>
      <c r="H44" s="68"/>
      <c r="I44" s="66"/>
      <c r="J44" s="66"/>
    </row>
  </sheetData>
  <mergeCells count="2">
    <mergeCell ref="B8:B9"/>
    <mergeCell ref="C8:C9"/>
  </mergeCells>
  <conditionalFormatting sqref="D39">
    <cfRule type="expression" dxfId="23" priority="81">
      <formula>$C$39&lt;&gt;"Yes"</formula>
    </cfRule>
  </conditionalFormatting>
  <conditionalFormatting sqref="D40">
    <cfRule type="expression" dxfId="22" priority="80">
      <formula>$C$40&lt;&gt;"Yes"</formula>
    </cfRule>
  </conditionalFormatting>
  <dataValidations count="2">
    <dataValidation type="list" allowBlank="1" showInputMessage="1" showErrorMessage="1" sqref="C10:C31">
      <formula1>nrCostShareType</formula1>
    </dataValidation>
    <dataValidation type="list" showInputMessage="1" showErrorMessage="1" errorTitle="Out-of-Pocket Limit Error" error="You must enter Yes or No._x000a_Blanks are not allowed." sqref="C39:C40 I10:I31">
      <formula1>"Yes,No"</formula1>
    </dataValidation>
  </dataValidations>
  <pageMargins left="0.25" right="0.25" top="0.75" bottom="0.75" header="0.3" footer="0.3"/>
  <pageSetup orientation="landscape" r:id="rId1"/>
  <drawing r:id="rId2"/>
  <legacyDrawing r:id="rId3"/>
  <controls>
    <mc:AlternateContent xmlns:mc="http://schemas.openxmlformats.org/markup-compatibility/2006">
      <mc:Choice Requires="x14">
        <control shapeId="3464" r:id="rId4" name="cbBDPlanSelect">
          <controlPr defaultSize="0" autoLine="0" listFillRange="PLAN_INPUT_DATA!A8:A13" r:id="rId5">
            <anchor moveWithCells="1">
              <from>
                <xdr:col>3</xdr:col>
                <xdr:colOff>0</xdr:colOff>
                <xdr:row>0</xdr:row>
                <xdr:rowOff>180975</xdr:rowOff>
              </from>
              <to>
                <xdr:col>4</xdr:col>
                <xdr:colOff>628650</xdr:colOff>
                <xdr:row>2</xdr:row>
                <xdr:rowOff>66675</xdr:rowOff>
              </to>
            </anchor>
          </controlPr>
        </control>
      </mc:Choice>
      <mc:Fallback>
        <control shapeId="3464" r:id="rId4" name="cbBDPlanSelect"/>
      </mc:Fallback>
    </mc:AlternateContent>
    <mc:AlternateContent xmlns:mc="http://schemas.openxmlformats.org/markup-compatibility/2006">
      <mc:Choice Requires="x14">
        <control shapeId="3073" r:id="rId6" name="Button 1">
          <controlPr defaultSize="0" print="0" autoFill="0" autoPict="0" macro="[0]!MultiPlanMode">
            <anchor moveWithCells="1" sizeWithCells="1">
              <from>
                <xdr:col>7</xdr:col>
                <xdr:colOff>9525</xdr:colOff>
                <xdr:row>0</xdr:row>
                <xdr:rowOff>161925</xdr:rowOff>
              </from>
              <to>
                <xdr:col>8</xdr:col>
                <xdr:colOff>571500</xdr:colOff>
                <xdr:row>2</xdr:row>
                <xdr:rowOff>38100</xdr:rowOff>
              </to>
            </anchor>
          </controlPr>
        </control>
      </mc:Choice>
    </mc:AlternateContent>
    <mc:AlternateContent xmlns:mc="http://schemas.openxmlformats.org/markup-compatibility/2006">
      <mc:Choice Requires="x14">
        <control shapeId="3074" r:id="rId7" name="Button 2">
          <controlPr defaultSize="0" print="0" autoFill="0" autoPict="0" macro="[0]!RunCalculator">
            <anchor moveWithCells="1" sizeWithCells="1">
              <from>
                <xdr:col>7</xdr:col>
                <xdr:colOff>9525</xdr:colOff>
                <xdr:row>2</xdr:row>
                <xdr:rowOff>123825</xdr:rowOff>
              </from>
              <to>
                <xdr:col>8</xdr:col>
                <xdr:colOff>571500</xdr:colOff>
                <xdr:row>4</xdr:row>
                <xdr:rowOff>0</xdr:rowOff>
              </to>
            </anchor>
          </controlPr>
        </control>
      </mc:Choice>
    </mc:AlternateContent>
    <mc:AlternateContent xmlns:mc="http://schemas.openxmlformats.org/markup-compatibility/2006">
      <mc:Choice Requires="x14">
        <control shapeId="3169" r:id="rId8" name="Button 5">
          <controlPr defaultSize="0" print="0" autoFill="0" autoPict="0" macro="[0]!UpdatePlanInputData">
            <anchor moveWithCells="1" sizeWithCells="1">
              <from>
                <xdr:col>4</xdr:col>
                <xdr:colOff>0</xdr:colOff>
                <xdr:row>2</xdr:row>
                <xdr:rowOff>133350</xdr:rowOff>
              </from>
              <to>
                <xdr:col>4</xdr:col>
                <xdr:colOff>695325</xdr:colOff>
                <xdr:row>4</xdr:row>
                <xdr:rowOff>9525</xdr:rowOff>
              </to>
            </anchor>
          </controlPr>
        </control>
      </mc:Choice>
    </mc:AlternateContent>
    <mc:AlternateContent xmlns:mc="http://schemas.openxmlformats.org/markup-compatibility/2006">
      <mc:Choice Requires="x14">
        <control shapeId="3170" r:id="rId9" name="Button 6">
          <controlPr defaultSize="0" print="0" autoFill="0" autoPict="0" macro="[0]!SaveNewPlanInputData">
            <anchor moveWithCells="1" sizeWithCells="1">
              <from>
                <xdr:col>4</xdr:col>
                <xdr:colOff>704850</xdr:colOff>
                <xdr:row>2</xdr:row>
                <xdr:rowOff>133350</xdr:rowOff>
              </from>
              <to>
                <xdr:col>5</xdr:col>
                <xdr:colOff>704850</xdr:colOff>
                <xdr:row>4</xdr:row>
                <xdr:rowOff>9525</xdr:rowOff>
              </to>
            </anchor>
          </controlPr>
        </control>
      </mc:Choice>
    </mc:AlternateContent>
    <mc:AlternateContent xmlns:mc="http://schemas.openxmlformats.org/markup-compatibility/2006">
      <mc:Choice Requires="x14">
        <control shapeId="3326" r:id="rId10" name="Button 254">
          <controlPr defaultSize="0" print="0" autoFill="0" autoPict="0" macro="[0]!ClearManualInputData">
            <anchor moveWithCells="1" sizeWithCells="1">
              <from>
                <xdr:col>3</xdr:col>
                <xdr:colOff>0</xdr:colOff>
                <xdr:row>2</xdr:row>
                <xdr:rowOff>133350</xdr:rowOff>
              </from>
              <to>
                <xdr:col>3</xdr:col>
                <xdr:colOff>695325</xdr:colOff>
                <xdr:row>4</xdr:row>
                <xdr:rowOff>9525</xdr:rowOff>
              </to>
            </anchor>
          </controlPr>
        </control>
      </mc:Choice>
    </mc:AlternateContent>
    <mc:AlternateContent xmlns:mc="http://schemas.openxmlformats.org/markup-compatibility/2006">
      <mc:Choice Requires="x14">
        <control shapeId="3465" r:id="rId11" name="Button 393">
          <controlPr defaultSize="0" print="0" autoFill="0" autoPict="0" macro="[0]!ComboBox_Load">
            <anchor moveWithCells="1" sizeWithCells="1">
              <from>
                <xdr:col>4</xdr:col>
                <xdr:colOff>704850</xdr:colOff>
                <xdr:row>1</xdr:row>
                <xdr:rowOff>0</xdr:rowOff>
              </from>
              <to>
                <xdr:col>5</xdr:col>
                <xdr:colOff>704850</xdr:colOff>
                <xdr:row>2</xdr:row>
                <xdr:rowOff>66675</xdr:rowOff>
              </to>
            </anchor>
          </controlPr>
        </control>
      </mc:Choice>
    </mc:AlternateContent>
  </controls>
  <extLst>
    <ext xmlns:x14="http://schemas.microsoft.com/office/spreadsheetml/2009/9/main" uri="{78C0D931-6437-407d-A8EE-F0AAD7539E65}">
      <x14:conditionalFormattings>
        <x14:conditionalFormatting xmlns:xm="http://schemas.microsoft.com/office/excel/2006/main">
          <x14:cfRule type="expression" priority="97" id="{F2D9F4AE-D2FF-49B2-85D7-B9D1043054AA}">
            <xm:f>BENEFIT_PARAMETERS!$K4=FALSE</xm:f>
            <x14:dxf>
              <font>
                <color rgb="FFFF0000"/>
              </font>
              <fill>
                <patternFill>
                  <bgColor theme="1"/>
                </patternFill>
              </fill>
            </x14:dxf>
          </x14:cfRule>
          <xm:sqref>D10:D31</xm:sqref>
        </x14:conditionalFormatting>
        <x14:conditionalFormatting xmlns:xm="http://schemas.microsoft.com/office/excel/2006/main">
          <x14:cfRule type="expression" priority="95" id="{0EC37BBE-740D-4031-A816-D13D75BDCEDC}">
            <xm:f>BENEFIT_PARAMETERS!$G$26=FALSE</xm:f>
            <x14:dxf>
              <font>
                <color rgb="FFFF0000"/>
              </font>
              <fill>
                <patternFill>
                  <bgColor theme="1"/>
                </patternFill>
              </fill>
            </x14:dxf>
          </x14:cfRule>
          <xm:sqref>C32</xm:sqref>
        </x14:conditionalFormatting>
        <x14:conditionalFormatting xmlns:xm="http://schemas.microsoft.com/office/excel/2006/main">
          <x14:cfRule type="expression" priority="94" id="{CD78EF16-AFA6-499A-9CDE-36BFB8478AB4}">
            <xm:f>BENEFIT_PARAMETERS!$H$26=FALSE</xm:f>
            <x14:dxf>
              <font>
                <color rgb="FFFF0000"/>
              </font>
              <fill>
                <patternFill>
                  <bgColor theme="1"/>
                </patternFill>
              </fill>
            </x14:dxf>
          </x14:cfRule>
          <xm:sqref>C33</xm:sqref>
        </x14:conditionalFormatting>
        <x14:conditionalFormatting xmlns:xm="http://schemas.microsoft.com/office/excel/2006/main">
          <x14:cfRule type="expression" priority="93" id="{830AED73-A505-4198-BF7B-DDC4ADF6F88E}">
            <xm:f>BENEFIT_PARAMETERS!$I$26=FALSE</xm:f>
            <x14:dxf>
              <font>
                <color rgb="FFFF0000"/>
              </font>
              <fill>
                <patternFill>
                  <bgColor theme="1"/>
                </patternFill>
              </fill>
            </x14:dxf>
          </x14:cfRule>
          <xm:sqref>C34</xm:sqref>
        </x14:conditionalFormatting>
        <x14:conditionalFormatting xmlns:xm="http://schemas.microsoft.com/office/excel/2006/main">
          <x14:cfRule type="expression" priority="92" id="{EBC983F8-62D1-422B-9F05-BCCD896AC1B5}">
            <xm:f>BENEFIT_PARAMETERS!$J$26=FALSE</xm:f>
            <x14:dxf>
              <font>
                <color rgb="FFFF0000"/>
              </font>
              <fill>
                <patternFill>
                  <bgColor theme="1"/>
                </patternFill>
              </fill>
            </x14:dxf>
          </x14:cfRule>
          <xm:sqref>C35</xm:sqref>
        </x14:conditionalFormatting>
        <x14:conditionalFormatting xmlns:xm="http://schemas.microsoft.com/office/excel/2006/main">
          <x14:cfRule type="expression" priority="91" id="{5FBDCDEB-C58E-4866-9596-CFD63908DB16}">
            <xm:f>BENEFIT_PARAMETERS!$F$26=FALSE</xm:f>
            <x14:dxf>
              <font>
                <color rgb="FFFF0000"/>
              </font>
              <fill>
                <patternFill>
                  <bgColor theme="1"/>
                </patternFill>
              </fill>
            </x14:dxf>
          </x14:cfRule>
          <xm:sqref>C36</xm:sqref>
        </x14:conditionalFormatting>
        <x14:conditionalFormatting xmlns:xm="http://schemas.microsoft.com/office/excel/2006/main">
          <x14:cfRule type="expression" priority="89" id="{344B92D6-96EA-47B1-97A4-8BFF1715DC43}">
            <xm:f>BENEFIT_PARAMETERS!$M4=FALSE</xm:f>
            <x14:dxf>
              <font>
                <color rgb="FFFF0000"/>
              </font>
              <fill>
                <patternFill>
                  <bgColor theme="1"/>
                </patternFill>
              </fill>
            </x14:dxf>
          </x14:cfRule>
          <xm:sqref>F10:F31</xm:sqref>
        </x14:conditionalFormatting>
        <x14:conditionalFormatting xmlns:xm="http://schemas.microsoft.com/office/excel/2006/main">
          <x14:cfRule type="expression" priority="88" id="{1E2271EF-A885-4686-9B89-04229FC82127}">
            <xm:f>BENEFIT_PARAMETERS!$D4=FALSE</xm:f>
            <x14:dxf>
              <font>
                <color rgb="FFFF0000"/>
              </font>
              <fill>
                <patternFill>
                  <bgColor theme="1"/>
                </patternFill>
              </fill>
            </x14:dxf>
          </x14:cfRule>
          <xm:sqref>G10:G31</xm:sqref>
        </x14:conditionalFormatting>
        <x14:conditionalFormatting xmlns:xm="http://schemas.microsoft.com/office/excel/2006/main">
          <x14:cfRule type="expression" priority="87" id="{E10312F8-E1BB-4554-B69E-A5ABE4F80330}">
            <xm:f>BENEFIT_PARAMETERS!$E4=FALSE</xm:f>
            <x14:dxf>
              <font>
                <color rgb="FFFF0000"/>
              </font>
              <fill>
                <patternFill>
                  <bgColor theme="1"/>
                </patternFill>
              </fill>
            </x14:dxf>
          </x14:cfRule>
          <xm:sqref>H10:H31</xm:sqref>
        </x14:conditionalFormatting>
        <x14:conditionalFormatting xmlns:xm="http://schemas.microsoft.com/office/excel/2006/main">
          <x14:cfRule type="expression" priority="86" id="{81012F80-8A40-404C-9C36-B64D86F9EB2D}">
            <xm:f>BENEFIT_PARAMETERS!$F4=FALSE</xm:f>
            <x14:dxf>
              <font>
                <color rgb="FFFF0000"/>
              </font>
              <fill>
                <patternFill>
                  <bgColor theme="1"/>
                </patternFill>
              </fill>
            </x14:dxf>
          </x14:cfRule>
          <xm:sqref>I10:I31</xm:sqref>
        </x14:conditionalFormatting>
        <x14:conditionalFormatting xmlns:xm="http://schemas.microsoft.com/office/excel/2006/main">
          <x14:cfRule type="expression" priority="79" id="{E2BD78E9-541F-4EED-9F3E-DB3DB853E0FE}">
            <xm:f>BENEFIT_PARAMETERS!$L4=FALSE</xm:f>
            <x14:dxf>
              <font>
                <color rgb="FFFF0000"/>
              </font>
              <fill>
                <patternFill>
                  <bgColor theme="1"/>
                </patternFill>
              </fill>
            </x14:dxf>
          </x14:cfRule>
          <xm:sqref>E10:E31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PlanInputData"/>
  <dimension ref="A1:FH20"/>
  <sheetViews>
    <sheetView workbookViewId="0">
      <selection activeCell="A6" sqref="A6"/>
    </sheetView>
  </sheetViews>
  <sheetFormatPr defaultColWidth="9.140625" defaultRowHeight="15" x14ac:dyDescent="0.25"/>
  <cols>
    <col min="1" max="1" width="20.7109375" style="3" customWidth="1"/>
    <col min="2" max="5" width="15.7109375" style="3" customWidth="1"/>
    <col min="6" max="6" width="12.7109375" style="3" customWidth="1"/>
    <col min="7" max="7" width="30.7109375" style="3" customWidth="1"/>
    <col min="8" max="8" width="18.7109375" style="3" customWidth="1"/>
    <col min="9" max="10" width="12.7109375" style="3" customWidth="1"/>
    <col min="11" max="12" width="14.7109375" style="3" customWidth="1"/>
    <col min="13" max="13" width="17.7109375" style="3" customWidth="1"/>
    <col min="14" max="14" width="30.7109375" style="3" customWidth="1"/>
    <col min="15" max="15" width="18.7109375" style="3" customWidth="1"/>
    <col min="16" max="17" width="12.7109375" style="3" customWidth="1"/>
    <col min="18" max="19" width="14.7109375" style="3" customWidth="1"/>
    <col min="20" max="20" width="17.7109375" style="3" customWidth="1"/>
    <col min="21" max="21" width="30.7109375" style="3" customWidth="1"/>
    <col min="22" max="22" width="18.7109375" style="3" customWidth="1"/>
    <col min="23" max="24" width="12.7109375" style="3" customWidth="1"/>
    <col min="25" max="26" width="14.7109375" style="3" customWidth="1"/>
    <col min="27" max="27" width="17.7109375" style="3" customWidth="1"/>
    <col min="28" max="28" width="30.7109375" style="3" customWidth="1"/>
    <col min="29" max="29" width="18.7109375" style="3" customWidth="1"/>
    <col min="30" max="31" width="12.7109375" style="3" customWidth="1"/>
    <col min="32" max="33" width="14.7109375" style="3" customWidth="1"/>
    <col min="34" max="34" width="17.7109375" style="3" customWidth="1"/>
    <col min="35" max="35" width="30.7109375" style="3" customWidth="1"/>
    <col min="36" max="36" width="18.7109375" style="3" customWidth="1"/>
    <col min="37" max="38" width="12.7109375" style="3" customWidth="1"/>
    <col min="39" max="40" width="14.7109375" style="3" customWidth="1"/>
    <col min="41" max="41" width="17.7109375" style="3" customWidth="1"/>
    <col min="42" max="42" width="30.7109375" style="3" customWidth="1"/>
    <col min="43" max="43" width="18.7109375" style="3" customWidth="1"/>
    <col min="44" max="45" width="12.7109375" style="3" customWidth="1"/>
    <col min="46" max="47" width="14.7109375" style="3" customWidth="1"/>
    <col min="48" max="48" width="17.7109375" style="3" customWidth="1"/>
    <col min="49" max="49" width="30.7109375" style="3" customWidth="1"/>
    <col min="50" max="50" width="18.7109375" style="3" customWidth="1"/>
    <col min="51" max="52" width="12.7109375" style="3" customWidth="1"/>
    <col min="53" max="54" width="14.7109375" style="3" customWidth="1"/>
    <col min="55" max="55" width="17.7109375" style="3" customWidth="1"/>
    <col min="56" max="56" width="30.7109375" style="3" customWidth="1"/>
    <col min="57" max="57" width="18.7109375" style="3" customWidth="1"/>
    <col min="58" max="59" width="12.7109375" style="3" customWidth="1"/>
    <col min="60" max="61" width="14.7109375" style="3" customWidth="1"/>
    <col min="62" max="62" width="17.7109375" style="3" customWidth="1"/>
    <col min="63" max="63" width="30.7109375" style="3" customWidth="1"/>
    <col min="64" max="64" width="18.7109375" style="3" customWidth="1"/>
    <col min="65" max="66" width="12.7109375" style="3" customWidth="1"/>
    <col min="67" max="68" width="14.7109375" style="3" customWidth="1"/>
    <col min="69" max="69" width="17.7109375" style="3" customWidth="1"/>
    <col min="70" max="70" width="30.7109375" style="3" customWidth="1"/>
    <col min="71" max="71" width="18.7109375" style="3" customWidth="1"/>
    <col min="72" max="73" width="12.7109375" style="3" customWidth="1"/>
    <col min="74" max="75" width="14.7109375" style="3" customWidth="1"/>
    <col min="76" max="76" width="17.7109375" style="3" customWidth="1"/>
    <col min="77" max="77" width="30.7109375" style="3" customWidth="1"/>
    <col min="78" max="78" width="18.7109375" style="3" customWidth="1"/>
    <col min="79" max="80" width="12.7109375" style="3" customWidth="1"/>
    <col min="81" max="82" width="14.7109375" style="3" customWidth="1"/>
    <col min="83" max="83" width="17.7109375" style="3" customWidth="1"/>
    <col min="84" max="84" width="30.7109375" style="3" customWidth="1"/>
    <col min="85" max="85" width="18.7109375" style="3" customWidth="1"/>
    <col min="86" max="87" width="12.7109375" style="3" customWidth="1"/>
    <col min="88" max="89" width="14.7109375" style="3" customWidth="1"/>
    <col min="90" max="90" width="17.7109375" style="3" customWidth="1"/>
    <col min="91" max="91" width="30.7109375" style="3" customWidth="1"/>
    <col min="92" max="92" width="18.7109375" style="3" customWidth="1"/>
    <col min="93" max="94" width="12.7109375" style="3" customWidth="1"/>
    <col min="95" max="96" width="14.7109375" style="3" customWidth="1"/>
    <col min="97" max="97" width="17.7109375" style="3" customWidth="1"/>
    <col min="98" max="98" width="30.7109375" style="3" customWidth="1"/>
    <col min="99" max="99" width="18.7109375" style="3" customWidth="1"/>
    <col min="100" max="101" width="12.7109375" style="3" customWidth="1"/>
    <col min="102" max="103" width="14.7109375" style="3" customWidth="1"/>
    <col min="104" max="104" width="17.7109375" style="3" customWidth="1"/>
    <col min="105" max="105" width="30.7109375" style="3" customWidth="1"/>
    <col min="106" max="106" width="18.7109375" style="3" customWidth="1"/>
    <col min="107" max="108" width="12.7109375" style="3" customWidth="1"/>
    <col min="109" max="110" width="14.7109375" style="3" customWidth="1"/>
    <col min="111" max="118" width="17.7109375" style="3" customWidth="1"/>
    <col min="119" max="119" width="30.7109375" style="3" customWidth="1"/>
    <col min="120" max="120" width="18.7109375" style="3" customWidth="1"/>
    <col min="121" max="122" width="12.7109375" style="3" customWidth="1"/>
    <col min="123" max="124" width="14.7109375" style="3" customWidth="1"/>
    <col min="125" max="125" width="17.7109375" style="3" customWidth="1"/>
    <col min="126" max="126" width="30.7109375" style="3" customWidth="1"/>
    <col min="127" max="127" width="18.7109375" style="3" customWidth="1"/>
    <col min="128" max="129" width="12.7109375" style="3" customWidth="1"/>
    <col min="130" max="131" width="14.7109375" style="3" customWidth="1"/>
    <col min="132" max="132" width="17.7109375" style="3" customWidth="1"/>
    <col min="133" max="133" width="30.7109375" style="3" customWidth="1"/>
    <col min="134" max="134" width="18.7109375" style="3" customWidth="1"/>
    <col min="135" max="136" width="12.7109375" style="3" customWidth="1"/>
    <col min="137" max="138" width="14.7109375" style="3" customWidth="1"/>
    <col min="139" max="139" width="17.7109375" style="3" customWidth="1"/>
    <col min="140" max="140" width="30.7109375" style="3" customWidth="1"/>
    <col min="141" max="141" width="18.7109375" style="3" customWidth="1"/>
    <col min="142" max="143" width="12.7109375" style="3" customWidth="1"/>
    <col min="144" max="145" width="14.7109375" style="3" customWidth="1"/>
    <col min="146" max="146" width="17.7109375" style="3" customWidth="1"/>
    <col min="147" max="147" width="30.7109375" style="3" customWidth="1"/>
    <col min="148" max="148" width="18.7109375" style="3" customWidth="1"/>
    <col min="149" max="150" width="12.7109375" style="3" customWidth="1"/>
    <col min="151" max="152" width="14.7109375" style="3" customWidth="1"/>
    <col min="153" max="153" width="17.7109375" style="3" customWidth="1"/>
    <col min="154" max="154" width="30.7109375" style="3" customWidth="1"/>
    <col min="155" max="155" width="18.7109375" style="3" customWidth="1"/>
    <col min="156" max="157" width="12.7109375" style="3" customWidth="1"/>
    <col min="158" max="159" width="14.7109375" style="3" customWidth="1"/>
    <col min="160" max="160" width="17.7109375" style="3" customWidth="1"/>
    <col min="161" max="164" width="13.85546875" style="3" customWidth="1"/>
    <col min="165" max="16384" width="9.140625" style="3"/>
  </cols>
  <sheetData>
    <row r="1" spans="1:164" s="76" customFormat="1" x14ac:dyDescent="0.25"/>
    <row r="2" spans="1:164" s="76" customFormat="1" x14ac:dyDescent="0.25">
      <c r="B2" s="76" t="s">
        <v>149</v>
      </c>
    </row>
    <row r="3" spans="1:164" s="76" customFormat="1" x14ac:dyDescent="0.25">
      <c r="B3" s="76" t="s">
        <v>174</v>
      </c>
    </row>
    <row r="4" spans="1:164" s="76" customFormat="1" x14ac:dyDescent="0.25"/>
    <row r="5" spans="1:164" s="76" customFormat="1" x14ac:dyDescent="0.25"/>
    <row r="6" spans="1:164" s="75" customFormat="1" x14ac:dyDescent="0.25">
      <c r="G6" s="75" t="s">
        <v>28</v>
      </c>
      <c r="N6" s="75" t="s">
        <v>207</v>
      </c>
      <c r="U6" s="75" t="s">
        <v>187</v>
      </c>
      <c r="AB6" s="75" t="s">
        <v>188</v>
      </c>
      <c r="AI6" s="75" t="s">
        <v>29</v>
      </c>
      <c r="AP6" s="75" t="s">
        <v>209</v>
      </c>
      <c r="AW6" s="75" t="s">
        <v>377</v>
      </c>
      <c r="BD6" s="75" t="s">
        <v>208</v>
      </c>
      <c r="BK6" s="75" t="s">
        <v>30</v>
      </c>
      <c r="BR6" s="75" t="s">
        <v>31</v>
      </c>
      <c r="BY6" s="75" t="s">
        <v>189</v>
      </c>
      <c r="CF6" s="75" t="s">
        <v>32</v>
      </c>
      <c r="CM6" s="75" t="s">
        <v>33</v>
      </c>
      <c r="CT6" s="75" t="s">
        <v>34</v>
      </c>
      <c r="DA6" s="75" t="s">
        <v>35</v>
      </c>
      <c r="DH6" s="75" t="s">
        <v>359</v>
      </c>
      <c r="DO6" s="75" t="s">
        <v>36</v>
      </c>
      <c r="DV6" s="75" t="s">
        <v>37</v>
      </c>
      <c r="EC6" s="75" t="s">
        <v>38</v>
      </c>
      <c r="EJ6" s="75" t="s">
        <v>39</v>
      </c>
      <c r="EQ6" s="75" t="s">
        <v>190</v>
      </c>
      <c r="EX6" s="75" t="s">
        <v>210</v>
      </c>
      <c r="FE6" s="75" t="s">
        <v>259</v>
      </c>
      <c r="FG6" s="75" t="s">
        <v>310</v>
      </c>
    </row>
    <row r="7" spans="1:164" s="75" customFormat="1" x14ac:dyDescent="0.25">
      <c r="A7" s="75" t="s">
        <v>129</v>
      </c>
      <c r="B7" s="89" t="s">
        <v>2</v>
      </c>
      <c r="C7" s="89" t="s">
        <v>143</v>
      </c>
      <c r="D7" s="89" t="s">
        <v>205</v>
      </c>
      <c r="E7" s="75" t="s">
        <v>204</v>
      </c>
      <c r="F7" s="89" t="s">
        <v>241</v>
      </c>
      <c r="G7" s="75" t="s">
        <v>242</v>
      </c>
      <c r="H7" s="75" t="s">
        <v>105</v>
      </c>
      <c r="I7" s="75" t="s">
        <v>4</v>
      </c>
      <c r="J7" s="75" t="s">
        <v>10</v>
      </c>
      <c r="K7" s="75" t="s">
        <v>243</v>
      </c>
      <c r="L7" s="75" t="s">
        <v>244</v>
      </c>
      <c r="M7" s="75" t="s">
        <v>245</v>
      </c>
      <c r="N7" s="75" t="s">
        <v>242</v>
      </c>
      <c r="O7" s="75" t="s">
        <v>105</v>
      </c>
      <c r="P7" s="75" t="s">
        <v>4</v>
      </c>
      <c r="Q7" s="75" t="s">
        <v>10</v>
      </c>
      <c r="R7" s="75" t="s">
        <v>243</v>
      </c>
      <c r="S7" s="75" t="s">
        <v>244</v>
      </c>
      <c r="T7" s="75" t="s">
        <v>245</v>
      </c>
      <c r="U7" s="75" t="s">
        <v>242</v>
      </c>
      <c r="V7" s="75" t="s">
        <v>105</v>
      </c>
      <c r="W7" s="75" t="s">
        <v>4</v>
      </c>
      <c r="X7" s="75" t="s">
        <v>10</v>
      </c>
      <c r="Y7" s="75" t="s">
        <v>243</v>
      </c>
      <c r="Z7" s="75" t="s">
        <v>244</v>
      </c>
      <c r="AA7" s="75" t="s">
        <v>245</v>
      </c>
      <c r="AB7" s="75" t="s">
        <v>242</v>
      </c>
      <c r="AC7" s="75" t="s">
        <v>105</v>
      </c>
      <c r="AD7" s="75" t="s">
        <v>4</v>
      </c>
      <c r="AE7" s="75" t="s">
        <v>10</v>
      </c>
      <c r="AF7" s="75" t="s">
        <v>243</v>
      </c>
      <c r="AG7" s="75" t="s">
        <v>244</v>
      </c>
      <c r="AH7" s="75" t="s">
        <v>245</v>
      </c>
      <c r="AI7" s="75" t="s">
        <v>242</v>
      </c>
      <c r="AJ7" s="75" t="s">
        <v>105</v>
      </c>
      <c r="AK7" s="89" t="s">
        <v>4</v>
      </c>
      <c r="AL7" s="75" t="s">
        <v>10</v>
      </c>
      <c r="AM7" s="75" t="s">
        <v>243</v>
      </c>
      <c r="AN7" s="75" t="s">
        <v>244</v>
      </c>
      <c r="AO7" s="75" t="s">
        <v>245</v>
      </c>
      <c r="AP7" s="75" t="s">
        <v>242</v>
      </c>
      <c r="AQ7" s="75" t="s">
        <v>105</v>
      </c>
      <c r="AR7" s="75" t="s">
        <v>4</v>
      </c>
      <c r="AS7" s="75" t="s">
        <v>10</v>
      </c>
      <c r="AT7" s="75" t="s">
        <v>243</v>
      </c>
      <c r="AU7" s="75" t="s">
        <v>244</v>
      </c>
      <c r="AV7" s="75" t="s">
        <v>245</v>
      </c>
      <c r="AW7" s="75" t="s">
        <v>242</v>
      </c>
      <c r="AX7" s="75" t="s">
        <v>105</v>
      </c>
      <c r="AY7" s="75" t="s">
        <v>4</v>
      </c>
      <c r="AZ7" s="75" t="s">
        <v>10</v>
      </c>
      <c r="BA7" s="75" t="s">
        <v>243</v>
      </c>
      <c r="BB7" s="75" t="s">
        <v>244</v>
      </c>
      <c r="BC7" s="75" t="s">
        <v>245</v>
      </c>
      <c r="BD7" s="75" t="s">
        <v>242</v>
      </c>
      <c r="BE7" s="75" t="s">
        <v>105</v>
      </c>
      <c r="BF7" s="75" t="s">
        <v>4</v>
      </c>
      <c r="BG7" s="75" t="s">
        <v>10</v>
      </c>
      <c r="BH7" s="75" t="s">
        <v>243</v>
      </c>
      <c r="BI7" s="75" t="s">
        <v>244</v>
      </c>
      <c r="BJ7" s="75" t="s">
        <v>245</v>
      </c>
      <c r="BK7" s="75" t="s">
        <v>242</v>
      </c>
      <c r="BL7" s="75" t="s">
        <v>105</v>
      </c>
      <c r="BM7" s="75" t="s">
        <v>4</v>
      </c>
      <c r="BN7" s="75" t="s">
        <v>10</v>
      </c>
      <c r="BO7" s="75" t="s">
        <v>243</v>
      </c>
      <c r="BP7" s="75" t="s">
        <v>244</v>
      </c>
      <c r="BQ7" s="75" t="s">
        <v>245</v>
      </c>
      <c r="BR7" s="75" t="s">
        <v>242</v>
      </c>
      <c r="BS7" s="75" t="s">
        <v>105</v>
      </c>
      <c r="BT7" s="75" t="s">
        <v>4</v>
      </c>
      <c r="BU7" s="75" t="s">
        <v>10</v>
      </c>
      <c r="BV7" s="75" t="s">
        <v>243</v>
      </c>
      <c r="BW7" s="75" t="s">
        <v>244</v>
      </c>
      <c r="BX7" s="75" t="s">
        <v>245</v>
      </c>
      <c r="BY7" s="75" t="s">
        <v>242</v>
      </c>
      <c r="BZ7" s="75" t="s">
        <v>105</v>
      </c>
      <c r="CA7" s="75" t="s">
        <v>4</v>
      </c>
      <c r="CB7" s="75" t="s">
        <v>10</v>
      </c>
      <c r="CC7" s="75" t="s">
        <v>243</v>
      </c>
      <c r="CD7" s="75" t="s">
        <v>244</v>
      </c>
      <c r="CE7" s="75" t="s">
        <v>245</v>
      </c>
      <c r="CF7" s="75" t="s">
        <v>242</v>
      </c>
      <c r="CG7" s="75" t="s">
        <v>105</v>
      </c>
      <c r="CH7" s="75" t="s">
        <v>4</v>
      </c>
      <c r="CI7" s="75" t="s">
        <v>10</v>
      </c>
      <c r="CJ7" s="75" t="s">
        <v>243</v>
      </c>
      <c r="CK7" s="75" t="s">
        <v>244</v>
      </c>
      <c r="CL7" s="75" t="s">
        <v>245</v>
      </c>
      <c r="CM7" s="75" t="s">
        <v>242</v>
      </c>
      <c r="CN7" s="75" t="s">
        <v>105</v>
      </c>
      <c r="CO7" s="75" t="s">
        <v>4</v>
      </c>
      <c r="CP7" s="75" t="s">
        <v>10</v>
      </c>
      <c r="CQ7" s="75" t="s">
        <v>243</v>
      </c>
      <c r="CR7" s="75" t="s">
        <v>244</v>
      </c>
      <c r="CS7" s="75" t="s">
        <v>245</v>
      </c>
      <c r="CT7" s="75" t="s">
        <v>242</v>
      </c>
      <c r="CU7" s="75" t="s">
        <v>105</v>
      </c>
      <c r="CV7" s="75" t="s">
        <v>4</v>
      </c>
      <c r="CW7" s="75" t="s">
        <v>10</v>
      </c>
      <c r="CX7" s="75" t="s">
        <v>243</v>
      </c>
      <c r="CY7" s="75" t="s">
        <v>244</v>
      </c>
      <c r="CZ7" s="75" t="s">
        <v>245</v>
      </c>
      <c r="DA7" s="75" t="s">
        <v>242</v>
      </c>
      <c r="DB7" s="75" t="s">
        <v>105</v>
      </c>
      <c r="DC7" s="89" t="s">
        <v>4</v>
      </c>
      <c r="DD7" s="75" t="s">
        <v>10</v>
      </c>
      <c r="DE7" s="75" t="s">
        <v>243</v>
      </c>
      <c r="DF7" s="75" t="s">
        <v>244</v>
      </c>
      <c r="DG7" s="75" t="s">
        <v>245</v>
      </c>
      <c r="DH7" s="75" t="s">
        <v>242</v>
      </c>
      <c r="DI7" s="75" t="s">
        <v>105</v>
      </c>
      <c r="DJ7" s="89" t="s">
        <v>4</v>
      </c>
      <c r="DK7" s="75" t="s">
        <v>10</v>
      </c>
      <c r="DL7" s="75" t="s">
        <v>243</v>
      </c>
      <c r="DM7" s="75" t="s">
        <v>244</v>
      </c>
      <c r="DN7" s="75" t="s">
        <v>245</v>
      </c>
      <c r="DO7" s="75" t="s">
        <v>242</v>
      </c>
      <c r="DP7" s="75" t="s">
        <v>105</v>
      </c>
      <c r="DQ7" s="75" t="s">
        <v>4</v>
      </c>
      <c r="DR7" s="75" t="s">
        <v>10</v>
      </c>
      <c r="DS7" s="75" t="s">
        <v>243</v>
      </c>
      <c r="DT7" s="75" t="s">
        <v>244</v>
      </c>
      <c r="DU7" s="75" t="s">
        <v>245</v>
      </c>
      <c r="DV7" s="75" t="s">
        <v>242</v>
      </c>
      <c r="DW7" s="75" t="s">
        <v>105</v>
      </c>
      <c r="DX7" s="75" t="s">
        <v>4</v>
      </c>
      <c r="DY7" s="75" t="s">
        <v>10</v>
      </c>
      <c r="DZ7" s="75" t="s">
        <v>243</v>
      </c>
      <c r="EA7" s="75" t="s">
        <v>244</v>
      </c>
      <c r="EB7" s="75" t="s">
        <v>245</v>
      </c>
      <c r="EC7" s="75" t="s">
        <v>242</v>
      </c>
      <c r="ED7" s="75" t="s">
        <v>105</v>
      </c>
      <c r="EE7" s="75" t="s">
        <v>4</v>
      </c>
      <c r="EF7" s="75" t="s">
        <v>10</v>
      </c>
      <c r="EG7" s="75" t="s">
        <v>243</v>
      </c>
      <c r="EH7" s="75" t="s">
        <v>244</v>
      </c>
      <c r="EI7" s="75" t="s">
        <v>245</v>
      </c>
      <c r="EJ7" s="75" t="s">
        <v>242</v>
      </c>
      <c r="EK7" s="75" t="s">
        <v>105</v>
      </c>
      <c r="EL7" s="75" t="s">
        <v>4</v>
      </c>
      <c r="EM7" s="75" t="s">
        <v>10</v>
      </c>
      <c r="EN7" s="75" t="s">
        <v>243</v>
      </c>
      <c r="EO7" s="75" t="s">
        <v>244</v>
      </c>
      <c r="EP7" s="75" t="s">
        <v>245</v>
      </c>
      <c r="EQ7" s="75" t="s">
        <v>242</v>
      </c>
      <c r="ER7" s="75" t="s">
        <v>105</v>
      </c>
      <c r="ES7" s="75" t="s">
        <v>4</v>
      </c>
      <c r="ET7" s="75" t="s">
        <v>10</v>
      </c>
      <c r="EU7" s="75" t="s">
        <v>243</v>
      </c>
      <c r="EV7" s="75" t="s">
        <v>244</v>
      </c>
      <c r="EW7" s="75" t="s">
        <v>245</v>
      </c>
      <c r="EX7" s="75" t="s">
        <v>242</v>
      </c>
      <c r="EY7" s="75" t="s">
        <v>105</v>
      </c>
      <c r="EZ7" s="75" t="s">
        <v>4</v>
      </c>
      <c r="FA7" s="75" t="s">
        <v>10</v>
      </c>
      <c r="FB7" s="75" t="s">
        <v>243</v>
      </c>
      <c r="FC7" s="75" t="s">
        <v>244</v>
      </c>
      <c r="FD7" s="75" t="s">
        <v>245</v>
      </c>
      <c r="FE7" s="75" t="s">
        <v>309</v>
      </c>
      <c r="FF7" s="75" t="s">
        <v>308</v>
      </c>
      <c r="FG7" s="75" t="s">
        <v>309</v>
      </c>
      <c r="FH7" s="75" t="s">
        <v>308</v>
      </c>
    </row>
    <row r="8" spans="1:164" customFormat="1" x14ac:dyDescent="0.25">
      <c r="A8" t="s">
        <v>256</v>
      </c>
      <c r="B8" s="65"/>
      <c r="C8" s="15"/>
      <c r="F8" s="65"/>
      <c r="G8" t="s">
        <v>14</v>
      </c>
      <c r="N8" t="s">
        <v>14</v>
      </c>
      <c r="P8" s="65"/>
      <c r="U8" s="65" t="s">
        <v>14</v>
      </c>
      <c r="W8" s="65"/>
      <c r="AB8" s="65" t="s">
        <v>14</v>
      </c>
      <c r="AD8" s="65"/>
      <c r="AI8" s="65" t="s">
        <v>14</v>
      </c>
      <c r="AK8" s="65"/>
      <c r="AP8" t="s">
        <v>14</v>
      </c>
      <c r="AW8" t="s">
        <v>14</v>
      </c>
      <c r="BD8" t="s">
        <v>14</v>
      </c>
      <c r="BK8" s="65" t="s">
        <v>14</v>
      </c>
      <c r="BL8" s="65"/>
      <c r="BM8" s="65"/>
      <c r="BR8" t="s">
        <v>14</v>
      </c>
      <c r="BS8" s="65"/>
      <c r="BT8" s="65"/>
      <c r="BY8" t="s">
        <v>14</v>
      </c>
      <c r="CE8" s="65"/>
      <c r="CF8" s="65" t="s">
        <v>14</v>
      </c>
      <c r="CL8" s="65"/>
      <c r="CM8" s="65" t="s">
        <v>14</v>
      </c>
      <c r="CT8" t="s">
        <v>14</v>
      </c>
      <c r="CV8" s="65"/>
      <c r="DA8" t="s">
        <v>14</v>
      </c>
      <c r="DH8" t="s">
        <v>14</v>
      </c>
      <c r="DJ8" s="65"/>
      <c r="DO8" t="s">
        <v>14</v>
      </c>
      <c r="DV8" t="s">
        <v>14</v>
      </c>
      <c r="EC8" t="s">
        <v>14</v>
      </c>
      <c r="EJ8" t="s">
        <v>14</v>
      </c>
      <c r="EQ8" t="s">
        <v>14</v>
      </c>
      <c r="EX8" t="s">
        <v>14</v>
      </c>
      <c r="FE8" t="s">
        <v>268</v>
      </c>
      <c r="FG8" t="s">
        <v>268</v>
      </c>
    </row>
    <row r="9" spans="1:164" customFormat="1" x14ac:dyDescent="0.25">
      <c r="A9" t="s">
        <v>182</v>
      </c>
      <c r="B9" s="65"/>
      <c r="C9" s="15"/>
      <c r="D9" s="15"/>
      <c r="E9" s="15"/>
      <c r="F9" s="65"/>
      <c r="G9" t="s">
        <v>14</v>
      </c>
      <c r="N9" t="s">
        <v>14</v>
      </c>
      <c r="P9" s="65"/>
      <c r="U9" t="s">
        <v>14</v>
      </c>
      <c r="W9" s="65"/>
      <c r="AB9" t="s">
        <v>14</v>
      </c>
      <c r="AD9" s="65"/>
      <c r="AI9" t="s">
        <v>14</v>
      </c>
      <c r="AK9" s="65"/>
      <c r="AP9" t="s">
        <v>14</v>
      </c>
      <c r="AW9" t="s">
        <v>14</v>
      </c>
      <c r="BD9" t="s">
        <v>14</v>
      </c>
      <c r="BK9" t="s">
        <v>14</v>
      </c>
      <c r="BM9" s="65"/>
      <c r="BR9" t="s">
        <v>14</v>
      </c>
      <c r="BT9" s="65"/>
      <c r="BY9" t="s">
        <v>14</v>
      </c>
      <c r="CF9" t="s">
        <v>14</v>
      </c>
      <c r="CM9" t="s">
        <v>14</v>
      </c>
      <c r="CT9" t="s">
        <v>14</v>
      </c>
      <c r="CV9" s="65"/>
      <c r="DA9" t="s">
        <v>14</v>
      </c>
      <c r="DC9" s="65"/>
      <c r="DH9" t="s">
        <v>14</v>
      </c>
      <c r="DJ9" s="65"/>
      <c r="DO9" t="s">
        <v>14</v>
      </c>
      <c r="DV9" t="s">
        <v>14</v>
      </c>
      <c r="EC9" t="s">
        <v>14</v>
      </c>
      <c r="EJ9" t="s">
        <v>14</v>
      </c>
      <c r="EQ9" t="s">
        <v>14</v>
      </c>
      <c r="EX9" t="s">
        <v>14</v>
      </c>
      <c r="FE9" t="s">
        <v>268</v>
      </c>
      <c r="FG9" t="s">
        <v>268</v>
      </c>
    </row>
    <row r="10" spans="1:164" customFormat="1" x14ac:dyDescent="0.25">
      <c r="A10" t="s">
        <v>257</v>
      </c>
      <c r="B10" s="65"/>
      <c r="C10" s="65"/>
      <c r="D10" s="65"/>
      <c r="E10" s="15"/>
      <c r="F10" s="65"/>
      <c r="G10" t="s">
        <v>14</v>
      </c>
      <c r="H10" s="65"/>
      <c r="I10" s="65"/>
      <c r="N10" t="s">
        <v>14</v>
      </c>
      <c r="P10" s="65"/>
      <c r="U10" t="s">
        <v>14</v>
      </c>
      <c r="W10" s="65"/>
      <c r="AB10" t="s">
        <v>14</v>
      </c>
      <c r="AD10" s="65"/>
      <c r="AI10" t="s">
        <v>14</v>
      </c>
      <c r="AK10" s="65"/>
      <c r="AP10" t="s">
        <v>14</v>
      </c>
      <c r="AR10" s="65"/>
      <c r="AW10" t="s">
        <v>14</v>
      </c>
      <c r="AY10" s="65"/>
      <c r="BD10" t="s">
        <v>14</v>
      </c>
      <c r="BF10" s="65"/>
      <c r="BK10" t="s">
        <v>14</v>
      </c>
      <c r="BL10" s="65"/>
      <c r="BM10" s="65"/>
      <c r="BR10" t="s">
        <v>14</v>
      </c>
      <c r="BS10" s="65"/>
      <c r="BT10" s="65"/>
      <c r="BY10" t="s">
        <v>14</v>
      </c>
      <c r="CA10" s="65"/>
      <c r="CF10" t="s">
        <v>14</v>
      </c>
      <c r="CH10" s="65"/>
      <c r="CM10" t="s">
        <v>14</v>
      </c>
      <c r="CO10" s="65"/>
      <c r="CT10" t="s">
        <v>14</v>
      </c>
      <c r="CV10" s="65"/>
      <c r="DA10" t="s">
        <v>14</v>
      </c>
      <c r="DC10" s="65"/>
      <c r="DH10" t="s">
        <v>14</v>
      </c>
      <c r="DJ10" s="65"/>
      <c r="DO10" t="s">
        <v>14</v>
      </c>
      <c r="DV10" t="s">
        <v>14</v>
      </c>
      <c r="EC10" t="s">
        <v>14</v>
      </c>
      <c r="EJ10" t="s">
        <v>14</v>
      </c>
      <c r="EL10" s="65"/>
      <c r="EQ10" t="s">
        <v>14</v>
      </c>
      <c r="EX10" t="s">
        <v>14</v>
      </c>
      <c r="FE10" t="s">
        <v>268</v>
      </c>
      <c r="FG10" t="s">
        <v>268</v>
      </c>
    </row>
    <row r="11" spans="1:164" customFormat="1" x14ac:dyDescent="0.25">
      <c r="A11" t="s">
        <v>381</v>
      </c>
      <c r="B11" s="65"/>
      <c r="C11" s="15"/>
      <c r="F11" s="65"/>
      <c r="G11" t="s">
        <v>14</v>
      </c>
      <c r="N11" t="s">
        <v>14</v>
      </c>
      <c r="P11" s="65"/>
      <c r="U11" s="65" t="s">
        <v>14</v>
      </c>
      <c r="W11" s="65"/>
      <c r="AB11" s="65" t="s">
        <v>14</v>
      </c>
      <c r="AD11" s="65"/>
      <c r="AI11" s="65" t="s">
        <v>14</v>
      </c>
      <c r="AK11" s="65"/>
      <c r="AP11" t="s">
        <v>14</v>
      </c>
      <c r="AW11" t="s">
        <v>14</v>
      </c>
      <c r="BD11" t="s">
        <v>14</v>
      </c>
      <c r="BK11" s="65" t="s">
        <v>14</v>
      </c>
      <c r="BL11" s="65"/>
      <c r="BM11" s="65"/>
      <c r="BR11" t="s">
        <v>14</v>
      </c>
      <c r="BS11" s="65"/>
      <c r="BT11" s="65"/>
      <c r="BY11" t="s">
        <v>14</v>
      </c>
      <c r="CE11" s="65"/>
      <c r="CF11" s="65" t="s">
        <v>14</v>
      </c>
      <c r="CL11" s="65"/>
      <c r="CM11" s="65" t="s">
        <v>14</v>
      </c>
      <c r="CT11" t="s">
        <v>14</v>
      </c>
      <c r="CV11" s="65"/>
      <c r="DA11" t="s">
        <v>14</v>
      </c>
      <c r="DH11" t="s">
        <v>14</v>
      </c>
      <c r="DJ11" s="65"/>
      <c r="DO11" t="s">
        <v>14</v>
      </c>
      <c r="DV11" t="s">
        <v>14</v>
      </c>
      <c r="EC11" t="s">
        <v>14</v>
      </c>
      <c r="EJ11" t="s">
        <v>14</v>
      </c>
      <c r="EQ11" t="s">
        <v>14</v>
      </c>
      <c r="EX11" t="s">
        <v>14</v>
      </c>
      <c r="FE11" t="s">
        <v>268</v>
      </c>
      <c r="FG11" t="s">
        <v>268</v>
      </c>
    </row>
    <row r="12" spans="1:164" customFormat="1" x14ac:dyDescent="0.25">
      <c r="A12" t="s">
        <v>382</v>
      </c>
      <c r="B12" s="65"/>
      <c r="C12" s="15"/>
      <c r="D12" s="15"/>
      <c r="E12" s="15"/>
      <c r="F12" s="65"/>
      <c r="G12" t="s">
        <v>14</v>
      </c>
      <c r="N12" t="s">
        <v>14</v>
      </c>
      <c r="P12" s="65"/>
      <c r="U12" t="s">
        <v>14</v>
      </c>
      <c r="W12" s="65"/>
      <c r="AB12" t="s">
        <v>14</v>
      </c>
      <c r="AD12" s="65"/>
      <c r="AI12" t="s">
        <v>14</v>
      </c>
      <c r="AK12" s="65"/>
      <c r="AP12" t="s">
        <v>14</v>
      </c>
      <c r="AW12" t="s">
        <v>14</v>
      </c>
      <c r="BD12" t="s">
        <v>14</v>
      </c>
      <c r="BK12" t="s">
        <v>14</v>
      </c>
      <c r="BM12" s="65"/>
      <c r="BR12" t="s">
        <v>14</v>
      </c>
      <c r="BT12" s="65"/>
      <c r="BY12" t="s">
        <v>14</v>
      </c>
      <c r="CF12" t="s">
        <v>14</v>
      </c>
      <c r="CM12" t="s">
        <v>14</v>
      </c>
      <c r="CT12" t="s">
        <v>14</v>
      </c>
      <c r="CV12" s="65"/>
      <c r="DA12" t="s">
        <v>14</v>
      </c>
      <c r="DC12" s="65"/>
      <c r="DH12" t="s">
        <v>14</v>
      </c>
      <c r="DJ12" s="65"/>
      <c r="DO12" t="s">
        <v>14</v>
      </c>
      <c r="DV12" t="s">
        <v>14</v>
      </c>
      <c r="EC12" t="s">
        <v>14</v>
      </c>
      <c r="EJ12" t="s">
        <v>14</v>
      </c>
      <c r="EQ12" t="s">
        <v>14</v>
      </c>
      <c r="EX12" t="s">
        <v>14</v>
      </c>
      <c r="FE12" t="s">
        <v>268</v>
      </c>
      <c r="FG12" t="s">
        <v>268</v>
      </c>
    </row>
    <row r="13" spans="1:164" customFormat="1" x14ac:dyDescent="0.25">
      <c r="A13" t="s">
        <v>383</v>
      </c>
      <c r="B13" s="65"/>
      <c r="C13" s="65"/>
      <c r="D13" s="65"/>
      <c r="E13" s="15"/>
      <c r="F13" s="65"/>
      <c r="G13" t="s">
        <v>14</v>
      </c>
      <c r="H13" s="65"/>
      <c r="I13" s="65"/>
      <c r="N13" t="s">
        <v>14</v>
      </c>
      <c r="P13" s="65"/>
      <c r="U13" t="s">
        <v>14</v>
      </c>
      <c r="W13" s="65"/>
      <c r="AB13" t="s">
        <v>14</v>
      </c>
      <c r="AD13" s="65"/>
      <c r="AI13" t="s">
        <v>14</v>
      </c>
      <c r="AK13" s="65"/>
      <c r="AP13" t="s">
        <v>14</v>
      </c>
      <c r="AR13" s="65"/>
      <c r="AW13" t="s">
        <v>14</v>
      </c>
      <c r="AY13" s="65"/>
      <c r="BD13" t="s">
        <v>14</v>
      </c>
      <c r="BF13" s="65"/>
      <c r="BK13" t="s">
        <v>14</v>
      </c>
      <c r="BL13" s="65"/>
      <c r="BM13" s="65"/>
      <c r="BR13" t="s">
        <v>14</v>
      </c>
      <c r="BS13" s="65"/>
      <c r="BT13" s="65"/>
      <c r="BY13" t="s">
        <v>14</v>
      </c>
      <c r="CA13" s="65"/>
      <c r="CF13" t="s">
        <v>14</v>
      </c>
      <c r="CH13" s="65"/>
      <c r="CM13" t="s">
        <v>14</v>
      </c>
      <c r="CO13" s="65"/>
      <c r="CT13" t="s">
        <v>14</v>
      </c>
      <c r="CV13" s="65"/>
      <c r="DA13" t="s">
        <v>14</v>
      </c>
      <c r="DC13" s="65"/>
      <c r="DH13" t="s">
        <v>14</v>
      </c>
      <c r="DJ13" s="65"/>
      <c r="DO13" t="s">
        <v>14</v>
      </c>
      <c r="DV13" t="s">
        <v>14</v>
      </c>
      <c r="EC13" t="s">
        <v>14</v>
      </c>
      <c r="EJ13" t="s">
        <v>14</v>
      </c>
      <c r="EL13" s="65"/>
      <c r="EQ13" t="s">
        <v>14</v>
      </c>
      <c r="EX13" t="s">
        <v>14</v>
      </c>
      <c r="FE13" t="s">
        <v>268</v>
      </c>
      <c r="FG13" t="s">
        <v>268</v>
      </c>
    </row>
    <row r="14" spans="1:164" x14ac:dyDescent="0.2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1:164" x14ac:dyDescent="0.25">
      <c r="B15" s="15"/>
      <c r="F15" s="15"/>
    </row>
    <row r="16" spans="1:164" x14ac:dyDescent="0.25">
      <c r="B16" s="15"/>
      <c r="F16" s="15"/>
    </row>
    <row r="17" spans="2:6" x14ac:dyDescent="0.25">
      <c r="B17" s="15"/>
      <c r="F17" s="15"/>
    </row>
    <row r="18" spans="2:6" x14ac:dyDescent="0.25">
      <c r="B18" s="15"/>
      <c r="F18" s="15"/>
    </row>
    <row r="19" spans="2:6" x14ac:dyDescent="0.25">
      <c r="B19" s="15"/>
      <c r="F19" s="15"/>
    </row>
    <row r="20" spans="2:6" x14ac:dyDescent="0.25">
      <c r="B20" s="15"/>
      <c r="F20" s="1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Button 1">
              <controlPr defaultSize="0" print="0" autoFill="0" autoPict="0" macro="[0]!RunCalculatorMP">
                <anchor moveWithCells="1" sizeWithCells="1">
                  <from>
                    <xdr:col>0</xdr:col>
                    <xdr:colOff>95250</xdr:colOff>
                    <xdr:row>2</xdr:row>
                    <xdr:rowOff>104775</xdr:rowOff>
                  </from>
                  <to>
                    <xdr:col>0</xdr:col>
                    <xdr:colOff>1238250</xdr:colOff>
                    <xdr:row>3</xdr:row>
                    <xdr:rowOff>171450</xdr:rowOff>
                  </to>
                </anchor>
              </controlPr>
            </control>
          </mc:Choice>
        </mc:AlternateContent>
        <mc:AlternateContent xmlns:mc="http://schemas.openxmlformats.org/markup-compatibility/2006">
          <mc:Choice Requires="x14">
            <control shapeId="33794" r:id="rId5" name="Button 2">
              <controlPr defaultSize="0" print="0" autoFill="0" autoPict="0" macro="[0]!MultiPlanMode">
                <anchor moveWithCells="1" sizeWithCells="1">
                  <from>
                    <xdr:col>0</xdr:col>
                    <xdr:colOff>104775</xdr:colOff>
                    <xdr:row>0</xdr:row>
                    <xdr:rowOff>114300</xdr:rowOff>
                  </from>
                  <to>
                    <xdr:col>0</xdr:col>
                    <xdr:colOff>1247775</xdr:colOff>
                    <xdr:row>1</xdr:row>
                    <xdr:rowOff>180975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elperTab"/>
  <dimension ref="A1:K21"/>
  <sheetViews>
    <sheetView workbookViewId="0">
      <selection activeCell="A16" sqref="A16"/>
    </sheetView>
  </sheetViews>
  <sheetFormatPr defaultRowHeight="15" x14ac:dyDescent="0.25"/>
  <cols>
    <col min="1" max="1" width="36.28515625" bestFit="1" customWidth="1"/>
    <col min="2" max="2" width="14.42578125" bestFit="1" customWidth="1"/>
    <col min="4" max="4" width="25.28515625" bestFit="1" customWidth="1"/>
    <col min="5" max="5" width="19.7109375" bestFit="1" customWidth="1"/>
    <col min="6" max="6" width="18" bestFit="1" customWidth="1"/>
    <col min="7" max="7" width="16.85546875" bestFit="1" customWidth="1"/>
    <col min="8" max="8" width="17" bestFit="1" customWidth="1"/>
    <col min="9" max="9" width="22.5703125" bestFit="1" customWidth="1"/>
    <col min="10" max="10" width="15.5703125" bestFit="1" customWidth="1"/>
    <col min="11" max="11" width="16.28515625" bestFit="1" customWidth="1"/>
  </cols>
  <sheetData>
    <row r="1" spans="1:11" x14ac:dyDescent="0.25">
      <c r="A1" t="s">
        <v>253</v>
      </c>
      <c r="D1" s="235" t="s">
        <v>140</v>
      </c>
      <c r="E1" s="137"/>
      <c r="F1" s="137"/>
      <c r="G1" s="137"/>
      <c r="H1" s="137"/>
      <c r="I1" s="137"/>
      <c r="J1" s="137"/>
      <c r="K1" s="137"/>
    </row>
    <row r="2" spans="1:11" x14ac:dyDescent="0.25">
      <c r="A2" t="s">
        <v>247</v>
      </c>
      <c r="B2">
        <v>6</v>
      </c>
      <c r="D2" s="137" t="s">
        <v>14</v>
      </c>
      <c r="E2" s="144"/>
      <c r="F2" s="144"/>
      <c r="G2" s="144"/>
      <c r="H2" s="144"/>
      <c r="I2" s="144"/>
      <c r="J2" s="144"/>
      <c r="K2" s="144"/>
    </row>
    <row r="3" spans="1:11" x14ac:dyDescent="0.25">
      <c r="A3" t="s">
        <v>248</v>
      </c>
      <c r="B3">
        <v>1</v>
      </c>
      <c r="D3" s="137" t="s">
        <v>112</v>
      </c>
      <c r="E3" s="137"/>
      <c r="F3" s="137"/>
      <c r="G3" s="137"/>
      <c r="H3" s="137"/>
      <c r="I3" s="137"/>
      <c r="J3" s="137"/>
      <c r="K3" s="137"/>
    </row>
    <row r="4" spans="1:11" x14ac:dyDescent="0.25">
      <c r="A4" t="s">
        <v>252</v>
      </c>
      <c r="B4" t="s">
        <v>256</v>
      </c>
      <c r="D4" s="137" t="s">
        <v>113</v>
      </c>
      <c r="E4" s="137"/>
      <c r="F4" s="137"/>
      <c r="G4" s="137"/>
      <c r="H4" s="137"/>
      <c r="I4" s="137"/>
      <c r="J4" s="137"/>
      <c r="K4" s="137"/>
    </row>
    <row r="5" spans="1:11" x14ac:dyDescent="0.25">
      <c r="A5" t="s">
        <v>249</v>
      </c>
      <c r="B5" t="b">
        <v>0</v>
      </c>
      <c r="D5" s="137" t="s">
        <v>315</v>
      </c>
      <c r="E5" s="137"/>
      <c r="F5" s="137"/>
      <c r="G5" s="137"/>
      <c r="H5" s="137"/>
      <c r="I5" s="137"/>
      <c r="J5" s="137"/>
      <c r="K5" s="137"/>
    </row>
    <row r="6" spans="1:11" x14ac:dyDescent="0.25">
      <c r="D6" s="137" t="s">
        <v>258</v>
      </c>
      <c r="E6" s="137"/>
      <c r="F6" s="137"/>
      <c r="G6" s="137"/>
      <c r="H6" s="137"/>
      <c r="I6" s="137"/>
      <c r="J6" s="137"/>
      <c r="K6" s="137"/>
    </row>
    <row r="7" spans="1:11" x14ac:dyDescent="0.25">
      <c r="A7" t="s">
        <v>254</v>
      </c>
      <c r="D7" s="137" t="s">
        <v>273</v>
      </c>
      <c r="E7" s="137"/>
      <c r="F7" s="137"/>
      <c r="G7" s="137"/>
      <c r="H7" s="137"/>
      <c r="I7" s="137"/>
      <c r="J7" s="137"/>
      <c r="K7" s="137"/>
    </row>
    <row r="8" spans="1:11" x14ac:dyDescent="0.25">
      <c r="A8" t="s">
        <v>247</v>
      </c>
      <c r="B8">
        <v>6</v>
      </c>
      <c r="D8" s="137" t="s">
        <v>110</v>
      </c>
      <c r="E8" s="137"/>
      <c r="F8" s="137"/>
      <c r="G8" s="137"/>
      <c r="H8" s="137"/>
      <c r="I8" s="137"/>
      <c r="J8" s="137"/>
      <c r="K8" s="137"/>
    </row>
    <row r="9" spans="1:11" x14ac:dyDescent="0.25">
      <c r="A9" t="s">
        <v>248</v>
      </c>
      <c r="B9">
        <v>1</v>
      </c>
      <c r="D9" s="137" t="s">
        <v>111</v>
      </c>
      <c r="E9" s="137"/>
      <c r="F9" s="137"/>
      <c r="G9" s="137"/>
      <c r="H9" s="137"/>
      <c r="I9" s="137"/>
      <c r="J9" s="137"/>
      <c r="K9" s="137"/>
    </row>
    <row r="10" spans="1:11" x14ac:dyDescent="0.25">
      <c r="A10" t="s">
        <v>252</v>
      </c>
      <c r="B10" t="s">
        <v>256</v>
      </c>
      <c r="D10" s="137" t="s">
        <v>114</v>
      </c>
      <c r="E10" s="137"/>
      <c r="F10" s="137"/>
      <c r="G10" s="137"/>
      <c r="H10" s="137"/>
      <c r="I10" s="137"/>
      <c r="J10" s="137"/>
      <c r="K10" s="137"/>
    </row>
    <row r="11" spans="1:11" x14ac:dyDescent="0.25">
      <c r="D11" s="137" t="s">
        <v>316</v>
      </c>
      <c r="E11" s="137"/>
      <c r="F11" s="137"/>
      <c r="G11" s="137"/>
      <c r="H11" s="137"/>
      <c r="I11" s="137"/>
      <c r="J11" s="137"/>
      <c r="K11" s="137"/>
    </row>
    <row r="12" spans="1:11" x14ac:dyDescent="0.25">
      <c r="D12" s="137" t="s">
        <v>317</v>
      </c>
      <c r="E12" s="137"/>
      <c r="F12" s="137"/>
      <c r="G12" s="137"/>
      <c r="H12" s="137"/>
      <c r="I12" s="137"/>
      <c r="J12" s="137"/>
      <c r="K12" s="137"/>
    </row>
    <row r="13" spans="1:11" x14ac:dyDescent="0.25">
      <c r="D13" s="137" t="s">
        <v>318</v>
      </c>
      <c r="E13" s="137"/>
      <c r="F13" s="137"/>
      <c r="G13" s="137"/>
      <c r="H13" s="137"/>
      <c r="I13" s="137"/>
      <c r="J13" s="137"/>
      <c r="K13" s="137"/>
    </row>
    <row r="14" spans="1:11" x14ac:dyDescent="0.25">
      <c r="D14" s="137" t="s">
        <v>319</v>
      </c>
      <c r="E14" s="137"/>
      <c r="F14" s="137"/>
      <c r="G14" s="137"/>
      <c r="H14" s="137"/>
      <c r="I14" s="137"/>
      <c r="J14" s="137"/>
      <c r="K14" s="137"/>
    </row>
    <row r="15" spans="1:11" x14ac:dyDescent="0.25">
      <c r="D15" s="137" t="s">
        <v>320</v>
      </c>
      <c r="E15" s="137"/>
      <c r="F15" s="137"/>
      <c r="G15" s="137"/>
      <c r="H15" s="137"/>
      <c r="I15" s="137"/>
      <c r="J15" s="137"/>
      <c r="K15" s="137"/>
    </row>
    <row r="16" spans="1:11" x14ac:dyDescent="0.25">
      <c r="D16" s="137" t="s">
        <v>321</v>
      </c>
      <c r="E16" s="137"/>
      <c r="F16" s="137"/>
      <c r="G16" s="137"/>
      <c r="H16" s="137"/>
      <c r="I16" s="137"/>
      <c r="J16" s="137"/>
      <c r="K16" s="137"/>
    </row>
    <row r="17" spans="4:11" x14ac:dyDescent="0.25">
      <c r="D17" s="137" t="s">
        <v>322</v>
      </c>
      <c r="E17" s="137"/>
      <c r="F17" s="137"/>
      <c r="G17" s="137"/>
      <c r="H17" s="137"/>
      <c r="I17" s="137"/>
      <c r="J17" s="137"/>
      <c r="K17" s="137"/>
    </row>
    <row r="18" spans="4:11" x14ac:dyDescent="0.25">
      <c r="D18" s="137" t="s">
        <v>323</v>
      </c>
      <c r="E18" s="137"/>
      <c r="F18" s="137"/>
      <c r="G18" s="137"/>
      <c r="H18" s="137"/>
      <c r="I18" s="137"/>
      <c r="J18" s="137"/>
      <c r="K18" s="137"/>
    </row>
    <row r="19" spans="4:11" x14ac:dyDescent="0.25">
      <c r="D19" s="137" t="s">
        <v>324</v>
      </c>
      <c r="E19" s="137"/>
      <c r="F19" s="137"/>
      <c r="G19" s="137"/>
      <c r="H19" s="137"/>
      <c r="I19" s="137"/>
      <c r="J19" s="137"/>
      <c r="K19" s="137"/>
    </row>
    <row r="20" spans="4:11" x14ac:dyDescent="0.25">
      <c r="D20" s="137" t="s">
        <v>325</v>
      </c>
      <c r="E20" s="137"/>
      <c r="F20" s="137"/>
      <c r="G20" s="137"/>
      <c r="H20" s="137"/>
      <c r="I20" s="137"/>
      <c r="J20" s="137"/>
      <c r="K20" s="137"/>
    </row>
    <row r="21" spans="4:11" x14ac:dyDescent="0.25">
      <c r="E21" s="137"/>
      <c r="F21" s="137"/>
      <c r="G21" s="137"/>
      <c r="H21" s="137"/>
      <c r="I21" s="137"/>
      <c r="J21" s="137"/>
      <c r="K21" s="137"/>
    </row>
  </sheetData>
  <conditionalFormatting sqref="E3:K21">
    <cfRule type="expression" dxfId="10" priority="1">
      <formula>E3</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Errors"/>
  <dimension ref="A1:U41"/>
  <sheetViews>
    <sheetView workbookViewId="0"/>
  </sheetViews>
  <sheetFormatPr defaultRowHeight="15" x14ac:dyDescent="0.25"/>
  <cols>
    <col min="1" max="1" width="3" style="183" customWidth="1"/>
    <col min="2" max="2" width="43.7109375" style="183" bestFit="1" customWidth="1"/>
    <col min="3" max="7" width="12.7109375" style="183" customWidth="1"/>
    <col min="8" max="10" width="12.7109375" style="248" customWidth="1"/>
    <col min="11" max="12" width="12.7109375" style="179" customWidth="1"/>
    <col min="13" max="13" width="12.7109375" style="183" customWidth="1"/>
    <col min="14" max="14" width="2.7109375" style="183" customWidth="1"/>
    <col min="15" max="17" width="12.7109375" style="248" customWidth="1"/>
    <col min="18" max="19" width="12.7109375" style="179" customWidth="1"/>
    <col min="20" max="20" width="12.7109375" style="183" customWidth="1"/>
    <col min="21" max="21" width="2.7109375" style="183" customWidth="1"/>
    <col min="22" max="16384" width="9.140625" style="183"/>
  </cols>
  <sheetData>
    <row r="1" spans="1:21" x14ac:dyDescent="0.25">
      <c r="A1" s="66"/>
      <c r="B1" s="66"/>
      <c r="C1" s="66"/>
      <c r="D1" s="66"/>
      <c r="E1" s="66"/>
      <c r="F1" s="66"/>
      <c r="G1" s="66"/>
      <c r="H1" s="67"/>
      <c r="I1" s="67"/>
      <c r="J1" s="67"/>
      <c r="K1" s="68"/>
      <c r="L1" s="68"/>
      <c r="M1" s="66"/>
      <c r="N1" s="66"/>
      <c r="O1" s="67"/>
      <c r="P1" s="67"/>
      <c r="Q1" s="67"/>
      <c r="R1" s="68"/>
      <c r="S1" s="68"/>
      <c r="T1" s="66"/>
      <c r="U1" s="66"/>
    </row>
    <row r="2" spans="1:21" x14ac:dyDescent="0.25">
      <c r="A2" s="66"/>
      <c r="B2" s="78"/>
      <c r="C2" s="66"/>
      <c r="D2" s="66"/>
      <c r="E2" s="66"/>
      <c r="F2" s="66"/>
      <c r="G2" s="66"/>
      <c r="H2" s="81"/>
      <c r="I2" s="91"/>
      <c r="J2" s="67"/>
      <c r="K2" s="68"/>
      <c r="L2" s="68"/>
      <c r="M2" s="66"/>
      <c r="N2" s="66"/>
      <c r="O2" s="81"/>
      <c r="P2" s="91"/>
      <c r="Q2" s="67"/>
      <c r="R2" s="68"/>
      <c r="S2" s="68"/>
      <c r="T2" s="66"/>
      <c r="U2" s="66"/>
    </row>
    <row r="3" spans="1:21" x14ac:dyDescent="0.25">
      <c r="A3" s="66"/>
      <c r="B3" s="78" t="s">
        <v>191</v>
      </c>
      <c r="C3" s="66"/>
      <c r="D3" s="66"/>
      <c r="E3" s="66"/>
      <c r="F3" s="66"/>
      <c r="G3" s="66"/>
      <c r="H3" s="69"/>
      <c r="I3" s="69"/>
      <c r="J3" s="69"/>
      <c r="K3" s="68"/>
      <c r="L3" s="68"/>
      <c r="M3" s="66"/>
      <c r="N3" s="66"/>
      <c r="O3" s="69"/>
      <c r="P3" s="69"/>
      <c r="Q3" s="69"/>
      <c r="R3" s="68"/>
      <c r="S3" s="68"/>
      <c r="T3" s="66"/>
      <c r="U3" s="66"/>
    </row>
    <row r="4" spans="1:21" x14ac:dyDescent="0.25">
      <c r="A4" s="66"/>
      <c r="B4" s="66"/>
      <c r="C4" s="66"/>
      <c r="D4" s="66"/>
      <c r="E4" s="66"/>
      <c r="F4" s="66"/>
      <c r="G4" s="66"/>
      <c r="H4" s="67"/>
      <c r="I4" s="67"/>
      <c r="J4" s="67"/>
      <c r="K4" s="68"/>
      <c r="L4" s="68"/>
      <c r="M4" s="66"/>
      <c r="N4" s="66"/>
      <c r="O4" s="67"/>
      <c r="P4" s="67"/>
      <c r="Q4" s="67"/>
      <c r="R4" s="68"/>
      <c r="S4" s="68"/>
      <c r="T4" s="66"/>
      <c r="U4" s="66"/>
    </row>
    <row r="5" spans="1:21" ht="15.75" thickBot="1" x14ac:dyDescent="0.3">
      <c r="A5" s="66"/>
      <c r="B5" s="66"/>
      <c r="C5" s="66"/>
      <c r="D5" s="66"/>
      <c r="E5" s="66"/>
      <c r="F5" s="66"/>
      <c r="G5" s="66"/>
      <c r="H5" s="67"/>
      <c r="I5" s="67"/>
      <c r="J5" s="67"/>
      <c r="K5" s="68"/>
      <c r="L5" s="68"/>
      <c r="M5" s="66"/>
      <c r="N5" s="66"/>
      <c r="O5" s="67" t="s">
        <v>220</v>
      </c>
      <c r="P5" s="67"/>
      <c r="Q5" s="67"/>
      <c r="R5" s="68"/>
      <c r="S5" s="68"/>
      <c r="T5" s="66"/>
      <c r="U5" s="66"/>
    </row>
    <row r="6" spans="1:21" x14ac:dyDescent="0.25">
      <c r="A6" s="66"/>
      <c r="B6" s="17" t="s">
        <v>182</v>
      </c>
      <c r="C6" s="96"/>
      <c r="D6" s="18"/>
      <c r="E6" s="96"/>
      <c r="F6" s="96"/>
      <c r="G6" s="96"/>
      <c r="H6" s="19" t="s">
        <v>184</v>
      </c>
      <c r="I6" s="20"/>
      <c r="J6" s="20"/>
      <c r="K6" s="19" t="s">
        <v>106</v>
      </c>
      <c r="L6" s="20"/>
      <c r="M6" s="36" t="s">
        <v>138</v>
      </c>
      <c r="N6" s="66"/>
      <c r="O6" s="111" t="s">
        <v>184</v>
      </c>
      <c r="P6" s="20"/>
      <c r="Q6" s="20"/>
      <c r="R6" s="19" t="s">
        <v>106</v>
      </c>
      <c r="S6" s="20"/>
      <c r="T6" s="36"/>
      <c r="U6" s="66"/>
    </row>
    <row r="7" spans="1:21" ht="30.75" thickBot="1" x14ac:dyDescent="0.3">
      <c r="A7" s="66"/>
      <c r="B7" s="21" t="s">
        <v>8</v>
      </c>
      <c r="C7" s="97" t="s">
        <v>206</v>
      </c>
      <c r="D7" s="22" t="s">
        <v>40</v>
      </c>
      <c r="E7" s="97" t="s">
        <v>144</v>
      </c>
      <c r="F7" s="97" t="s">
        <v>205</v>
      </c>
      <c r="G7" s="97" t="s">
        <v>204</v>
      </c>
      <c r="H7" s="23" t="s">
        <v>105</v>
      </c>
      <c r="I7" s="22" t="s">
        <v>4</v>
      </c>
      <c r="J7" s="22" t="s">
        <v>10</v>
      </c>
      <c r="K7" s="37" t="s">
        <v>108</v>
      </c>
      <c r="L7" s="38" t="s">
        <v>109</v>
      </c>
      <c r="M7" s="24" t="s">
        <v>139</v>
      </c>
      <c r="N7" s="66"/>
      <c r="O7" s="112" t="s">
        <v>193</v>
      </c>
      <c r="P7" s="22" t="s">
        <v>194</v>
      </c>
      <c r="Q7" s="22" t="s">
        <v>195</v>
      </c>
      <c r="R7" s="37" t="s">
        <v>196</v>
      </c>
      <c r="S7" s="38" t="s">
        <v>197</v>
      </c>
      <c r="T7" s="24" t="s">
        <v>198</v>
      </c>
      <c r="U7" s="66"/>
    </row>
    <row r="8" spans="1:21" x14ac:dyDescent="0.25">
      <c r="A8" s="66"/>
      <c r="B8" s="106" t="str">
        <f>BENEFIT_DESIGN!B10</f>
        <v>Inpatient Hospital Care (Facility)</v>
      </c>
      <c r="C8" s="107" t="b">
        <f>IF(BENEFIT_PARAMETERS!C4,FALSE,TRUE)</f>
        <v>0</v>
      </c>
      <c r="D8" s="107" t="b">
        <f>IF(BENEFIT_PARAMETERS!G4,IF(BENEFIT_PARAMETERS!C52&gt;=0,FALSE,TRUE),IF(BENEFIT_PARAMETERS!C52=".",FALSE,TRUE))</f>
        <v>0</v>
      </c>
      <c r="E8" s="107" t="b">
        <f>IF(BENEFIT_PARAMETERS!H4,IF(BENEFIT_PARAMETERS!D52&gt;=0,FALSE,TRUE),IF(BENEFIT_PARAMETERS!D52=".",FALSE,TRUE))</f>
        <v>0</v>
      </c>
      <c r="F8" s="107" t="b">
        <f>IF(BENEFIT_PARAMETERS!I4,IF(BENEFIT_PARAMETERS!E52&gt;=0,FALSE,TRUE),IF(BENEFIT_PARAMETERS!E52=".",FALSE,TRUE))</f>
        <v>0</v>
      </c>
      <c r="G8" s="107" t="b">
        <f>IF(BENEFIT_PARAMETERS!J4,IF(BENEFIT_PARAMETERS!F52&gt;=0,FALSE,TRUE),IF(BENEFIT_PARAMETERS!F52=".",FALSE,TRUE))</f>
        <v>0</v>
      </c>
      <c r="H8" s="107" t="b">
        <f>IF(BENEFIT_PARAMETERS!K4,IF(BENEFIT_PARAMETERS!H52&gt;=0,FALSE,TRUE),IF(O8,FALSE,TRUE))</f>
        <v>0</v>
      </c>
      <c r="I8" s="107" t="b">
        <f>IF(BENEFIT_PARAMETERS!L4,IF(BENEFIT_PARAMETERS!I52&gt;=0,FALSE,TRUE),IF(P8,FALSE,TRUE))</f>
        <v>0</v>
      </c>
      <c r="J8" s="107" t="b">
        <f>IF(BENEFIT_PARAMETERS!M4,IF(BENEFIT_PARAMETERS!J52&gt;=0,FALSE,TRUE),IF(Q8,FALSE,TRUE))</f>
        <v>0</v>
      </c>
      <c r="K8" s="107" t="b">
        <f>IF(BENEFIT_PARAMETERS!D4,IF(BENEFIT_PARAMETERS!K52="None",FALSE,IF(BENEFIT_PARAMETERS!K52&gt;=0,FALSE,TRUE)),IF(R8,FALSE,TRUE))</f>
        <v>0</v>
      </c>
      <c r="L8" s="107" t="b">
        <f>IF(BENEFIT_PARAMETERS!E4,IF(BENEFIT_PARAMETERS!L52="None",FALSE,IF(BENEFIT_PARAMETERS!L52&gt;=0,FALSE,TRUE)),IF(S8,FALSE,TRUE))</f>
        <v>0</v>
      </c>
      <c r="M8" s="108" t="b">
        <f>IF(BENEFIT_PARAMETERS!F4,IF(BENEFIT_PARAMETERS!M52="Yes",FALSE,IF(BENEFIT_PARAMETERS!M52="No",FALSE,TRUE)),IF(T8,FALSE,TRUE))</f>
        <v>0</v>
      </c>
      <c r="N8" s="66"/>
      <c r="O8" s="116" t="b">
        <f>ISBLANK(BENEFIT_DESIGN!D10)</f>
        <v>1</v>
      </c>
      <c r="P8" s="117" t="b">
        <f>ISBLANK(BENEFIT_DESIGN!E10)</f>
        <v>1</v>
      </c>
      <c r="Q8" s="117" t="b">
        <f>ISBLANK(BENEFIT_DESIGN!F10)</f>
        <v>1</v>
      </c>
      <c r="R8" s="117" t="b">
        <f>ISBLANK(BENEFIT_DESIGN!G10)</f>
        <v>1</v>
      </c>
      <c r="S8" s="117" t="b">
        <f>ISBLANK(BENEFIT_DESIGN!H10)</f>
        <v>1</v>
      </c>
      <c r="T8" s="118" t="b">
        <f>ISBLANK(BENEFIT_DESIGN!I10)</f>
        <v>1</v>
      </c>
      <c r="U8" s="66"/>
    </row>
    <row r="9" spans="1:21" x14ac:dyDescent="0.25">
      <c r="A9" s="66"/>
      <c r="B9" s="25" t="str">
        <f>BENEFIT_DESIGN!B11</f>
        <v>Other Facility Services</v>
      </c>
      <c r="C9" s="109" t="b">
        <f>IF(BENEFIT_PARAMETERS!C5,FALSE,TRUE)</f>
        <v>0</v>
      </c>
      <c r="D9" s="109" t="b">
        <f>IF(BENEFIT_PARAMETERS!G5,IF(BENEFIT_PARAMETERS!C53&gt;=0,FALSE,TRUE),IF(BENEFIT_PARAMETERS!C53=".",FALSE,TRUE))</f>
        <v>0</v>
      </c>
      <c r="E9" s="109" t="b">
        <f>IF(BENEFIT_PARAMETERS!H5,IF(BENEFIT_PARAMETERS!D53&gt;=0,FALSE,TRUE),IF(BENEFIT_PARAMETERS!D53=".",FALSE,TRUE))</f>
        <v>0</v>
      </c>
      <c r="F9" s="109" t="b">
        <f>IF(BENEFIT_PARAMETERS!I5,IF(BENEFIT_PARAMETERS!E53&gt;=0,FALSE,TRUE),IF(BENEFIT_PARAMETERS!E53=".",FALSE,TRUE))</f>
        <v>0</v>
      </c>
      <c r="G9" s="109" t="b">
        <f>IF(BENEFIT_PARAMETERS!J5,IF(BENEFIT_PARAMETERS!F53&gt;=0,FALSE,TRUE),IF(BENEFIT_PARAMETERS!F53=".",FALSE,TRUE))</f>
        <v>0</v>
      </c>
      <c r="H9" s="109" t="b">
        <f>IF(BENEFIT_PARAMETERS!K5,IF(BENEFIT_PARAMETERS!H53&gt;=0,FALSE,TRUE),IF(O9,FALSE,TRUE))</f>
        <v>0</v>
      </c>
      <c r="I9" s="109" t="b">
        <f>IF(BENEFIT_PARAMETERS!L5,IF(BENEFIT_PARAMETERS!I53&gt;=0,FALSE,TRUE),IF(P9,FALSE,TRUE))</f>
        <v>0</v>
      </c>
      <c r="J9" s="109" t="b">
        <f>IF(BENEFIT_PARAMETERS!M5,IF(BENEFIT_PARAMETERS!J53&gt;=0,FALSE,TRUE),IF(Q9,FALSE,TRUE))</f>
        <v>0</v>
      </c>
      <c r="K9" s="109" t="b">
        <f>IF(BENEFIT_PARAMETERS!D5,IF(BENEFIT_PARAMETERS!K53="None",FALSE,IF(BENEFIT_PARAMETERS!K53&gt;=0,FALSE,TRUE)),IF(R9,FALSE,TRUE))</f>
        <v>0</v>
      </c>
      <c r="L9" s="109" t="b">
        <f>IF(BENEFIT_PARAMETERS!E5,IF(BENEFIT_PARAMETERS!L53="None",FALSE,IF(BENEFIT_PARAMETERS!L53&gt;=0,FALSE,TRUE)),IF(S9,FALSE,TRUE))</f>
        <v>0</v>
      </c>
      <c r="M9" s="110" t="b">
        <f>IF(BENEFIT_PARAMETERS!F5,IF(BENEFIT_PARAMETERS!M53="Yes",FALSE,IF(BENEFIT_PARAMETERS!M53="No",FALSE,TRUE)),IF(T9,FALSE,TRUE))</f>
        <v>0</v>
      </c>
      <c r="N9" s="66"/>
      <c r="O9" s="119" t="b">
        <f>ISBLANK(BENEFIT_DESIGN!D11)</f>
        <v>1</v>
      </c>
      <c r="P9" s="120" t="b">
        <f>ISBLANK(BENEFIT_DESIGN!E11)</f>
        <v>1</v>
      </c>
      <c r="Q9" s="120" t="b">
        <f>ISBLANK(BENEFIT_DESIGN!F11)</f>
        <v>1</v>
      </c>
      <c r="R9" s="120" t="b">
        <f>ISBLANK(BENEFIT_DESIGN!G11)</f>
        <v>1</v>
      </c>
      <c r="S9" s="120" t="b">
        <f>ISBLANK(BENEFIT_DESIGN!H11)</f>
        <v>1</v>
      </c>
      <c r="T9" s="121" t="b">
        <f>ISBLANK(BENEFIT_DESIGN!I11)</f>
        <v>1</v>
      </c>
      <c r="U9" s="66"/>
    </row>
    <row r="10" spans="1:21" x14ac:dyDescent="0.25">
      <c r="A10" s="66"/>
      <c r="B10" s="25" t="str">
        <f>BENEFIT_DESIGN!B12</f>
        <v>Emergency Department (Facility)</v>
      </c>
      <c r="C10" s="109" t="b">
        <f>IF(BENEFIT_PARAMETERS!C6,FALSE,TRUE)</f>
        <v>0</v>
      </c>
      <c r="D10" s="109" t="b">
        <f>IF(BENEFIT_PARAMETERS!G6,IF(BENEFIT_PARAMETERS!C54&gt;=0,FALSE,TRUE),IF(BENEFIT_PARAMETERS!C54=".",FALSE,TRUE))</f>
        <v>0</v>
      </c>
      <c r="E10" s="109" t="b">
        <f>IF(BENEFIT_PARAMETERS!H6,IF(BENEFIT_PARAMETERS!D54&gt;=0,FALSE,TRUE),IF(BENEFIT_PARAMETERS!D54=".",FALSE,TRUE))</f>
        <v>0</v>
      </c>
      <c r="F10" s="109" t="b">
        <f>IF(BENEFIT_PARAMETERS!I6,IF(BENEFIT_PARAMETERS!E54&gt;=0,FALSE,TRUE),IF(BENEFIT_PARAMETERS!E54=".",FALSE,TRUE))</f>
        <v>0</v>
      </c>
      <c r="G10" s="109" t="b">
        <f>IF(BENEFIT_PARAMETERS!J6,IF(BENEFIT_PARAMETERS!F54&gt;=0,FALSE,TRUE),IF(BENEFIT_PARAMETERS!F54=".",FALSE,TRUE))</f>
        <v>0</v>
      </c>
      <c r="H10" s="109" t="b">
        <f>IF(BENEFIT_PARAMETERS!K6,IF(BENEFIT_PARAMETERS!H54&gt;=0,FALSE,TRUE),IF(O10,FALSE,TRUE))</f>
        <v>0</v>
      </c>
      <c r="I10" s="109" t="b">
        <f>IF(BENEFIT_PARAMETERS!L6,IF(BENEFIT_PARAMETERS!I54&gt;=0,FALSE,TRUE),IF(P10,FALSE,TRUE))</f>
        <v>0</v>
      </c>
      <c r="J10" s="109" t="b">
        <f>IF(BENEFIT_PARAMETERS!M6,IF(BENEFIT_PARAMETERS!J54&gt;=0,FALSE,TRUE),IF(Q10,FALSE,TRUE))</f>
        <v>0</v>
      </c>
      <c r="K10" s="109" t="b">
        <f>IF(BENEFIT_PARAMETERS!D6,IF(BENEFIT_PARAMETERS!K54="None",FALSE,IF(BENEFIT_PARAMETERS!K54&gt;=0,FALSE,TRUE)),IF(R10,FALSE,TRUE))</f>
        <v>0</v>
      </c>
      <c r="L10" s="109" t="b">
        <f>IF(BENEFIT_PARAMETERS!E6,IF(BENEFIT_PARAMETERS!L54="None",FALSE,IF(BENEFIT_PARAMETERS!L54&gt;=0,FALSE,TRUE)),IF(S10,FALSE,TRUE))</f>
        <v>0</v>
      </c>
      <c r="M10" s="110" t="b">
        <f>IF(BENEFIT_PARAMETERS!F6,IF(BENEFIT_PARAMETERS!M54="Yes",FALSE,IF(BENEFIT_PARAMETERS!M54="No",FALSE,TRUE)),IF(T10,FALSE,TRUE))</f>
        <v>0</v>
      </c>
      <c r="N10" s="66"/>
      <c r="O10" s="119" t="b">
        <f>ISBLANK(BENEFIT_DESIGN!D12)</f>
        <v>1</v>
      </c>
      <c r="P10" s="120" t="b">
        <f>ISBLANK(BENEFIT_DESIGN!E12)</f>
        <v>1</v>
      </c>
      <c r="Q10" s="120" t="b">
        <f>ISBLANK(BENEFIT_DESIGN!F12)</f>
        <v>1</v>
      </c>
      <c r="R10" s="120" t="b">
        <f>ISBLANK(BENEFIT_DESIGN!G12)</f>
        <v>1</v>
      </c>
      <c r="S10" s="120" t="b">
        <f>ISBLANK(BENEFIT_DESIGN!H12)</f>
        <v>1</v>
      </c>
      <c r="T10" s="121" t="b">
        <f>ISBLANK(BENEFIT_DESIGN!I12)</f>
        <v>1</v>
      </c>
      <c r="U10" s="66"/>
    </row>
    <row r="11" spans="1:21" x14ac:dyDescent="0.25">
      <c r="A11" s="66"/>
      <c r="B11" s="25" t="str">
        <f>BENEFIT_DESIGN!B13</f>
        <v>Ambulance</v>
      </c>
      <c r="C11" s="109" t="b">
        <f>IF(BENEFIT_PARAMETERS!C7,FALSE,TRUE)</f>
        <v>0</v>
      </c>
      <c r="D11" s="109" t="b">
        <f>IF(BENEFIT_PARAMETERS!G7,IF(BENEFIT_PARAMETERS!C55&gt;=0,FALSE,TRUE),IF(BENEFIT_PARAMETERS!C55=".",FALSE,TRUE))</f>
        <v>0</v>
      </c>
      <c r="E11" s="109" t="b">
        <f>IF(BENEFIT_PARAMETERS!H7,IF(BENEFIT_PARAMETERS!D55&gt;=0,FALSE,TRUE),IF(BENEFIT_PARAMETERS!D55=".",FALSE,TRUE))</f>
        <v>0</v>
      </c>
      <c r="F11" s="109" t="b">
        <f>IF(BENEFIT_PARAMETERS!I7,IF(BENEFIT_PARAMETERS!E55&gt;=0,FALSE,TRUE),IF(BENEFIT_PARAMETERS!E55=".",FALSE,TRUE))</f>
        <v>0</v>
      </c>
      <c r="G11" s="109" t="b">
        <f>IF(BENEFIT_PARAMETERS!J7,IF(BENEFIT_PARAMETERS!F55&gt;=0,FALSE,TRUE),IF(BENEFIT_PARAMETERS!F55=".",FALSE,TRUE))</f>
        <v>0</v>
      </c>
      <c r="H11" s="109" t="b">
        <f>IF(BENEFIT_PARAMETERS!K7,IF(BENEFIT_PARAMETERS!H55&gt;=0,FALSE,TRUE),IF(O11,FALSE,TRUE))</f>
        <v>0</v>
      </c>
      <c r="I11" s="109" t="b">
        <f>IF(BENEFIT_PARAMETERS!L7,IF(BENEFIT_PARAMETERS!I55&gt;=0,FALSE,TRUE),IF(P11,FALSE,TRUE))</f>
        <v>0</v>
      </c>
      <c r="J11" s="109" t="b">
        <f>IF(BENEFIT_PARAMETERS!M7,IF(BENEFIT_PARAMETERS!J55&gt;=0,FALSE,TRUE),IF(Q11,FALSE,TRUE))</f>
        <v>0</v>
      </c>
      <c r="K11" s="109" t="b">
        <f>IF(BENEFIT_PARAMETERS!D7,IF(BENEFIT_PARAMETERS!K55="None",FALSE,IF(BENEFIT_PARAMETERS!K55&gt;=0,FALSE,TRUE)),IF(R11,FALSE,TRUE))</f>
        <v>0</v>
      </c>
      <c r="L11" s="109" t="b">
        <f>IF(BENEFIT_PARAMETERS!E7,IF(BENEFIT_PARAMETERS!L55="None",FALSE,IF(BENEFIT_PARAMETERS!L55&gt;=0,FALSE,TRUE)),IF(S11,FALSE,TRUE))</f>
        <v>0</v>
      </c>
      <c r="M11" s="110" t="b">
        <f>IF(BENEFIT_PARAMETERS!F7,IF(BENEFIT_PARAMETERS!M55="Yes",FALSE,IF(BENEFIT_PARAMETERS!M55="No",FALSE,TRUE)),IF(T11,FALSE,TRUE))</f>
        <v>0</v>
      </c>
      <c r="N11" s="66"/>
      <c r="O11" s="119" t="b">
        <f>ISBLANK(BENEFIT_DESIGN!D13)</f>
        <v>1</v>
      </c>
      <c r="P11" s="120" t="b">
        <f>ISBLANK(BENEFIT_DESIGN!E13)</f>
        <v>1</v>
      </c>
      <c r="Q11" s="120" t="b">
        <f>ISBLANK(BENEFIT_DESIGN!F13)</f>
        <v>1</v>
      </c>
      <c r="R11" s="120" t="b">
        <f>ISBLANK(BENEFIT_DESIGN!G13)</f>
        <v>1</v>
      </c>
      <c r="S11" s="120" t="b">
        <f>ISBLANK(BENEFIT_DESIGN!H13)</f>
        <v>1</v>
      </c>
      <c r="T11" s="121" t="b">
        <f>ISBLANK(BENEFIT_DESIGN!I13)</f>
        <v>1</v>
      </c>
      <c r="U11" s="66"/>
    </row>
    <row r="12" spans="1:21" x14ac:dyDescent="0.25">
      <c r="A12" s="66"/>
      <c r="B12" s="25" t="str">
        <f>BENEFIT_DESIGN!B14</f>
        <v>Professional Services: Primary Care</v>
      </c>
      <c r="C12" s="109" t="b">
        <f>IF(BENEFIT_PARAMETERS!C8,FALSE,TRUE)</f>
        <v>0</v>
      </c>
      <c r="D12" s="109" t="b">
        <f>IF(BENEFIT_PARAMETERS!G8,IF(BENEFIT_PARAMETERS!C56&gt;=0,FALSE,TRUE),IF(BENEFIT_PARAMETERS!C56=".",FALSE,TRUE))</f>
        <v>0</v>
      </c>
      <c r="E12" s="109" t="b">
        <f>IF(BENEFIT_PARAMETERS!H8,IF(BENEFIT_PARAMETERS!D56&gt;=0,FALSE,TRUE),IF(BENEFIT_PARAMETERS!D56=".",FALSE,TRUE))</f>
        <v>0</v>
      </c>
      <c r="F12" s="109" t="b">
        <f>IF(BENEFIT_PARAMETERS!I8,IF(BENEFIT_PARAMETERS!E56&gt;=0,FALSE,TRUE),IF(BENEFIT_PARAMETERS!E56=".",FALSE,TRUE))</f>
        <v>0</v>
      </c>
      <c r="G12" s="109" t="b">
        <f>IF(BENEFIT_PARAMETERS!J8,IF(BENEFIT_PARAMETERS!F56&gt;=0,FALSE,TRUE),IF(BENEFIT_PARAMETERS!F56=".",FALSE,TRUE))</f>
        <v>0</v>
      </c>
      <c r="H12" s="109" t="b">
        <f>IF(BENEFIT_PARAMETERS!K8,IF(BENEFIT_PARAMETERS!H56&gt;=0,FALSE,TRUE),IF(O12,FALSE,TRUE))</f>
        <v>0</v>
      </c>
      <c r="I12" s="109" t="b">
        <f>IF(OR(BENEFIT_PARAMETERS!L8,BENEFIT_PARAMETERS!C77="Yes"),IF(BENEFIT_PARAMETERS!I56&gt;=0,FALSE,TRUE),IF(P12,FALSE,TRUE))</f>
        <v>0</v>
      </c>
      <c r="J12" s="109" t="b">
        <f>IF(BENEFIT_PARAMETERS!M8,IF(BENEFIT_PARAMETERS!J56&gt;=0,FALSE,TRUE),IF(Q12,FALSE,TRUE))</f>
        <v>0</v>
      </c>
      <c r="K12" s="109" t="b">
        <f>IF(BENEFIT_PARAMETERS!D8,IF(BENEFIT_PARAMETERS!K56="None",FALSE,IF(BENEFIT_PARAMETERS!K56&gt;=0,FALSE,TRUE)),IF(R12,FALSE,TRUE))</f>
        <v>0</v>
      </c>
      <c r="L12" s="109" t="b">
        <f>IF(BENEFIT_PARAMETERS!E8,IF(BENEFIT_PARAMETERS!L56="None",FALSE,IF(BENEFIT_PARAMETERS!L56&gt;=0,FALSE,TRUE)),IF(S12,FALSE,TRUE))</f>
        <v>0</v>
      </c>
      <c r="M12" s="110" t="b">
        <f>IF(BENEFIT_PARAMETERS!F8,IF(BENEFIT_PARAMETERS!M56="Yes",FALSE,IF(BENEFIT_PARAMETERS!M56="No",FALSE,TRUE)),IF(T12,FALSE,TRUE))</f>
        <v>0</v>
      </c>
      <c r="N12" s="66"/>
      <c r="O12" s="119" t="b">
        <f>ISBLANK(BENEFIT_DESIGN!D14)</f>
        <v>1</v>
      </c>
      <c r="P12" s="120" t="b">
        <f>ISBLANK(BENEFIT_DESIGN!E14)</f>
        <v>1</v>
      </c>
      <c r="Q12" s="120" t="b">
        <f>ISBLANK(BENEFIT_DESIGN!F14)</f>
        <v>1</v>
      </c>
      <c r="R12" s="120" t="b">
        <f>ISBLANK(BENEFIT_DESIGN!G14)</f>
        <v>1</v>
      </c>
      <c r="S12" s="120" t="b">
        <f>ISBLANK(BENEFIT_DESIGN!H14)</f>
        <v>1</v>
      </c>
      <c r="T12" s="121" t="b">
        <f>ISBLANK(BENEFIT_DESIGN!I14)</f>
        <v>1</v>
      </c>
      <c r="U12" s="66"/>
    </row>
    <row r="13" spans="1:21" x14ac:dyDescent="0.25">
      <c r="A13" s="66"/>
      <c r="B13" s="25" t="str">
        <f>BENEFIT_DESIGN!B15</f>
        <v>Professional Services: Emergency Department</v>
      </c>
      <c r="C13" s="109" t="b">
        <f>IF(BENEFIT_PARAMETERS!C9,FALSE,TRUE)</f>
        <v>0</v>
      </c>
      <c r="D13" s="109" t="b">
        <f>IF(BENEFIT_PARAMETERS!G9,IF(BENEFIT_PARAMETERS!C57&gt;=0,FALSE,TRUE),IF(BENEFIT_PARAMETERS!C57=".",FALSE,TRUE))</f>
        <v>0</v>
      </c>
      <c r="E13" s="109" t="b">
        <f>IF(BENEFIT_PARAMETERS!H9,IF(BENEFIT_PARAMETERS!D57&gt;=0,FALSE,TRUE),IF(BENEFIT_PARAMETERS!D57=".",FALSE,TRUE))</f>
        <v>0</v>
      </c>
      <c r="F13" s="109" t="b">
        <f>IF(BENEFIT_PARAMETERS!I9,IF(BENEFIT_PARAMETERS!E57&gt;=0,FALSE,TRUE),IF(BENEFIT_PARAMETERS!E57=".",FALSE,TRUE))</f>
        <v>0</v>
      </c>
      <c r="G13" s="109" t="b">
        <f>IF(BENEFIT_PARAMETERS!J9,IF(BENEFIT_PARAMETERS!F57&gt;=0,FALSE,TRUE),IF(BENEFIT_PARAMETERS!F57=".",FALSE,TRUE))</f>
        <v>0</v>
      </c>
      <c r="H13" s="109" t="b">
        <f>IF(BENEFIT_PARAMETERS!K9,IF(BENEFIT_PARAMETERS!H57&gt;=0,FALSE,TRUE),IF(O13,FALSE,TRUE))</f>
        <v>0</v>
      </c>
      <c r="I13" s="109" t="b">
        <f>IF(BENEFIT_PARAMETERS!L9,IF(BENEFIT_PARAMETERS!I57&gt;=0,FALSE,TRUE),IF(P13,FALSE,TRUE))</f>
        <v>0</v>
      </c>
      <c r="J13" s="109" t="b">
        <f>IF(BENEFIT_PARAMETERS!M9,IF(BENEFIT_PARAMETERS!J57&gt;=0,FALSE,TRUE),IF(Q13,FALSE,TRUE))</f>
        <v>0</v>
      </c>
      <c r="K13" s="109" t="b">
        <f>IF(BENEFIT_PARAMETERS!D9,IF(BENEFIT_PARAMETERS!K57="None",FALSE,IF(BENEFIT_PARAMETERS!K57&gt;=0,FALSE,TRUE)),IF(R13,FALSE,TRUE))</f>
        <v>0</v>
      </c>
      <c r="L13" s="109" t="b">
        <f>IF(BENEFIT_PARAMETERS!E9,IF(BENEFIT_PARAMETERS!L57="None",FALSE,IF(BENEFIT_PARAMETERS!L57&gt;=0,FALSE,TRUE)),IF(S13,FALSE,TRUE))</f>
        <v>0</v>
      </c>
      <c r="M13" s="110" t="b">
        <f>IF(BENEFIT_PARAMETERS!F9,IF(BENEFIT_PARAMETERS!M57="Yes",FALSE,IF(BENEFIT_PARAMETERS!M57="No",FALSE,TRUE)),IF(T13,FALSE,TRUE))</f>
        <v>0</v>
      </c>
      <c r="N13" s="66"/>
      <c r="O13" s="119" t="b">
        <f>ISBLANK(BENEFIT_DESIGN!D15)</f>
        <v>1</v>
      </c>
      <c r="P13" s="120" t="b">
        <f>ISBLANK(BENEFIT_DESIGN!E15)</f>
        <v>1</v>
      </c>
      <c r="Q13" s="120" t="b">
        <f>ISBLANK(BENEFIT_DESIGN!F15)</f>
        <v>1</v>
      </c>
      <c r="R13" s="120" t="b">
        <f>ISBLANK(BENEFIT_DESIGN!G15)</f>
        <v>1</v>
      </c>
      <c r="S13" s="120" t="b">
        <f>ISBLANK(BENEFIT_DESIGN!H15)</f>
        <v>1</v>
      </c>
      <c r="T13" s="121" t="b">
        <f>ISBLANK(BENEFIT_DESIGN!I15)</f>
        <v>1</v>
      </c>
      <c r="U13" s="66"/>
    </row>
    <row r="14" spans="1:21" x14ac:dyDescent="0.25">
      <c r="A14" s="66"/>
      <c r="B14" s="25" t="str">
        <f>BENEFIT_DESIGN!B17</f>
        <v>Professional Services: Specialist</v>
      </c>
      <c r="C14" s="109" t="b">
        <f>IF(BENEFIT_PARAMETERS!C11,FALSE,TRUE)</f>
        <v>0</v>
      </c>
      <c r="D14" s="109" t="b">
        <f>IF(BENEFIT_PARAMETERS!G11,IF(BENEFIT_PARAMETERS!C59&gt;=0,FALSE,TRUE),IF(BENEFIT_PARAMETERS!C59=".",FALSE,TRUE))</f>
        <v>0</v>
      </c>
      <c r="E14" s="109" t="b">
        <f>IF(BENEFIT_PARAMETERS!H11,IF(BENEFIT_PARAMETERS!D59&gt;=0,FALSE,TRUE),IF(BENEFIT_PARAMETERS!D59=".",FALSE,TRUE))</f>
        <v>0</v>
      </c>
      <c r="F14" s="109" t="b">
        <f>IF(BENEFIT_PARAMETERS!I11,IF(BENEFIT_PARAMETERS!E59&gt;=0,FALSE,TRUE),IF(BENEFIT_PARAMETERS!E59=".",FALSE,TRUE))</f>
        <v>0</v>
      </c>
      <c r="G14" s="109" t="b">
        <f>IF(BENEFIT_PARAMETERS!J11,IF(BENEFIT_PARAMETERS!F59&gt;=0,FALSE,TRUE),IF(BENEFIT_PARAMETERS!F59=".",FALSE,TRUE))</f>
        <v>0</v>
      </c>
      <c r="H14" s="109" t="b">
        <f>IF(BENEFIT_PARAMETERS!K11,IF(BENEFIT_PARAMETERS!H59&gt;=0,FALSE,TRUE),IF(O14,FALSE,TRUE))</f>
        <v>0</v>
      </c>
      <c r="I14" s="109" t="b">
        <f>IF(BENEFIT_PARAMETERS!L11,IF(BENEFIT_PARAMETERS!I59&gt;=0,FALSE,TRUE),IF(P14,FALSE,TRUE))</f>
        <v>0</v>
      </c>
      <c r="J14" s="109" t="b">
        <f>IF(BENEFIT_PARAMETERS!M11,IF(BENEFIT_PARAMETERS!J59&gt;=0,FALSE,TRUE),IF(Q14,FALSE,TRUE))</f>
        <v>0</v>
      </c>
      <c r="K14" s="109" t="b">
        <f>IF(BENEFIT_PARAMETERS!D11,IF(BENEFIT_PARAMETERS!K59="None",FALSE,IF(BENEFIT_PARAMETERS!K59&gt;=0,FALSE,TRUE)),IF(R14,FALSE,TRUE))</f>
        <v>0</v>
      </c>
      <c r="L14" s="109" t="b">
        <f>IF(BENEFIT_PARAMETERS!E11,IF(BENEFIT_PARAMETERS!L59="None",FALSE,IF(BENEFIT_PARAMETERS!L59&gt;=0,FALSE,TRUE)),IF(S14,FALSE,TRUE))</f>
        <v>0</v>
      </c>
      <c r="M14" s="110" t="b">
        <f>IF(BENEFIT_PARAMETERS!F11,IF(BENEFIT_PARAMETERS!M59="Yes",FALSE,IF(BENEFIT_PARAMETERS!M59="No",FALSE,TRUE)),IF(T14,FALSE,TRUE))</f>
        <v>0</v>
      </c>
      <c r="N14" s="66"/>
      <c r="O14" s="119" t="b">
        <f>ISBLANK(BENEFIT_DESIGN!D17)</f>
        <v>1</v>
      </c>
      <c r="P14" s="120" t="b">
        <f>ISBLANK(BENEFIT_DESIGN!E17)</f>
        <v>1</v>
      </c>
      <c r="Q14" s="120" t="b">
        <f>ISBLANK(BENEFIT_DESIGN!F17)</f>
        <v>1</v>
      </c>
      <c r="R14" s="120" t="b">
        <f>ISBLANK(BENEFIT_DESIGN!G17)</f>
        <v>1</v>
      </c>
      <c r="S14" s="120" t="b">
        <f>ISBLANK(BENEFIT_DESIGN!H17)</f>
        <v>1</v>
      </c>
      <c r="T14" s="121" t="b">
        <f>ISBLANK(BENEFIT_DESIGN!I17)</f>
        <v>1</v>
      </c>
      <c r="U14" s="66"/>
    </row>
    <row r="15" spans="1:21" x14ac:dyDescent="0.25">
      <c r="A15" s="66"/>
      <c r="B15" s="25" t="str">
        <f>BENEFIT_DESIGN!B18</f>
        <v>Professional Services: Obstetric Care (Bundled)</v>
      </c>
      <c r="C15" s="109" t="b">
        <f>IF(BENEFIT_PARAMETERS!C12,FALSE,TRUE)</f>
        <v>0</v>
      </c>
      <c r="D15" s="109" t="b">
        <f>IF(BENEFIT_PARAMETERS!G12,IF(BENEFIT_PARAMETERS!C60&gt;=0,FALSE,TRUE),IF(BENEFIT_PARAMETERS!C60=".",FALSE,TRUE))</f>
        <v>0</v>
      </c>
      <c r="E15" s="109" t="b">
        <f>IF(BENEFIT_PARAMETERS!H12,IF(BENEFIT_PARAMETERS!D60&gt;=0,FALSE,TRUE),IF(BENEFIT_PARAMETERS!D60=".",FALSE,TRUE))</f>
        <v>0</v>
      </c>
      <c r="F15" s="109" t="b">
        <f>IF(BENEFIT_PARAMETERS!I12,IF(BENEFIT_PARAMETERS!E60&gt;=0,FALSE,TRUE),IF(BENEFIT_PARAMETERS!E60=".",FALSE,TRUE))</f>
        <v>0</v>
      </c>
      <c r="G15" s="109" t="b">
        <f>IF(BENEFIT_PARAMETERS!J12,IF(BENEFIT_PARAMETERS!F60&gt;=0,FALSE,TRUE),IF(BENEFIT_PARAMETERS!F60=".",FALSE,TRUE))</f>
        <v>0</v>
      </c>
      <c r="H15" s="109" t="b">
        <f>IF(BENEFIT_PARAMETERS!K12,IF(BENEFIT_PARAMETERS!H60&gt;=0,FALSE,TRUE),IF(O15,FALSE,TRUE))</f>
        <v>0</v>
      </c>
      <c r="I15" s="109" t="b">
        <f>IF(BENEFIT_PARAMETERS!L12,IF(BENEFIT_PARAMETERS!I60&gt;=0,FALSE,TRUE),IF(P15,FALSE,TRUE))</f>
        <v>0</v>
      </c>
      <c r="J15" s="109" t="b">
        <f>IF(BENEFIT_PARAMETERS!M12,IF(BENEFIT_PARAMETERS!J60&gt;=0,FALSE,TRUE),IF(Q15,FALSE,TRUE))</f>
        <v>0</v>
      </c>
      <c r="K15" s="109" t="b">
        <f>IF(BENEFIT_PARAMETERS!D12,IF(BENEFIT_PARAMETERS!K60="None",FALSE,IF(BENEFIT_PARAMETERS!K60&gt;=0,FALSE,TRUE)),IF(R15,FALSE,TRUE))</f>
        <v>0</v>
      </c>
      <c r="L15" s="109" t="b">
        <f>IF(BENEFIT_PARAMETERS!E12,IF(BENEFIT_PARAMETERS!L60="None",FALSE,IF(BENEFIT_PARAMETERS!L60&gt;=0,FALSE,TRUE)),IF(S15,FALSE,TRUE))</f>
        <v>0</v>
      </c>
      <c r="M15" s="110" t="b">
        <f>IF(BENEFIT_PARAMETERS!F12,IF(BENEFIT_PARAMETERS!M60="Yes",FALSE,IF(BENEFIT_PARAMETERS!M60="No",FALSE,TRUE)),IF(T15,FALSE,TRUE))</f>
        <v>0</v>
      </c>
      <c r="N15" s="66"/>
      <c r="O15" s="119" t="b">
        <f>ISBLANK(BENEFIT_DESIGN!D18)</f>
        <v>1</v>
      </c>
      <c r="P15" s="120" t="b">
        <f>ISBLANK(BENEFIT_DESIGN!E18)</f>
        <v>1</v>
      </c>
      <c r="Q15" s="120" t="b">
        <f>ISBLANK(BENEFIT_DESIGN!F18)</f>
        <v>1</v>
      </c>
      <c r="R15" s="120" t="b">
        <f>ISBLANK(BENEFIT_DESIGN!G18)</f>
        <v>1</v>
      </c>
      <c r="S15" s="120" t="b">
        <f>ISBLANK(BENEFIT_DESIGN!H18)</f>
        <v>1</v>
      </c>
      <c r="T15" s="121" t="b">
        <f>ISBLANK(BENEFIT_DESIGN!I18)</f>
        <v>1</v>
      </c>
      <c r="U15" s="66"/>
    </row>
    <row r="16" spans="1:21" x14ac:dyDescent="0.25">
      <c r="A16" s="66"/>
      <c r="B16" s="25" t="str">
        <f>BENEFIT_DESIGN!B19</f>
        <v>Professional Services: Procedures &amp; Other</v>
      </c>
      <c r="C16" s="109" t="b">
        <f>IF(BENEFIT_PARAMETERS!C13,FALSE,TRUE)</f>
        <v>0</v>
      </c>
      <c r="D16" s="109" t="b">
        <f>IF(BENEFIT_PARAMETERS!G13,IF(BENEFIT_PARAMETERS!C61&gt;=0,FALSE,TRUE),IF(BENEFIT_PARAMETERS!C61=".",FALSE,TRUE))</f>
        <v>0</v>
      </c>
      <c r="E16" s="109" t="b">
        <f>IF(BENEFIT_PARAMETERS!H13,IF(BENEFIT_PARAMETERS!D61&gt;=0,FALSE,TRUE),IF(BENEFIT_PARAMETERS!D61=".",FALSE,TRUE))</f>
        <v>0</v>
      </c>
      <c r="F16" s="109" t="b">
        <f>IF(BENEFIT_PARAMETERS!I13,IF(BENEFIT_PARAMETERS!E61&gt;=0,FALSE,TRUE),IF(BENEFIT_PARAMETERS!E61=".",FALSE,TRUE))</f>
        <v>0</v>
      </c>
      <c r="G16" s="109" t="b">
        <f>IF(BENEFIT_PARAMETERS!J13,IF(BENEFIT_PARAMETERS!F61&gt;=0,FALSE,TRUE),IF(BENEFIT_PARAMETERS!F61=".",FALSE,TRUE))</f>
        <v>0</v>
      </c>
      <c r="H16" s="109" t="b">
        <f>IF(BENEFIT_PARAMETERS!K13,IF(BENEFIT_PARAMETERS!H61&gt;=0,FALSE,TRUE),IF(O16,FALSE,TRUE))</f>
        <v>0</v>
      </c>
      <c r="I16" s="109" t="b">
        <f>IF(BENEFIT_PARAMETERS!L13,IF(BENEFIT_PARAMETERS!I61&gt;=0,FALSE,TRUE),IF(P16,FALSE,TRUE))</f>
        <v>0</v>
      </c>
      <c r="J16" s="109" t="b">
        <f>IF(BENEFIT_PARAMETERS!M13,IF(BENEFIT_PARAMETERS!J61&gt;=0,FALSE,TRUE),IF(Q16,FALSE,TRUE))</f>
        <v>0</v>
      </c>
      <c r="K16" s="109" t="b">
        <f>IF(BENEFIT_PARAMETERS!D13,IF(BENEFIT_PARAMETERS!K61="None",FALSE,IF(BENEFIT_PARAMETERS!K61&gt;=0,FALSE,TRUE)),IF(R16,FALSE,TRUE))</f>
        <v>0</v>
      </c>
      <c r="L16" s="109" t="b">
        <f>IF(BENEFIT_PARAMETERS!E13,IF(BENEFIT_PARAMETERS!L61="None",FALSE,IF(BENEFIT_PARAMETERS!L61&gt;=0,FALSE,TRUE)),IF(S16,FALSE,TRUE))</f>
        <v>0</v>
      </c>
      <c r="M16" s="110" t="b">
        <f>IF(BENEFIT_PARAMETERS!F13,IF(BENEFIT_PARAMETERS!M61="Yes",FALSE,IF(BENEFIT_PARAMETERS!M61="No",FALSE,TRUE)),IF(T16,FALSE,TRUE))</f>
        <v>0</v>
      </c>
      <c r="N16" s="66"/>
      <c r="O16" s="119" t="b">
        <f>ISBLANK(BENEFIT_DESIGN!D19)</f>
        <v>1</v>
      </c>
      <c r="P16" s="120" t="b">
        <f>ISBLANK(BENEFIT_DESIGN!E19)</f>
        <v>1</v>
      </c>
      <c r="Q16" s="120" t="b">
        <f>ISBLANK(BENEFIT_DESIGN!F19)</f>
        <v>1</v>
      </c>
      <c r="R16" s="120" t="b">
        <f>ISBLANK(BENEFIT_DESIGN!G19)</f>
        <v>1</v>
      </c>
      <c r="S16" s="120" t="b">
        <f>ISBLANK(BENEFIT_DESIGN!H19)</f>
        <v>1</v>
      </c>
      <c r="T16" s="121" t="b">
        <f>ISBLANK(BENEFIT_DESIGN!I19)</f>
        <v>1</v>
      </c>
      <c r="U16" s="66"/>
    </row>
    <row r="17" spans="1:21" x14ac:dyDescent="0.25">
      <c r="A17" s="66"/>
      <c r="B17" s="25" t="str">
        <f>BENEFIT_DESIGN!B20</f>
        <v>Professional Services: Physical Therapy</v>
      </c>
      <c r="C17" s="109" t="b">
        <f>IF(BENEFIT_PARAMETERS!C14,FALSE,TRUE)</f>
        <v>0</v>
      </c>
      <c r="D17" s="109" t="b">
        <f>IF(BENEFIT_PARAMETERS!G14,IF(BENEFIT_PARAMETERS!C62&gt;=0,FALSE,TRUE),IF(BENEFIT_PARAMETERS!C62=".",FALSE,TRUE))</f>
        <v>0</v>
      </c>
      <c r="E17" s="109" t="b">
        <f>IF(BENEFIT_PARAMETERS!H14,IF(BENEFIT_PARAMETERS!D62&gt;=0,FALSE,TRUE),IF(BENEFIT_PARAMETERS!D62=".",FALSE,TRUE))</f>
        <v>0</v>
      </c>
      <c r="F17" s="109" t="b">
        <f>IF(BENEFIT_PARAMETERS!I14,IF(BENEFIT_PARAMETERS!E62&gt;=0,FALSE,TRUE),IF(BENEFIT_PARAMETERS!E62=".",FALSE,TRUE))</f>
        <v>0</v>
      </c>
      <c r="G17" s="109" t="b">
        <f>IF(BENEFIT_PARAMETERS!J14,IF(BENEFIT_PARAMETERS!F62&gt;=0,FALSE,TRUE),IF(BENEFIT_PARAMETERS!F62=".",FALSE,TRUE))</f>
        <v>0</v>
      </c>
      <c r="H17" s="109" t="b">
        <f>IF(BENEFIT_PARAMETERS!K14,IF(BENEFIT_PARAMETERS!H62&gt;=0,FALSE,TRUE),IF(O17,FALSE,TRUE))</f>
        <v>0</v>
      </c>
      <c r="I17" s="109" t="b">
        <f>IF(BENEFIT_PARAMETERS!L14,IF(BENEFIT_PARAMETERS!I62&gt;=0,FALSE,TRUE),IF(P17,FALSE,TRUE))</f>
        <v>0</v>
      </c>
      <c r="J17" s="109" t="b">
        <f>IF(BENEFIT_PARAMETERS!M14,IF(BENEFIT_PARAMETERS!J62&gt;=0,FALSE,TRUE),IF(Q17,FALSE,TRUE))</f>
        <v>0</v>
      </c>
      <c r="K17" s="109" t="b">
        <f>IF(BENEFIT_PARAMETERS!D14,IF(BENEFIT_PARAMETERS!K62="None",FALSE,IF(BENEFIT_PARAMETERS!K62&gt;=0,FALSE,TRUE)),IF(R17,FALSE,TRUE))</f>
        <v>0</v>
      </c>
      <c r="L17" s="109" t="b">
        <f>IF(BENEFIT_PARAMETERS!E14,IF(BENEFIT_PARAMETERS!L62="None",FALSE,IF(BENEFIT_PARAMETERS!L62&gt;=0,FALSE,TRUE)),IF(S17,FALSE,TRUE))</f>
        <v>0</v>
      </c>
      <c r="M17" s="110" t="b">
        <f>IF(BENEFIT_PARAMETERS!F14,IF(BENEFIT_PARAMETERS!M62="Yes",FALSE,IF(BENEFIT_PARAMETERS!M62="No",FALSE,TRUE)),IF(T17,FALSE,TRUE))</f>
        <v>0</v>
      </c>
      <c r="N17" s="66"/>
      <c r="O17" s="119" t="b">
        <f>ISBLANK(BENEFIT_DESIGN!D20)</f>
        <v>1</v>
      </c>
      <c r="P17" s="120" t="b">
        <f>ISBLANK(BENEFIT_DESIGN!E20)</f>
        <v>1</v>
      </c>
      <c r="Q17" s="120" t="b">
        <f>ISBLANK(BENEFIT_DESIGN!F20)</f>
        <v>1</v>
      </c>
      <c r="R17" s="120" t="b">
        <f>ISBLANK(BENEFIT_DESIGN!G20)</f>
        <v>1</v>
      </c>
      <c r="S17" s="120" t="b">
        <f>ISBLANK(BENEFIT_DESIGN!H20)</f>
        <v>1</v>
      </c>
      <c r="T17" s="121" t="b">
        <f>ISBLANK(BENEFIT_DESIGN!I20)</f>
        <v>1</v>
      </c>
      <c r="U17" s="66"/>
    </row>
    <row r="18" spans="1:21" x14ac:dyDescent="0.25">
      <c r="A18" s="66"/>
      <c r="B18" s="25" t="str">
        <f>BENEFIT_DESIGN!B21</f>
        <v>Diagnostic Services: Radiology</v>
      </c>
      <c r="C18" s="109" t="b">
        <f>IF(BENEFIT_PARAMETERS!C15,FALSE,TRUE)</f>
        <v>0</v>
      </c>
      <c r="D18" s="109" t="b">
        <f>IF(BENEFIT_PARAMETERS!G15,IF(BENEFIT_PARAMETERS!C63&gt;=0,FALSE,TRUE),IF(BENEFIT_PARAMETERS!C63=".",FALSE,TRUE))</f>
        <v>0</v>
      </c>
      <c r="E18" s="109" t="b">
        <f>IF(BENEFIT_PARAMETERS!H15,IF(BENEFIT_PARAMETERS!D63&gt;=0,FALSE,TRUE),IF(BENEFIT_PARAMETERS!D63=".",FALSE,TRUE))</f>
        <v>0</v>
      </c>
      <c r="F18" s="109" t="b">
        <f>IF(BENEFIT_PARAMETERS!I15,IF(BENEFIT_PARAMETERS!E63&gt;=0,FALSE,TRUE),IF(BENEFIT_PARAMETERS!E63=".",FALSE,TRUE))</f>
        <v>0</v>
      </c>
      <c r="G18" s="109" t="b">
        <f>IF(BENEFIT_PARAMETERS!J15,IF(BENEFIT_PARAMETERS!F63&gt;=0,FALSE,TRUE),IF(BENEFIT_PARAMETERS!F63=".",FALSE,TRUE))</f>
        <v>0</v>
      </c>
      <c r="H18" s="109" t="b">
        <f>IF(BENEFIT_PARAMETERS!K15,IF(BENEFIT_PARAMETERS!H63&gt;=0,FALSE,TRUE),IF(O18,FALSE,TRUE))</f>
        <v>0</v>
      </c>
      <c r="I18" s="109" t="b">
        <f>IF(BENEFIT_PARAMETERS!L15,IF(BENEFIT_PARAMETERS!I63&gt;=0,FALSE,TRUE),IF(P18,FALSE,TRUE))</f>
        <v>0</v>
      </c>
      <c r="J18" s="109" t="b">
        <f>IF(BENEFIT_PARAMETERS!M15,IF(BENEFIT_PARAMETERS!J63&gt;=0,FALSE,TRUE),IF(Q18,FALSE,TRUE))</f>
        <v>0</v>
      </c>
      <c r="K18" s="109" t="b">
        <f>IF(BENEFIT_PARAMETERS!D15,IF(BENEFIT_PARAMETERS!K63="None",FALSE,IF(BENEFIT_PARAMETERS!K63&gt;=0,FALSE,TRUE)),IF(R18,FALSE,TRUE))</f>
        <v>0</v>
      </c>
      <c r="L18" s="109" t="b">
        <f>IF(BENEFIT_PARAMETERS!E15,IF(BENEFIT_PARAMETERS!L63="None",FALSE,IF(BENEFIT_PARAMETERS!L63&gt;=0,FALSE,TRUE)),IF(S18,FALSE,TRUE))</f>
        <v>0</v>
      </c>
      <c r="M18" s="110" t="b">
        <f>IF(BENEFIT_PARAMETERS!F15,IF(BENEFIT_PARAMETERS!M63="Yes",FALSE,IF(BENEFIT_PARAMETERS!M63="No",FALSE,TRUE)),IF(T18,FALSE,TRUE))</f>
        <v>0</v>
      </c>
      <c r="N18" s="66"/>
      <c r="O18" s="119" t="b">
        <f>ISBLANK(BENEFIT_DESIGN!D21)</f>
        <v>1</v>
      </c>
      <c r="P18" s="120" t="b">
        <f>ISBLANK(BENEFIT_DESIGN!E21)</f>
        <v>1</v>
      </c>
      <c r="Q18" s="120" t="b">
        <f>ISBLANK(BENEFIT_DESIGN!F21)</f>
        <v>1</v>
      </c>
      <c r="R18" s="120" t="b">
        <f>ISBLANK(BENEFIT_DESIGN!G21)</f>
        <v>1</v>
      </c>
      <c r="S18" s="120" t="b">
        <f>ISBLANK(BENEFIT_DESIGN!H21)</f>
        <v>1</v>
      </c>
      <c r="T18" s="121" t="b">
        <f>ISBLANK(BENEFIT_DESIGN!I21)</f>
        <v>1</v>
      </c>
      <c r="U18" s="66"/>
    </row>
    <row r="19" spans="1:21" x14ac:dyDescent="0.25">
      <c r="A19" s="66"/>
      <c r="B19" s="25" t="str">
        <f>BENEFIT_DESIGN!B22</f>
        <v>Diagnostic Services: Laboratory</v>
      </c>
      <c r="C19" s="109" t="b">
        <f>IF(BENEFIT_PARAMETERS!C16,FALSE,TRUE)</f>
        <v>0</v>
      </c>
      <c r="D19" s="109" t="b">
        <f>IF(BENEFIT_PARAMETERS!G16,IF(BENEFIT_PARAMETERS!C64&gt;=0,FALSE,TRUE),IF(BENEFIT_PARAMETERS!C64=".",FALSE,TRUE))</f>
        <v>0</v>
      </c>
      <c r="E19" s="109" t="b">
        <f>IF(BENEFIT_PARAMETERS!H16,IF(BENEFIT_PARAMETERS!D64&gt;=0,FALSE,TRUE),IF(BENEFIT_PARAMETERS!D64=".",FALSE,TRUE))</f>
        <v>0</v>
      </c>
      <c r="F19" s="109" t="b">
        <f>IF(BENEFIT_PARAMETERS!I16,IF(BENEFIT_PARAMETERS!E64&gt;=0,FALSE,TRUE),IF(BENEFIT_PARAMETERS!E64=".",FALSE,TRUE))</f>
        <v>0</v>
      </c>
      <c r="G19" s="109" t="b">
        <f>IF(BENEFIT_PARAMETERS!J16,IF(BENEFIT_PARAMETERS!F64&gt;=0,FALSE,TRUE),IF(BENEFIT_PARAMETERS!F64=".",FALSE,TRUE))</f>
        <v>0</v>
      </c>
      <c r="H19" s="109" t="b">
        <f>IF(BENEFIT_PARAMETERS!K16,IF(BENEFIT_PARAMETERS!H64&gt;=0,FALSE,TRUE),IF(O19,FALSE,TRUE))</f>
        <v>0</v>
      </c>
      <c r="I19" s="109" t="b">
        <f>IF(BENEFIT_PARAMETERS!L16,IF(BENEFIT_PARAMETERS!I64&gt;=0,FALSE,TRUE),IF(P19,FALSE,TRUE))</f>
        <v>0</v>
      </c>
      <c r="J19" s="109" t="b">
        <f>IF(BENEFIT_PARAMETERS!M16,IF(BENEFIT_PARAMETERS!J64&gt;=0,FALSE,TRUE),IF(Q19,FALSE,TRUE))</f>
        <v>0</v>
      </c>
      <c r="K19" s="109" t="b">
        <f>IF(BENEFIT_PARAMETERS!D16,IF(BENEFIT_PARAMETERS!K64="None",FALSE,IF(BENEFIT_PARAMETERS!K64&gt;=0,FALSE,TRUE)),IF(R19,FALSE,TRUE))</f>
        <v>0</v>
      </c>
      <c r="L19" s="109" t="b">
        <f>IF(BENEFIT_PARAMETERS!E16,IF(BENEFIT_PARAMETERS!L64="None",FALSE,IF(BENEFIT_PARAMETERS!L64&gt;=0,FALSE,TRUE)),IF(S19,FALSE,TRUE))</f>
        <v>0</v>
      </c>
      <c r="M19" s="110" t="b">
        <f>IF(BENEFIT_PARAMETERS!F16,IF(BENEFIT_PARAMETERS!M64="Yes",FALSE,IF(BENEFIT_PARAMETERS!M64="No",FALSE,TRUE)),IF(T19,FALSE,TRUE))</f>
        <v>0</v>
      </c>
      <c r="N19" s="66"/>
      <c r="O19" s="119" t="b">
        <f>ISBLANK(BENEFIT_DESIGN!D22)</f>
        <v>1</v>
      </c>
      <c r="P19" s="120" t="b">
        <f>ISBLANK(BENEFIT_DESIGN!E22)</f>
        <v>1</v>
      </c>
      <c r="Q19" s="120" t="b">
        <f>ISBLANK(BENEFIT_DESIGN!F22)</f>
        <v>1</v>
      </c>
      <c r="R19" s="120" t="b">
        <f>ISBLANK(BENEFIT_DESIGN!G22)</f>
        <v>1</v>
      </c>
      <c r="S19" s="120" t="b">
        <f>ISBLANK(BENEFIT_DESIGN!H22)</f>
        <v>1</v>
      </c>
      <c r="T19" s="121" t="b">
        <f>ISBLANK(BENEFIT_DESIGN!I22)</f>
        <v>1</v>
      </c>
      <c r="U19" s="66"/>
    </row>
    <row r="20" spans="1:21" x14ac:dyDescent="0.25">
      <c r="A20" s="66"/>
      <c r="B20" s="25" t="str">
        <f>BENEFIT_DESIGN!B23</f>
        <v>Prescription Drugs: Generic</v>
      </c>
      <c r="C20" s="109" t="b">
        <f>IF(BENEFIT_PARAMETERS!C17,FALSE,TRUE)</f>
        <v>0</v>
      </c>
      <c r="D20" s="109" t="b">
        <f>IF(BENEFIT_PARAMETERS!G17,IF(BENEFIT_PARAMETERS!C65&gt;=0,FALSE,TRUE),IF(BENEFIT_PARAMETERS!C65=".",FALSE,TRUE))</f>
        <v>0</v>
      </c>
      <c r="E20" s="109" t="b">
        <f>IF(BENEFIT_PARAMETERS!H17,IF(BENEFIT_PARAMETERS!D65&gt;=0,FALSE,TRUE),IF(BENEFIT_PARAMETERS!D65=".",FALSE,TRUE))</f>
        <v>0</v>
      </c>
      <c r="F20" s="109" t="b">
        <f>IF(BENEFIT_PARAMETERS!I17,IF(BENEFIT_PARAMETERS!E65&gt;=0,FALSE,TRUE),IF(BENEFIT_PARAMETERS!E65=".",FALSE,TRUE))</f>
        <v>0</v>
      </c>
      <c r="G20" s="109" t="b">
        <f>IF(BENEFIT_PARAMETERS!J17,IF(BENEFIT_PARAMETERS!F65&gt;=0,FALSE,TRUE),IF(BENEFIT_PARAMETERS!F65=".",FALSE,TRUE))</f>
        <v>0</v>
      </c>
      <c r="H20" s="109" t="b">
        <f>IF(BENEFIT_PARAMETERS!K17,IF(BENEFIT_PARAMETERS!H65&gt;=0,FALSE,TRUE),IF(O20,FALSE,TRUE))</f>
        <v>0</v>
      </c>
      <c r="I20" s="109" t="b">
        <f>IF(BENEFIT_PARAMETERS!L17,IF(BENEFIT_PARAMETERS!I65&gt;=0,FALSE,TRUE),IF(P20,FALSE,TRUE))</f>
        <v>0</v>
      </c>
      <c r="J20" s="109" t="b">
        <f>IF(BENEFIT_PARAMETERS!M17,IF(BENEFIT_PARAMETERS!J65&gt;=0,FALSE,TRUE),IF(Q20,FALSE,TRUE))</f>
        <v>0</v>
      </c>
      <c r="K20" s="109" t="b">
        <f>IF(BENEFIT_PARAMETERS!D17,IF(BENEFIT_PARAMETERS!K65="None",FALSE,IF(BENEFIT_PARAMETERS!K65&gt;=0,FALSE,TRUE)),IF(R20,FALSE,TRUE))</f>
        <v>0</v>
      </c>
      <c r="L20" s="109" t="b">
        <f>IF(BENEFIT_PARAMETERS!E17,IF(BENEFIT_PARAMETERS!L65="None",FALSE,IF(BENEFIT_PARAMETERS!L65&gt;=0,FALSE,TRUE)),IF(S20,FALSE,TRUE))</f>
        <v>0</v>
      </c>
      <c r="M20" s="110" t="b">
        <f>IF(BENEFIT_PARAMETERS!F17,IF(BENEFIT_PARAMETERS!M65="Yes",FALSE,IF(BENEFIT_PARAMETERS!M65="No",FALSE,TRUE)),IF(T20,FALSE,TRUE))</f>
        <v>0</v>
      </c>
      <c r="N20" s="66"/>
      <c r="O20" s="119" t="b">
        <f>ISBLANK(BENEFIT_DESIGN!D23)</f>
        <v>1</v>
      </c>
      <c r="P20" s="120" t="b">
        <f>ISBLANK(BENEFIT_DESIGN!E23)</f>
        <v>1</v>
      </c>
      <c r="Q20" s="120" t="b">
        <f>ISBLANK(BENEFIT_DESIGN!F23)</f>
        <v>1</v>
      </c>
      <c r="R20" s="120" t="b">
        <f>ISBLANK(BENEFIT_DESIGN!G23)</f>
        <v>1</v>
      </c>
      <c r="S20" s="120" t="b">
        <f>ISBLANK(BENEFIT_DESIGN!H23)</f>
        <v>1</v>
      </c>
      <c r="T20" s="121" t="b">
        <f>ISBLANK(BENEFIT_DESIGN!I23)</f>
        <v>1</v>
      </c>
      <c r="U20" s="66"/>
    </row>
    <row r="21" spans="1:21" x14ac:dyDescent="0.25">
      <c r="A21" s="66"/>
      <c r="B21" s="25" t="str">
        <f>BENEFIT_DESIGN!B24</f>
        <v>Prescription Drugs: Branded</v>
      </c>
      <c r="C21" s="109" t="b">
        <f>IF(BENEFIT_PARAMETERS!C18,FALSE,TRUE)</f>
        <v>0</v>
      </c>
      <c r="D21" s="109" t="b">
        <f>IF(BENEFIT_PARAMETERS!G18,IF(BENEFIT_PARAMETERS!C66&gt;=0,FALSE,TRUE),IF(BENEFIT_PARAMETERS!C66=".",FALSE,TRUE))</f>
        <v>0</v>
      </c>
      <c r="E21" s="109" t="b">
        <f>IF(BENEFIT_PARAMETERS!H18,IF(BENEFIT_PARAMETERS!D66&gt;=0,FALSE,TRUE),IF(BENEFIT_PARAMETERS!D66=".",FALSE,TRUE))</f>
        <v>0</v>
      </c>
      <c r="F21" s="109" t="b">
        <f>IF(BENEFIT_PARAMETERS!I18,IF(BENEFIT_PARAMETERS!E66&gt;=0,FALSE,TRUE),IF(BENEFIT_PARAMETERS!E66=".",FALSE,TRUE))</f>
        <v>0</v>
      </c>
      <c r="G21" s="109" t="b">
        <f>IF(BENEFIT_PARAMETERS!J18,IF(BENEFIT_PARAMETERS!F66&gt;=0,FALSE,TRUE),IF(BENEFIT_PARAMETERS!F66=".",FALSE,TRUE))</f>
        <v>0</v>
      </c>
      <c r="H21" s="109" t="b">
        <f>IF(BENEFIT_PARAMETERS!K18,IF(BENEFIT_PARAMETERS!H66&gt;=0,FALSE,TRUE),IF(O21,FALSE,TRUE))</f>
        <v>0</v>
      </c>
      <c r="I21" s="109" t="b">
        <f>IF(BENEFIT_PARAMETERS!L18,IF(BENEFIT_PARAMETERS!I66&gt;=0,FALSE,TRUE),IF(P21,FALSE,TRUE))</f>
        <v>0</v>
      </c>
      <c r="J21" s="109" t="b">
        <f>IF(BENEFIT_PARAMETERS!M18,IF(BENEFIT_PARAMETERS!J66&gt;=0,FALSE,TRUE),IF(Q21,FALSE,TRUE))</f>
        <v>0</v>
      </c>
      <c r="K21" s="109" t="b">
        <f>IF(BENEFIT_PARAMETERS!D18,IF(BENEFIT_PARAMETERS!K66="None",FALSE,IF(BENEFIT_PARAMETERS!K66&gt;=0,FALSE,TRUE)),IF(R21,FALSE,TRUE))</f>
        <v>0</v>
      </c>
      <c r="L21" s="109" t="b">
        <f>IF(BENEFIT_PARAMETERS!E18,IF(BENEFIT_PARAMETERS!L66="None",FALSE,IF(BENEFIT_PARAMETERS!L66&gt;=0,FALSE,TRUE)),IF(S21,FALSE,TRUE))</f>
        <v>0</v>
      </c>
      <c r="M21" s="110" t="b">
        <f>IF(BENEFIT_PARAMETERS!F18,IF(BENEFIT_PARAMETERS!M66="Yes",FALSE,IF(BENEFIT_PARAMETERS!M66="No",FALSE,TRUE)),IF(T21,FALSE,TRUE))</f>
        <v>0</v>
      </c>
      <c r="N21" s="66"/>
      <c r="O21" s="119" t="b">
        <f>ISBLANK(BENEFIT_DESIGN!D24)</f>
        <v>1</v>
      </c>
      <c r="P21" s="120" t="b">
        <f>ISBLANK(BENEFIT_DESIGN!E24)</f>
        <v>1</v>
      </c>
      <c r="Q21" s="120" t="b">
        <f>ISBLANK(BENEFIT_DESIGN!F24)</f>
        <v>1</v>
      </c>
      <c r="R21" s="120" t="b">
        <f>ISBLANK(BENEFIT_DESIGN!G24)</f>
        <v>1</v>
      </c>
      <c r="S21" s="120" t="b">
        <f>ISBLANK(BENEFIT_DESIGN!H24)</f>
        <v>1</v>
      </c>
      <c r="T21" s="121" t="b">
        <f>ISBLANK(BENEFIT_DESIGN!I24)</f>
        <v>1</v>
      </c>
      <c r="U21" s="66"/>
    </row>
    <row r="22" spans="1:21" x14ac:dyDescent="0.25">
      <c r="A22" s="66"/>
      <c r="B22" s="25" t="str">
        <f>BENEFIT_DESIGN!B25</f>
        <v>Prescription Drugs: Insulin</v>
      </c>
      <c r="C22" s="109" t="b">
        <f>IF(BENEFIT_PARAMETERS!C19,FALSE,TRUE)</f>
        <v>0</v>
      </c>
      <c r="D22" s="109" t="b">
        <f>IF(BENEFIT_PARAMETERS!G19,IF(BENEFIT_PARAMETERS!C67&gt;=0,FALSE,TRUE),IF(BENEFIT_PARAMETERS!C67=".",FALSE,TRUE))</f>
        <v>0</v>
      </c>
      <c r="E22" s="109" t="b">
        <f>IF(BENEFIT_PARAMETERS!H19,IF(BENEFIT_PARAMETERS!D67&gt;=0,FALSE,TRUE),IF(BENEFIT_PARAMETERS!D67=".",FALSE,TRUE))</f>
        <v>0</v>
      </c>
      <c r="F22" s="109" t="b">
        <f>IF(BENEFIT_PARAMETERS!I19,IF(BENEFIT_PARAMETERS!E67&gt;=0,FALSE,TRUE),IF(BENEFIT_PARAMETERS!E67=".",FALSE,TRUE))</f>
        <v>0</v>
      </c>
      <c r="G22" s="109" t="b">
        <f>IF(BENEFIT_PARAMETERS!J19,IF(BENEFIT_PARAMETERS!F67&gt;=0,FALSE,TRUE),IF(BENEFIT_PARAMETERS!F67=".",FALSE,TRUE))</f>
        <v>0</v>
      </c>
      <c r="H22" s="109" t="b">
        <f>IF(BENEFIT_PARAMETERS!K19,IF(BENEFIT_PARAMETERS!H67&gt;=0,FALSE,TRUE),IF(O22,FALSE,TRUE))</f>
        <v>0</v>
      </c>
      <c r="I22" s="109" t="b">
        <f>IF(BENEFIT_PARAMETERS!L19,IF(BENEFIT_PARAMETERS!I67&gt;=0,FALSE,TRUE),IF(P22,FALSE,TRUE))</f>
        <v>0</v>
      </c>
      <c r="J22" s="109" t="b">
        <f>IF(BENEFIT_PARAMETERS!M19,IF(BENEFIT_PARAMETERS!J67&gt;=0,FALSE,TRUE),IF(Q22,FALSE,TRUE))</f>
        <v>0</v>
      </c>
      <c r="K22" s="109" t="b">
        <f>IF(BENEFIT_PARAMETERS!D19,IF(BENEFIT_PARAMETERS!K67="None",FALSE,IF(BENEFIT_PARAMETERS!K67&gt;=0,FALSE,TRUE)),IF(R22,FALSE,TRUE))</f>
        <v>0</v>
      </c>
      <c r="L22" s="109" t="b">
        <f>IF(BENEFIT_PARAMETERS!E19,IF(BENEFIT_PARAMETERS!L67="None",FALSE,IF(BENEFIT_PARAMETERS!L67&gt;=0,FALSE,TRUE)),IF(S22,FALSE,TRUE))</f>
        <v>0</v>
      </c>
      <c r="M22" s="110" t="b">
        <f>IF(BENEFIT_PARAMETERS!F19,IF(BENEFIT_PARAMETERS!M67="Yes",FALSE,IF(BENEFIT_PARAMETERS!M67="No",FALSE,TRUE)),IF(T22,FALSE,TRUE))</f>
        <v>0</v>
      </c>
      <c r="N22" s="66"/>
      <c r="O22" s="119" t="b">
        <f>ISBLANK(BENEFIT_DESIGN!D25)</f>
        <v>1</v>
      </c>
      <c r="P22" s="120" t="b">
        <f>ISBLANK(BENEFIT_DESIGN!E25)</f>
        <v>1</v>
      </c>
      <c r="Q22" s="120" t="b">
        <f>ISBLANK(BENEFIT_DESIGN!F25)</f>
        <v>1</v>
      </c>
      <c r="R22" s="120" t="b">
        <f>ISBLANK(BENEFIT_DESIGN!G25)</f>
        <v>1</v>
      </c>
      <c r="S22" s="120" t="b">
        <f>ISBLANK(BENEFIT_DESIGN!H25)</f>
        <v>1</v>
      </c>
      <c r="T22" s="121" t="b">
        <f>ISBLANK(BENEFIT_DESIGN!I25)</f>
        <v>1</v>
      </c>
      <c r="U22" s="66"/>
    </row>
    <row r="23" spans="1:21" x14ac:dyDescent="0.25">
      <c r="A23" s="66"/>
      <c r="B23" s="25" t="str">
        <f>BENEFIT_DESIGN!B26</f>
        <v>Over-the-counter Drugs</v>
      </c>
      <c r="C23" s="109" t="b">
        <f>IF(BENEFIT_PARAMETERS!C20,FALSE,TRUE)</f>
        <v>0</v>
      </c>
      <c r="D23" s="109" t="b">
        <f>IF(BENEFIT_PARAMETERS!G20,IF(BENEFIT_PARAMETERS!C68&gt;=0,FALSE,TRUE),IF(BENEFIT_PARAMETERS!C68=".",FALSE,TRUE))</f>
        <v>0</v>
      </c>
      <c r="E23" s="109" t="b">
        <f>IF(BENEFIT_PARAMETERS!H20,IF(BENEFIT_PARAMETERS!D68&gt;=0,FALSE,TRUE),IF(BENEFIT_PARAMETERS!D68=".",FALSE,TRUE))</f>
        <v>0</v>
      </c>
      <c r="F23" s="109" t="b">
        <f>IF(BENEFIT_PARAMETERS!I20,IF(BENEFIT_PARAMETERS!E68&gt;=0,FALSE,TRUE),IF(BENEFIT_PARAMETERS!E68=".",FALSE,TRUE))</f>
        <v>0</v>
      </c>
      <c r="G23" s="109" t="b">
        <f>IF(BENEFIT_PARAMETERS!J20,IF(BENEFIT_PARAMETERS!F68&gt;=0,FALSE,TRUE),IF(BENEFIT_PARAMETERS!F68=".",FALSE,TRUE))</f>
        <v>0</v>
      </c>
      <c r="H23" s="109" t="b">
        <f>IF(BENEFIT_PARAMETERS!K20,IF(BENEFIT_PARAMETERS!H68&gt;=0,FALSE,TRUE),IF(O23,FALSE,TRUE))</f>
        <v>0</v>
      </c>
      <c r="I23" s="109" t="b">
        <f>IF(BENEFIT_PARAMETERS!L20,IF(BENEFIT_PARAMETERS!I68&gt;=0,FALSE,TRUE),IF(P23,FALSE,TRUE))</f>
        <v>0</v>
      </c>
      <c r="J23" s="109" t="b">
        <f>IF(BENEFIT_PARAMETERS!M20,IF(BENEFIT_PARAMETERS!J68&gt;=0,FALSE,TRUE),IF(Q23,FALSE,TRUE))</f>
        <v>0</v>
      </c>
      <c r="K23" s="109" t="b">
        <f>IF(BENEFIT_PARAMETERS!D20,IF(BENEFIT_PARAMETERS!K68="None",FALSE,IF(BENEFIT_PARAMETERS!K68&gt;=0,FALSE,TRUE)),IF(R23,FALSE,TRUE))</f>
        <v>0</v>
      </c>
      <c r="L23" s="109" t="b">
        <f>IF(BENEFIT_PARAMETERS!E20,IF(BENEFIT_PARAMETERS!L68="None",FALSE,IF(BENEFIT_PARAMETERS!L68&gt;=0,FALSE,TRUE)),IF(S23,FALSE,TRUE))</f>
        <v>0</v>
      </c>
      <c r="M23" s="110" t="b">
        <f>IF(BENEFIT_PARAMETERS!F20,IF(BENEFIT_PARAMETERS!M68="Yes",FALSE,IF(BENEFIT_PARAMETERS!M68="No",FALSE,TRUE)),IF(T23,FALSE,TRUE))</f>
        <v>0</v>
      </c>
      <c r="N23" s="66"/>
      <c r="O23" s="119" t="b">
        <f>ISBLANK(BENEFIT_DESIGN!D26)</f>
        <v>1</v>
      </c>
      <c r="P23" s="120" t="b">
        <f>ISBLANK(BENEFIT_DESIGN!E26)</f>
        <v>1</v>
      </c>
      <c r="Q23" s="120" t="b">
        <f>ISBLANK(BENEFIT_DESIGN!F26)</f>
        <v>1</v>
      </c>
      <c r="R23" s="120" t="b">
        <f>ISBLANK(BENEFIT_DESIGN!G26)</f>
        <v>1</v>
      </c>
      <c r="S23" s="120" t="b">
        <f>ISBLANK(BENEFIT_DESIGN!H26)</f>
        <v>1</v>
      </c>
      <c r="T23" s="121" t="b">
        <f>ISBLANK(BENEFIT_DESIGN!I26)</f>
        <v>1</v>
      </c>
      <c r="U23" s="66"/>
    </row>
    <row r="24" spans="1:21" x14ac:dyDescent="0.25">
      <c r="A24" s="66"/>
      <c r="B24" s="25" t="str">
        <f>BENEFIT_DESIGN!B27</f>
        <v>Preventive Services &amp; Vaccines</v>
      </c>
      <c r="C24" s="109" t="b">
        <f>IF(BENEFIT_PARAMETERS!C21,FALSE,TRUE)</f>
        <v>0</v>
      </c>
      <c r="D24" s="109" t="b">
        <f>IF(BENEFIT_PARAMETERS!G21,IF(BENEFIT_PARAMETERS!C69&gt;=0,FALSE,TRUE),IF(BENEFIT_PARAMETERS!C69=".",FALSE,TRUE))</f>
        <v>0</v>
      </c>
      <c r="E24" s="109" t="b">
        <f>IF(BENEFIT_PARAMETERS!H21,IF(BENEFIT_PARAMETERS!D69&gt;=0,FALSE,TRUE),IF(BENEFIT_PARAMETERS!D69=".",FALSE,TRUE))</f>
        <v>0</v>
      </c>
      <c r="F24" s="109" t="b">
        <f>IF(BENEFIT_PARAMETERS!I21,IF(BENEFIT_PARAMETERS!E69&gt;=0,FALSE,TRUE),IF(BENEFIT_PARAMETERS!E69=".",FALSE,TRUE))</f>
        <v>0</v>
      </c>
      <c r="G24" s="109" t="b">
        <f>IF(BENEFIT_PARAMETERS!J21,IF(BENEFIT_PARAMETERS!F69&gt;=0,FALSE,TRUE),IF(BENEFIT_PARAMETERS!F69=".",FALSE,TRUE))</f>
        <v>0</v>
      </c>
      <c r="H24" s="109" t="b">
        <f>IF(BENEFIT_PARAMETERS!K21,IF(BENEFIT_PARAMETERS!H69&gt;=0,FALSE,TRUE),IF(O24,FALSE,TRUE))</f>
        <v>0</v>
      </c>
      <c r="I24" s="109" t="b">
        <f>IF(BENEFIT_PARAMETERS!L21,IF(BENEFIT_PARAMETERS!I69&gt;=0,FALSE,TRUE),IF(P24,FALSE,TRUE))</f>
        <v>0</v>
      </c>
      <c r="J24" s="109" t="b">
        <f>IF(BENEFIT_PARAMETERS!M21,IF(BENEFIT_PARAMETERS!J69&gt;=0,FALSE,TRUE),IF(Q24,FALSE,TRUE))</f>
        <v>0</v>
      </c>
      <c r="K24" s="109" t="b">
        <f>IF(BENEFIT_PARAMETERS!D21,IF(BENEFIT_PARAMETERS!K69="None",FALSE,IF(BENEFIT_PARAMETERS!K69&gt;=0,FALSE,TRUE)),IF(R24,FALSE,TRUE))</f>
        <v>0</v>
      </c>
      <c r="L24" s="109" t="b">
        <f>IF(BENEFIT_PARAMETERS!E21,IF(BENEFIT_PARAMETERS!L69="None",FALSE,IF(BENEFIT_PARAMETERS!L69&gt;=0,FALSE,TRUE)),IF(S24,FALSE,TRUE))</f>
        <v>0</v>
      </c>
      <c r="M24" s="110" t="b">
        <f>IF(BENEFIT_PARAMETERS!F21,IF(BENEFIT_PARAMETERS!M69="Yes",FALSE,IF(BENEFIT_PARAMETERS!M69="No",FALSE,TRUE)),IF(T24,FALSE,TRUE))</f>
        <v>0</v>
      </c>
      <c r="N24" s="66"/>
      <c r="O24" s="119" t="b">
        <f>ISBLANK(BENEFIT_DESIGN!D27)</f>
        <v>1</v>
      </c>
      <c r="P24" s="120" t="b">
        <f>ISBLANK(BENEFIT_DESIGN!E27)</f>
        <v>1</v>
      </c>
      <c r="Q24" s="120" t="b">
        <f>ISBLANK(BENEFIT_DESIGN!F27)</f>
        <v>1</v>
      </c>
      <c r="R24" s="120" t="b">
        <f>ISBLANK(BENEFIT_DESIGN!G27)</f>
        <v>1</v>
      </c>
      <c r="S24" s="120" t="b">
        <f>ISBLANK(BENEFIT_DESIGN!H27)</f>
        <v>1</v>
      </c>
      <c r="T24" s="121" t="b">
        <f>ISBLANK(BENEFIT_DESIGN!I27)</f>
        <v>1</v>
      </c>
      <c r="U24" s="66"/>
    </row>
    <row r="25" spans="1:21" x14ac:dyDescent="0.25">
      <c r="A25" s="66"/>
      <c r="B25" s="25" t="str">
        <f>BENEFIT_DESIGN!B28</f>
        <v>Durable Medical Equipment</v>
      </c>
      <c r="C25" s="109" t="b">
        <f>IF(BENEFIT_PARAMETERS!C22,FALSE,TRUE)</f>
        <v>0</v>
      </c>
      <c r="D25" s="109" t="b">
        <f>IF(BENEFIT_PARAMETERS!G22,IF(BENEFIT_PARAMETERS!C70&gt;=0,FALSE,TRUE),IF(BENEFIT_PARAMETERS!C70=".",FALSE,TRUE))</f>
        <v>0</v>
      </c>
      <c r="E25" s="109" t="b">
        <f>IF(BENEFIT_PARAMETERS!H22,IF(BENEFIT_PARAMETERS!D70&gt;=0,FALSE,TRUE),IF(BENEFIT_PARAMETERS!D70=".",FALSE,TRUE))</f>
        <v>0</v>
      </c>
      <c r="F25" s="109" t="b">
        <f>IF(BENEFIT_PARAMETERS!I22,IF(BENEFIT_PARAMETERS!E70&gt;=0,FALSE,TRUE),IF(BENEFIT_PARAMETERS!E70=".",FALSE,TRUE))</f>
        <v>0</v>
      </c>
      <c r="G25" s="109" t="b">
        <f>IF(BENEFIT_PARAMETERS!J22,IF(BENEFIT_PARAMETERS!F70&gt;=0,FALSE,TRUE),IF(BENEFIT_PARAMETERS!F70=".",FALSE,TRUE))</f>
        <v>0</v>
      </c>
      <c r="H25" s="109" t="b">
        <f>IF(BENEFIT_PARAMETERS!K22,IF(BENEFIT_PARAMETERS!H70&gt;=0,FALSE,TRUE),IF(O25,FALSE,TRUE))</f>
        <v>0</v>
      </c>
      <c r="I25" s="109" t="b">
        <f>IF(BENEFIT_PARAMETERS!L22,IF(BENEFIT_PARAMETERS!I70&gt;=0,FALSE,TRUE),IF(P25,FALSE,TRUE))</f>
        <v>0</v>
      </c>
      <c r="J25" s="109" t="b">
        <f>IF(BENEFIT_PARAMETERS!M22,IF(BENEFIT_PARAMETERS!J70&gt;=0,FALSE,TRUE),IF(Q25,FALSE,TRUE))</f>
        <v>0</v>
      </c>
      <c r="K25" s="109" t="b">
        <f>IF(BENEFIT_PARAMETERS!D22,IF(BENEFIT_PARAMETERS!K70="None",FALSE,IF(BENEFIT_PARAMETERS!K70&gt;=0,FALSE,TRUE)),IF(R25,FALSE,TRUE))</f>
        <v>0</v>
      </c>
      <c r="L25" s="109" t="b">
        <f>IF(BENEFIT_PARAMETERS!E22,IF(BENEFIT_PARAMETERS!L70="None",FALSE,IF(BENEFIT_PARAMETERS!L70&gt;=0,FALSE,TRUE)),IF(S25,FALSE,TRUE))</f>
        <v>0</v>
      </c>
      <c r="M25" s="110" t="b">
        <f>IF(BENEFIT_PARAMETERS!F22,IF(BENEFIT_PARAMETERS!M70="Yes",FALSE,IF(BENEFIT_PARAMETERS!M70="No",FALSE,TRUE)),IF(T25,FALSE,TRUE))</f>
        <v>0</v>
      </c>
      <c r="N25" s="66"/>
      <c r="O25" s="119" t="b">
        <f>ISBLANK(BENEFIT_DESIGN!D28)</f>
        <v>1</v>
      </c>
      <c r="P25" s="120" t="b">
        <f>ISBLANK(BENEFIT_DESIGN!E28)</f>
        <v>1</v>
      </c>
      <c r="Q25" s="120" t="b">
        <f>ISBLANK(BENEFIT_DESIGN!F28)</f>
        <v>1</v>
      </c>
      <c r="R25" s="120" t="b">
        <f>ISBLANK(BENEFIT_DESIGN!G28)</f>
        <v>1</v>
      </c>
      <c r="S25" s="120" t="b">
        <f>ISBLANK(BENEFIT_DESIGN!H28)</f>
        <v>1</v>
      </c>
      <c r="T25" s="121" t="b">
        <f>ISBLANK(BENEFIT_DESIGN!I28)</f>
        <v>1</v>
      </c>
      <c r="U25" s="66"/>
    </row>
    <row r="26" spans="1:21" x14ac:dyDescent="0.25">
      <c r="A26" s="66"/>
      <c r="B26" s="25" t="str">
        <f>BENEFIT_DESIGN!B29</f>
        <v>Medical Supplies</v>
      </c>
      <c r="C26" s="109" t="b">
        <f>IF(BENEFIT_PARAMETERS!C23,FALSE,TRUE)</f>
        <v>0</v>
      </c>
      <c r="D26" s="109" t="b">
        <f>IF(BENEFIT_PARAMETERS!G23,IF(BENEFIT_PARAMETERS!C71&gt;=0,FALSE,TRUE),IF(BENEFIT_PARAMETERS!C71=".",FALSE,TRUE))</f>
        <v>0</v>
      </c>
      <c r="E26" s="109" t="b">
        <f>IF(BENEFIT_PARAMETERS!H23,IF(BENEFIT_PARAMETERS!D71&gt;=0,FALSE,TRUE),IF(BENEFIT_PARAMETERS!D71=".",FALSE,TRUE))</f>
        <v>0</v>
      </c>
      <c r="F26" s="109" t="b">
        <f>IF(BENEFIT_PARAMETERS!I23,IF(BENEFIT_PARAMETERS!E71&gt;=0,FALSE,TRUE),IF(BENEFIT_PARAMETERS!E71=".",FALSE,TRUE))</f>
        <v>0</v>
      </c>
      <c r="G26" s="109" t="b">
        <f>IF(BENEFIT_PARAMETERS!J23,IF(BENEFIT_PARAMETERS!F71&gt;=0,FALSE,TRUE),IF(BENEFIT_PARAMETERS!F71=".",FALSE,TRUE))</f>
        <v>0</v>
      </c>
      <c r="H26" s="109" t="b">
        <f>IF(BENEFIT_PARAMETERS!K23,IF(BENEFIT_PARAMETERS!H71&gt;=0,FALSE,TRUE),IF(O26,FALSE,TRUE))</f>
        <v>0</v>
      </c>
      <c r="I26" s="109" t="b">
        <f>IF(BENEFIT_PARAMETERS!L23,IF(BENEFIT_PARAMETERS!I71&gt;=0,FALSE,TRUE),IF(P26,FALSE,TRUE))</f>
        <v>0</v>
      </c>
      <c r="J26" s="109" t="b">
        <f>IF(BENEFIT_PARAMETERS!M23,IF(BENEFIT_PARAMETERS!J71&gt;=0,FALSE,TRUE),IF(Q26,FALSE,TRUE))</f>
        <v>0</v>
      </c>
      <c r="K26" s="109" t="b">
        <f>IF(BENEFIT_PARAMETERS!D23,IF(BENEFIT_PARAMETERS!K71="None",FALSE,IF(BENEFIT_PARAMETERS!K71&gt;=0,FALSE,TRUE)),IF(R26,FALSE,TRUE))</f>
        <v>0</v>
      </c>
      <c r="L26" s="109" t="b">
        <f>IF(BENEFIT_PARAMETERS!E23,IF(BENEFIT_PARAMETERS!L71="None",FALSE,IF(BENEFIT_PARAMETERS!L71&gt;=0,FALSE,TRUE)),IF(S26,FALSE,TRUE))</f>
        <v>0</v>
      </c>
      <c r="M26" s="110" t="b">
        <f>IF(BENEFIT_PARAMETERS!F23,IF(BENEFIT_PARAMETERS!M71="Yes",FALSE,IF(BENEFIT_PARAMETERS!M71="No",FALSE,TRUE)),IF(T26,FALSE,TRUE))</f>
        <v>0</v>
      </c>
      <c r="N26" s="66"/>
      <c r="O26" s="119" t="b">
        <f>ISBLANK(BENEFIT_DESIGN!D29)</f>
        <v>1</v>
      </c>
      <c r="P26" s="120" t="b">
        <f>ISBLANK(BENEFIT_DESIGN!E29)</f>
        <v>1</v>
      </c>
      <c r="Q26" s="120" t="b">
        <f>ISBLANK(BENEFIT_DESIGN!F29)</f>
        <v>1</v>
      </c>
      <c r="R26" s="120" t="b">
        <f>ISBLANK(BENEFIT_DESIGN!G29)</f>
        <v>1</v>
      </c>
      <c r="S26" s="120" t="b">
        <f>ISBLANK(BENEFIT_DESIGN!H29)</f>
        <v>1</v>
      </c>
      <c r="T26" s="121" t="b">
        <f>ISBLANK(BENEFIT_DESIGN!I29)</f>
        <v>1</v>
      </c>
      <c r="U26" s="66"/>
    </row>
    <row r="27" spans="1:21" x14ac:dyDescent="0.25">
      <c r="A27" s="66"/>
      <c r="B27" s="25" t="str">
        <f>BENEFIT_DESIGN!B30</f>
        <v>Over-the-counter Medical Supplies</v>
      </c>
      <c r="C27" s="109" t="b">
        <f>IF(BENEFIT_PARAMETERS!C24,FALSE,TRUE)</f>
        <v>0</v>
      </c>
      <c r="D27" s="109" t="b">
        <f>IF(BENEFIT_PARAMETERS!G24,IF(BENEFIT_PARAMETERS!C72&gt;=0,FALSE,TRUE),IF(BENEFIT_PARAMETERS!C72=".",FALSE,TRUE))</f>
        <v>0</v>
      </c>
      <c r="E27" s="109" t="b">
        <f>IF(BENEFIT_PARAMETERS!H24,IF(BENEFIT_PARAMETERS!D72&gt;=0,FALSE,TRUE),IF(BENEFIT_PARAMETERS!D72=".",FALSE,TRUE))</f>
        <v>0</v>
      </c>
      <c r="F27" s="109" t="b">
        <f>IF(BENEFIT_PARAMETERS!I24,IF(BENEFIT_PARAMETERS!E72&gt;=0,FALSE,TRUE),IF(BENEFIT_PARAMETERS!E72=".",FALSE,TRUE))</f>
        <v>0</v>
      </c>
      <c r="G27" s="109" t="b">
        <f>IF(BENEFIT_PARAMETERS!J24,IF(BENEFIT_PARAMETERS!F72&gt;=0,FALSE,TRUE),IF(BENEFIT_PARAMETERS!F72=".",FALSE,TRUE))</f>
        <v>0</v>
      </c>
      <c r="H27" s="109" t="b">
        <f>IF(BENEFIT_PARAMETERS!K24,IF(BENEFIT_PARAMETERS!H72&gt;=0,FALSE,TRUE),IF(O27,FALSE,TRUE))</f>
        <v>0</v>
      </c>
      <c r="I27" s="109" t="b">
        <f>IF(BENEFIT_PARAMETERS!L24,IF(BENEFIT_PARAMETERS!I72&gt;=0,FALSE,TRUE),IF(P27,FALSE,TRUE))</f>
        <v>0</v>
      </c>
      <c r="J27" s="109" t="b">
        <f>IF(BENEFIT_PARAMETERS!M24,IF(BENEFIT_PARAMETERS!J72&gt;=0,FALSE,TRUE),IF(Q27,FALSE,TRUE))</f>
        <v>0</v>
      </c>
      <c r="K27" s="109" t="b">
        <f>IF(BENEFIT_PARAMETERS!D24,IF(BENEFIT_PARAMETERS!K72="None",FALSE,IF(BENEFIT_PARAMETERS!K72&gt;=0,FALSE,TRUE)),IF(R27,FALSE,TRUE))</f>
        <v>0</v>
      </c>
      <c r="L27" s="109" t="b">
        <f>IF(BENEFIT_PARAMETERS!E24,IF(BENEFIT_PARAMETERS!L72="None",FALSE,IF(BENEFIT_PARAMETERS!L72&gt;=0,FALSE,TRUE)),IF(S27,FALSE,TRUE))</f>
        <v>0</v>
      </c>
      <c r="M27" s="110" t="b">
        <f>IF(BENEFIT_PARAMETERS!F24,IF(BENEFIT_PARAMETERS!M72="Yes",FALSE,IF(BENEFIT_PARAMETERS!M72="No",FALSE,TRUE)),IF(T27,FALSE,TRUE))</f>
        <v>0</v>
      </c>
      <c r="N27" s="66"/>
      <c r="O27" s="119" t="b">
        <f>ISBLANK(BENEFIT_DESIGN!D30)</f>
        <v>1</v>
      </c>
      <c r="P27" s="120" t="b">
        <f>ISBLANK(BENEFIT_DESIGN!E30)</f>
        <v>1</v>
      </c>
      <c r="Q27" s="120" t="b">
        <f>ISBLANK(BENEFIT_DESIGN!F30)</f>
        <v>1</v>
      </c>
      <c r="R27" s="120" t="b">
        <f>ISBLANK(BENEFIT_DESIGN!G30)</f>
        <v>1</v>
      </c>
      <c r="S27" s="120" t="b">
        <f>ISBLANK(BENEFIT_DESIGN!H30)</f>
        <v>1</v>
      </c>
      <c r="T27" s="121" t="b">
        <f>ISBLANK(BENEFIT_DESIGN!I30)</f>
        <v>1</v>
      </c>
      <c r="U27" s="66"/>
    </row>
    <row r="28" spans="1:21" x14ac:dyDescent="0.25">
      <c r="A28" s="66"/>
      <c r="B28" s="25" t="str">
        <f>BENEFIT_DESIGN!B31</f>
        <v>Other Items &amp; Services</v>
      </c>
      <c r="C28" s="109" t="b">
        <f>IF(BENEFIT_PARAMETERS!C25,FALSE,TRUE)</f>
        <v>0</v>
      </c>
      <c r="D28" s="109" t="b">
        <f>IF(BENEFIT_PARAMETERS!G25,IF(BENEFIT_PARAMETERS!C73&gt;=0,FALSE,TRUE),IF(BENEFIT_PARAMETERS!C73=".",FALSE,TRUE))</f>
        <v>0</v>
      </c>
      <c r="E28" s="109" t="b">
        <f>IF(BENEFIT_PARAMETERS!H25,IF(BENEFIT_PARAMETERS!D73&gt;=0,FALSE,TRUE),IF(BENEFIT_PARAMETERS!D73=".",FALSE,TRUE))</f>
        <v>0</v>
      </c>
      <c r="F28" s="109" t="b">
        <f>IF(BENEFIT_PARAMETERS!I25,IF(BENEFIT_PARAMETERS!E73&gt;=0,FALSE,TRUE),IF(BENEFIT_PARAMETERS!E73=".",FALSE,TRUE))</f>
        <v>0</v>
      </c>
      <c r="G28" s="109" t="b">
        <f>IF(BENEFIT_PARAMETERS!J25,IF(BENEFIT_PARAMETERS!F73&gt;=0,FALSE,TRUE),IF(BENEFIT_PARAMETERS!F73=".",FALSE,TRUE))</f>
        <v>0</v>
      </c>
      <c r="H28" s="109" t="b">
        <f>IF(BENEFIT_PARAMETERS!K25,IF(BENEFIT_PARAMETERS!H73&gt;=0,FALSE,TRUE),IF(O28,FALSE,TRUE))</f>
        <v>0</v>
      </c>
      <c r="I28" s="109" t="b">
        <f>IF(BENEFIT_PARAMETERS!L25,IF(BENEFIT_PARAMETERS!I73&gt;=0,FALSE,TRUE),IF(P28,FALSE,TRUE))</f>
        <v>0</v>
      </c>
      <c r="J28" s="109" t="b">
        <f>IF(BENEFIT_PARAMETERS!M25,IF(BENEFIT_PARAMETERS!J73&gt;=0,FALSE,TRUE),IF(Q28,FALSE,TRUE))</f>
        <v>0</v>
      </c>
      <c r="K28" s="109" t="b">
        <f>IF(BENEFIT_PARAMETERS!D25,IF(BENEFIT_PARAMETERS!K73="None",FALSE,IF(BENEFIT_PARAMETERS!K73&gt;=0,FALSE,TRUE)),IF(R28,FALSE,TRUE))</f>
        <v>0</v>
      </c>
      <c r="L28" s="109" t="b">
        <f>IF(BENEFIT_PARAMETERS!E25,IF(BENEFIT_PARAMETERS!L73="None",FALSE,IF(BENEFIT_PARAMETERS!L73&gt;=0,FALSE,TRUE)),IF(S28,FALSE,TRUE))</f>
        <v>0</v>
      </c>
      <c r="M28" s="110" t="b">
        <f>IF(BENEFIT_PARAMETERS!F25,IF(BENEFIT_PARAMETERS!M73="Yes",FALSE,IF(BENEFIT_PARAMETERS!M73="No",FALSE,TRUE)),IF(T28,FALSE,TRUE))</f>
        <v>0</v>
      </c>
      <c r="N28" s="66"/>
      <c r="O28" s="119" t="b">
        <f>ISBLANK(BENEFIT_DESIGN!D31)</f>
        <v>1</v>
      </c>
      <c r="P28" s="120" t="b">
        <f>ISBLANK(BENEFIT_DESIGN!E31)</f>
        <v>1</v>
      </c>
      <c r="Q28" s="120" t="b">
        <f>ISBLANK(BENEFIT_DESIGN!F31)</f>
        <v>1</v>
      </c>
      <c r="R28" s="120" t="b">
        <f>ISBLANK(BENEFIT_DESIGN!G31)</f>
        <v>1</v>
      </c>
      <c r="S28" s="120" t="b">
        <f>ISBLANK(BENEFIT_DESIGN!H31)</f>
        <v>1</v>
      </c>
      <c r="T28" s="121" t="b">
        <f>ISBLANK(BENEFIT_DESIGN!I31)</f>
        <v>1</v>
      </c>
      <c r="U28" s="66"/>
    </row>
    <row r="29" spans="1:21" x14ac:dyDescent="0.25">
      <c r="A29" s="66"/>
      <c r="B29" s="25" t="str">
        <f>BENEFIT_DESIGN!B32</f>
        <v>Plan Deductible</v>
      </c>
      <c r="C29" s="103" t="b">
        <f>IF(BENEFIT_PARAMETERS!G26,IF(BENEFIT_DESIGN!C32&gt;=0,FALSE,TRUE),IF(ISBLANK(BENEFIT_DESIGN!C32),FALSE,TRUE))</f>
        <v>0</v>
      </c>
      <c r="D29" s="30"/>
      <c r="E29" s="30"/>
      <c r="F29" s="30"/>
      <c r="G29" s="30"/>
      <c r="H29" s="30"/>
      <c r="I29" s="30"/>
      <c r="J29" s="30"/>
      <c r="K29" s="28"/>
      <c r="L29" s="28"/>
      <c r="M29" s="34"/>
      <c r="N29" s="66"/>
      <c r="O29" s="113"/>
      <c r="P29" s="30"/>
      <c r="Q29" s="30"/>
      <c r="R29" s="28"/>
      <c r="S29" s="28"/>
      <c r="T29" s="34"/>
      <c r="U29" s="66"/>
    </row>
    <row r="30" spans="1:21" x14ac:dyDescent="0.25">
      <c r="A30" s="66"/>
      <c r="B30" s="71" t="str">
        <f>BENEFIT_DESIGN!B33</f>
        <v>Rx Deductible</v>
      </c>
      <c r="C30" s="104" t="b">
        <f>IF(BENEFIT_PARAMETERS!H26,IF(BENEFIT_DESIGN!C33&gt;=0,FALSE,TRUE),IF(ISBLANK(BENEFIT_DESIGN!C33),FALSE,TRUE))</f>
        <v>0</v>
      </c>
      <c r="D30" s="72"/>
      <c r="E30" s="72"/>
      <c r="F30" s="72"/>
      <c r="G30" s="72"/>
      <c r="H30" s="72"/>
      <c r="I30" s="72"/>
      <c r="J30" s="72"/>
      <c r="K30" s="73"/>
      <c r="L30" s="73"/>
      <c r="M30" s="74"/>
      <c r="N30" s="66"/>
      <c r="O30" s="114"/>
      <c r="P30" s="72"/>
      <c r="Q30" s="72"/>
      <c r="R30" s="73"/>
      <c r="S30" s="73"/>
      <c r="T30" s="74"/>
      <c r="U30" s="66"/>
    </row>
    <row r="31" spans="1:21" x14ac:dyDescent="0.25">
      <c r="A31" s="66"/>
      <c r="B31" s="71" t="str">
        <f>BENEFIT_DESIGN!B34</f>
        <v>Deductible C</v>
      </c>
      <c r="C31" s="104" t="b">
        <f>IF(BENEFIT_PARAMETERS!I26,IF(BENEFIT_DESIGN!C34&gt;=0,FALSE,TRUE),IF(ISBLANK(BENEFIT_DESIGN!C34),FALSE,TRUE))</f>
        <v>0</v>
      </c>
      <c r="D31" s="72"/>
      <c r="E31" s="72"/>
      <c r="F31" s="72"/>
      <c r="G31" s="72"/>
      <c r="H31" s="72"/>
      <c r="I31" s="72"/>
      <c r="J31" s="72"/>
      <c r="K31" s="73"/>
      <c r="L31" s="73"/>
      <c r="M31" s="74"/>
      <c r="N31" s="66"/>
      <c r="O31" s="114"/>
      <c r="P31" s="72"/>
      <c r="Q31" s="72"/>
      <c r="R31" s="73"/>
      <c r="S31" s="73"/>
      <c r="T31" s="74"/>
      <c r="U31" s="66"/>
    </row>
    <row r="32" spans="1:21" x14ac:dyDescent="0.25">
      <c r="A32" s="66"/>
      <c r="B32" s="71" t="str">
        <f>BENEFIT_DESIGN!B35</f>
        <v>Deductible D</v>
      </c>
      <c r="C32" s="104" t="b">
        <f>IF(BENEFIT_PARAMETERS!J26,IF(BENEFIT_DESIGN!C35&gt;=0,FALSE,TRUE),IF(ISBLANK(BENEFIT_DESIGN!C35),FALSE,TRUE))</f>
        <v>0</v>
      </c>
      <c r="D32" s="72"/>
      <c r="E32" s="72"/>
      <c r="F32" s="72"/>
      <c r="G32" s="72"/>
      <c r="H32" s="72"/>
      <c r="I32" s="72"/>
      <c r="J32" s="72"/>
      <c r="K32" s="73"/>
      <c r="L32" s="73"/>
      <c r="M32" s="74"/>
      <c r="N32" s="66"/>
      <c r="O32" s="114"/>
      <c r="P32" s="72"/>
      <c r="Q32" s="72"/>
      <c r="R32" s="73"/>
      <c r="S32" s="73"/>
      <c r="T32" s="74"/>
      <c r="U32" s="66"/>
    </row>
    <row r="33" spans="1:21" ht="15.75" thickBot="1" x14ac:dyDescent="0.3">
      <c r="A33" s="66"/>
      <c r="B33" s="31" t="str">
        <f>BENEFIT_DESIGN!B36</f>
        <v>Individual Out-of-Pocket (OOP) Limit</v>
      </c>
      <c r="C33" s="105" t="b">
        <f>IF(BENEFIT_PARAMETERS!F26,IF(BENEFIT_DESIGN!C36&gt;=0,FALSE,TRUE),IF(ISBLANK(BENEFIT_DESIGN!C36),FALSE,TRUE))</f>
        <v>0</v>
      </c>
      <c r="D33" s="95"/>
      <c r="E33" s="95"/>
      <c r="F33" s="95"/>
      <c r="G33" s="95"/>
      <c r="H33" s="95"/>
      <c r="I33" s="32">
        <v>0</v>
      </c>
      <c r="J33" s="32"/>
      <c r="K33" s="33"/>
      <c r="L33" s="33"/>
      <c r="M33" s="35"/>
      <c r="N33" s="66"/>
      <c r="O33" s="115"/>
      <c r="P33" s="32">
        <v>0</v>
      </c>
      <c r="Q33" s="32"/>
      <c r="R33" s="33"/>
      <c r="S33" s="33"/>
      <c r="T33" s="35"/>
      <c r="U33" s="66"/>
    </row>
    <row r="34" spans="1:21" ht="15.75" thickBot="1" x14ac:dyDescent="0.3">
      <c r="A34" s="92"/>
      <c r="B34" s="92"/>
      <c r="C34" s="92"/>
      <c r="D34" s="92"/>
      <c r="E34" s="92"/>
      <c r="F34" s="92"/>
      <c r="G34" s="92"/>
      <c r="H34" s="93"/>
      <c r="I34" s="93"/>
      <c r="J34" s="93"/>
      <c r="K34" s="94"/>
      <c r="L34" s="94"/>
      <c r="M34" s="92"/>
      <c r="N34" s="92"/>
      <c r="O34" s="93"/>
      <c r="P34" s="93"/>
      <c r="Q34" s="93"/>
      <c r="R34" s="94"/>
      <c r="S34" s="94"/>
      <c r="T34" s="92"/>
      <c r="U34" s="92"/>
    </row>
    <row r="35" spans="1:21" ht="15.75" thickBot="1" x14ac:dyDescent="0.3">
      <c r="A35" s="92"/>
      <c r="B35" s="142" t="s">
        <v>307</v>
      </c>
      <c r="C35" s="260" t="s">
        <v>309</v>
      </c>
      <c r="D35" s="259" t="s">
        <v>308</v>
      </c>
      <c r="E35" s="282"/>
      <c r="F35" s="283"/>
      <c r="G35" s="283"/>
      <c r="H35" s="283"/>
      <c r="I35" s="283"/>
      <c r="J35" s="283"/>
      <c r="K35" s="284"/>
      <c r="L35" s="284"/>
      <c r="M35" s="285"/>
      <c r="N35" s="92"/>
      <c r="O35" s="258" t="s">
        <v>309</v>
      </c>
      <c r="P35" s="259" t="s">
        <v>308</v>
      </c>
      <c r="Q35" s="282"/>
      <c r="R35" s="284"/>
      <c r="S35" s="284"/>
      <c r="T35" s="285"/>
      <c r="U35" s="92"/>
    </row>
    <row r="36" spans="1:21" ht="30" x14ac:dyDescent="0.25">
      <c r="A36" s="92"/>
      <c r="B36" s="261" t="s">
        <v>259</v>
      </c>
      <c r="C36" s="278" t="b">
        <f>IF(BENEFIT_PARAMETERS!B76,OR(BENEFIT_PARAMETERS!C76="Yes",BENEFIT_PARAMETERS!C76="No")=FALSE,NOT(BENEFIT_DESIGN_ERRORS!O36))</f>
        <v>0</v>
      </c>
      <c r="D36" s="280" t="b">
        <f>IF(BENEFIT_PARAMETERS!C76="Yes",IF(BENEFIT_PARAMETERS!D76&gt;=0,FALSE,TRUE),NOT(BENEFIT_DESIGN_ERRORS!P36))</f>
        <v>0</v>
      </c>
      <c r="E36" s="114"/>
      <c r="F36" s="72"/>
      <c r="G36" s="72"/>
      <c r="H36" s="72"/>
      <c r="I36" s="72"/>
      <c r="J36" s="72"/>
      <c r="K36" s="73"/>
      <c r="L36" s="73"/>
      <c r="M36" s="74"/>
      <c r="N36" s="92"/>
      <c r="O36" s="274" t="b">
        <f>BENEFIT_DESIGN!C39="No"</f>
        <v>1</v>
      </c>
      <c r="P36" s="275" t="b">
        <f>ISBLANK(BENEFIT_DESIGN!D39)</f>
        <v>1</v>
      </c>
      <c r="Q36" s="114"/>
      <c r="R36" s="73"/>
      <c r="S36" s="73"/>
      <c r="T36" s="74"/>
      <c r="U36" s="92"/>
    </row>
    <row r="37" spans="1:21" ht="30.75" thickBot="1" x14ac:dyDescent="0.3">
      <c r="A37" s="92"/>
      <c r="B37" s="262" t="s">
        <v>310</v>
      </c>
      <c r="C37" s="279" t="b">
        <f>IF(BENEFIT_PARAMETERS!B77,OR(BENEFIT_PARAMETERS!C77="Yes",BENEFIT_PARAMETERS!C77="No")=FALSE,NOT(BENEFIT_DESIGN_ERRORS!O37))</f>
        <v>0</v>
      </c>
      <c r="D37" s="281" t="b">
        <f>IF(BENEFIT_PARAMETERS!C77="Yes",IF(BENEFIT_PARAMETERS!D77&gt;=0,FALSE,TRUE),NOT(BENEFIT_DESIGN_ERRORS!P37))</f>
        <v>0</v>
      </c>
      <c r="E37" s="115"/>
      <c r="F37" s="95"/>
      <c r="G37" s="95"/>
      <c r="H37" s="95"/>
      <c r="I37" s="32">
        <v>0</v>
      </c>
      <c r="J37" s="32"/>
      <c r="K37" s="33"/>
      <c r="L37" s="33"/>
      <c r="M37" s="35"/>
      <c r="N37" s="92"/>
      <c r="O37" s="276" t="b">
        <f>BENEFIT_DESIGN!C40="No"</f>
        <v>1</v>
      </c>
      <c r="P37" s="277" t="b">
        <f>ISBLANK(BENEFIT_DESIGN!D40)</f>
        <v>1</v>
      </c>
      <c r="Q37" s="286"/>
      <c r="R37" s="33"/>
      <c r="S37" s="33"/>
      <c r="T37" s="35"/>
      <c r="U37" s="92"/>
    </row>
    <row r="38" spans="1:21" ht="15.75" thickBot="1" x14ac:dyDescent="0.3">
      <c r="A38" s="92"/>
      <c r="B38" s="92"/>
      <c r="C38" s="92"/>
      <c r="D38" s="92"/>
      <c r="E38" s="92"/>
      <c r="F38" s="92"/>
      <c r="G38" s="92"/>
      <c r="H38" s="93"/>
      <c r="I38" s="93"/>
      <c r="J38" s="93"/>
      <c r="K38" s="94"/>
      <c r="L38" s="94"/>
      <c r="M38" s="92"/>
      <c r="N38" s="92"/>
      <c r="O38" s="93"/>
      <c r="P38" s="93"/>
      <c r="Q38" s="93"/>
      <c r="R38" s="94"/>
      <c r="S38" s="94"/>
      <c r="T38" s="92"/>
      <c r="U38" s="92"/>
    </row>
    <row r="39" spans="1:21" ht="15.75" thickBot="1" x14ac:dyDescent="0.3">
      <c r="A39" s="66"/>
      <c r="B39" s="98" t="s">
        <v>192</v>
      </c>
      <c r="C39" s="122" t="b">
        <f>IF(COUNTIF(C8:M37,TRUE)=0,FALSE,TRUE)</f>
        <v>0</v>
      </c>
      <c r="D39" s="123" t="b">
        <f t="shared" ref="D39:M39" si="0">IF(COUNTIF(D8:D28,TRUE)=0,FALSE,TRUE)</f>
        <v>0</v>
      </c>
      <c r="E39" s="123" t="b">
        <f t="shared" ref="E39:G39" si="1">IF(COUNTIF(E8:E28,TRUE)=0,FALSE,TRUE)</f>
        <v>0</v>
      </c>
      <c r="F39" s="123" t="b">
        <f t="shared" si="1"/>
        <v>0</v>
      </c>
      <c r="G39" s="123" t="b">
        <f t="shared" si="1"/>
        <v>0</v>
      </c>
      <c r="H39" s="123" t="b">
        <f t="shared" si="0"/>
        <v>0</v>
      </c>
      <c r="I39" s="124" t="b">
        <f t="shared" si="0"/>
        <v>0</v>
      </c>
      <c r="J39" s="124" t="b">
        <f t="shared" si="0"/>
        <v>0</v>
      </c>
      <c r="K39" s="125" t="b">
        <f t="shared" si="0"/>
        <v>0</v>
      </c>
      <c r="L39" s="125" t="b">
        <f t="shared" si="0"/>
        <v>0</v>
      </c>
      <c r="M39" s="126" t="b">
        <f t="shared" si="0"/>
        <v>0</v>
      </c>
      <c r="N39" s="66"/>
      <c r="O39" s="99"/>
      <c r="P39" s="100">
        <v>0</v>
      </c>
      <c r="Q39" s="100"/>
      <c r="R39" s="101"/>
      <c r="S39" s="101"/>
      <c r="T39" s="102"/>
      <c r="U39" s="66"/>
    </row>
    <row r="40" spans="1:21" x14ac:dyDescent="0.25">
      <c r="A40" s="66"/>
      <c r="B40" s="66"/>
      <c r="C40" s="66"/>
      <c r="D40" s="66"/>
      <c r="E40" s="66"/>
      <c r="F40" s="66"/>
      <c r="G40" s="66"/>
      <c r="H40" s="67"/>
      <c r="I40" s="67"/>
      <c r="J40" s="67"/>
      <c r="K40" s="68"/>
      <c r="L40" s="68"/>
      <c r="M40" s="66"/>
      <c r="N40" s="66"/>
      <c r="O40" s="67"/>
      <c r="P40" s="67"/>
      <c r="Q40" s="67"/>
      <c r="R40" s="68"/>
      <c r="S40" s="68"/>
      <c r="T40" s="66"/>
      <c r="U40" s="66"/>
    </row>
    <row r="41" spans="1:21" x14ac:dyDescent="0.25">
      <c r="H41" s="183"/>
      <c r="I41" s="183"/>
      <c r="J41" s="183"/>
      <c r="K41" s="183"/>
      <c r="L41" s="183"/>
      <c r="O41" s="183"/>
      <c r="P41" s="183"/>
      <c r="Q41" s="183"/>
      <c r="R41" s="183"/>
      <c r="S41" s="183"/>
    </row>
  </sheetData>
  <conditionalFormatting sqref="C8:E8 C29:M33 C10:E28 H10:M28 H8:M8">
    <cfRule type="expression" dxfId="9" priority="11">
      <formula>C8=TRUE</formula>
    </cfRule>
  </conditionalFormatting>
  <conditionalFormatting sqref="C39:M39">
    <cfRule type="expression" dxfId="8" priority="10">
      <formula>C39=TRUE</formula>
    </cfRule>
  </conditionalFormatting>
  <conditionalFormatting sqref="C9:E9 H9:M9">
    <cfRule type="expression" dxfId="7" priority="7">
      <formula>C9=TRUE</formula>
    </cfRule>
  </conditionalFormatting>
  <conditionalFormatting sqref="F8 F10:F28">
    <cfRule type="expression" dxfId="6" priority="6">
      <formula>F8=TRUE</formula>
    </cfRule>
  </conditionalFormatting>
  <conditionalFormatting sqref="F9">
    <cfRule type="expression" dxfId="5" priority="5">
      <formula>F9=TRUE</formula>
    </cfRule>
  </conditionalFormatting>
  <conditionalFormatting sqref="G8 G10:G28">
    <cfRule type="expression" dxfId="4" priority="4">
      <formula>G8=TRUE</formula>
    </cfRule>
  </conditionalFormatting>
  <conditionalFormatting sqref="G9">
    <cfRule type="expression" dxfId="3" priority="3">
      <formula>G9=TRUE</formula>
    </cfRule>
  </conditionalFormatting>
  <conditionalFormatting sqref="C36:D37">
    <cfRule type="expression" dxfId="2" priority="2">
      <formula>C36=TRUE</formula>
    </cfRule>
  </conditionalFormatting>
  <conditionalFormatting sqref="E35:M37">
    <cfRule type="expression" dxfId="1" priority="1">
      <formula>E35=TRUE</formula>
    </cfRule>
  </conditionalFormatting>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Parameters"/>
  <dimension ref="A2:Q80"/>
  <sheetViews>
    <sheetView zoomScaleNormal="100" workbookViewId="0">
      <selection activeCell="B11" sqref="A11:XFD11"/>
    </sheetView>
  </sheetViews>
  <sheetFormatPr defaultRowHeight="15" x14ac:dyDescent="0.25"/>
  <cols>
    <col min="1" max="1" width="43.7109375" bestFit="1" customWidth="1"/>
    <col min="2" max="2" width="24.7109375" bestFit="1" customWidth="1"/>
    <col min="3" max="3" width="23" bestFit="1" customWidth="1"/>
    <col min="4" max="4" width="19.85546875" bestFit="1" customWidth="1"/>
    <col min="5" max="5" width="18.140625" bestFit="1" customWidth="1"/>
    <col min="6" max="6" width="22.42578125" bestFit="1" customWidth="1"/>
    <col min="7" max="7" width="19.5703125" bestFit="1" customWidth="1"/>
    <col min="8" max="8" width="17.85546875" bestFit="1" customWidth="1"/>
    <col min="9" max="9" width="16.7109375" bestFit="1" customWidth="1"/>
    <col min="10" max="10" width="16.85546875" bestFit="1" customWidth="1"/>
    <col min="11" max="11" width="22.42578125" style="3" bestFit="1" customWidth="1"/>
    <col min="12" max="12" width="17.85546875" style="3" bestFit="1" customWidth="1"/>
    <col min="13" max="13" width="16.5703125" bestFit="1" customWidth="1"/>
    <col min="14" max="16" width="14.42578125" customWidth="1"/>
  </cols>
  <sheetData>
    <row r="2" spans="1:13" x14ac:dyDescent="0.25">
      <c r="A2" s="2" t="s">
        <v>267</v>
      </c>
    </row>
    <row r="3" spans="1:13" x14ac:dyDescent="0.25">
      <c r="A3" s="146" t="s">
        <v>8</v>
      </c>
      <c r="B3" s="146" t="s">
        <v>13</v>
      </c>
      <c r="C3" s="146" t="s">
        <v>276</v>
      </c>
      <c r="D3" s="236" t="s">
        <v>277</v>
      </c>
      <c r="E3" s="236" t="s">
        <v>278</v>
      </c>
      <c r="F3" s="146" t="s">
        <v>279</v>
      </c>
      <c r="G3" s="237" t="s">
        <v>280</v>
      </c>
      <c r="H3" s="237" t="s">
        <v>281</v>
      </c>
      <c r="I3" s="237" t="s">
        <v>282</v>
      </c>
      <c r="J3" s="237" t="s">
        <v>283</v>
      </c>
      <c r="K3" s="237" t="s">
        <v>284</v>
      </c>
      <c r="L3" s="237" t="s">
        <v>285</v>
      </c>
      <c r="M3" s="237" t="s">
        <v>286</v>
      </c>
    </row>
    <row r="4" spans="1:13" x14ac:dyDescent="0.25">
      <c r="A4" t="str">
        <f>BENEFIT_DESIGN!B10</f>
        <v>Inpatient Hospital Care (Facility)</v>
      </c>
      <c r="B4" t="str">
        <f>BENEFIT_DESIGN!C10</f>
        <v>Not Covered</v>
      </c>
      <c r="C4" t="b">
        <f>IFERROR(IF(MATCH($B4,$A$30:$A$48,0)&gt;0,TRUE,FALSE),FALSE)</f>
        <v>1</v>
      </c>
      <c r="D4" s="3" t="b">
        <f>IFERROR(IF(MATCH($B4,$A$30:$A$48,0)&gt;1,TRUE,FALSE),FALSE)</f>
        <v>0</v>
      </c>
      <c r="E4" s="148" t="b">
        <f t="shared" ref="E4:F25" si="0">$D4</f>
        <v>0</v>
      </c>
      <c r="F4" s="148" t="b">
        <f t="shared" si="0"/>
        <v>0</v>
      </c>
      <c r="G4" t="b">
        <f>IFERROR(VLOOKUP($B4,$A$30:$H$48,MATCH(G$3,$A$29:$H$29,0),FALSE),FALSE)</f>
        <v>0</v>
      </c>
      <c r="H4" t="b">
        <f t="shared" ref="H4:M4" si="1">IFERROR(VLOOKUP($B4,$A$30:$H$48,MATCH(H$3,$A$29:$H$29,0),FALSE),FALSE)</f>
        <v>0</v>
      </c>
      <c r="I4" t="b">
        <f t="shared" si="1"/>
        <v>0</v>
      </c>
      <c r="J4" t="b">
        <f t="shared" si="1"/>
        <v>0</v>
      </c>
      <c r="K4" t="b">
        <f t="shared" si="1"/>
        <v>0</v>
      </c>
      <c r="L4" t="b">
        <f t="shared" si="1"/>
        <v>0</v>
      </c>
      <c r="M4" t="b">
        <f t="shared" si="1"/>
        <v>0</v>
      </c>
    </row>
    <row r="5" spans="1:13" x14ac:dyDescent="0.25">
      <c r="A5" t="str">
        <f>BENEFIT_DESIGN!B11</f>
        <v>Other Facility Services</v>
      </c>
      <c r="B5" t="str">
        <f>BENEFIT_DESIGN!C11</f>
        <v>Not Covered</v>
      </c>
      <c r="C5" t="b">
        <f t="shared" ref="C5:C25" si="2">IFERROR(IF(MATCH($B5,$A$30:$A$48,0)&gt;0,TRUE,FALSE),FALSE)</f>
        <v>1</v>
      </c>
      <c r="D5" s="3" t="b">
        <f t="shared" ref="D5:D25" si="3">IFERROR(IF(MATCH($B5,$A$30:$A$48,0)&gt;1,TRUE,FALSE),FALSE)</f>
        <v>0</v>
      </c>
      <c r="E5" s="148" t="b">
        <f t="shared" si="0"/>
        <v>0</v>
      </c>
      <c r="F5" s="148" t="b">
        <f t="shared" si="0"/>
        <v>0</v>
      </c>
      <c r="G5" t="b">
        <f t="shared" ref="G5:M25" si="4">IFERROR(VLOOKUP($B5,$A$30:$H$48,MATCH(G$3,$A$29:$H$29,0),FALSE),FALSE)</f>
        <v>0</v>
      </c>
      <c r="H5" t="b">
        <f t="shared" si="4"/>
        <v>0</v>
      </c>
      <c r="I5" t="b">
        <f t="shared" si="4"/>
        <v>0</v>
      </c>
      <c r="J5" t="b">
        <f t="shared" si="4"/>
        <v>0</v>
      </c>
      <c r="K5" t="b">
        <f t="shared" si="4"/>
        <v>0</v>
      </c>
      <c r="L5" t="b">
        <f t="shared" si="4"/>
        <v>0</v>
      </c>
      <c r="M5" t="b">
        <f t="shared" si="4"/>
        <v>0</v>
      </c>
    </row>
    <row r="6" spans="1:13" x14ac:dyDescent="0.25">
      <c r="A6" t="str">
        <f>BENEFIT_DESIGN!B12</f>
        <v>Emergency Department (Facility)</v>
      </c>
      <c r="B6" t="str">
        <f>BENEFIT_DESIGN!C12</f>
        <v>Not Covered</v>
      </c>
      <c r="C6" t="b">
        <f t="shared" si="2"/>
        <v>1</v>
      </c>
      <c r="D6" s="3" t="b">
        <f t="shared" si="3"/>
        <v>0</v>
      </c>
      <c r="E6" s="148" t="b">
        <f t="shared" si="0"/>
        <v>0</v>
      </c>
      <c r="F6" s="148" t="b">
        <f t="shared" si="0"/>
        <v>0</v>
      </c>
      <c r="G6" t="b">
        <f t="shared" si="4"/>
        <v>0</v>
      </c>
      <c r="H6" t="b">
        <f t="shared" si="4"/>
        <v>0</v>
      </c>
      <c r="I6" t="b">
        <f t="shared" si="4"/>
        <v>0</v>
      </c>
      <c r="J6" t="b">
        <f t="shared" si="4"/>
        <v>0</v>
      </c>
      <c r="K6" t="b">
        <f t="shared" si="4"/>
        <v>0</v>
      </c>
      <c r="L6" t="b">
        <f t="shared" si="4"/>
        <v>0</v>
      </c>
      <c r="M6" t="b">
        <f t="shared" si="4"/>
        <v>0</v>
      </c>
    </row>
    <row r="7" spans="1:13" x14ac:dyDescent="0.25">
      <c r="A7" t="str">
        <f>BENEFIT_DESIGN!B13</f>
        <v>Ambulance</v>
      </c>
      <c r="B7" t="str">
        <f>BENEFIT_DESIGN!C13</f>
        <v>Not Covered</v>
      </c>
      <c r="C7" t="b">
        <f t="shared" si="2"/>
        <v>1</v>
      </c>
      <c r="D7" s="3" t="b">
        <f t="shared" si="3"/>
        <v>0</v>
      </c>
      <c r="E7" s="148" t="b">
        <f t="shared" si="0"/>
        <v>0</v>
      </c>
      <c r="F7" s="148" t="b">
        <f t="shared" si="0"/>
        <v>0</v>
      </c>
      <c r="G7" t="b">
        <f t="shared" si="4"/>
        <v>0</v>
      </c>
      <c r="H7" t="b">
        <f t="shared" si="4"/>
        <v>0</v>
      </c>
      <c r="I7" t="b">
        <f t="shared" si="4"/>
        <v>0</v>
      </c>
      <c r="J7" t="b">
        <f t="shared" si="4"/>
        <v>0</v>
      </c>
      <c r="K7" t="b">
        <f t="shared" si="4"/>
        <v>0</v>
      </c>
      <c r="L7" t="b">
        <f t="shared" si="4"/>
        <v>0</v>
      </c>
      <c r="M7" t="b">
        <f t="shared" si="4"/>
        <v>0</v>
      </c>
    </row>
    <row r="8" spans="1:13" x14ac:dyDescent="0.25">
      <c r="A8" t="str">
        <f>BENEFIT_DESIGN!B14</f>
        <v>Professional Services: Primary Care</v>
      </c>
      <c r="B8" t="str">
        <f>BENEFIT_DESIGN!C14</f>
        <v>Not Covered</v>
      </c>
      <c r="C8" t="b">
        <f t="shared" si="2"/>
        <v>1</v>
      </c>
      <c r="D8" s="3" t="b">
        <f t="shared" si="3"/>
        <v>0</v>
      </c>
      <c r="E8" s="148" t="b">
        <f t="shared" si="0"/>
        <v>0</v>
      </c>
      <c r="F8" s="148" t="b">
        <f t="shared" si="0"/>
        <v>0</v>
      </c>
      <c r="G8" t="b">
        <f t="shared" si="4"/>
        <v>0</v>
      </c>
      <c r="H8" t="b">
        <f t="shared" si="4"/>
        <v>0</v>
      </c>
      <c r="I8" t="b">
        <f t="shared" si="4"/>
        <v>0</v>
      </c>
      <c r="J8" t="b">
        <f t="shared" si="4"/>
        <v>0</v>
      </c>
      <c r="K8" t="b">
        <f t="shared" si="4"/>
        <v>0</v>
      </c>
      <c r="L8" t="b">
        <f t="shared" si="4"/>
        <v>0</v>
      </c>
      <c r="M8" t="b">
        <f t="shared" si="4"/>
        <v>0</v>
      </c>
    </row>
    <row r="9" spans="1:13" x14ac:dyDescent="0.25">
      <c r="A9" t="str">
        <f>BENEFIT_DESIGN!B15</f>
        <v>Professional Services: Emergency Department</v>
      </c>
      <c r="B9" t="str">
        <f>BENEFIT_DESIGN!C15</f>
        <v>Not Covered</v>
      </c>
      <c r="C9" t="b">
        <f t="shared" si="2"/>
        <v>1</v>
      </c>
      <c r="D9" s="3" t="b">
        <f t="shared" si="3"/>
        <v>0</v>
      </c>
      <c r="E9" s="148" t="b">
        <f t="shared" si="0"/>
        <v>0</v>
      </c>
      <c r="F9" s="148" t="b">
        <f t="shared" si="0"/>
        <v>0</v>
      </c>
      <c r="G9" t="b">
        <f t="shared" si="4"/>
        <v>0</v>
      </c>
      <c r="H9" t="b">
        <f t="shared" si="4"/>
        <v>0</v>
      </c>
      <c r="I9" t="b">
        <f t="shared" si="4"/>
        <v>0</v>
      </c>
      <c r="J9" t="b">
        <f t="shared" si="4"/>
        <v>0</v>
      </c>
      <c r="K9" t="b">
        <f t="shared" si="4"/>
        <v>0</v>
      </c>
      <c r="L9" t="b">
        <f t="shared" si="4"/>
        <v>0</v>
      </c>
      <c r="M9" t="b">
        <f t="shared" si="4"/>
        <v>0</v>
      </c>
    </row>
    <row r="10" spans="1:13" x14ac:dyDescent="0.25">
      <c r="A10" t="str">
        <f>BENEFIT_DESIGN!B16</f>
        <v>Professional Services: Inpatient</v>
      </c>
      <c r="B10" t="str">
        <f>BENEFIT_DESIGN!C16</f>
        <v>Not Covered</v>
      </c>
      <c r="C10" t="b">
        <f t="shared" si="2"/>
        <v>1</v>
      </c>
      <c r="D10" s="3" t="b">
        <f t="shared" si="3"/>
        <v>0</v>
      </c>
      <c r="E10" s="148" t="b">
        <f t="shared" si="0"/>
        <v>0</v>
      </c>
      <c r="F10" s="148" t="b">
        <f t="shared" si="0"/>
        <v>0</v>
      </c>
      <c r="G10" t="b">
        <f t="shared" si="4"/>
        <v>0</v>
      </c>
      <c r="H10" t="b">
        <f t="shared" si="4"/>
        <v>0</v>
      </c>
      <c r="I10" t="b">
        <f t="shared" si="4"/>
        <v>0</v>
      </c>
      <c r="J10" t="b">
        <f t="shared" si="4"/>
        <v>0</v>
      </c>
      <c r="K10" t="b">
        <f t="shared" si="4"/>
        <v>0</v>
      </c>
      <c r="L10" t="b">
        <f t="shared" si="4"/>
        <v>0</v>
      </c>
      <c r="M10" t="b">
        <f t="shared" si="4"/>
        <v>0</v>
      </c>
    </row>
    <row r="11" spans="1:13" x14ac:dyDescent="0.25">
      <c r="A11" t="str">
        <f>BENEFIT_DESIGN!B17</f>
        <v>Professional Services: Specialist</v>
      </c>
      <c r="B11" t="str">
        <f>BENEFIT_DESIGN!C17</f>
        <v>Not Covered</v>
      </c>
      <c r="C11" t="b">
        <f t="shared" si="2"/>
        <v>1</v>
      </c>
      <c r="D11" s="3" t="b">
        <f t="shared" si="3"/>
        <v>0</v>
      </c>
      <c r="E11" s="148" t="b">
        <f t="shared" si="0"/>
        <v>0</v>
      </c>
      <c r="F11" s="148" t="b">
        <f t="shared" si="0"/>
        <v>0</v>
      </c>
      <c r="G11" t="b">
        <f t="shared" si="4"/>
        <v>0</v>
      </c>
      <c r="H11" t="b">
        <f t="shared" si="4"/>
        <v>0</v>
      </c>
      <c r="I11" t="b">
        <f t="shared" si="4"/>
        <v>0</v>
      </c>
      <c r="J11" t="b">
        <f t="shared" si="4"/>
        <v>0</v>
      </c>
      <c r="K11" t="b">
        <f t="shared" si="4"/>
        <v>0</v>
      </c>
      <c r="L11" t="b">
        <f t="shared" si="4"/>
        <v>0</v>
      </c>
      <c r="M11" t="b">
        <f t="shared" si="4"/>
        <v>0</v>
      </c>
    </row>
    <row r="12" spans="1:13" x14ac:dyDescent="0.25">
      <c r="A12" t="str">
        <f>BENEFIT_DESIGN!B18</f>
        <v>Professional Services: Obstetric Care (Bundled)</v>
      </c>
      <c r="B12" t="str">
        <f>BENEFIT_DESIGN!C18</f>
        <v>Not Covered</v>
      </c>
      <c r="C12" t="b">
        <f t="shared" si="2"/>
        <v>1</v>
      </c>
      <c r="D12" s="3" t="b">
        <f t="shared" si="3"/>
        <v>0</v>
      </c>
      <c r="E12" s="148" t="b">
        <f t="shared" si="0"/>
        <v>0</v>
      </c>
      <c r="F12" s="148" t="b">
        <f t="shared" si="0"/>
        <v>0</v>
      </c>
      <c r="G12" t="b">
        <f t="shared" si="4"/>
        <v>0</v>
      </c>
      <c r="H12" t="b">
        <f t="shared" si="4"/>
        <v>0</v>
      </c>
      <c r="I12" t="b">
        <f t="shared" si="4"/>
        <v>0</v>
      </c>
      <c r="J12" t="b">
        <f t="shared" si="4"/>
        <v>0</v>
      </c>
      <c r="K12" t="b">
        <f t="shared" si="4"/>
        <v>0</v>
      </c>
      <c r="L12" t="b">
        <f t="shared" si="4"/>
        <v>0</v>
      </c>
      <c r="M12" t="b">
        <f t="shared" si="4"/>
        <v>0</v>
      </c>
    </row>
    <row r="13" spans="1:13" x14ac:dyDescent="0.25">
      <c r="A13" t="str">
        <f>BENEFIT_DESIGN!B19</f>
        <v>Professional Services: Procedures &amp; Other</v>
      </c>
      <c r="B13" t="str">
        <f>BENEFIT_DESIGN!C19</f>
        <v>Not Covered</v>
      </c>
      <c r="C13" t="b">
        <f t="shared" si="2"/>
        <v>1</v>
      </c>
      <c r="D13" s="3" t="b">
        <f t="shared" si="3"/>
        <v>0</v>
      </c>
      <c r="E13" s="148" t="b">
        <f t="shared" si="0"/>
        <v>0</v>
      </c>
      <c r="F13" s="148" t="b">
        <f t="shared" si="0"/>
        <v>0</v>
      </c>
      <c r="G13" t="b">
        <f t="shared" si="4"/>
        <v>0</v>
      </c>
      <c r="H13" t="b">
        <f t="shared" si="4"/>
        <v>0</v>
      </c>
      <c r="I13" t="b">
        <f t="shared" si="4"/>
        <v>0</v>
      </c>
      <c r="J13" t="b">
        <f t="shared" si="4"/>
        <v>0</v>
      </c>
      <c r="K13" t="b">
        <f t="shared" si="4"/>
        <v>0</v>
      </c>
      <c r="L13" t="b">
        <f t="shared" si="4"/>
        <v>0</v>
      </c>
      <c r="M13" t="b">
        <f t="shared" si="4"/>
        <v>0</v>
      </c>
    </row>
    <row r="14" spans="1:13" x14ac:dyDescent="0.25">
      <c r="A14" t="str">
        <f>BENEFIT_DESIGN!B20</f>
        <v>Professional Services: Physical Therapy</v>
      </c>
      <c r="B14" t="str">
        <f>BENEFIT_DESIGN!C20</f>
        <v>Not Covered</v>
      </c>
      <c r="C14" t="b">
        <f t="shared" si="2"/>
        <v>1</v>
      </c>
      <c r="D14" s="3" t="b">
        <f t="shared" si="3"/>
        <v>0</v>
      </c>
      <c r="E14" s="148" t="b">
        <f t="shared" si="0"/>
        <v>0</v>
      </c>
      <c r="F14" s="148" t="b">
        <f t="shared" si="0"/>
        <v>0</v>
      </c>
      <c r="G14" t="b">
        <f t="shared" si="4"/>
        <v>0</v>
      </c>
      <c r="H14" t="b">
        <f t="shared" si="4"/>
        <v>0</v>
      </c>
      <c r="I14" t="b">
        <f t="shared" si="4"/>
        <v>0</v>
      </c>
      <c r="J14" t="b">
        <f t="shared" si="4"/>
        <v>0</v>
      </c>
      <c r="K14" t="b">
        <f t="shared" si="4"/>
        <v>0</v>
      </c>
      <c r="L14" t="b">
        <f t="shared" si="4"/>
        <v>0</v>
      </c>
      <c r="M14" t="b">
        <f t="shared" si="4"/>
        <v>0</v>
      </c>
    </row>
    <row r="15" spans="1:13" x14ac:dyDescent="0.25">
      <c r="A15" t="str">
        <f>BENEFIT_DESIGN!B21</f>
        <v>Diagnostic Services: Radiology</v>
      </c>
      <c r="B15" t="str">
        <f>BENEFIT_DESIGN!C21</f>
        <v>Not Covered</v>
      </c>
      <c r="C15" t="b">
        <f t="shared" si="2"/>
        <v>1</v>
      </c>
      <c r="D15" s="3" t="b">
        <f t="shared" si="3"/>
        <v>0</v>
      </c>
      <c r="E15" s="148" t="b">
        <f t="shared" si="0"/>
        <v>0</v>
      </c>
      <c r="F15" s="148" t="b">
        <f t="shared" si="0"/>
        <v>0</v>
      </c>
      <c r="G15" t="b">
        <f t="shared" si="4"/>
        <v>0</v>
      </c>
      <c r="H15" t="b">
        <f t="shared" si="4"/>
        <v>0</v>
      </c>
      <c r="I15" t="b">
        <f t="shared" si="4"/>
        <v>0</v>
      </c>
      <c r="J15" t="b">
        <f t="shared" si="4"/>
        <v>0</v>
      </c>
      <c r="K15" t="b">
        <f t="shared" si="4"/>
        <v>0</v>
      </c>
      <c r="L15" t="b">
        <f t="shared" si="4"/>
        <v>0</v>
      </c>
      <c r="M15" t="b">
        <f t="shared" si="4"/>
        <v>0</v>
      </c>
    </row>
    <row r="16" spans="1:13" x14ac:dyDescent="0.25">
      <c r="A16" t="str">
        <f>BENEFIT_DESIGN!B22</f>
        <v>Diagnostic Services: Laboratory</v>
      </c>
      <c r="B16" t="str">
        <f>BENEFIT_DESIGN!C22</f>
        <v>Not Covered</v>
      </c>
      <c r="C16" t="b">
        <f t="shared" si="2"/>
        <v>1</v>
      </c>
      <c r="D16" s="3" t="b">
        <f t="shared" si="3"/>
        <v>0</v>
      </c>
      <c r="E16" s="148" t="b">
        <f t="shared" si="0"/>
        <v>0</v>
      </c>
      <c r="F16" s="148" t="b">
        <f t="shared" si="0"/>
        <v>0</v>
      </c>
      <c r="G16" t="b">
        <f t="shared" si="4"/>
        <v>0</v>
      </c>
      <c r="H16" t="b">
        <f t="shared" si="4"/>
        <v>0</v>
      </c>
      <c r="I16" t="b">
        <f t="shared" si="4"/>
        <v>0</v>
      </c>
      <c r="J16" t="b">
        <f t="shared" si="4"/>
        <v>0</v>
      </c>
      <c r="K16" t="b">
        <f t="shared" si="4"/>
        <v>0</v>
      </c>
      <c r="L16" t="b">
        <f t="shared" si="4"/>
        <v>0</v>
      </c>
      <c r="M16" t="b">
        <f t="shared" si="4"/>
        <v>0</v>
      </c>
    </row>
    <row r="17" spans="1:15" x14ac:dyDescent="0.25">
      <c r="A17" t="str">
        <f>BENEFIT_DESIGN!B23</f>
        <v>Prescription Drugs: Generic</v>
      </c>
      <c r="B17" t="str">
        <f>BENEFIT_DESIGN!C23</f>
        <v>Not Covered</v>
      </c>
      <c r="C17" t="b">
        <f t="shared" si="2"/>
        <v>1</v>
      </c>
      <c r="D17" s="3" t="b">
        <f t="shared" si="3"/>
        <v>0</v>
      </c>
      <c r="E17" s="148" t="b">
        <f t="shared" si="0"/>
        <v>0</v>
      </c>
      <c r="F17" s="148" t="b">
        <f t="shared" si="0"/>
        <v>0</v>
      </c>
      <c r="G17" t="b">
        <f t="shared" si="4"/>
        <v>0</v>
      </c>
      <c r="H17" t="b">
        <f t="shared" si="4"/>
        <v>0</v>
      </c>
      <c r="I17" t="b">
        <f t="shared" si="4"/>
        <v>0</v>
      </c>
      <c r="J17" t="b">
        <f t="shared" si="4"/>
        <v>0</v>
      </c>
      <c r="K17" t="b">
        <f t="shared" si="4"/>
        <v>0</v>
      </c>
      <c r="L17" t="b">
        <f t="shared" si="4"/>
        <v>0</v>
      </c>
      <c r="M17" t="b">
        <f t="shared" si="4"/>
        <v>0</v>
      </c>
    </row>
    <row r="18" spans="1:15" x14ac:dyDescent="0.25">
      <c r="A18" t="str">
        <f>BENEFIT_DESIGN!B24</f>
        <v>Prescription Drugs: Branded</v>
      </c>
      <c r="B18" t="str">
        <f>BENEFIT_DESIGN!C24</f>
        <v>Not Covered</v>
      </c>
      <c r="C18" t="b">
        <f t="shared" si="2"/>
        <v>1</v>
      </c>
      <c r="D18" s="3" t="b">
        <f t="shared" si="3"/>
        <v>0</v>
      </c>
      <c r="E18" s="148" t="b">
        <f t="shared" si="0"/>
        <v>0</v>
      </c>
      <c r="F18" s="148" t="b">
        <f t="shared" si="0"/>
        <v>0</v>
      </c>
      <c r="G18" t="b">
        <f t="shared" si="4"/>
        <v>0</v>
      </c>
      <c r="H18" t="b">
        <f t="shared" si="4"/>
        <v>0</v>
      </c>
      <c r="I18" t="b">
        <f t="shared" si="4"/>
        <v>0</v>
      </c>
      <c r="J18" t="b">
        <f t="shared" si="4"/>
        <v>0</v>
      </c>
      <c r="K18" t="b">
        <f t="shared" si="4"/>
        <v>0</v>
      </c>
      <c r="L18" t="b">
        <f t="shared" si="4"/>
        <v>0</v>
      </c>
      <c r="M18" t="b">
        <f t="shared" si="4"/>
        <v>0</v>
      </c>
    </row>
    <row r="19" spans="1:15" x14ac:dyDescent="0.25">
      <c r="A19" t="str">
        <f>BENEFIT_DESIGN!B25</f>
        <v>Prescription Drugs: Insulin</v>
      </c>
      <c r="B19" t="str">
        <f>BENEFIT_DESIGN!C25</f>
        <v>Not Covered</v>
      </c>
      <c r="C19" t="b">
        <f t="shared" si="2"/>
        <v>1</v>
      </c>
      <c r="D19" s="3" t="b">
        <f t="shared" si="3"/>
        <v>0</v>
      </c>
      <c r="E19" s="148" t="b">
        <f t="shared" si="0"/>
        <v>0</v>
      </c>
      <c r="F19" s="148" t="b">
        <f t="shared" si="0"/>
        <v>0</v>
      </c>
      <c r="G19" t="b">
        <f t="shared" si="4"/>
        <v>0</v>
      </c>
      <c r="H19" t="b">
        <f t="shared" si="4"/>
        <v>0</v>
      </c>
      <c r="I19" t="b">
        <f t="shared" si="4"/>
        <v>0</v>
      </c>
      <c r="J19" t="b">
        <f t="shared" si="4"/>
        <v>0</v>
      </c>
      <c r="K19" t="b">
        <f t="shared" si="4"/>
        <v>0</v>
      </c>
      <c r="L19" t="b">
        <f t="shared" si="4"/>
        <v>0</v>
      </c>
      <c r="M19" t="b">
        <f t="shared" si="4"/>
        <v>0</v>
      </c>
    </row>
    <row r="20" spans="1:15" x14ac:dyDescent="0.25">
      <c r="A20" t="str">
        <f>BENEFIT_DESIGN!B26</f>
        <v>Over-the-counter Drugs</v>
      </c>
      <c r="B20" t="str">
        <f>BENEFIT_DESIGN!C26</f>
        <v>Not Covered</v>
      </c>
      <c r="C20" t="b">
        <f t="shared" si="2"/>
        <v>1</v>
      </c>
      <c r="D20" s="3" t="b">
        <f t="shared" si="3"/>
        <v>0</v>
      </c>
      <c r="E20" s="148" t="b">
        <f t="shared" si="0"/>
        <v>0</v>
      </c>
      <c r="F20" s="148" t="b">
        <f t="shared" si="0"/>
        <v>0</v>
      </c>
      <c r="G20" t="b">
        <f t="shared" si="4"/>
        <v>0</v>
      </c>
      <c r="H20" t="b">
        <f t="shared" si="4"/>
        <v>0</v>
      </c>
      <c r="I20" t="b">
        <f t="shared" si="4"/>
        <v>0</v>
      </c>
      <c r="J20" t="b">
        <f t="shared" si="4"/>
        <v>0</v>
      </c>
      <c r="K20" t="b">
        <f t="shared" si="4"/>
        <v>0</v>
      </c>
      <c r="L20" t="b">
        <f t="shared" si="4"/>
        <v>0</v>
      </c>
      <c r="M20" t="b">
        <f t="shared" si="4"/>
        <v>0</v>
      </c>
    </row>
    <row r="21" spans="1:15" x14ac:dyDescent="0.25">
      <c r="A21" t="str">
        <f>BENEFIT_DESIGN!B27</f>
        <v>Preventive Services &amp; Vaccines</v>
      </c>
      <c r="B21" t="str">
        <f>BENEFIT_DESIGN!C27</f>
        <v>Not Covered</v>
      </c>
      <c r="C21" t="b">
        <f t="shared" si="2"/>
        <v>1</v>
      </c>
      <c r="D21" s="3" t="b">
        <f t="shared" si="3"/>
        <v>0</v>
      </c>
      <c r="E21" s="148" t="b">
        <f t="shared" si="0"/>
        <v>0</v>
      </c>
      <c r="F21" s="148" t="b">
        <f t="shared" si="0"/>
        <v>0</v>
      </c>
      <c r="G21" t="b">
        <f t="shared" si="4"/>
        <v>0</v>
      </c>
      <c r="H21" t="b">
        <f t="shared" si="4"/>
        <v>0</v>
      </c>
      <c r="I21" t="b">
        <f t="shared" si="4"/>
        <v>0</v>
      </c>
      <c r="J21" t="b">
        <f t="shared" si="4"/>
        <v>0</v>
      </c>
      <c r="K21" t="b">
        <f t="shared" si="4"/>
        <v>0</v>
      </c>
      <c r="L21" t="b">
        <f t="shared" si="4"/>
        <v>0</v>
      </c>
      <c r="M21" t="b">
        <f t="shared" si="4"/>
        <v>0</v>
      </c>
    </row>
    <row r="22" spans="1:15" x14ac:dyDescent="0.25">
      <c r="A22" t="str">
        <f>BENEFIT_DESIGN!B28</f>
        <v>Durable Medical Equipment</v>
      </c>
      <c r="B22" t="str">
        <f>BENEFIT_DESIGN!C28</f>
        <v>Not Covered</v>
      </c>
      <c r="C22" t="b">
        <f t="shared" si="2"/>
        <v>1</v>
      </c>
      <c r="D22" s="3" t="b">
        <f t="shared" si="3"/>
        <v>0</v>
      </c>
      <c r="E22" s="148" t="b">
        <f t="shared" si="0"/>
        <v>0</v>
      </c>
      <c r="F22" s="148" t="b">
        <f t="shared" si="0"/>
        <v>0</v>
      </c>
      <c r="G22" t="b">
        <f t="shared" si="4"/>
        <v>0</v>
      </c>
      <c r="H22" t="b">
        <f t="shared" si="4"/>
        <v>0</v>
      </c>
      <c r="I22" t="b">
        <f t="shared" si="4"/>
        <v>0</v>
      </c>
      <c r="J22" t="b">
        <f t="shared" si="4"/>
        <v>0</v>
      </c>
      <c r="K22" t="b">
        <f t="shared" si="4"/>
        <v>0</v>
      </c>
      <c r="L22" t="b">
        <f t="shared" si="4"/>
        <v>0</v>
      </c>
      <c r="M22" t="b">
        <f t="shared" si="4"/>
        <v>0</v>
      </c>
    </row>
    <row r="23" spans="1:15" x14ac:dyDescent="0.25">
      <c r="A23" t="str">
        <f>BENEFIT_DESIGN!B29</f>
        <v>Medical Supplies</v>
      </c>
      <c r="B23" t="str">
        <f>BENEFIT_DESIGN!C29</f>
        <v>Not Covered</v>
      </c>
      <c r="C23" t="b">
        <f t="shared" si="2"/>
        <v>1</v>
      </c>
      <c r="D23" s="3" t="b">
        <f t="shared" si="3"/>
        <v>0</v>
      </c>
      <c r="E23" s="148" t="b">
        <f t="shared" si="0"/>
        <v>0</v>
      </c>
      <c r="F23" s="148" t="b">
        <f t="shared" si="0"/>
        <v>0</v>
      </c>
      <c r="G23" t="b">
        <f t="shared" si="4"/>
        <v>0</v>
      </c>
      <c r="H23" t="b">
        <f t="shared" si="4"/>
        <v>0</v>
      </c>
      <c r="I23" t="b">
        <f t="shared" si="4"/>
        <v>0</v>
      </c>
      <c r="J23" t="b">
        <f t="shared" si="4"/>
        <v>0</v>
      </c>
      <c r="K23" t="b">
        <f t="shared" si="4"/>
        <v>0</v>
      </c>
      <c r="L23" t="b">
        <f t="shared" si="4"/>
        <v>0</v>
      </c>
      <c r="M23" t="b">
        <f t="shared" si="4"/>
        <v>0</v>
      </c>
    </row>
    <row r="24" spans="1:15" x14ac:dyDescent="0.25">
      <c r="A24" t="str">
        <f>BENEFIT_DESIGN!B30</f>
        <v>Over-the-counter Medical Supplies</v>
      </c>
      <c r="B24" t="str">
        <f>BENEFIT_DESIGN!C30</f>
        <v>Not Covered</v>
      </c>
      <c r="C24" t="b">
        <f t="shared" si="2"/>
        <v>1</v>
      </c>
      <c r="D24" s="3" t="b">
        <f t="shared" si="3"/>
        <v>0</v>
      </c>
      <c r="E24" s="148" t="b">
        <f t="shared" si="0"/>
        <v>0</v>
      </c>
      <c r="F24" s="148" t="b">
        <f t="shared" si="0"/>
        <v>0</v>
      </c>
      <c r="G24" t="b">
        <f t="shared" si="4"/>
        <v>0</v>
      </c>
      <c r="H24" t="b">
        <f t="shared" si="4"/>
        <v>0</v>
      </c>
      <c r="I24" t="b">
        <f t="shared" si="4"/>
        <v>0</v>
      </c>
      <c r="J24" t="b">
        <f t="shared" si="4"/>
        <v>0</v>
      </c>
      <c r="K24" t="b">
        <f t="shared" si="4"/>
        <v>0</v>
      </c>
      <c r="L24" t="b">
        <f t="shared" si="4"/>
        <v>0</v>
      </c>
      <c r="M24" t="b">
        <f t="shared" si="4"/>
        <v>0</v>
      </c>
    </row>
    <row r="25" spans="1:15" x14ac:dyDescent="0.25">
      <c r="A25" t="str">
        <f>BENEFIT_DESIGN!B31</f>
        <v>Other Items &amp; Services</v>
      </c>
      <c r="B25" t="str">
        <f>BENEFIT_DESIGN!C31</f>
        <v>Not Covered</v>
      </c>
      <c r="C25" t="b">
        <f t="shared" si="2"/>
        <v>1</v>
      </c>
      <c r="D25" s="3" t="b">
        <f t="shared" si="3"/>
        <v>0</v>
      </c>
      <c r="E25" s="148" t="b">
        <f t="shared" si="0"/>
        <v>0</v>
      </c>
      <c r="F25" s="148" t="b">
        <f t="shared" si="0"/>
        <v>0</v>
      </c>
      <c r="G25" t="b">
        <f t="shared" si="4"/>
        <v>0</v>
      </c>
      <c r="H25" t="b">
        <f t="shared" si="4"/>
        <v>0</v>
      </c>
      <c r="I25" t="b">
        <f t="shared" si="4"/>
        <v>0</v>
      </c>
      <c r="J25" t="b">
        <f t="shared" si="4"/>
        <v>0</v>
      </c>
      <c r="K25" t="b">
        <f t="shared" si="4"/>
        <v>0</v>
      </c>
      <c r="L25" t="b">
        <f t="shared" si="4"/>
        <v>0</v>
      </c>
      <c r="M25" t="b">
        <f t="shared" si="4"/>
        <v>0</v>
      </c>
    </row>
    <row r="26" spans="1:15" x14ac:dyDescent="0.25">
      <c r="F26" t="b">
        <f>COUNTIF(F4:F25,TRUE)&gt;0</f>
        <v>0</v>
      </c>
      <c r="G26" t="b">
        <f>COUNTIF(G4:G25,TRUE)&gt;0</f>
        <v>0</v>
      </c>
      <c r="H26" t="b">
        <f>COUNTIF(H4:H25,TRUE)&gt;0</f>
        <v>0</v>
      </c>
      <c r="I26" t="b">
        <f>COUNTIF(I4:I25,TRUE)&gt;0</f>
        <v>0</v>
      </c>
      <c r="J26" t="b">
        <f>COUNTIF(J4:J25,TRUE)&gt;0</f>
        <v>0</v>
      </c>
      <c r="K26"/>
      <c r="L26"/>
      <c r="N26" s="3"/>
      <c r="O26" s="3"/>
    </row>
    <row r="28" spans="1:15" x14ac:dyDescent="0.25">
      <c r="A28" s="145" t="s">
        <v>211</v>
      </c>
      <c r="B28" s="137"/>
      <c r="C28" s="137"/>
      <c r="D28" s="137"/>
      <c r="E28" s="137"/>
      <c r="F28" s="137"/>
      <c r="G28" s="137"/>
      <c r="H28" s="137"/>
    </row>
    <row r="29" spans="1:15" x14ac:dyDescent="0.25">
      <c r="A29" s="238" t="s">
        <v>140</v>
      </c>
      <c r="B29" s="237" t="s">
        <v>280</v>
      </c>
      <c r="C29" s="237" t="s">
        <v>281</v>
      </c>
      <c r="D29" s="237" t="s">
        <v>282</v>
      </c>
      <c r="E29" s="237" t="s">
        <v>283</v>
      </c>
      <c r="F29" s="237" t="s">
        <v>284</v>
      </c>
      <c r="G29" s="237" t="s">
        <v>285</v>
      </c>
      <c r="H29" s="237" t="s">
        <v>286</v>
      </c>
    </row>
    <row r="30" spans="1:15" x14ac:dyDescent="0.25">
      <c r="A30" s="137" t="s">
        <v>14</v>
      </c>
      <c r="B30" s="137" t="b">
        <v>0</v>
      </c>
      <c r="C30" s="137" t="b">
        <v>0</v>
      </c>
      <c r="D30" s="137" t="b">
        <v>0</v>
      </c>
      <c r="E30" s="137" t="b">
        <v>0</v>
      </c>
      <c r="F30" s="137" t="b">
        <v>0</v>
      </c>
      <c r="G30" s="137" t="b">
        <v>0</v>
      </c>
      <c r="H30" s="137" t="b">
        <v>0</v>
      </c>
    </row>
    <row r="31" spans="1:15" x14ac:dyDescent="0.25">
      <c r="A31" s="137" t="s">
        <v>112</v>
      </c>
      <c r="B31" s="137" t="b">
        <v>0</v>
      </c>
      <c r="C31" s="137" t="b">
        <v>0</v>
      </c>
      <c r="D31" s="137" t="b">
        <v>0</v>
      </c>
      <c r="E31" s="137" t="b">
        <v>0</v>
      </c>
      <c r="F31" s="137" t="b">
        <v>0</v>
      </c>
      <c r="G31" s="137" t="b">
        <v>0</v>
      </c>
      <c r="H31" s="137" t="b">
        <v>0</v>
      </c>
    </row>
    <row r="32" spans="1:15" x14ac:dyDescent="0.25">
      <c r="A32" s="137" t="str">
        <f>BENEFIT_DESIGN!$B$32&amp;" Only"</f>
        <v>Plan Deductible Only</v>
      </c>
      <c r="B32" s="137" t="b">
        <v>1</v>
      </c>
      <c r="C32" s="137" t="b">
        <v>0</v>
      </c>
      <c r="D32" s="137" t="b">
        <v>0</v>
      </c>
      <c r="E32" s="137" t="b">
        <v>0</v>
      </c>
      <c r="F32" s="137" t="b">
        <v>0</v>
      </c>
      <c r="G32" s="137" t="b">
        <v>0</v>
      </c>
      <c r="H32" s="137" t="b">
        <v>0</v>
      </c>
    </row>
    <row r="33" spans="1:8" x14ac:dyDescent="0.25">
      <c r="A33" s="137" t="str">
        <f>BENEFIT_DESIGN!$B$33&amp;" Only"</f>
        <v>Rx Deductible Only</v>
      </c>
      <c r="B33" s="137" t="b">
        <v>0</v>
      </c>
      <c r="C33" s="137" t="b">
        <v>1</v>
      </c>
      <c r="D33" s="137" t="b">
        <v>0</v>
      </c>
      <c r="E33" s="137" t="b">
        <v>0</v>
      </c>
      <c r="F33" s="137" t="b">
        <v>0</v>
      </c>
      <c r="G33" s="137" t="b">
        <v>0</v>
      </c>
      <c r="H33" s="137" t="b">
        <v>0</v>
      </c>
    </row>
    <row r="34" spans="1:8" x14ac:dyDescent="0.25">
      <c r="A34" s="137" t="str">
        <f>BENEFIT_DESIGN!$B$34&amp;" Only"</f>
        <v>Deductible C Only</v>
      </c>
      <c r="B34" s="137" t="b">
        <v>0</v>
      </c>
      <c r="C34" s="137" t="b">
        <v>0</v>
      </c>
      <c r="D34" s="137" t="b">
        <v>1</v>
      </c>
      <c r="E34" s="137" t="b">
        <v>0</v>
      </c>
      <c r="F34" s="137" t="b">
        <v>0</v>
      </c>
      <c r="G34" s="137" t="b">
        <v>0</v>
      </c>
      <c r="H34" s="137" t="b">
        <v>0</v>
      </c>
    </row>
    <row r="35" spans="1:8" x14ac:dyDescent="0.25">
      <c r="A35" s="137" t="str">
        <f>BENEFIT_DESIGN!$B$35&amp;" Only"</f>
        <v>Deductible D Only</v>
      </c>
      <c r="B35" s="137" t="b">
        <v>0</v>
      </c>
      <c r="C35" s="137" t="b">
        <v>0</v>
      </c>
      <c r="D35" s="137" t="b">
        <v>0</v>
      </c>
      <c r="E35" s="137" t="b">
        <v>1</v>
      </c>
      <c r="F35" s="137" t="b">
        <v>0</v>
      </c>
      <c r="G35" s="137" t="b">
        <v>0</v>
      </c>
      <c r="H35" s="137" t="b">
        <v>0</v>
      </c>
    </row>
    <row r="36" spans="1:8" x14ac:dyDescent="0.25">
      <c r="A36" s="137" t="s">
        <v>110</v>
      </c>
      <c r="B36" s="137" t="b">
        <v>0</v>
      </c>
      <c r="C36" s="137" t="b">
        <v>0</v>
      </c>
      <c r="D36" s="137" t="b">
        <v>0</v>
      </c>
      <c r="E36" s="137" t="b">
        <v>0</v>
      </c>
      <c r="F36" s="137" t="b">
        <v>1</v>
      </c>
      <c r="G36" s="137" t="b">
        <v>0</v>
      </c>
      <c r="H36" s="137" t="b">
        <v>0</v>
      </c>
    </row>
    <row r="37" spans="1:8" x14ac:dyDescent="0.25">
      <c r="A37" s="137" t="s">
        <v>111</v>
      </c>
      <c r="B37" s="137" t="b">
        <v>0</v>
      </c>
      <c r="C37" s="137" t="b">
        <v>0</v>
      </c>
      <c r="D37" s="137" t="b">
        <v>0</v>
      </c>
      <c r="E37" s="137" t="b">
        <v>0</v>
      </c>
      <c r="F37" s="137" t="b">
        <v>0</v>
      </c>
      <c r="G37" s="137" t="b">
        <v>1</v>
      </c>
      <c r="H37" s="137" t="b">
        <v>0</v>
      </c>
    </row>
    <row r="38" spans="1:8" x14ac:dyDescent="0.25">
      <c r="A38" s="137" t="s">
        <v>114</v>
      </c>
      <c r="B38" s="137" t="b">
        <v>0</v>
      </c>
      <c r="C38" s="137" t="b">
        <v>0</v>
      </c>
      <c r="D38" s="137" t="b">
        <v>0</v>
      </c>
      <c r="E38" s="137" t="b">
        <v>0</v>
      </c>
      <c r="F38" s="137" t="b">
        <v>0</v>
      </c>
      <c r="G38" s="137" t="b">
        <v>0</v>
      </c>
      <c r="H38" s="137" t="b">
        <v>1</v>
      </c>
    </row>
    <row r="39" spans="1:8" x14ac:dyDescent="0.25">
      <c r="A39" s="137" t="str">
        <f>BENEFIT_DESIGN!$B$32&amp;" + Copay"</f>
        <v>Plan Deductible + Copay</v>
      </c>
      <c r="B39" s="137" t="b">
        <v>1</v>
      </c>
      <c r="C39" s="137" t="b">
        <v>0</v>
      </c>
      <c r="D39" s="137" t="b">
        <v>0</v>
      </c>
      <c r="E39" s="137" t="b">
        <v>0</v>
      </c>
      <c r="F39" s="137" t="b">
        <v>0</v>
      </c>
      <c r="G39" s="137" t="b">
        <v>1</v>
      </c>
      <c r="H39" s="137" t="b">
        <v>0</v>
      </c>
    </row>
    <row r="40" spans="1:8" x14ac:dyDescent="0.25">
      <c r="A40" s="137" t="str">
        <f>BENEFIT_DESIGN!$B$33&amp;" + Copay"</f>
        <v>Rx Deductible + Copay</v>
      </c>
      <c r="B40" s="137" t="b">
        <v>0</v>
      </c>
      <c r="C40" s="137" t="b">
        <v>1</v>
      </c>
      <c r="D40" s="137" t="b">
        <v>0</v>
      </c>
      <c r="E40" s="137" t="b">
        <v>0</v>
      </c>
      <c r="F40" s="137" t="b">
        <v>0</v>
      </c>
      <c r="G40" s="137" t="b">
        <v>1</v>
      </c>
      <c r="H40" s="137" t="b">
        <v>0</v>
      </c>
    </row>
    <row r="41" spans="1:8" x14ac:dyDescent="0.25">
      <c r="A41" s="137" t="str">
        <f>BENEFIT_DESIGN!$B$34&amp;" + Copay"</f>
        <v>Deductible C + Copay</v>
      </c>
      <c r="B41" s="137" t="b">
        <v>0</v>
      </c>
      <c r="C41" s="137" t="b">
        <v>0</v>
      </c>
      <c r="D41" s="137" t="b">
        <v>1</v>
      </c>
      <c r="E41" s="137" t="b">
        <v>0</v>
      </c>
      <c r="F41" s="137" t="b">
        <v>0</v>
      </c>
      <c r="G41" s="137" t="b">
        <v>1</v>
      </c>
      <c r="H41" s="137" t="b">
        <v>0</v>
      </c>
    </row>
    <row r="42" spans="1:8" x14ac:dyDescent="0.25">
      <c r="A42" s="137" t="str">
        <f>BENEFIT_DESIGN!$B$35&amp;" + Copay"</f>
        <v>Deductible D + Copay</v>
      </c>
      <c r="B42" s="137" t="b">
        <v>0</v>
      </c>
      <c r="C42" s="137" t="b">
        <v>0</v>
      </c>
      <c r="D42" s="137" t="b">
        <v>0</v>
      </c>
      <c r="E42" s="137" t="b">
        <v>1</v>
      </c>
      <c r="F42" s="137" t="b">
        <v>0</v>
      </c>
      <c r="G42" s="137" t="b">
        <v>1</v>
      </c>
      <c r="H42" s="137" t="b">
        <v>0</v>
      </c>
    </row>
    <row r="43" spans="1:8" x14ac:dyDescent="0.25">
      <c r="A43" s="137" t="s">
        <v>320</v>
      </c>
      <c r="B43" s="137" t="b">
        <v>0</v>
      </c>
      <c r="C43" s="137" t="b">
        <v>0</v>
      </c>
      <c r="D43" s="137" t="b">
        <v>0</v>
      </c>
      <c r="E43" s="137" t="b">
        <v>0</v>
      </c>
      <c r="F43" s="137" t="b">
        <v>1</v>
      </c>
      <c r="G43" s="137" t="b">
        <v>1</v>
      </c>
      <c r="H43" s="137" t="b">
        <v>0</v>
      </c>
    </row>
    <row r="44" spans="1:8" x14ac:dyDescent="0.25">
      <c r="A44" s="137" t="str">
        <f>BENEFIT_DESIGN!$B$32&amp;" + Coins"</f>
        <v>Plan Deductible + Coins</v>
      </c>
      <c r="B44" s="137" t="b">
        <v>1</v>
      </c>
      <c r="C44" s="137" t="b">
        <v>0</v>
      </c>
      <c r="D44" s="137" t="b">
        <v>0</v>
      </c>
      <c r="E44" s="137" t="b">
        <v>0</v>
      </c>
      <c r="F44" s="137" t="b">
        <v>0</v>
      </c>
      <c r="G44" s="137" t="b">
        <v>0</v>
      </c>
      <c r="H44" s="137" t="b">
        <v>1</v>
      </c>
    </row>
    <row r="45" spans="1:8" x14ac:dyDescent="0.25">
      <c r="A45" s="137" t="str">
        <f>BENEFIT_DESIGN!$B$33&amp;" + Coins"</f>
        <v>Rx Deductible + Coins</v>
      </c>
      <c r="B45" s="137" t="b">
        <v>0</v>
      </c>
      <c r="C45" s="137" t="b">
        <v>1</v>
      </c>
      <c r="D45" s="137" t="b">
        <v>0</v>
      </c>
      <c r="E45" s="137" t="b">
        <v>0</v>
      </c>
      <c r="F45" s="137" t="b">
        <v>0</v>
      </c>
      <c r="G45" s="137" t="b">
        <v>0</v>
      </c>
      <c r="H45" s="137" t="b">
        <v>1</v>
      </c>
    </row>
    <row r="46" spans="1:8" x14ac:dyDescent="0.25">
      <c r="A46" s="137" t="str">
        <f>BENEFIT_DESIGN!$B$34&amp;" + Coins"</f>
        <v>Deductible C + Coins</v>
      </c>
      <c r="B46" s="137" t="b">
        <v>0</v>
      </c>
      <c r="C46" s="137" t="b">
        <v>0</v>
      </c>
      <c r="D46" s="137" t="b">
        <v>1</v>
      </c>
      <c r="E46" s="137" t="b">
        <v>0</v>
      </c>
      <c r="F46" s="137" t="b">
        <v>0</v>
      </c>
      <c r="G46" s="137" t="b">
        <v>0</v>
      </c>
      <c r="H46" s="137" t="b">
        <v>1</v>
      </c>
    </row>
    <row r="47" spans="1:8" x14ac:dyDescent="0.25">
      <c r="A47" s="137" t="str">
        <f>BENEFIT_DESIGN!$B$35&amp;" + Coins"</f>
        <v>Deductible D + Coins</v>
      </c>
      <c r="B47" s="137" t="b">
        <v>0</v>
      </c>
      <c r="C47" s="137" t="b">
        <v>0</v>
      </c>
      <c r="D47" s="137" t="b">
        <v>0</v>
      </c>
      <c r="E47" s="137" t="b">
        <v>1</v>
      </c>
      <c r="F47" s="137" t="b">
        <v>0</v>
      </c>
      <c r="G47" s="137" t="b">
        <v>0</v>
      </c>
      <c r="H47" s="137" t="b">
        <v>1</v>
      </c>
    </row>
    <row r="48" spans="1:8" x14ac:dyDescent="0.25">
      <c r="A48" s="137" t="s">
        <v>325</v>
      </c>
      <c r="B48" s="137" t="b">
        <v>0</v>
      </c>
      <c r="C48" s="137" t="b">
        <v>0</v>
      </c>
      <c r="D48" s="137" t="b">
        <v>0</v>
      </c>
      <c r="E48" s="137" t="b">
        <v>0</v>
      </c>
      <c r="F48" s="137" t="b">
        <v>1</v>
      </c>
      <c r="G48" s="137" t="b">
        <v>0</v>
      </c>
      <c r="H48" s="137" t="b">
        <v>1</v>
      </c>
    </row>
    <row r="50" spans="1:17" s="2" customFormat="1" x14ac:dyDescent="0.25">
      <c r="A50" s="2" t="s">
        <v>228</v>
      </c>
      <c r="K50" s="7"/>
      <c r="L50" s="7"/>
      <c r="M50"/>
    </row>
    <row r="51" spans="1:17" ht="30" x14ac:dyDescent="0.25">
      <c r="A51" s="146" t="s">
        <v>8</v>
      </c>
      <c r="B51" s="2" t="s">
        <v>13</v>
      </c>
      <c r="C51" s="133" t="s">
        <v>2</v>
      </c>
      <c r="D51" s="133" t="s">
        <v>143</v>
      </c>
      <c r="E51" s="133" t="s">
        <v>212</v>
      </c>
      <c r="F51" s="133" t="s">
        <v>213</v>
      </c>
      <c r="G51" s="133" t="s">
        <v>203</v>
      </c>
      <c r="H51" s="133" t="s">
        <v>3</v>
      </c>
      <c r="I51" s="133" t="s">
        <v>0</v>
      </c>
      <c r="J51" s="133" t="s">
        <v>1</v>
      </c>
      <c r="K51" s="147" t="s">
        <v>16</v>
      </c>
      <c r="L51" s="147" t="s">
        <v>17</v>
      </c>
      <c r="M51" s="133" t="s">
        <v>199</v>
      </c>
      <c r="N51" s="133" t="s">
        <v>328</v>
      </c>
      <c r="O51" s="133" t="s">
        <v>327</v>
      </c>
      <c r="P51" s="133" t="s">
        <v>329</v>
      </c>
    </row>
    <row r="52" spans="1:17" x14ac:dyDescent="0.25">
      <c r="A52" s="1" t="str">
        <f>BENEFIT_DESIGN!B10</f>
        <v>Inpatient Hospital Care (Facility)</v>
      </c>
      <c r="B52" t="str">
        <f>BENEFIT_DESIGN!C10</f>
        <v>Not Covered</v>
      </c>
      <c r="C52" s="5" t="str">
        <f>IF(AND(G4,ISNUMBER(BENEFIT_DESIGN!$C$32)),BENEFIT_DESIGN!$C$32,".")</f>
        <v>.</v>
      </c>
      <c r="D52" s="5" t="str">
        <f>IF(AND(H4,ISNUMBER(BENEFIT_DESIGN!$C$33)),BENEFIT_DESIGN!$C$33,".")</f>
        <v>.</v>
      </c>
      <c r="E52" s="5" t="str">
        <f>IF(AND(I4,ISNUMBER(BENEFIT_DESIGN!$C$34)),BENEFIT_DESIGN!$C$34,".")</f>
        <v>.</v>
      </c>
      <c r="F52" s="5" t="str">
        <f>IF(AND(J4,ISNUMBER(BENEFIT_DESIGN!$C$35)),BENEFIT_DESIGN!$C$35,".")</f>
        <v>.</v>
      </c>
      <c r="G52" s="5" t="str">
        <f>IF(AND(F4,OR(ISNUMBER(BENEFIT_DESIGN!$C$36),BENEFIT_DESIGN!$C$36="None")),BENEFIT_DESIGN!$C$36,".")</f>
        <v>.</v>
      </c>
      <c r="H52" s="5" t="str">
        <f>IF(AND(K4,ISNUMBER(BENEFIT_DESIGN!D10)),BENEFIT_DESIGN!D10,".")</f>
        <v>.</v>
      </c>
      <c r="I52" s="5" t="str">
        <f>IF(AND(L4,ISNUMBER(BENEFIT_DESIGN!E10)),BENEFIT_DESIGN!E10,".")</f>
        <v>.</v>
      </c>
      <c r="J52" s="8" t="str">
        <f>IF(AND(M4,ISNUMBER(BENEFIT_DESIGN!F10)),BENEFIT_DESIGN!F10,".")</f>
        <v>.</v>
      </c>
      <c r="K52" s="6" t="str">
        <f>IF(AND(D4,OR(ISNUMBER(BENEFIT_DESIGN!G10),UPPER(BENEFIT_DESIGN!G10)="NONE")),BENEFIT_DESIGN!G10,".")</f>
        <v>.</v>
      </c>
      <c r="L52" s="6" t="str">
        <f>IF(AND(E4,OR(ISNUMBER(BENEFIT_DESIGN!H10),UPPER(BENEFIT_DESIGN!H10)="NONE")),BENEFIT_DESIGN!H10,".")</f>
        <v>.</v>
      </c>
      <c r="M52" s="6" t="str">
        <f>IF(AND(F4,OR(UPPER(BENEFIT_DESIGN!I10)="YES",UPPER(BENEFIT_DESIGN!I10)="NO")),BENEFIT_DESIGN!I10,".")</f>
        <v>.</v>
      </c>
      <c r="N52" t="b">
        <f>VLOOKUP(A52,MATERNITY_SUMMARY!$B$6:$E$27,4,0)&gt;0</f>
        <v>1</v>
      </c>
      <c r="O52" t="b">
        <f>VLOOKUP(A52,DIABETES_SUMMARY!$B$6:$E$27,4,0)&gt;0</f>
        <v>0</v>
      </c>
      <c r="P52" t="b">
        <f>VLOOKUP(A52,FRACTURE_SUMMARY!$B$6:$E$27,4,0)&gt;0</f>
        <v>0</v>
      </c>
      <c r="Q52" s="317"/>
    </row>
    <row r="53" spans="1:17" x14ac:dyDescent="0.25">
      <c r="A53" s="1" t="str">
        <f>BENEFIT_DESIGN!B11</f>
        <v>Other Facility Services</v>
      </c>
      <c r="B53" t="str">
        <f>BENEFIT_DESIGN!C11</f>
        <v>Not Covered</v>
      </c>
      <c r="C53" s="5" t="str">
        <f>IF(AND(G5,ISNUMBER(BENEFIT_DESIGN!$C$32)),BENEFIT_DESIGN!$C$32,".")</f>
        <v>.</v>
      </c>
      <c r="D53" s="5" t="str">
        <f>IF(AND(H5,ISNUMBER(BENEFIT_DESIGN!$C$33)),BENEFIT_DESIGN!$C$33,".")</f>
        <v>.</v>
      </c>
      <c r="E53" s="5" t="str">
        <f>IF(AND(I5,ISNUMBER(BENEFIT_DESIGN!$C$34)),BENEFIT_DESIGN!$C$34,".")</f>
        <v>.</v>
      </c>
      <c r="F53" s="5" t="str">
        <f>IF(AND(J5,ISNUMBER(BENEFIT_DESIGN!$C$35)),BENEFIT_DESIGN!$C$35,".")</f>
        <v>.</v>
      </c>
      <c r="G53" s="5" t="str">
        <f>IF(AND(F5,OR(ISNUMBER(BENEFIT_DESIGN!$C$36),BENEFIT_DESIGN!$C$36="None")),BENEFIT_DESIGN!$C$36,".")</f>
        <v>.</v>
      </c>
      <c r="H53" s="5" t="str">
        <f>IF(AND(K5,ISNUMBER(BENEFIT_DESIGN!D11)),BENEFIT_DESIGN!D11,".")</f>
        <v>.</v>
      </c>
      <c r="I53" s="5" t="str">
        <f>IF(AND(L5,ISNUMBER(BENEFIT_DESIGN!E11)),BENEFIT_DESIGN!E11,".")</f>
        <v>.</v>
      </c>
      <c r="J53" s="8" t="str">
        <f>IF(AND(M5,ISNUMBER(BENEFIT_DESIGN!F11)),BENEFIT_DESIGN!F11,".")</f>
        <v>.</v>
      </c>
      <c r="K53" s="6" t="str">
        <f>IF(AND(D5,OR(ISNUMBER(BENEFIT_DESIGN!G11),UPPER(BENEFIT_DESIGN!G11)="NONE")),BENEFIT_DESIGN!G11,".")</f>
        <v>.</v>
      </c>
      <c r="L53" s="6" t="str">
        <f>IF(AND(E5,OR(ISNUMBER(BENEFIT_DESIGN!H11),UPPER(BENEFIT_DESIGN!H11)="NONE")),BENEFIT_DESIGN!H11,".")</f>
        <v>.</v>
      </c>
      <c r="M53" s="6" t="str">
        <f>IF(AND(F5,OR(UPPER(BENEFIT_DESIGN!I11)="YES",UPPER(BENEFIT_DESIGN!I11)="NO")),BENEFIT_DESIGN!I11,".")</f>
        <v>.</v>
      </c>
      <c r="N53" t="b">
        <f>VLOOKUP(A53,MATERNITY_SUMMARY!$B$6:$E$27,4,0)&gt;0</f>
        <v>0</v>
      </c>
      <c r="O53" t="b">
        <f>VLOOKUP(A53,DIABETES_SUMMARY!$B$6:$E$27,4,0)&gt;0</f>
        <v>0</v>
      </c>
      <c r="P53" t="b">
        <f>VLOOKUP(A53,FRACTURE_SUMMARY!$B$6:$E$27,4,0)&gt;0</f>
        <v>1</v>
      </c>
      <c r="Q53" s="317"/>
    </row>
    <row r="54" spans="1:17" x14ac:dyDescent="0.25">
      <c r="A54" s="1" t="str">
        <f>BENEFIT_DESIGN!B12</f>
        <v>Emergency Department (Facility)</v>
      </c>
      <c r="B54" t="str">
        <f>BENEFIT_DESIGN!C12</f>
        <v>Not Covered</v>
      </c>
      <c r="C54" s="5" t="str">
        <f>IF(AND(G6,ISNUMBER(BENEFIT_DESIGN!$C$32)),BENEFIT_DESIGN!$C$32,".")</f>
        <v>.</v>
      </c>
      <c r="D54" s="5" t="str">
        <f>IF(AND(H6,ISNUMBER(BENEFIT_DESIGN!$C$33)),BENEFIT_DESIGN!$C$33,".")</f>
        <v>.</v>
      </c>
      <c r="E54" s="5" t="str">
        <f>IF(AND(I6,ISNUMBER(BENEFIT_DESIGN!$C$34)),BENEFIT_DESIGN!$C$34,".")</f>
        <v>.</v>
      </c>
      <c r="F54" s="5" t="str">
        <f>IF(AND(J6,ISNUMBER(BENEFIT_DESIGN!$C$35)),BENEFIT_DESIGN!$C$35,".")</f>
        <v>.</v>
      </c>
      <c r="G54" s="5" t="str">
        <f>IF(AND(F6,OR(ISNUMBER(BENEFIT_DESIGN!$C$36),BENEFIT_DESIGN!$C$36="None")),BENEFIT_DESIGN!$C$36,".")</f>
        <v>.</v>
      </c>
      <c r="H54" s="5" t="str">
        <f>IF(AND(K6,ISNUMBER(BENEFIT_DESIGN!D12)),BENEFIT_DESIGN!D12,".")</f>
        <v>.</v>
      </c>
      <c r="I54" s="5" t="str">
        <f>IF(AND(L6,ISNUMBER(BENEFIT_DESIGN!E12)),BENEFIT_DESIGN!E12,".")</f>
        <v>.</v>
      </c>
      <c r="J54" s="8" t="str">
        <f>IF(AND(M6,ISNUMBER(BENEFIT_DESIGN!F12)),BENEFIT_DESIGN!F12,".")</f>
        <v>.</v>
      </c>
      <c r="K54" s="6" t="str">
        <f>IF(AND(D6,OR(ISNUMBER(BENEFIT_DESIGN!G12),UPPER(BENEFIT_DESIGN!G12)="NONE")),BENEFIT_DESIGN!G12,".")</f>
        <v>.</v>
      </c>
      <c r="L54" s="6" t="str">
        <f>IF(AND(E6,OR(ISNUMBER(BENEFIT_DESIGN!H12),UPPER(BENEFIT_DESIGN!H12)="NONE")),BENEFIT_DESIGN!H12,".")</f>
        <v>.</v>
      </c>
      <c r="M54" s="6" t="str">
        <f>IF(AND(F6,OR(UPPER(BENEFIT_DESIGN!I12)="YES",UPPER(BENEFIT_DESIGN!I12)="NO")),BENEFIT_DESIGN!I12,".")</f>
        <v>.</v>
      </c>
      <c r="N54" t="b">
        <f>VLOOKUP(A54,MATERNITY_SUMMARY!$B$6:$E$27,4,0)&gt;0</f>
        <v>0</v>
      </c>
      <c r="O54" t="b">
        <f>VLOOKUP(A54,DIABETES_SUMMARY!$B$6:$E$27,4,0)&gt;0</f>
        <v>0</v>
      </c>
      <c r="P54" t="b">
        <f>VLOOKUP(A54,FRACTURE_SUMMARY!$B$6:$E$27,4,0)&gt;0</f>
        <v>1</v>
      </c>
      <c r="Q54" s="317"/>
    </row>
    <row r="55" spans="1:17" x14ac:dyDescent="0.25">
      <c r="A55" s="1" t="str">
        <f>BENEFIT_DESIGN!B13</f>
        <v>Ambulance</v>
      </c>
      <c r="B55" t="str">
        <f>BENEFIT_DESIGN!C13</f>
        <v>Not Covered</v>
      </c>
      <c r="C55" s="5" t="str">
        <f>IF(AND(G7,ISNUMBER(BENEFIT_DESIGN!$C$32)),BENEFIT_DESIGN!$C$32,".")</f>
        <v>.</v>
      </c>
      <c r="D55" s="5" t="str">
        <f>IF(AND(H7,ISNUMBER(BENEFIT_DESIGN!$C$33)),BENEFIT_DESIGN!$C$33,".")</f>
        <v>.</v>
      </c>
      <c r="E55" s="5" t="str">
        <f>IF(AND(I7,ISNUMBER(BENEFIT_DESIGN!$C$34)),BENEFIT_DESIGN!$C$34,".")</f>
        <v>.</v>
      </c>
      <c r="F55" s="5" t="str">
        <f>IF(AND(J7,ISNUMBER(BENEFIT_DESIGN!$C$35)),BENEFIT_DESIGN!$C$35,".")</f>
        <v>.</v>
      </c>
      <c r="G55" s="5" t="str">
        <f>IF(AND(F7,OR(ISNUMBER(BENEFIT_DESIGN!$C$36),BENEFIT_DESIGN!$C$36="None")),BENEFIT_DESIGN!$C$36,".")</f>
        <v>.</v>
      </c>
      <c r="H55" s="5" t="str">
        <f>IF(AND(K7,ISNUMBER(BENEFIT_DESIGN!D13)),BENEFIT_DESIGN!D13,".")</f>
        <v>.</v>
      </c>
      <c r="I55" s="5" t="str">
        <f>IF(AND(L7,ISNUMBER(BENEFIT_DESIGN!E13)),BENEFIT_DESIGN!E13,".")</f>
        <v>.</v>
      </c>
      <c r="J55" s="8" t="str">
        <f>IF(AND(M7,ISNUMBER(BENEFIT_DESIGN!F13)),BENEFIT_DESIGN!F13,".")</f>
        <v>.</v>
      </c>
      <c r="K55" s="6" t="str">
        <f>IF(AND(D7,OR(ISNUMBER(BENEFIT_DESIGN!G13),UPPER(BENEFIT_DESIGN!G13)="NONE")),BENEFIT_DESIGN!G13,".")</f>
        <v>.</v>
      </c>
      <c r="L55" s="6" t="str">
        <f>IF(AND(E7,OR(ISNUMBER(BENEFIT_DESIGN!H13),UPPER(BENEFIT_DESIGN!H13)="NONE")),BENEFIT_DESIGN!H13,".")</f>
        <v>.</v>
      </c>
      <c r="M55" s="6" t="str">
        <f>IF(AND(F7,OR(UPPER(BENEFIT_DESIGN!I13)="YES",UPPER(BENEFIT_DESIGN!I13)="NO")),BENEFIT_DESIGN!I13,".")</f>
        <v>.</v>
      </c>
      <c r="N55" t="b">
        <f>VLOOKUP(A55,MATERNITY_SUMMARY!$B$6:$E$27,4,0)&gt;0</f>
        <v>0</v>
      </c>
      <c r="O55" t="b">
        <f>VLOOKUP(A55,DIABETES_SUMMARY!$B$6:$E$27,4,0)&gt;0</f>
        <v>0</v>
      </c>
      <c r="P55" t="b">
        <f>VLOOKUP(A55,FRACTURE_SUMMARY!$B$6:$E$27,4,0)&gt;0</f>
        <v>1</v>
      </c>
      <c r="Q55" s="317"/>
    </row>
    <row r="56" spans="1:17" x14ac:dyDescent="0.25">
      <c r="A56" s="1" t="str">
        <f>BENEFIT_DESIGN!B14</f>
        <v>Professional Services: Primary Care</v>
      </c>
      <c r="B56" t="str">
        <f>BENEFIT_DESIGN!C14</f>
        <v>Not Covered</v>
      </c>
      <c r="C56" s="5" t="str">
        <f>IF(AND(G8,ISNUMBER(BENEFIT_DESIGN!$C$32)),BENEFIT_DESIGN!$C$32,".")</f>
        <v>.</v>
      </c>
      <c r="D56" s="5" t="str">
        <f>IF(AND(H8,ISNUMBER(BENEFIT_DESIGN!$C$33)),BENEFIT_DESIGN!$C$33,".")</f>
        <v>.</v>
      </c>
      <c r="E56" s="5" t="str">
        <f>IF(AND(I8,ISNUMBER(BENEFIT_DESIGN!$C$34)),BENEFIT_DESIGN!$C$34,".")</f>
        <v>.</v>
      </c>
      <c r="F56" s="5" t="str">
        <f>IF(AND(J8,ISNUMBER(BENEFIT_DESIGN!$C$35)),BENEFIT_DESIGN!$C$35,".")</f>
        <v>.</v>
      </c>
      <c r="G56" s="5" t="str">
        <f>IF(AND(F8,OR(ISNUMBER(BENEFIT_DESIGN!$C$36),BENEFIT_DESIGN!$C$36="None")),BENEFIT_DESIGN!$C$36,".")</f>
        <v>.</v>
      </c>
      <c r="H56" s="5" t="str">
        <f>IF(AND(K8,ISNUMBER(BENEFIT_DESIGN!D14)),BENEFIT_DESIGN!D14,".")</f>
        <v>.</v>
      </c>
      <c r="I56" s="5" t="str">
        <f>IF(AND(OR(L8,C77="Yes"),ISNUMBER(BENEFIT_DESIGN!E14)),BENEFIT_DESIGN!E14,".")</f>
        <v>.</v>
      </c>
      <c r="J56" s="8" t="str">
        <f>IF(AND(M8,ISNUMBER(BENEFIT_DESIGN!F14)),BENEFIT_DESIGN!F14,".")</f>
        <v>.</v>
      </c>
      <c r="K56" s="6" t="str">
        <f>IF(AND(D8,OR(ISNUMBER(BENEFIT_DESIGN!G14),UPPER(BENEFIT_DESIGN!G14)="NONE")),BENEFIT_DESIGN!G14,".")</f>
        <v>.</v>
      </c>
      <c r="L56" s="6" t="str">
        <f>IF(AND(E8,OR(ISNUMBER(BENEFIT_DESIGN!H14),UPPER(BENEFIT_DESIGN!H14)="NONE")),BENEFIT_DESIGN!H14,".")</f>
        <v>.</v>
      </c>
      <c r="M56" s="6" t="str">
        <f>IF(AND(F8,OR(UPPER(BENEFIT_DESIGN!I14)="YES",UPPER(BENEFIT_DESIGN!I14)="NO")),BENEFIT_DESIGN!I14,".")</f>
        <v>.</v>
      </c>
      <c r="N56" t="b">
        <f>VLOOKUP(A56,MATERNITY_SUMMARY!$B$6:$E$27,4,0)&gt;0</f>
        <v>0</v>
      </c>
      <c r="O56" t="b">
        <f>VLOOKUP(A56,DIABETES_SUMMARY!$B$6:$E$27,4,0)&gt;0</f>
        <v>1</v>
      </c>
      <c r="P56" t="b">
        <f>VLOOKUP(A56,FRACTURE_SUMMARY!$B$6:$E$27,4,0)&gt;0</f>
        <v>0</v>
      </c>
      <c r="Q56" s="317"/>
    </row>
    <row r="57" spans="1:17" x14ac:dyDescent="0.25">
      <c r="A57" s="1" t="str">
        <f>BENEFIT_DESIGN!B15</f>
        <v>Professional Services: Emergency Department</v>
      </c>
      <c r="B57" t="str">
        <f>BENEFIT_DESIGN!C15</f>
        <v>Not Covered</v>
      </c>
      <c r="C57" s="5" t="str">
        <f>IF(AND(G9,ISNUMBER(BENEFIT_DESIGN!$C$32)),BENEFIT_DESIGN!$C$32,".")</f>
        <v>.</v>
      </c>
      <c r="D57" s="5" t="str">
        <f>IF(AND(H9,ISNUMBER(BENEFIT_DESIGN!$C$33)),BENEFIT_DESIGN!$C$33,".")</f>
        <v>.</v>
      </c>
      <c r="E57" s="5" t="str">
        <f>IF(AND(I9,ISNUMBER(BENEFIT_DESIGN!$C$34)),BENEFIT_DESIGN!$C$34,".")</f>
        <v>.</v>
      </c>
      <c r="F57" s="5" t="str">
        <f>IF(AND(J9,ISNUMBER(BENEFIT_DESIGN!$C$35)),BENEFIT_DESIGN!$C$35,".")</f>
        <v>.</v>
      </c>
      <c r="G57" s="5" t="str">
        <f>IF(AND(F9,OR(ISNUMBER(BENEFIT_DESIGN!$C$36),BENEFIT_DESIGN!$C$36="None")),BENEFIT_DESIGN!$C$36,".")</f>
        <v>.</v>
      </c>
      <c r="H57" s="5" t="str">
        <f>IF(AND(K9,ISNUMBER(BENEFIT_DESIGN!D15)),BENEFIT_DESIGN!D15,".")</f>
        <v>.</v>
      </c>
      <c r="I57" s="5" t="str">
        <f>IF(AND(L9,ISNUMBER(BENEFIT_DESIGN!E15)),BENEFIT_DESIGN!E15,".")</f>
        <v>.</v>
      </c>
      <c r="J57" s="8" t="str">
        <f>IF(AND(M9,ISNUMBER(BENEFIT_DESIGN!F15)),BENEFIT_DESIGN!F15,".")</f>
        <v>.</v>
      </c>
      <c r="K57" s="6" t="str">
        <f>IF(AND(D9,OR(ISNUMBER(BENEFIT_DESIGN!G15),UPPER(BENEFIT_DESIGN!G15)="NONE")),BENEFIT_DESIGN!G15,".")</f>
        <v>.</v>
      </c>
      <c r="L57" s="6" t="str">
        <f>IF(AND(E9,OR(ISNUMBER(BENEFIT_DESIGN!H15),UPPER(BENEFIT_DESIGN!H15)="NONE")),BENEFIT_DESIGN!H15,".")</f>
        <v>.</v>
      </c>
      <c r="M57" s="6" t="str">
        <f>IF(AND(F9,OR(UPPER(BENEFIT_DESIGN!I15)="YES",UPPER(BENEFIT_DESIGN!I15)="NO")),BENEFIT_DESIGN!I15,".")</f>
        <v>.</v>
      </c>
      <c r="N57" t="b">
        <f>VLOOKUP(A57,MATERNITY_SUMMARY!$B$6:$E$27,4,0)&gt;0</f>
        <v>0</v>
      </c>
      <c r="O57" t="b">
        <f>VLOOKUP(A57,DIABETES_SUMMARY!$B$6:$E$27,4,0)&gt;0</f>
        <v>0</v>
      </c>
      <c r="P57" t="b">
        <f>VLOOKUP(A57,FRACTURE_SUMMARY!$B$6:$E$27,4,0)&gt;0</f>
        <v>1</v>
      </c>
      <c r="Q57" s="317"/>
    </row>
    <row r="58" spans="1:17" x14ac:dyDescent="0.25">
      <c r="A58" s="1" t="str">
        <f>BENEFIT_DESIGN!B16</f>
        <v>Professional Services: Inpatient</v>
      </c>
      <c r="B58" t="str">
        <f>BENEFIT_DESIGN!C16</f>
        <v>Not Covered</v>
      </c>
      <c r="C58" s="5" t="str">
        <f>IF(AND(G10,ISNUMBER(BENEFIT_DESIGN!$C$32)),BENEFIT_DESIGN!$C$32,".")</f>
        <v>.</v>
      </c>
      <c r="D58" s="5" t="str">
        <f>IF(AND(H10,ISNUMBER(BENEFIT_DESIGN!$C$33)),BENEFIT_DESIGN!$C$33,".")</f>
        <v>.</v>
      </c>
      <c r="E58" s="5" t="str">
        <f>IF(AND(I10,ISNUMBER(BENEFIT_DESIGN!$C$34)),BENEFIT_DESIGN!$C$34,".")</f>
        <v>.</v>
      </c>
      <c r="F58" s="5" t="str">
        <f>IF(AND(J10,ISNUMBER(BENEFIT_DESIGN!$C$35)),BENEFIT_DESIGN!$C$35,".")</f>
        <v>.</v>
      </c>
      <c r="G58" s="5" t="str">
        <f>IF(AND(F10,OR(ISNUMBER(BENEFIT_DESIGN!$C$36),BENEFIT_DESIGN!$C$36="None")),BENEFIT_DESIGN!$C$36,".")</f>
        <v>.</v>
      </c>
      <c r="H58" s="5" t="str">
        <f>IF(AND(K10,ISNUMBER(BENEFIT_DESIGN!D16)),BENEFIT_DESIGN!D16,".")</f>
        <v>.</v>
      </c>
      <c r="I58" s="5" t="str">
        <f>IF(AND(L10,ISNUMBER(BENEFIT_DESIGN!E16)),BENEFIT_DESIGN!E16,".")</f>
        <v>.</v>
      </c>
      <c r="J58" s="8" t="str">
        <f>IF(AND(M10,ISNUMBER(BENEFIT_DESIGN!F16)),BENEFIT_DESIGN!F16,".")</f>
        <v>.</v>
      </c>
      <c r="K58" s="6" t="str">
        <f>IF(AND(D10,OR(ISNUMBER(BENEFIT_DESIGN!G16),UPPER(BENEFIT_DESIGN!G16)="NONE")),BENEFIT_DESIGN!G16,".")</f>
        <v>.</v>
      </c>
      <c r="L58" s="6" t="str">
        <f>IF(AND(E10,OR(ISNUMBER(BENEFIT_DESIGN!H16),UPPER(BENEFIT_DESIGN!H16)="NONE")),BENEFIT_DESIGN!H16,".")</f>
        <v>.</v>
      </c>
      <c r="M58" s="6" t="str">
        <f>IF(AND(F10,OR(UPPER(BENEFIT_DESIGN!I16)="YES",UPPER(BENEFIT_DESIGN!I16)="NO")),BENEFIT_DESIGN!I16,".")</f>
        <v>.</v>
      </c>
      <c r="N58" t="b">
        <f>VLOOKUP(A58,MATERNITY_SUMMARY!$B$6:$E$27,4,0)&gt;0</f>
        <v>1</v>
      </c>
      <c r="O58" t="b">
        <f>VLOOKUP(A58,DIABETES_SUMMARY!$B$6:$E$27,4,0)&gt;0</f>
        <v>0</v>
      </c>
      <c r="P58" t="b">
        <f>VLOOKUP(A58,FRACTURE_SUMMARY!$B$6:$E$27,4,0)&gt;0</f>
        <v>0</v>
      </c>
      <c r="Q58" s="317"/>
    </row>
    <row r="59" spans="1:17" x14ac:dyDescent="0.25">
      <c r="A59" s="1" t="str">
        <f>BENEFIT_DESIGN!B17</f>
        <v>Professional Services: Specialist</v>
      </c>
      <c r="B59" t="str">
        <f>BENEFIT_DESIGN!C17</f>
        <v>Not Covered</v>
      </c>
      <c r="C59" s="5" t="str">
        <f>IF(AND(G11,ISNUMBER(BENEFIT_DESIGN!$C$32)),BENEFIT_DESIGN!$C$32,".")</f>
        <v>.</v>
      </c>
      <c r="D59" s="5" t="str">
        <f>IF(AND(H11,ISNUMBER(BENEFIT_DESIGN!$C$33)),BENEFIT_DESIGN!$C$33,".")</f>
        <v>.</v>
      </c>
      <c r="E59" s="5" t="str">
        <f>IF(AND(I11,ISNUMBER(BENEFIT_DESIGN!$C$34)),BENEFIT_DESIGN!$C$34,".")</f>
        <v>.</v>
      </c>
      <c r="F59" s="5" t="str">
        <f>IF(AND(J11,ISNUMBER(BENEFIT_DESIGN!$C$35)),BENEFIT_DESIGN!$C$35,".")</f>
        <v>.</v>
      </c>
      <c r="G59" s="5" t="str">
        <f>IF(AND(F11,OR(ISNUMBER(BENEFIT_DESIGN!$C$36),BENEFIT_DESIGN!$C$36="None")),BENEFIT_DESIGN!$C$36,".")</f>
        <v>.</v>
      </c>
      <c r="H59" s="5" t="str">
        <f>IF(AND(K11,ISNUMBER(BENEFIT_DESIGN!D17)),BENEFIT_DESIGN!D17,".")</f>
        <v>.</v>
      </c>
      <c r="I59" s="5" t="str">
        <f>IF(AND(L11,ISNUMBER(BENEFIT_DESIGN!E17)),BENEFIT_DESIGN!E17,".")</f>
        <v>.</v>
      </c>
      <c r="J59" s="8" t="str">
        <f>IF(AND(M11,ISNUMBER(BENEFIT_DESIGN!F17)),BENEFIT_DESIGN!F17,".")</f>
        <v>.</v>
      </c>
      <c r="K59" s="6" t="str">
        <f>IF(AND(D11,OR(ISNUMBER(BENEFIT_DESIGN!G17),UPPER(BENEFIT_DESIGN!G17)="NONE")),BENEFIT_DESIGN!G17,".")</f>
        <v>.</v>
      </c>
      <c r="L59" s="6" t="str">
        <f>IF(AND(E11,OR(ISNUMBER(BENEFIT_DESIGN!H17),UPPER(BENEFIT_DESIGN!H17)="NONE")),BENEFIT_DESIGN!H17,".")</f>
        <v>.</v>
      </c>
      <c r="M59" s="6" t="str">
        <f>IF(AND(F11,OR(UPPER(BENEFIT_DESIGN!I17)="YES",UPPER(BENEFIT_DESIGN!I17)="NO")),BENEFIT_DESIGN!I17,".")</f>
        <v>.</v>
      </c>
      <c r="N59" t="b">
        <f>VLOOKUP(A59,MATERNITY_SUMMARY!$B$6:$E$27,4,0)&gt;0</f>
        <v>0</v>
      </c>
      <c r="O59" t="b">
        <f>VLOOKUP(A59,DIABETES_SUMMARY!$B$6:$E$27,4,0)&gt;0</f>
        <v>1</v>
      </c>
      <c r="P59" t="b">
        <f>VLOOKUP(A59,FRACTURE_SUMMARY!$B$6:$E$27,4,0)&gt;0</f>
        <v>1</v>
      </c>
      <c r="Q59" s="317"/>
    </row>
    <row r="60" spans="1:17" x14ac:dyDescent="0.25">
      <c r="A60" s="1" t="str">
        <f>BENEFIT_DESIGN!B18</f>
        <v>Professional Services: Obstetric Care (Bundled)</v>
      </c>
      <c r="B60" t="str">
        <f>BENEFIT_DESIGN!C18</f>
        <v>Not Covered</v>
      </c>
      <c r="C60" s="5" t="str">
        <f>IF(AND(G12,ISNUMBER(BENEFIT_DESIGN!$C$32)),BENEFIT_DESIGN!$C$32,".")</f>
        <v>.</v>
      </c>
      <c r="D60" s="5" t="str">
        <f>IF(AND(H12,ISNUMBER(BENEFIT_DESIGN!$C$33)),BENEFIT_DESIGN!$C$33,".")</f>
        <v>.</v>
      </c>
      <c r="E60" s="5" t="str">
        <f>IF(AND(I12,ISNUMBER(BENEFIT_DESIGN!$C$34)),BENEFIT_DESIGN!$C$34,".")</f>
        <v>.</v>
      </c>
      <c r="F60" s="5" t="str">
        <f>IF(AND(J12,ISNUMBER(BENEFIT_DESIGN!$C$35)),BENEFIT_DESIGN!$C$35,".")</f>
        <v>.</v>
      </c>
      <c r="G60" s="5" t="str">
        <f>IF(AND(F12,OR(ISNUMBER(BENEFIT_DESIGN!$C$36),BENEFIT_DESIGN!$C$36="None")),BENEFIT_DESIGN!$C$36,".")</f>
        <v>.</v>
      </c>
      <c r="H60" s="5" t="str">
        <f>IF(AND(K12,ISNUMBER(BENEFIT_DESIGN!D18)),BENEFIT_DESIGN!D18,".")</f>
        <v>.</v>
      </c>
      <c r="I60" s="5" t="str">
        <f>IF(AND(L12,ISNUMBER(BENEFIT_DESIGN!E18)),BENEFIT_DESIGN!E18,".")</f>
        <v>.</v>
      </c>
      <c r="J60" s="8" t="str">
        <f>IF(AND(M12,ISNUMBER(BENEFIT_DESIGN!F18)),BENEFIT_DESIGN!F18,".")</f>
        <v>.</v>
      </c>
      <c r="K60" s="6" t="str">
        <f>IF(AND(D12,OR(ISNUMBER(BENEFIT_DESIGN!G18),UPPER(BENEFIT_DESIGN!G18)="NONE")),BENEFIT_DESIGN!G18,".")</f>
        <v>.</v>
      </c>
      <c r="L60" s="6" t="str">
        <f>IF(AND(E12,OR(ISNUMBER(BENEFIT_DESIGN!H18),UPPER(BENEFIT_DESIGN!H18)="NONE")),BENEFIT_DESIGN!H18,".")</f>
        <v>.</v>
      </c>
      <c r="M60" s="6" t="str">
        <f>IF(AND(F12,OR(UPPER(BENEFIT_DESIGN!I18)="YES",UPPER(BENEFIT_DESIGN!I18)="NO")),BENEFIT_DESIGN!I18,".")</f>
        <v>.</v>
      </c>
      <c r="N60" t="b">
        <f>VLOOKUP(A60,MATERNITY_SUMMARY!$B$6:$E$27,4,0)&gt;0</f>
        <v>1</v>
      </c>
      <c r="O60" t="b">
        <f>VLOOKUP(A60,DIABETES_SUMMARY!$B$6:$E$27,4,0)&gt;0</f>
        <v>0</v>
      </c>
      <c r="P60" t="b">
        <f>VLOOKUP(A60,FRACTURE_SUMMARY!$B$6:$E$27,4,0)&gt;0</f>
        <v>0</v>
      </c>
      <c r="Q60" s="317"/>
    </row>
    <row r="61" spans="1:17" x14ac:dyDescent="0.25">
      <c r="A61" s="1" t="str">
        <f>BENEFIT_DESIGN!B19</f>
        <v>Professional Services: Procedures &amp; Other</v>
      </c>
      <c r="B61" t="str">
        <f>BENEFIT_DESIGN!C19</f>
        <v>Not Covered</v>
      </c>
      <c r="C61" s="5" t="str">
        <f>IF(AND(G13,ISNUMBER(BENEFIT_DESIGN!$C$32)),BENEFIT_DESIGN!$C$32,".")</f>
        <v>.</v>
      </c>
      <c r="D61" s="5" t="str">
        <f>IF(AND(H13,ISNUMBER(BENEFIT_DESIGN!$C$33)),BENEFIT_DESIGN!$C$33,".")</f>
        <v>.</v>
      </c>
      <c r="E61" s="5" t="str">
        <f>IF(AND(I13,ISNUMBER(BENEFIT_DESIGN!$C$34)),BENEFIT_DESIGN!$C$34,".")</f>
        <v>.</v>
      </c>
      <c r="F61" s="5" t="str">
        <f>IF(AND(J13,ISNUMBER(BENEFIT_DESIGN!$C$35)),BENEFIT_DESIGN!$C$35,".")</f>
        <v>.</v>
      </c>
      <c r="G61" s="5" t="str">
        <f>IF(AND(F13,OR(ISNUMBER(BENEFIT_DESIGN!$C$36),BENEFIT_DESIGN!$C$36="None")),BENEFIT_DESIGN!$C$36,".")</f>
        <v>.</v>
      </c>
      <c r="H61" s="5" t="str">
        <f>IF(AND(K13,ISNUMBER(BENEFIT_DESIGN!D19)),BENEFIT_DESIGN!D19,".")</f>
        <v>.</v>
      </c>
      <c r="I61" s="5" t="str">
        <f>IF(AND(L13,ISNUMBER(BENEFIT_DESIGN!E19)),BENEFIT_DESIGN!E19,".")</f>
        <v>.</v>
      </c>
      <c r="J61" s="8" t="str">
        <f>IF(AND(M13,ISNUMBER(BENEFIT_DESIGN!F19)),BENEFIT_DESIGN!F19,".")</f>
        <v>.</v>
      </c>
      <c r="K61" s="6" t="str">
        <f>IF(AND(D13,OR(ISNUMBER(BENEFIT_DESIGN!G19),UPPER(BENEFIT_DESIGN!G19)="NONE")),BENEFIT_DESIGN!G19,".")</f>
        <v>.</v>
      </c>
      <c r="L61" s="6" t="str">
        <f>IF(AND(E13,OR(ISNUMBER(BENEFIT_DESIGN!H19),UPPER(BENEFIT_DESIGN!H19)="NONE")),BENEFIT_DESIGN!H19,".")</f>
        <v>.</v>
      </c>
      <c r="M61" s="6" t="str">
        <f>IF(AND(F13,OR(UPPER(BENEFIT_DESIGN!I19)="YES",UPPER(BENEFIT_DESIGN!I19)="NO")),BENEFIT_DESIGN!I19,".")</f>
        <v>.</v>
      </c>
      <c r="N61" t="b">
        <f>VLOOKUP(A61,MATERNITY_SUMMARY!$B$6:$E$27,4,0)&gt;0</f>
        <v>0</v>
      </c>
      <c r="O61" t="b">
        <f>VLOOKUP(A61,DIABETES_SUMMARY!$B$6:$E$27,4,0)&gt;0</f>
        <v>0</v>
      </c>
      <c r="P61" t="b">
        <f>VLOOKUP(A61,FRACTURE_SUMMARY!$B$6:$E$27,4,0)&gt;0</f>
        <v>0</v>
      </c>
      <c r="Q61" s="317"/>
    </row>
    <row r="62" spans="1:17" x14ac:dyDescent="0.25">
      <c r="A62" s="1" t="str">
        <f>BENEFIT_DESIGN!B20</f>
        <v>Professional Services: Physical Therapy</v>
      </c>
      <c r="B62" t="str">
        <f>BENEFIT_DESIGN!C20</f>
        <v>Not Covered</v>
      </c>
      <c r="C62" s="5" t="str">
        <f>IF(AND(G14,ISNUMBER(BENEFIT_DESIGN!$C$32)),BENEFIT_DESIGN!$C$32,".")</f>
        <v>.</v>
      </c>
      <c r="D62" s="5" t="str">
        <f>IF(AND(H14,ISNUMBER(BENEFIT_DESIGN!$C$33)),BENEFIT_DESIGN!$C$33,".")</f>
        <v>.</v>
      </c>
      <c r="E62" s="5" t="str">
        <f>IF(AND(I14,ISNUMBER(BENEFIT_DESIGN!$C$34)),BENEFIT_DESIGN!$C$34,".")</f>
        <v>.</v>
      </c>
      <c r="F62" s="5" t="str">
        <f>IF(AND(J14,ISNUMBER(BENEFIT_DESIGN!$C$35)),BENEFIT_DESIGN!$C$35,".")</f>
        <v>.</v>
      </c>
      <c r="G62" s="5" t="str">
        <f>IF(AND(F14,OR(ISNUMBER(BENEFIT_DESIGN!$C$36),BENEFIT_DESIGN!$C$36="None")),BENEFIT_DESIGN!$C$36,".")</f>
        <v>.</v>
      </c>
      <c r="H62" s="5" t="str">
        <f>IF(AND(K14,ISNUMBER(BENEFIT_DESIGN!D20)),BENEFIT_DESIGN!D20,".")</f>
        <v>.</v>
      </c>
      <c r="I62" s="5" t="str">
        <f>IF(AND(L14,ISNUMBER(BENEFIT_DESIGN!E20)),BENEFIT_DESIGN!E20,".")</f>
        <v>.</v>
      </c>
      <c r="J62" s="8" t="str">
        <f>IF(AND(M14,ISNUMBER(BENEFIT_DESIGN!F20)),BENEFIT_DESIGN!F20,".")</f>
        <v>.</v>
      </c>
      <c r="K62" s="6" t="str">
        <f>IF(AND(D14,OR(ISNUMBER(BENEFIT_DESIGN!G20),UPPER(BENEFIT_DESIGN!G20)="NONE")),BENEFIT_DESIGN!G20,".")</f>
        <v>.</v>
      </c>
      <c r="L62" s="6" t="str">
        <f>IF(AND(E14,OR(ISNUMBER(BENEFIT_DESIGN!H20),UPPER(BENEFIT_DESIGN!H20)="NONE")),BENEFIT_DESIGN!H20,".")</f>
        <v>.</v>
      </c>
      <c r="M62" s="6" t="str">
        <f>IF(AND(F14,OR(UPPER(BENEFIT_DESIGN!I20)="YES",UPPER(BENEFIT_DESIGN!I20)="NO")),BENEFIT_DESIGN!I20,".")</f>
        <v>.</v>
      </c>
      <c r="N62" t="b">
        <f>VLOOKUP(A62,MATERNITY_SUMMARY!$B$6:$E$27,4,0)&gt;0</f>
        <v>0</v>
      </c>
      <c r="O62" t="b">
        <f>VLOOKUP(A62,DIABETES_SUMMARY!$B$6:$E$27,4,0)&gt;0</f>
        <v>0</v>
      </c>
      <c r="P62" t="b">
        <f>VLOOKUP(A62,FRACTURE_SUMMARY!$B$6:$E$27,4,0)&gt;0</f>
        <v>1</v>
      </c>
      <c r="Q62" s="317"/>
    </row>
    <row r="63" spans="1:17" x14ac:dyDescent="0.25">
      <c r="A63" s="1" t="str">
        <f>BENEFIT_DESIGN!B21</f>
        <v>Diagnostic Services: Radiology</v>
      </c>
      <c r="B63" t="str">
        <f>BENEFIT_DESIGN!C21</f>
        <v>Not Covered</v>
      </c>
      <c r="C63" s="5" t="str">
        <f>IF(AND(G15,ISNUMBER(BENEFIT_DESIGN!$C$32)),BENEFIT_DESIGN!$C$32,".")</f>
        <v>.</v>
      </c>
      <c r="D63" s="5" t="str">
        <f>IF(AND(H15,ISNUMBER(BENEFIT_DESIGN!$C$33)),BENEFIT_DESIGN!$C$33,".")</f>
        <v>.</v>
      </c>
      <c r="E63" s="5" t="str">
        <f>IF(AND(I15,ISNUMBER(BENEFIT_DESIGN!$C$34)),BENEFIT_DESIGN!$C$34,".")</f>
        <v>.</v>
      </c>
      <c r="F63" s="5" t="str">
        <f>IF(AND(J15,ISNUMBER(BENEFIT_DESIGN!$C$35)),BENEFIT_DESIGN!$C$35,".")</f>
        <v>.</v>
      </c>
      <c r="G63" s="5" t="str">
        <f>IF(AND(F15,OR(ISNUMBER(BENEFIT_DESIGN!$C$36),BENEFIT_DESIGN!$C$36="None")),BENEFIT_DESIGN!$C$36,".")</f>
        <v>.</v>
      </c>
      <c r="H63" s="5" t="str">
        <f>IF(AND(K15,ISNUMBER(BENEFIT_DESIGN!D21)),BENEFIT_DESIGN!D21,".")</f>
        <v>.</v>
      </c>
      <c r="I63" s="5" t="str">
        <f>IF(AND(L15,ISNUMBER(BENEFIT_DESIGN!E21)),BENEFIT_DESIGN!E21,".")</f>
        <v>.</v>
      </c>
      <c r="J63" s="8" t="str">
        <f>IF(AND(M15,ISNUMBER(BENEFIT_DESIGN!F21)),BENEFIT_DESIGN!F21,".")</f>
        <v>.</v>
      </c>
      <c r="K63" s="6" t="str">
        <f>IF(AND(D15,OR(ISNUMBER(BENEFIT_DESIGN!G21),UPPER(BENEFIT_DESIGN!G21)="NONE")),BENEFIT_DESIGN!G21,".")</f>
        <v>.</v>
      </c>
      <c r="L63" s="6" t="str">
        <f>IF(AND(E15,OR(ISNUMBER(BENEFIT_DESIGN!H21),UPPER(BENEFIT_DESIGN!H21)="NONE")),BENEFIT_DESIGN!H21,".")</f>
        <v>.</v>
      </c>
      <c r="M63" s="6" t="str">
        <f>IF(AND(F15,OR(UPPER(BENEFIT_DESIGN!I21)="YES",UPPER(BENEFIT_DESIGN!I21)="NO")),BENEFIT_DESIGN!I21,".")</f>
        <v>.</v>
      </c>
      <c r="N63" t="b">
        <f>VLOOKUP(A63,MATERNITY_SUMMARY!$B$6:$E$27,4,0)&gt;0</f>
        <v>1</v>
      </c>
      <c r="O63" t="b">
        <f>VLOOKUP(A63,DIABETES_SUMMARY!$B$6:$E$27,4,0)&gt;0</f>
        <v>0</v>
      </c>
      <c r="P63" t="b">
        <f>VLOOKUP(A63,FRACTURE_SUMMARY!$B$6:$E$27,4,0)&gt;0</f>
        <v>1</v>
      </c>
      <c r="Q63" s="317"/>
    </row>
    <row r="64" spans="1:17" x14ac:dyDescent="0.25">
      <c r="A64" s="1" t="str">
        <f>BENEFIT_DESIGN!B22</f>
        <v>Diagnostic Services: Laboratory</v>
      </c>
      <c r="B64" t="str">
        <f>BENEFIT_DESIGN!C22</f>
        <v>Not Covered</v>
      </c>
      <c r="C64" s="5" t="str">
        <f>IF(AND(G16,ISNUMBER(BENEFIT_DESIGN!$C$32)),BENEFIT_DESIGN!$C$32,".")</f>
        <v>.</v>
      </c>
      <c r="D64" s="5" t="str">
        <f>IF(AND(H16,ISNUMBER(BENEFIT_DESIGN!$C$33)),BENEFIT_DESIGN!$C$33,".")</f>
        <v>.</v>
      </c>
      <c r="E64" s="5" t="str">
        <f>IF(AND(I16,ISNUMBER(BENEFIT_DESIGN!$C$34)),BENEFIT_DESIGN!$C$34,".")</f>
        <v>.</v>
      </c>
      <c r="F64" s="5" t="str">
        <f>IF(AND(J16,ISNUMBER(BENEFIT_DESIGN!$C$35)),BENEFIT_DESIGN!$C$35,".")</f>
        <v>.</v>
      </c>
      <c r="G64" s="5" t="str">
        <f>IF(AND(F16,OR(ISNUMBER(BENEFIT_DESIGN!$C$36),BENEFIT_DESIGN!$C$36="None")),BENEFIT_DESIGN!$C$36,".")</f>
        <v>.</v>
      </c>
      <c r="H64" s="5" t="str">
        <f>IF(AND(K16,ISNUMBER(BENEFIT_DESIGN!D22)),BENEFIT_DESIGN!D22,".")</f>
        <v>.</v>
      </c>
      <c r="I64" s="5" t="str">
        <f>IF(AND(L16,ISNUMBER(BENEFIT_DESIGN!E22)),BENEFIT_DESIGN!E22,".")</f>
        <v>.</v>
      </c>
      <c r="J64" s="8" t="str">
        <f>IF(AND(M16,ISNUMBER(BENEFIT_DESIGN!F22)),BENEFIT_DESIGN!F22,".")</f>
        <v>.</v>
      </c>
      <c r="K64" s="6" t="str">
        <f>IF(AND(D16,OR(ISNUMBER(BENEFIT_DESIGN!G22),UPPER(BENEFIT_DESIGN!G22)="NONE")),BENEFIT_DESIGN!G22,".")</f>
        <v>.</v>
      </c>
      <c r="L64" s="6" t="str">
        <f>IF(AND(E16,OR(ISNUMBER(BENEFIT_DESIGN!H22),UPPER(BENEFIT_DESIGN!H22)="NONE")),BENEFIT_DESIGN!H22,".")</f>
        <v>.</v>
      </c>
      <c r="M64" s="6" t="str">
        <f>IF(AND(F16,OR(UPPER(BENEFIT_DESIGN!I22)="YES",UPPER(BENEFIT_DESIGN!I22)="NO")),BENEFIT_DESIGN!I22,".")</f>
        <v>.</v>
      </c>
      <c r="N64" t="b">
        <f>VLOOKUP(A64,MATERNITY_SUMMARY!$B$6:$E$27,4,0)&gt;0</f>
        <v>1</v>
      </c>
      <c r="O64" t="b">
        <f>VLOOKUP(A64,DIABETES_SUMMARY!$B$6:$E$27,4,0)&gt;0</f>
        <v>1</v>
      </c>
      <c r="P64" t="b">
        <f>VLOOKUP(A64,FRACTURE_SUMMARY!$B$6:$E$27,4,0)&gt;0</f>
        <v>0</v>
      </c>
      <c r="Q64" s="317"/>
    </row>
    <row r="65" spans="1:17" x14ac:dyDescent="0.25">
      <c r="A65" s="1" t="str">
        <f>BENEFIT_DESIGN!B23</f>
        <v>Prescription Drugs: Generic</v>
      </c>
      <c r="B65" t="str">
        <f>BENEFIT_DESIGN!C23</f>
        <v>Not Covered</v>
      </c>
      <c r="C65" s="5" t="str">
        <f>IF(AND(G17,ISNUMBER(BENEFIT_DESIGN!$C$32)),BENEFIT_DESIGN!$C$32,".")</f>
        <v>.</v>
      </c>
      <c r="D65" s="5" t="str">
        <f>IF(AND(H17,ISNUMBER(BENEFIT_DESIGN!$C$33)),BENEFIT_DESIGN!$C$33,".")</f>
        <v>.</v>
      </c>
      <c r="E65" s="5" t="str">
        <f>IF(AND(I17,ISNUMBER(BENEFIT_DESIGN!$C$34)),BENEFIT_DESIGN!$C$34,".")</f>
        <v>.</v>
      </c>
      <c r="F65" s="5" t="str">
        <f>IF(AND(J17,ISNUMBER(BENEFIT_DESIGN!$C$35)),BENEFIT_DESIGN!$C$35,".")</f>
        <v>.</v>
      </c>
      <c r="G65" s="5" t="str">
        <f>IF(AND(F17,OR(ISNUMBER(BENEFIT_DESIGN!$C$36),BENEFIT_DESIGN!$C$36="None")),BENEFIT_DESIGN!$C$36,".")</f>
        <v>.</v>
      </c>
      <c r="H65" s="5" t="str">
        <f>IF(AND(K17,ISNUMBER(BENEFIT_DESIGN!D23)),BENEFIT_DESIGN!D23,".")</f>
        <v>.</v>
      </c>
      <c r="I65" s="5" t="str">
        <f>IF(AND(L17,ISNUMBER(BENEFIT_DESIGN!E23)),BENEFIT_DESIGN!E23,".")</f>
        <v>.</v>
      </c>
      <c r="J65" s="8" t="str">
        <f>IF(AND(M17,ISNUMBER(BENEFIT_DESIGN!F23)),BENEFIT_DESIGN!F23,".")</f>
        <v>.</v>
      </c>
      <c r="K65" s="6" t="str">
        <f>IF(AND(D17,OR(ISNUMBER(BENEFIT_DESIGN!G23),UPPER(BENEFIT_DESIGN!G23)="NONE")),BENEFIT_DESIGN!G23,".")</f>
        <v>.</v>
      </c>
      <c r="L65" s="6" t="str">
        <f>IF(AND(E17,OR(ISNUMBER(BENEFIT_DESIGN!H23),UPPER(BENEFIT_DESIGN!H23)="NONE")),BENEFIT_DESIGN!H23,".")</f>
        <v>.</v>
      </c>
      <c r="M65" s="6" t="str">
        <f>IF(AND(F17,OR(UPPER(BENEFIT_DESIGN!I23)="YES",UPPER(BENEFIT_DESIGN!I23)="NO")),BENEFIT_DESIGN!I23,".")</f>
        <v>.</v>
      </c>
      <c r="N65" t="b">
        <f>VLOOKUP(A65,MATERNITY_SUMMARY!$B$6:$E$27,4,0)&gt;0</f>
        <v>1</v>
      </c>
      <c r="O65" t="b">
        <f>VLOOKUP(A65,DIABETES_SUMMARY!$B$6:$E$27,4,0)&gt;0</f>
        <v>1</v>
      </c>
      <c r="P65" t="b">
        <f>VLOOKUP(A65,FRACTURE_SUMMARY!$B$6:$E$27,4,0)&gt;0</f>
        <v>1</v>
      </c>
      <c r="Q65" s="317"/>
    </row>
    <row r="66" spans="1:17" x14ac:dyDescent="0.25">
      <c r="A66" s="1" t="str">
        <f>BENEFIT_DESIGN!B24</f>
        <v>Prescription Drugs: Branded</v>
      </c>
      <c r="B66" t="str">
        <f>BENEFIT_DESIGN!C24</f>
        <v>Not Covered</v>
      </c>
      <c r="C66" s="5" t="str">
        <f>IF(AND(G18,ISNUMBER(BENEFIT_DESIGN!$C$32)),BENEFIT_DESIGN!$C$32,".")</f>
        <v>.</v>
      </c>
      <c r="D66" s="5" t="str">
        <f>IF(AND(H18,ISNUMBER(BENEFIT_DESIGN!$C$33)),BENEFIT_DESIGN!$C$33,".")</f>
        <v>.</v>
      </c>
      <c r="E66" s="5" t="str">
        <f>IF(AND(I18,ISNUMBER(BENEFIT_DESIGN!$C$34)),BENEFIT_DESIGN!$C$34,".")</f>
        <v>.</v>
      </c>
      <c r="F66" s="5" t="str">
        <f>IF(AND(J18,ISNUMBER(BENEFIT_DESIGN!$C$35)),BENEFIT_DESIGN!$C$35,".")</f>
        <v>.</v>
      </c>
      <c r="G66" s="5" t="str">
        <f>IF(AND(F18,OR(ISNUMBER(BENEFIT_DESIGN!$C$36),BENEFIT_DESIGN!$C$36="None")),BENEFIT_DESIGN!$C$36,".")</f>
        <v>.</v>
      </c>
      <c r="H66" s="5" t="str">
        <f>IF(AND(K18,ISNUMBER(BENEFIT_DESIGN!D24)),BENEFIT_DESIGN!D24,".")</f>
        <v>.</v>
      </c>
      <c r="I66" s="5" t="str">
        <f>IF(AND(L18,ISNUMBER(BENEFIT_DESIGN!E24)),BENEFIT_DESIGN!E24,".")</f>
        <v>.</v>
      </c>
      <c r="J66" s="8" t="str">
        <f>IF(AND(M18,ISNUMBER(BENEFIT_DESIGN!F24)),BENEFIT_DESIGN!F24,".")</f>
        <v>.</v>
      </c>
      <c r="K66" s="6" t="str">
        <f>IF(AND(D18,OR(ISNUMBER(BENEFIT_DESIGN!G24),UPPER(BENEFIT_DESIGN!G24)="NONE")),BENEFIT_DESIGN!G24,".")</f>
        <v>.</v>
      </c>
      <c r="L66" s="6" t="str">
        <f>IF(AND(E18,OR(ISNUMBER(BENEFIT_DESIGN!H24),UPPER(BENEFIT_DESIGN!H24)="NONE")),BENEFIT_DESIGN!H24,".")</f>
        <v>.</v>
      </c>
      <c r="M66" s="6" t="str">
        <f>IF(AND(F18,OR(UPPER(BENEFIT_DESIGN!I24)="YES",UPPER(BENEFIT_DESIGN!I24)="NO")),BENEFIT_DESIGN!I24,".")</f>
        <v>.</v>
      </c>
      <c r="N66" t="b">
        <f>VLOOKUP(A66,MATERNITY_SUMMARY!$B$6:$E$27,4,0)&gt;0</f>
        <v>0</v>
      </c>
      <c r="O66" t="b">
        <f>VLOOKUP(A66,DIABETES_SUMMARY!$B$6:$E$27,4,0)&gt;0</f>
        <v>0</v>
      </c>
      <c r="P66" t="b">
        <f>VLOOKUP(A66,FRACTURE_SUMMARY!$B$6:$E$27,4,0)&gt;0</f>
        <v>0</v>
      </c>
      <c r="Q66" s="317"/>
    </row>
    <row r="67" spans="1:17" x14ac:dyDescent="0.25">
      <c r="A67" s="1" t="str">
        <f>BENEFIT_DESIGN!B25</f>
        <v>Prescription Drugs: Insulin</v>
      </c>
      <c r="B67" t="str">
        <f>BENEFIT_DESIGN!C25</f>
        <v>Not Covered</v>
      </c>
      <c r="C67" s="5" t="str">
        <f>IF(AND(G19,ISNUMBER(BENEFIT_DESIGN!$C$32)),BENEFIT_DESIGN!$C$32,".")</f>
        <v>.</v>
      </c>
      <c r="D67" s="5" t="str">
        <f>IF(AND(H19,ISNUMBER(BENEFIT_DESIGN!$C$33)),BENEFIT_DESIGN!$C$33,".")</f>
        <v>.</v>
      </c>
      <c r="E67" s="5" t="str">
        <f>IF(AND(I19,ISNUMBER(BENEFIT_DESIGN!$C$34)),BENEFIT_DESIGN!$C$34,".")</f>
        <v>.</v>
      </c>
      <c r="F67" s="5" t="str">
        <f>IF(AND(J19,ISNUMBER(BENEFIT_DESIGN!$C$35)),BENEFIT_DESIGN!$C$35,".")</f>
        <v>.</v>
      </c>
      <c r="G67" s="5" t="str">
        <f>IF(AND(F19,OR(ISNUMBER(BENEFIT_DESIGN!$C$36),BENEFIT_DESIGN!$C$36="None")),BENEFIT_DESIGN!$C$36,".")</f>
        <v>.</v>
      </c>
      <c r="H67" s="5" t="str">
        <f>IF(AND(K19,ISNUMBER(BENEFIT_DESIGN!D25)),BENEFIT_DESIGN!D25,".")</f>
        <v>.</v>
      </c>
      <c r="I67" s="5" t="str">
        <f>IF(AND(L19,ISNUMBER(BENEFIT_DESIGN!E25)),BENEFIT_DESIGN!E25,".")</f>
        <v>.</v>
      </c>
      <c r="J67" s="8" t="str">
        <f>IF(AND(M19,ISNUMBER(BENEFIT_DESIGN!F25)),BENEFIT_DESIGN!F25,".")</f>
        <v>.</v>
      </c>
      <c r="K67" s="6" t="str">
        <f>IF(AND(D19,OR(ISNUMBER(BENEFIT_DESIGN!G25),UPPER(BENEFIT_DESIGN!G25)="NONE")),BENEFIT_DESIGN!G25,".")</f>
        <v>.</v>
      </c>
      <c r="L67" s="6" t="str">
        <f>IF(AND(E19,OR(ISNUMBER(BENEFIT_DESIGN!H25),UPPER(BENEFIT_DESIGN!H25)="NONE")),BENEFIT_DESIGN!H25,".")</f>
        <v>.</v>
      </c>
      <c r="M67" s="6" t="str">
        <f>IF(AND(F19,OR(UPPER(BENEFIT_DESIGN!I25)="YES",UPPER(BENEFIT_DESIGN!I25)="NO")),BENEFIT_DESIGN!I25,".")</f>
        <v>.</v>
      </c>
      <c r="N67" t="b">
        <f>VLOOKUP(A67,MATERNITY_SUMMARY!$B$6:$E$27,4,0)&gt;0</f>
        <v>0</v>
      </c>
      <c r="O67" t="b">
        <f>VLOOKUP(A67,DIABETES_SUMMARY!$B$6:$E$27,4,0)&gt;0</f>
        <v>1</v>
      </c>
      <c r="P67" t="b">
        <f>VLOOKUP(A67,FRACTURE_SUMMARY!$B$6:$E$27,4,0)&gt;0</f>
        <v>0</v>
      </c>
      <c r="Q67" s="317"/>
    </row>
    <row r="68" spans="1:17" x14ac:dyDescent="0.25">
      <c r="A68" s="1" t="str">
        <f>BENEFIT_DESIGN!B26</f>
        <v>Over-the-counter Drugs</v>
      </c>
      <c r="B68" t="str">
        <f>BENEFIT_DESIGN!C26</f>
        <v>Not Covered</v>
      </c>
      <c r="C68" s="5" t="str">
        <f>IF(AND(G20,ISNUMBER(BENEFIT_DESIGN!$C$32)),BENEFIT_DESIGN!$C$32,".")</f>
        <v>.</v>
      </c>
      <c r="D68" s="5" t="str">
        <f>IF(AND(H20,ISNUMBER(BENEFIT_DESIGN!$C$33)),BENEFIT_DESIGN!$C$33,".")</f>
        <v>.</v>
      </c>
      <c r="E68" s="5" t="str">
        <f>IF(AND(I20,ISNUMBER(BENEFIT_DESIGN!$C$34)),BENEFIT_DESIGN!$C$34,".")</f>
        <v>.</v>
      </c>
      <c r="F68" s="5" t="str">
        <f>IF(AND(J20,ISNUMBER(BENEFIT_DESIGN!$C$35)),BENEFIT_DESIGN!$C$35,".")</f>
        <v>.</v>
      </c>
      <c r="G68" s="5" t="str">
        <f>IF(AND(F20,OR(ISNUMBER(BENEFIT_DESIGN!$C$36),BENEFIT_DESIGN!$C$36="None")),BENEFIT_DESIGN!$C$36,".")</f>
        <v>.</v>
      </c>
      <c r="H68" s="5" t="str">
        <f>IF(AND(K20,ISNUMBER(BENEFIT_DESIGN!D26)),BENEFIT_DESIGN!D26,".")</f>
        <v>.</v>
      </c>
      <c r="I68" s="5" t="str">
        <f>IF(AND(L20,ISNUMBER(BENEFIT_DESIGN!E26)),BENEFIT_DESIGN!E26,".")</f>
        <v>.</v>
      </c>
      <c r="J68" s="8" t="str">
        <f>IF(AND(M20,ISNUMBER(BENEFIT_DESIGN!F26)),BENEFIT_DESIGN!F26,".")</f>
        <v>.</v>
      </c>
      <c r="K68" s="6" t="str">
        <f>IF(AND(D20,OR(ISNUMBER(BENEFIT_DESIGN!G26),UPPER(BENEFIT_DESIGN!G26)="NONE")),BENEFIT_DESIGN!G26,".")</f>
        <v>.</v>
      </c>
      <c r="L68" s="6" t="str">
        <f>IF(AND(E20,OR(ISNUMBER(BENEFIT_DESIGN!H26),UPPER(BENEFIT_DESIGN!H26)="NONE")),BENEFIT_DESIGN!H26,".")</f>
        <v>.</v>
      </c>
      <c r="M68" s="6" t="str">
        <f>IF(AND(F20,OR(UPPER(BENEFIT_DESIGN!I26)="YES",UPPER(BENEFIT_DESIGN!I26)="NO")),BENEFIT_DESIGN!I26,".")</f>
        <v>.</v>
      </c>
      <c r="N68" t="b">
        <f>VLOOKUP(A68,MATERNITY_SUMMARY!$B$6:$E$27,4,0)&gt;0</f>
        <v>1</v>
      </c>
      <c r="O68" t="b">
        <f>VLOOKUP(A68,DIABETES_SUMMARY!$B$6:$E$27,4,0)&gt;0</f>
        <v>1</v>
      </c>
      <c r="P68" t="b">
        <f>VLOOKUP(A68,FRACTURE_SUMMARY!$B$6:$E$27,4,0)&gt;0</f>
        <v>0</v>
      </c>
      <c r="Q68" s="317"/>
    </row>
    <row r="69" spans="1:17" x14ac:dyDescent="0.25">
      <c r="A69" s="1" t="str">
        <f>BENEFIT_DESIGN!B27</f>
        <v>Preventive Services &amp; Vaccines</v>
      </c>
      <c r="B69" t="str">
        <f>BENEFIT_DESIGN!C27</f>
        <v>Not Covered</v>
      </c>
      <c r="C69" s="5" t="str">
        <f>IF(AND(G21,ISNUMBER(BENEFIT_DESIGN!$C$32)),BENEFIT_DESIGN!$C$32,".")</f>
        <v>.</v>
      </c>
      <c r="D69" s="5" t="str">
        <f>IF(AND(H21,ISNUMBER(BENEFIT_DESIGN!$C$33)),BENEFIT_DESIGN!$C$33,".")</f>
        <v>.</v>
      </c>
      <c r="E69" s="5" t="str">
        <f>IF(AND(I21,ISNUMBER(BENEFIT_DESIGN!$C$34)),BENEFIT_DESIGN!$C$34,".")</f>
        <v>.</v>
      </c>
      <c r="F69" s="5" t="str">
        <f>IF(AND(J21,ISNUMBER(BENEFIT_DESIGN!$C$35)),BENEFIT_DESIGN!$C$35,".")</f>
        <v>.</v>
      </c>
      <c r="G69" s="5" t="str">
        <f>IF(AND(F21,OR(ISNUMBER(BENEFIT_DESIGN!$C$36),BENEFIT_DESIGN!$C$36="None")),BENEFIT_DESIGN!$C$36,".")</f>
        <v>.</v>
      </c>
      <c r="H69" s="5" t="str">
        <f>IF(AND(K21,ISNUMBER(BENEFIT_DESIGN!D27)),BENEFIT_DESIGN!D27,".")</f>
        <v>.</v>
      </c>
      <c r="I69" s="5" t="str">
        <f>IF(AND(L21,ISNUMBER(BENEFIT_DESIGN!E27)),BENEFIT_DESIGN!E27,".")</f>
        <v>.</v>
      </c>
      <c r="J69" s="8" t="str">
        <f>IF(AND(M21,ISNUMBER(BENEFIT_DESIGN!F27)),BENEFIT_DESIGN!F27,".")</f>
        <v>.</v>
      </c>
      <c r="K69" s="6" t="str">
        <f>IF(AND(D21,OR(ISNUMBER(BENEFIT_DESIGN!G27),UPPER(BENEFIT_DESIGN!G27)="NONE")),BENEFIT_DESIGN!G27,".")</f>
        <v>.</v>
      </c>
      <c r="L69" s="6" t="str">
        <f>IF(AND(E21,OR(ISNUMBER(BENEFIT_DESIGN!H27),UPPER(BENEFIT_DESIGN!H27)="NONE")),BENEFIT_DESIGN!H27,".")</f>
        <v>.</v>
      </c>
      <c r="M69" s="6" t="str">
        <f>IF(AND(F21,OR(UPPER(BENEFIT_DESIGN!I27)="YES",UPPER(BENEFIT_DESIGN!I27)="NO")),BENEFIT_DESIGN!I27,".")</f>
        <v>.</v>
      </c>
      <c r="N69" t="b">
        <f>VLOOKUP(A69,MATERNITY_SUMMARY!$B$6:$E$27,4,0)&gt;0</f>
        <v>1</v>
      </c>
      <c r="O69" t="b">
        <f>VLOOKUP(A69,DIABETES_SUMMARY!$B$6:$E$27,4,0)&gt;0</f>
        <v>1</v>
      </c>
      <c r="P69" t="b">
        <f>VLOOKUP(A69,FRACTURE_SUMMARY!$B$6:$E$27,4,0)&gt;0</f>
        <v>0</v>
      </c>
      <c r="Q69" s="317"/>
    </row>
    <row r="70" spans="1:17" x14ac:dyDescent="0.25">
      <c r="A70" s="1" t="str">
        <f>BENEFIT_DESIGN!B28</f>
        <v>Durable Medical Equipment</v>
      </c>
      <c r="B70" t="str">
        <f>BENEFIT_DESIGN!C28</f>
        <v>Not Covered</v>
      </c>
      <c r="C70" s="5" t="str">
        <f>IF(AND(G22,ISNUMBER(BENEFIT_DESIGN!$C$32)),BENEFIT_DESIGN!$C$32,".")</f>
        <v>.</v>
      </c>
      <c r="D70" s="5" t="str">
        <f>IF(AND(H22,ISNUMBER(BENEFIT_DESIGN!$C$33)),BENEFIT_DESIGN!$C$33,".")</f>
        <v>.</v>
      </c>
      <c r="E70" s="5" t="str">
        <f>IF(AND(I22,ISNUMBER(BENEFIT_DESIGN!$C$34)),BENEFIT_DESIGN!$C$34,".")</f>
        <v>.</v>
      </c>
      <c r="F70" s="5" t="str">
        <f>IF(AND(J22,ISNUMBER(BENEFIT_DESIGN!$C$35)),BENEFIT_DESIGN!$C$35,".")</f>
        <v>.</v>
      </c>
      <c r="G70" s="5" t="str">
        <f>IF(AND(F22,OR(ISNUMBER(BENEFIT_DESIGN!$C$36),BENEFIT_DESIGN!$C$36="None")),BENEFIT_DESIGN!$C$36,".")</f>
        <v>.</v>
      </c>
      <c r="H70" s="5" t="str">
        <f>IF(AND(K22,ISNUMBER(BENEFIT_DESIGN!D28)),BENEFIT_DESIGN!D28,".")</f>
        <v>.</v>
      </c>
      <c r="I70" s="5" t="str">
        <f>IF(AND(L22,ISNUMBER(BENEFIT_DESIGN!E28)),BENEFIT_DESIGN!E28,".")</f>
        <v>.</v>
      </c>
      <c r="J70" s="8" t="str">
        <f>IF(AND(M22,ISNUMBER(BENEFIT_DESIGN!F28)),BENEFIT_DESIGN!F28,".")</f>
        <v>.</v>
      </c>
      <c r="K70" s="6" t="str">
        <f>IF(AND(D22,OR(ISNUMBER(BENEFIT_DESIGN!G28),UPPER(BENEFIT_DESIGN!G28)="NONE")),BENEFIT_DESIGN!G28,".")</f>
        <v>.</v>
      </c>
      <c r="L70" s="6" t="str">
        <f>IF(AND(E22,OR(ISNUMBER(BENEFIT_DESIGN!H28),UPPER(BENEFIT_DESIGN!H28)="NONE")),BENEFIT_DESIGN!H28,".")</f>
        <v>.</v>
      </c>
      <c r="M70" s="6" t="str">
        <f>IF(AND(F22,OR(UPPER(BENEFIT_DESIGN!I28)="YES",UPPER(BENEFIT_DESIGN!I28)="NO")),BENEFIT_DESIGN!I28,".")</f>
        <v>.</v>
      </c>
      <c r="N70" t="b">
        <f>VLOOKUP(A70,MATERNITY_SUMMARY!$B$6:$E$27,4,0)&gt;0</f>
        <v>0</v>
      </c>
      <c r="O70" t="b">
        <f>VLOOKUP(A70,DIABETES_SUMMARY!$B$6:$E$27,4,0)&gt;0</f>
        <v>0</v>
      </c>
      <c r="P70" t="b">
        <f>VLOOKUP(A70,FRACTURE_SUMMARY!$B$6:$E$27,4,0)&gt;0</f>
        <v>1</v>
      </c>
      <c r="Q70" s="317"/>
    </row>
    <row r="71" spans="1:17" x14ac:dyDescent="0.25">
      <c r="A71" s="1" t="str">
        <f>BENEFIT_DESIGN!B29</f>
        <v>Medical Supplies</v>
      </c>
      <c r="B71" t="str">
        <f>BENEFIT_DESIGN!C29</f>
        <v>Not Covered</v>
      </c>
      <c r="C71" s="5" t="str">
        <f>IF(AND(G23,ISNUMBER(BENEFIT_DESIGN!$C$32)),BENEFIT_DESIGN!$C$32,".")</f>
        <v>.</v>
      </c>
      <c r="D71" s="5" t="str">
        <f>IF(AND(H23,ISNUMBER(BENEFIT_DESIGN!$C$33)),BENEFIT_DESIGN!$C$33,".")</f>
        <v>.</v>
      </c>
      <c r="E71" s="5" t="str">
        <f>IF(AND(I23,ISNUMBER(BENEFIT_DESIGN!$C$34)),BENEFIT_DESIGN!$C$34,".")</f>
        <v>.</v>
      </c>
      <c r="F71" s="5" t="str">
        <f>IF(AND(J23,ISNUMBER(BENEFIT_DESIGN!$C$35)),BENEFIT_DESIGN!$C$35,".")</f>
        <v>.</v>
      </c>
      <c r="G71" s="5" t="str">
        <f>IF(AND(F23,OR(ISNUMBER(BENEFIT_DESIGN!$C$36),BENEFIT_DESIGN!$C$36="None")),BENEFIT_DESIGN!$C$36,".")</f>
        <v>.</v>
      </c>
      <c r="H71" s="5" t="str">
        <f>IF(AND(K23,ISNUMBER(BENEFIT_DESIGN!D29)),BENEFIT_DESIGN!D29,".")</f>
        <v>.</v>
      </c>
      <c r="I71" s="5" t="str">
        <f>IF(AND(L23,ISNUMBER(BENEFIT_DESIGN!E29)),BENEFIT_DESIGN!E29,".")</f>
        <v>.</v>
      </c>
      <c r="J71" s="8" t="str">
        <f>IF(AND(M23,ISNUMBER(BENEFIT_DESIGN!F29)),BENEFIT_DESIGN!F29,".")</f>
        <v>.</v>
      </c>
      <c r="K71" s="6" t="str">
        <f>IF(AND(D23,OR(ISNUMBER(BENEFIT_DESIGN!G29),UPPER(BENEFIT_DESIGN!G29)="NONE")),BENEFIT_DESIGN!G29,".")</f>
        <v>.</v>
      </c>
      <c r="L71" s="6" t="str">
        <f>IF(AND(E23,OR(ISNUMBER(BENEFIT_DESIGN!H29),UPPER(BENEFIT_DESIGN!H29)="NONE")),BENEFIT_DESIGN!H29,".")</f>
        <v>.</v>
      </c>
      <c r="M71" s="6" t="str">
        <f>IF(AND(F23,OR(UPPER(BENEFIT_DESIGN!I29)="YES",UPPER(BENEFIT_DESIGN!I29)="NO")),BENEFIT_DESIGN!I29,".")</f>
        <v>.</v>
      </c>
      <c r="N71" t="b">
        <f>VLOOKUP(A71,MATERNITY_SUMMARY!$B$6:$E$27,4,0)&gt;0</f>
        <v>0</v>
      </c>
      <c r="O71" t="b">
        <f>VLOOKUP(A71,DIABETES_SUMMARY!$B$6:$E$27,4,0)&gt;0</f>
        <v>1</v>
      </c>
      <c r="P71" t="b">
        <f>VLOOKUP(A71,FRACTURE_SUMMARY!$B$6:$E$27,4,0)&gt;0</f>
        <v>0</v>
      </c>
      <c r="Q71" s="317"/>
    </row>
    <row r="72" spans="1:17" x14ac:dyDescent="0.25">
      <c r="A72" s="1" t="str">
        <f>BENEFIT_DESIGN!B30</f>
        <v>Over-the-counter Medical Supplies</v>
      </c>
      <c r="B72" t="str">
        <f>BENEFIT_DESIGN!C30</f>
        <v>Not Covered</v>
      </c>
      <c r="C72" s="5" t="str">
        <f>IF(AND(G24,ISNUMBER(BENEFIT_DESIGN!$C$32)),BENEFIT_DESIGN!$C$32,".")</f>
        <v>.</v>
      </c>
      <c r="D72" s="5" t="str">
        <f>IF(AND(H24,ISNUMBER(BENEFIT_DESIGN!$C$33)),BENEFIT_DESIGN!$C$33,".")</f>
        <v>.</v>
      </c>
      <c r="E72" s="5" t="str">
        <f>IF(AND(I24,ISNUMBER(BENEFIT_DESIGN!$C$34)),BENEFIT_DESIGN!$C$34,".")</f>
        <v>.</v>
      </c>
      <c r="F72" s="5" t="str">
        <f>IF(AND(J24,ISNUMBER(BENEFIT_DESIGN!$C$35)),BENEFIT_DESIGN!$C$35,".")</f>
        <v>.</v>
      </c>
      <c r="G72" s="5" t="str">
        <f>IF(AND(F24,OR(ISNUMBER(BENEFIT_DESIGN!$C$36),BENEFIT_DESIGN!$C$36="None")),BENEFIT_DESIGN!$C$36,".")</f>
        <v>.</v>
      </c>
      <c r="H72" s="5" t="str">
        <f>IF(AND(K24,ISNUMBER(BENEFIT_DESIGN!D30)),BENEFIT_DESIGN!D30,".")</f>
        <v>.</v>
      </c>
      <c r="I72" s="5" t="str">
        <f>IF(AND(L24,ISNUMBER(BENEFIT_DESIGN!E30)),BENEFIT_DESIGN!E30,".")</f>
        <v>.</v>
      </c>
      <c r="J72" s="8" t="str">
        <f>IF(AND(M24,ISNUMBER(BENEFIT_DESIGN!F30)),BENEFIT_DESIGN!F30,".")</f>
        <v>.</v>
      </c>
      <c r="K72" s="6" t="str">
        <f>IF(AND(D24,OR(ISNUMBER(BENEFIT_DESIGN!G30),UPPER(BENEFIT_DESIGN!G30)="NONE")),BENEFIT_DESIGN!G30,".")</f>
        <v>.</v>
      </c>
      <c r="L72" s="6" t="str">
        <f>IF(AND(E24,OR(ISNUMBER(BENEFIT_DESIGN!H30),UPPER(BENEFIT_DESIGN!H30)="NONE")),BENEFIT_DESIGN!H30,".")</f>
        <v>.</v>
      </c>
      <c r="M72" s="6" t="str">
        <f>IF(AND(F24,OR(UPPER(BENEFIT_DESIGN!I30)="YES",UPPER(BENEFIT_DESIGN!I30)="NO")),BENEFIT_DESIGN!I30,".")</f>
        <v>.</v>
      </c>
      <c r="N72" t="b">
        <f>VLOOKUP(A72,MATERNITY_SUMMARY!$B$6:$E$27,4,0)&gt;0</f>
        <v>0</v>
      </c>
      <c r="O72" t="b">
        <f>VLOOKUP(A72,DIABETES_SUMMARY!$B$6:$E$27,4,0)&gt;0</f>
        <v>0</v>
      </c>
      <c r="P72" t="b">
        <f>VLOOKUP(A72,FRACTURE_SUMMARY!$B$6:$E$27,4,0)&gt;0</f>
        <v>0</v>
      </c>
      <c r="Q72" s="317"/>
    </row>
    <row r="73" spans="1:17" x14ac:dyDescent="0.25">
      <c r="A73" s="1" t="str">
        <f>BENEFIT_DESIGN!B31</f>
        <v>Other Items &amp; Services</v>
      </c>
      <c r="B73" t="str">
        <f>BENEFIT_DESIGN!C31</f>
        <v>Not Covered</v>
      </c>
      <c r="C73" s="5" t="str">
        <f>IF(AND(G25,ISNUMBER(BENEFIT_DESIGN!$C$32)),BENEFIT_DESIGN!$C$32,".")</f>
        <v>.</v>
      </c>
      <c r="D73" s="5" t="str">
        <f>IF(AND(H25,ISNUMBER(BENEFIT_DESIGN!$C$33)),BENEFIT_DESIGN!$C$33,".")</f>
        <v>.</v>
      </c>
      <c r="E73" s="5" t="str">
        <f>IF(AND(I25,ISNUMBER(BENEFIT_DESIGN!$C$34)),BENEFIT_DESIGN!$C$34,".")</f>
        <v>.</v>
      </c>
      <c r="F73" s="5" t="str">
        <f>IF(AND(J25,ISNUMBER(BENEFIT_DESIGN!$C$35)),BENEFIT_DESIGN!$C$35,".")</f>
        <v>.</v>
      </c>
      <c r="G73" s="5" t="str">
        <f>IF(AND(F25,OR(ISNUMBER(BENEFIT_DESIGN!$C$36),BENEFIT_DESIGN!$C$36="None")),BENEFIT_DESIGN!$C$36,".")</f>
        <v>.</v>
      </c>
      <c r="H73" s="5" t="str">
        <f>IF(AND(K25,ISNUMBER(BENEFIT_DESIGN!D31)),BENEFIT_DESIGN!D31,".")</f>
        <v>.</v>
      </c>
      <c r="I73" s="5" t="str">
        <f>IF(AND(L25,ISNUMBER(BENEFIT_DESIGN!E31)),BENEFIT_DESIGN!E31,".")</f>
        <v>.</v>
      </c>
      <c r="J73" s="8" t="str">
        <f>IF(AND(M25,ISNUMBER(BENEFIT_DESIGN!F31)),BENEFIT_DESIGN!F31,".")</f>
        <v>.</v>
      </c>
      <c r="K73" s="6" t="str">
        <f>IF(AND(D25,OR(ISNUMBER(BENEFIT_DESIGN!G31),UPPER(BENEFIT_DESIGN!G31)="NONE")),BENEFIT_DESIGN!G31,".")</f>
        <v>.</v>
      </c>
      <c r="L73" s="6" t="str">
        <f>IF(AND(E25,OR(ISNUMBER(BENEFIT_DESIGN!H31),UPPER(BENEFIT_DESIGN!H31)="NONE")),BENEFIT_DESIGN!H31,".")</f>
        <v>.</v>
      </c>
      <c r="M73" s="6" t="str">
        <f>IF(AND(F25,OR(UPPER(BENEFIT_DESIGN!I31)="YES",UPPER(BENEFIT_DESIGN!I31)="NO")),BENEFIT_DESIGN!I31,".")</f>
        <v>.</v>
      </c>
      <c r="N73" t="b">
        <f>VLOOKUP(A73,MATERNITY_SUMMARY!$B$6:$E$27,4,0)&gt;0</f>
        <v>0</v>
      </c>
      <c r="O73" t="b">
        <f>VLOOKUP(A73,DIABETES_SUMMARY!$B$6:$E$27,4,0)&gt;0</f>
        <v>0</v>
      </c>
      <c r="P73" t="b">
        <f>VLOOKUP(A73,FRACTURE_SUMMARY!$B$6:$E$27,4,0)&gt;0</f>
        <v>0</v>
      </c>
      <c r="Q73" s="317"/>
    </row>
    <row r="74" spans="1:17" x14ac:dyDescent="0.25">
      <c r="Q74" s="5"/>
    </row>
    <row r="75" spans="1:17" x14ac:dyDescent="0.25">
      <c r="A75" s="2" t="s">
        <v>307</v>
      </c>
      <c r="B75" t="s">
        <v>311</v>
      </c>
      <c r="C75" t="s">
        <v>309</v>
      </c>
      <c r="D75" t="s">
        <v>308</v>
      </c>
      <c r="M75" s="316" t="s">
        <v>330</v>
      </c>
      <c r="N75" s="3" t="b">
        <f t="array" ref="N75">SUM(ISNUMBER($C$52:$C$73)*(N52:N73))&gt;0</f>
        <v>0</v>
      </c>
      <c r="O75" s="3" t="b">
        <f t="array" ref="O75">SUM(ISNUMBER($C$52:$C$73)*(O52:O73))&gt;0</f>
        <v>0</v>
      </c>
      <c r="P75" s="3" t="b">
        <f t="array" ref="P75">SUM(ISNUMBER($C$52:$C$73)*(P52:P73))&gt;0</f>
        <v>0</v>
      </c>
    </row>
    <row r="76" spans="1:17" x14ac:dyDescent="0.25">
      <c r="A76" t="s">
        <v>259</v>
      </c>
      <c r="B76" t="b">
        <f>VLOOKUP("Professional Services: Primary Care",$A$51:$B$73,2,FALSE)&lt;&gt;"Not Covered"</f>
        <v>0</v>
      </c>
      <c r="C76" t="str">
        <f>IF(B76,BENEFIT_DESIGN!C39,".")</f>
        <v>.</v>
      </c>
      <c r="D76" t="str">
        <f>IF(AND(B76,C76),BENEFIT_DESIGN!D39,".")</f>
        <v>.</v>
      </c>
      <c r="M76" s="316" t="s">
        <v>331</v>
      </c>
      <c r="N76" t="b">
        <f t="array" ref="N76">SUM(ISNUMBER($D$52:$D$73)*(N52:N73))&gt;0</f>
        <v>0</v>
      </c>
      <c r="O76" t="b">
        <f t="array" ref="O76">SUM(ISNUMBER($D$52:$D$73)*(O52:O73))&gt;0</f>
        <v>0</v>
      </c>
      <c r="P76" t="b">
        <f t="array" ref="P76">SUM(ISNUMBER($D$52:$D$73)*(P52:P73))&gt;0</f>
        <v>0</v>
      </c>
    </row>
    <row r="77" spans="1:17" x14ac:dyDescent="0.25">
      <c r="A77" t="s">
        <v>310</v>
      </c>
      <c r="B77" t="b">
        <f>VLOOKUP("Professional Services: Primary Care",$A$51:$B$73,2,FALSE)&lt;&gt;"Not Covered"</f>
        <v>0</v>
      </c>
      <c r="C77" t="str">
        <f>IF(B77,BENEFIT_DESIGN!C40,".")</f>
        <v>.</v>
      </c>
      <c r="D77" t="str">
        <f>IF(AND(B77,C77),BENEFIT_DESIGN!D40,".")</f>
        <v>.</v>
      </c>
      <c r="M77" s="316" t="s">
        <v>332</v>
      </c>
      <c r="N77" t="b">
        <f t="array" ref="N77">SUM(ISNUMBER($E$52:$E$73)*(N52:N73))&gt;0</f>
        <v>0</v>
      </c>
      <c r="O77" t="b">
        <f t="array" ref="O77">SUM(ISNUMBER($E$52:$E$73)*(O52:O73))&gt;0</f>
        <v>0</v>
      </c>
      <c r="P77" t="b">
        <f t="array" ref="P77">SUM(ISNUMBER($E$52:$E$73)*(P52:P73))&gt;0</f>
        <v>0</v>
      </c>
    </row>
    <row r="78" spans="1:17" x14ac:dyDescent="0.25">
      <c r="M78" s="316" t="s">
        <v>333</v>
      </c>
      <c r="N78" t="b">
        <f t="array" ref="N78">SUM(ISNUMBER($F$52:$F$73)*(N52:N73))&gt;0</f>
        <v>0</v>
      </c>
      <c r="O78" t="b">
        <f t="array" ref="O78">SUM(ISNUMBER($F$52:$F$73)*(O52:O73))&gt;0</f>
        <v>0</v>
      </c>
      <c r="P78" t="b">
        <f t="array" ref="P78">SUM(ISNUMBER($F$52:$F$73)*(P52:P73))&gt;0</f>
        <v>0</v>
      </c>
    </row>
    <row r="79" spans="1:17" x14ac:dyDescent="0.25">
      <c r="A79" s="2"/>
      <c r="M79" s="316" t="s">
        <v>334</v>
      </c>
      <c r="N79" s="5">
        <f t="array" ref="N79">SUM(IFERROR($H$52:$H$73*N52:N73,0))</f>
        <v>0</v>
      </c>
      <c r="O79" s="5">
        <f t="array" ref="O79">SUM(IFERROR($H$52:$H$73*O52:O73,0))</f>
        <v>0</v>
      </c>
      <c r="P79" s="5">
        <f t="array" ref="P79">SUM(IFERROR($H$52:$H$73*P52:P73,0))</f>
        <v>0</v>
      </c>
    </row>
    <row r="80" spans="1:17" x14ac:dyDescent="0.25">
      <c r="M80" s="316" t="s">
        <v>335</v>
      </c>
      <c r="N80" s="5">
        <f>N75*BENEFIT_DESIGN!$C$32+N76*BENEFIT_DESIGN!$C$33+N77*BENEFIT_DESIGN!$C$34+N78*BENEFIT_DESIGN!$C$35+N79</f>
        <v>0</v>
      </c>
      <c r="O80" s="5">
        <f>O75*BENEFIT_DESIGN!$C$32+O76*BENEFIT_DESIGN!$C$33+O77*BENEFIT_DESIGN!$C$34+O78*BENEFIT_DESIGN!$C$35+O79</f>
        <v>0</v>
      </c>
      <c r="P80" s="5">
        <f>P75*BENEFIT_DESIGN!$C$32+P76*BENEFIT_DESIGN!$C$33+P77*BENEFIT_DESIGN!$C$34+P78*BENEFIT_DESIGN!$C$35+P79</f>
        <v>0</v>
      </c>
    </row>
  </sheetData>
  <conditionalFormatting sqref="B30:H48">
    <cfRule type="expression" dxfId="0" priority="1">
      <formula>B30</formula>
    </cfRule>
  </conditionalFormatting>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PlanOutputData"/>
  <dimension ref="A1:S27"/>
  <sheetViews>
    <sheetView workbookViewId="0">
      <selection activeCell="F20" sqref="F20"/>
    </sheetView>
  </sheetViews>
  <sheetFormatPr defaultRowHeight="15" x14ac:dyDescent="0.25"/>
  <cols>
    <col min="1" max="1" width="20.7109375" customWidth="1"/>
    <col min="2" max="2" width="11.140625" bestFit="1" customWidth="1"/>
    <col min="3" max="3" width="17.28515625" bestFit="1" customWidth="1"/>
    <col min="4" max="5" width="18.85546875" bestFit="1" customWidth="1"/>
    <col min="6" max="6" width="18.42578125" bestFit="1" customWidth="1"/>
    <col min="7" max="7" width="16.85546875" bestFit="1" customWidth="1"/>
    <col min="8" max="8" width="11.140625" bestFit="1" customWidth="1"/>
    <col min="9" max="9" width="17.28515625" bestFit="1" customWidth="1"/>
    <col min="10" max="11" width="18.85546875" bestFit="1" customWidth="1"/>
    <col min="12" max="12" width="18.42578125" bestFit="1" customWidth="1"/>
    <col min="13" max="13" width="16.85546875" bestFit="1" customWidth="1"/>
    <col min="14" max="14" width="11.140625" bestFit="1" customWidth="1"/>
    <col min="15" max="15" width="17.28515625" bestFit="1" customWidth="1"/>
    <col min="16" max="17" width="18.85546875" bestFit="1" customWidth="1"/>
    <col min="18" max="18" width="18.42578125" bestFit="1" customWidth="1"/>
    <col min="19" max="19" width="16.85546875" bestFit="1" customWidth="1"/>
  </cols>
  <sheetData>
    <row r="1" spans="1:19" s="76" customFormat="1" x14ac:dyDescent="0.25"/>
    <row r="2" spans="1:19" s="76" customFormat="1" x14ac:dyDescent="0.25">
      <c r="B2" s="76" t="s">
        <v>155</v>
      </c>
    </row>
    <row r="3" spans="1:19" s="82" customFormat="1" x14ac:dyDescent="0.25">
      <c r="B3" s="88" t="s">
        <v>156</v>
      </c>
      <c r="C3" s="88"/>
      <c r="D3" s="88"/>
      <c r="E3" s="88"/>
      <c r="F3" s="88"/>
      <c r="G3" s="88"/>
      <c r="H3" s="88"/>
      <c r="I3" s="88"/>
      <c r="J3" s="88"/>
      <c r="K3" s="88"/>
      <c r="L3" s="88"/>
      <c r="M3" s="88"/>
      <c r="N3" s="88"/>
      <c r="O3" s="88"/>
      <c r="P3" s="88"/>
      <c r="Q3" s="88"/>
      <c r="R3" s="88"/>
      <c r="S3" s="88"/>
    </row>
    <row r="4" spans="1:19" s="82" customFormat="1" x14ac:dyDescent="0.25">
      <c r="B4" s="88" t="s">
        <v>157</v>
      </c>
      <c r="C4" s="88"/>
      <c r="D4" s="88"/>
      <c r="E4" s="88"/>
      <c r="F4" s="88"/>
      <c r="G4" s="88"/>
      <c r="H4" s="88"/>
      <c r="I4" s="88"/>
      <c r="J4" s="88"/>
      <c r="K4" s="88"/>
      <c r="L4" s="88"/>
      <c r="M4" s="88"/>
      <c r="N4" s="88"/>
      <c r="O4" s="88"/>
      <c r="P4" s="88"/>
      <c r="Q4" s="88"/>
      <c r="R4" s="88"/>
      <c r="S4" s="88"/>
    </row>
    <row r="5" spans="1:19" s="76" customFormat="1" x14ac:dyDescent="0.25">
      <c r="B5" s="88"/>
      <c r="C5" s="88"/>
      <c r="D5" s="88"/>
      <c r="E5" s="88"/>
      <c r="F5" s="88"/>
      <c r="G5" s="88"/>
      <c r="H5" s="88"/>
      <c r="I5" s="88"/>
      <c r="J5" s="88"/>
      <c r="K5" s="88"/>
      <c r="L5" s="88"/>
      <c r="M5" s="88"/>
      <c r="N5" s="88"/>
      <c r="O5" s="88"/>
      <c r="P5" s="88"/>
      <c r="Q5" s="88"/>
      <c r="R5" s="88"/>
      <c r="S5" s="88"/>
    </row>
    <row r="6" spans="1:19" s="75" customFormat="1" x14ac:dyDescent="0.25">
      <c r="B6" s="89" t="s">
        <v>179</v>
      </c>
      <c r="C6" s="89"/>
      <c r="D6" s="89"/>
      <c r="E6" s="89"/>
      <c r="F6" s="89"/>
      <c r="G6" s="89"/>
      <c r="H6" s="89" t="s">
        <v>230</v>
      </c>
      <c r="I6" s="89"/>
      <c r="J6" s="89"/>
      <c r="K6" s="89"/>
      <c r="L6" s="89"/>
      <c r="M6" s="89"/>
      <c r="N6" s="89" t="s">
        <v>181</v>
      </c>
      <c r="O6" s="89"/>
      <c r="P6" s="89"/>
      <c r="Q6" s="89"/>
      <c r="R6" s="89"/>
      <c r="S6" s="89"/>
    </row>
    <row r="7" spans="1:19" s="75" customFormat="1" x14ac:dyDescent="0.25">
      <c r="A7" s="75" t="s">
        <v>129</v>
      </c>
      <c r="B7" s="89" t="s">
        <v>130</v>
      </c>
      <c r="C7" s="89" t="s">
        <v>135</v>
      </c>
      <c r="D7" s="89" t="s">
        <v>131</v>
      </c>
      <c r="E7" s="89" t="s">
        <v>132</v>
      </c>
      <c r="F7" s="89" t="s">
        <v>133</v>
      </c>
      <c r="G7" s="89" t="s">
        <v>134</v>
      </c>
      <c r="H7" s="89" t="s">
        <v>130</v>
      </c>
      <c r="I7" s="89" t="s">
        <v>135</v>
      </c>
      <c r="J7" s="89" t="s">
        <v>131</v>
      </c>
      <c r="K7" s="89" t="s">
        <v>132</v>
      </c>
      <c r="L7" s="89" t="s">
        <v>133</v>
      </c>
      <c r="M7" s="89" t="s">
        <v>134</v>
      </c>
      <c r="N7" s="89" t="s">
        <v>130</v>
      </c>
      <c r="O7" s="89" t="s">
        <v>135</v>
      </c>
      <c r="P7" s="89" t="s">
        <v>131</v>
      </c>
      <c r="Q7" s="89" t="s">
        <v>132</v>
      </c>
      <c r="R7" s="89" t="s">
        <v>133</v>
      </c>
      <c r="S7" s="89" t="s">
        <v>134</v>
      </c>
    </row>
    <row r="8" spans="1:19" x14ac:dyDescent="0.25">
      <c r="A8" t="s">
        <v>256</v>
      </c>
      <c r="B8" s="65">
        <v>0</v>
      </c>
      <c r="C8" s="65">
        <v>12700</v>
      </c>
      <c r="D8" s="65">
        <v>0</v>
      </c>
      <c r="E8" s="65">
        <v>0</v>
      </c>
      <c r="F8" s="65">
        <v>0</v>
      </c>
      <c r="G8" s="65">
        <v>12700</v>
      </c>
      <c r="H8" s="65">
        <v>0</v>
      </c>
      <c r="I8" s="65">
        <v>5600</v>
      </c>
      <c r="J8" s="65">
        <v>0</v>
      </c>
      <c r="K8" s="65">
        <v>0</v>
      </c>
      <c r="L8" s="65">
        <v>0</v>
      </c>
      <c r="M8" s="65">
        <v>5600</v>
      </c>
      <c r="N8" s="65">
        <v>0</v>
      </c>
      <c r="O8" s="65">
        <v>2800</v>
      </c>
      <c r="P8" s="65">
        <v>0</v>
      </c>
      <c r="Q8" s="65">
        <v>0</v>
      </c>
      <c r="R8" s="65">
        <v>0</v>
      </c>
      <c r="S8" s="65">
        <v>2800</v>
      </c>
    </row>
    <row r="9" spans="1:19" x14ac:dyDescent="0.25">
      <c r="A9" t="s">
        <v>182</v>
      </c>
      <c r="B9" s="65">
        <v>0</v>
      </c>
      <c r="C9" s="65">
        <v>12700</v>
      </c>
      <c r="D9" s="65">
        <v>0</v>
      </c>
      <c r="E9" s="65">
        <v>0</v>
      </c>
      <c r="F9" s="65">
        <v>0</v>
      </c>
      <c r="G9" s="65">
        <v>12700</v>
      </c>
      <c r="H9" s="65">
        <v>0</v>
      </c>
      <c r="I9" s="65">
        <v>5600</v>
      </c>
      <c r="J9" s="65">
        <v>0</v>
      </c>
      <c r="K9" s="65">
        <v>0</v>
      </c>
      <c r="L9" s="65">
        <v>0</v>
      </c>
      <c r="M9" s="65">
        <v>5600</v>
      </c>
      <c r="N9" s="65">
        <v>0</v>
      </c>
      <c r="O9" s="65">
        <v>2800</v>
      </c>
      <c r="P9" s="65">
        <v>0</v>
      </c>
      <c r="Q9" s="65">
        <v>0</v>
      </c>
      <c r="R9" s="65">
        <v>0</v>
      </c>
      <c r="S9" s="65">
        <v>2800</v>
      </c>
    </row>
    <row r="10" spans="1:19" x14ac:dyDescent="0.25">
      <c r="A10" t="s">
        <v>257</v>
      </c>
      <c r="B10" s="65">
        <v>0</v>
      </c>
      <c r="C10" s="65">
        <v>12700</v>
      </c>
      <c r="D10" s="65">
        <v>0</v>
      </c>
      <c r="E10" s="65">
        <v>0</v>
      </c>
      <c r="F10" s="65">
        <v>0</v>
      </c>
      <c r="G10" s="65">
        <v>12700</v>
      </c>
      <c r="H10" s="65">
        <v>0</v>
      </c>
      <c r="I10" s="65">
        <v>5600</v>
      </c>
      <c r="J10" s="65">
        <v>0</v>
      </c>
      <c r="K10" s="65">
        <v>0</v>
      </c>
      <c r="L10" s="65">
        <v>0</v>
      </c>
      <c r="M10" s="65">
        <v>5600</v>
      </c>
      <c r="N10" s="65">
        <v>0</v>
      </c>
      <c r="O10" s="65">
        <v>2800</v>
      </c>
      <c r="P10" s="65">
        <v>0</v>
      </c>
      <c r="Q10" s="65">
        <v>0</v>
      </c>
      <c r="R10" s="65">
        <v>0</v>
      </c>
      <c r="S10" s="65">
        <v>2800</v>
      </c>
    </row>
    <row r="11" spans="1:19" x14ac:dyDescent="0.25">
      <c r="A11" t="s">
        <v>381</v>
      </c>
      <c r="B11" s="65">
        <v>0</v>
      </c>
      <c r="C11" s="65">
        <v>12700</v>
      </c>
      <c r="D11" s="65">
        <v>0</v>
      </c>
      <c r="E11" s="65">
        <v>0</v>
      </c>
      <c r="F11" s="65">
        <v>0</v>
      </c>
      <c r="G11" s="65">
        <v>12700</v>
      </c>
      <c r="H11" s="65">
        <v>0</v>
      </c>
      <c r="I11" s="65">
        <v>5600</v>
      </c>
      <c r="J11" s="65">
        <v>0</v>
      </c>
      <c r="K11" s="65">
        <v>0</v>
      </c>
      <c r="L11" s="65">
        <v>0</v>
      </c>
      <c r="M11" s="65">
        <v>5600</v>
      </c>
      <c r="N11" s="65">
        <v>0</v>
      </c>
      <c r="O11" s="65">
        <v>2800</v>
      </c>
      <c r="P11" s="65">
        <v>0</v>
      </c>
      <c r="Q11" s="65">
        <v>0</v>
      </c>
      <c r="R11" s="65">
        <v>0</v>
      </c>
      <c r="S11" s="65">
        <v>2800</v>
      </c>
    </row>
    <row r="12" spans="1:19" x14ac:dyDescent="0.25">
      <c r="A12" t="s">
        <v>382</v>
      </c>
      <c r="B12" s="65">
        <v>0</v>
      </c>
      <c r="C12" s="65">
        <v>12700</v>
      </c>
      <c r="D12" s="65">
        <v>0</v>
      </c>
      <c r="E12" s="65">
        <v>0</v>
      </c>
      <c r="F12" s="65">
        <v>0</v>
      </c>
      <c r="G12" s="65">
        <v>12700</v>
      </c>
      <c r="H12" s="65">
        <v>0</v>
      </c>
      <c r="I12" s="65">
        <v>5600</v>
      </c>
      <c r="J12" s="65">
        <v>0</v>
      </c>
      <c r="K12" s="65">
        <v>0</v>
      </c>
      <c r="L12" s="65">
        <v>0</v>
      </c>
      <c r="M12" s="65">
        <v>5600</v>
      </c>
      <c r="N12" s="65">
        <v>0</v>
      </c>
      <c r="O12" s="65">
        <v>2800</v>
      </c>
      <c r="P12" s="65">
        <v>0</v>
      </c>
      <c r="Q12" s="65">
        <v>0</v>
      </c>
      <c r="R12" s="65">
        <v>0</v>
      </c>
      <c r="S12" s="65">
        <v>2800</v>
      </c>
    </row>
    <row r="13" spans="1:19" x14ac:dyDescent="0.25">
      <c r="A13" t="s">
        <v>383</v>
      </c>
      <c r="B13" s="65">
        <v>0</v>
      </c>
      <c r="C13" s="65">
        <v>12700</v>
      </c>
      <c r="D13" s="65">
        <v>0</v>
      </c>
      <c r="E13" s="65">
        <v>0</v>
      </c>
      <c r="F13" s="65">
        <v>0</v>
      </c>
      <c r="G13" s="65">
        <v>12700</v>
      </c>
      <c r="H13" s="65">
        <v>0</v>
      </c>
      <c r="I13" s="65">
        <v>5600</v>
      </c>
      <c r="J13" s="65">
        <v>0</v>
      </c>
      <c r="K13" s="65">
        <v>0</v>
      </c>
      <c r="L13" s="65">
        <v>0</v>
      </c>
      <c r="M13" s="65">
        <v>5600</v>
      </c>
      <c r="N13" s="65">
        <v>0</v>
      </c>
      <c r="O13" s="65">
        <v>2800</v>
      </c>
      <c r="P13" s="65">
        <v>0</v>
      </c>
      <c r="Q13" s="65">
        <v>0</v>
      </c>
      <c r="R13" s="65">
        <v>0</v>
      </c>
      <c r="S13" s="65">
        <v>2800</v>
      </c>
    </row>
    <row r="14" spans="1:19" x14ac:dyDescent="0.25">
      <c r="B14" s="65"/>
      <c r="C14" s="65"/>
      <c r="D14" s="65"/>
      <c r="E14" s="65"/>
      <c r="F14" s="65"/>
      <c r="G14" s="65"/>
      <c r="H14" s="65"/>
      <c r="I14" s="65"/>
      <c r="J14" s="65"/>
      <c r="K14" s="65"/>
      <c r="L14" s="65"/>
      <c r="M14" s="65"/>
      <c r="N14" s="65"/>
      <c r="O14" s="65"/>
      <c r="P14" s="65"/>
      <c r="Q14" s="65"/>
      <c r="R14" s="65"/>
      <c r="S14" s="65"/>
    </row>
    <row r="15" spans="1:19" x14ac:dyDescent="0.25">
      <c r="B15" s="65"/>
      <c r="C15" s="65"/>
      <c r="D15" s="65"/>
      <c r="E15" s="65"/>
      <c r="F15" s="65"/>
      <c r="G15" s="65"/>
      <c r="H15" s="65"/>
      <c r="I15" s="65"/>
      <c r="J15" s="65"/>
      <c r="K15" s="65"/>
      <c r="L15" s="65"/>
      <c r="M15" s="65"/>
      <c r="N15" s="65"/>
      <c r="O15" s="65"/>
      <c r="P15" s="65"/>
      <c r="Q15" s="65"/>
      <c r="R15" s="65"/>
      <c r="S15" s="65"/>
    </row>
    <row r="16" spans="1:19" x14ac:dyDescent="0.25">
      <c r="D16" s="65"/>
      <c r="F16" s="65"/>
      <c r="G16" s="65"/>
      <c r="J16" s="65"/>
      <c r="L16" s="65"/>
      <c r="M16" s="65"/>
      <c r="P16" s="65"/>
      <c r="R16" s="65"/>
      <c r="S16" s="65"/>
    </row>
    <row r="17" spans="2:19" x14ac:dyDescent="0.25">
      <c r="E17" s="65"/>
      <c r="F17" s="65"/>
      <c r="G17" s="65"/>
      <c r="K17" s="65"/>
      <c r="L17" s="65"/>
      <c r="M17" s="65"/>
      <c r="Q17" s="65"/>
      <c r="R17" s="65"/>
      <c r="S17" s="65"/>
    </row>
    <row r="18" spans="2:19" x14ac:dyDescent="0.25">
      <c r="F18" s="65"/>
      <c r="G18" s="65"/>
      <c r="L18" s="65"/>
      <c r="M18" s="65"/>
      <c r="R18" s="65"/>
      <c r="S18" s="65"/>
    </row>
    <row r="19" spans="2:19" x14ac:dyDescent="0.25">
      <c r="D19" s="65"/>
      <c r="F19" s="65"/>
      <c r="G19" s="65"/>
      <c r="J19" s="65"/>
      <c r="L19" s="65"/>
      <c r="M19" s="65"/>
      <c r="P19" s="65"/>
      <c r="R19" s="65"/>
      <c r="S19" s="65"/>
    </row>
    <row r="20" spans="2:19" x14ac:dyDescent="0.25">
      <c r="F20" s="65"/>
      <c r="G20" s="65"/>
      <c r="L20" s="65"/>
      <c r="M20" s="65"/>
      <c r="R20" s="65"/>
      <c r="S20" s="65"/>
    </row>
    <row r="21" spans="2:19" x14ac:dyDescent="0.25">
      <c r="F21" s="65"/>
      <c r="G21" s="65"/>
      <c r="L21" s="65"/>
      <c r="M21" s="65"/>
      <c r="R21" s="65"/>
      <c r="S21" s="65"/>
    </row>
    <row r="22" spans="2:19" x14ac:dyDescent="0.25">
      <c r="F22" s="65"/>
      <c r="G22" s="65"/>
      <c r="L22" s="65"/>
      <c r="M22" s="65"/>
      <c r="R22" s="65"/>
      <c r="S22" s="65"/>
    </row>
    <row r="23" spans="2:19" x14ac:dyDescent="0.25">
      <c r="E23" s="65"/>
      <c r="F23" s="65"/>
      <c r="G23" s="65"/>
      <c r="K23" s="65"/>
      <c r="L23" s="65"/>
      <c r="M23" s="65"/>
      <c r="Q23" s="65"/>
      <c r="R23" s="65"/>
      <c r="S23" s="65"/>
    </row>
    <row r="24" spans="2:19" x14ac:dyDescent="0.25">
      <c r="E24" s="65"/>
      <c r="G24" s="65"/>
      <c r="K24" s="65"/>
      <c r="M24" s="65"/>
      <c r="Q24" s="65"/>
      <c r="S24" s="65"/>
    </row>
    <row r="25" spans="2:19" x14ac:dyDescent="0.25">
      <c r="B25" s="65"/>
      <c r="C25" s="65"/>
      <c r="D25" s="65"/>
      <c r="E25" s="65"/>
      <c r="F25" s="65"/>
      <c r="G25" s="65"/>
      <c r="H25" s="65"/>
      <c r="I25" s="65"/>
      <c r="J25" s="65"/>
      <c r="K25" s="65"/>
      <c r="L25" s="65"/>
      <c r="M25" s="65"/>
      <c r="N25" s="65"/>
      <c r="O25" s="65"/>
      <c r="P25" s="65"/>
      <c r="Q25" s="65"/>
      <c r="R25" s="65"/>
      <c r="S25" s="65"/>
    </row>
    <row r="26" spans="2:19" x14ac:dyDescent="0.25">
      <c r="B26" s="65"/>
      <c r="C26" s="65"/>
      <c r="D26" s="65"/>
      <c r="E26" s="65"/>
      <c r="F26" s="65"/>
      <c r="G26" s="65"/>
      <c r="H26" s="65"/>
      <c r="I26" s="65"/>
      <c r="J26" s="65"/>
      <c r="K26" s="65"/>
      <c r="L26" s="65"/>
      <c r="M26" s="65"/>
      <c r="N26" s="65"/>
      <c r="O26" s="65"/>
      <c r="P26" s="65"/>
      <c r="Q26" s="65"/>
      <c r="R26" s="65"/>
      <c r="S26" s="65"/>
    </row>
    <row r="27" spans="2:19" x14ac:dyDescent="0.25">
      <c r="D27" s="65"/>
      <c r="F27" s="65"/>
      <c r="G27" s="65"/>
      <c r="J27" s="65"/>
      <c r="L27" s="65"/>
      <c r="M27" s="65"/>
      <c r="P27" s="65"/>
      <c r="R27" s="65"/>
      <c r="S27" s="65"/>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9394" r:id="rId4" name="Button 2">
              <controlPr defaultSize="0" print="0" autoFill="0" autoPict="0" macro="[0]!RunCalculator">
                <anchor moveWithCells="1" sizeWithCells="1">
                  <from>
                    <xdr:col>0</xdr:col>
                    <xdr:colOff>123825</xdr:colOff>
                    <xdr:row>2</xdr:row>
                    <xdr:rowOff>95250</xdr:rowOff>
                  </from>
                  <to>
                    <xdr:col>0</xdr:col>
                    <xdr:colOff>1266825</xdr:colOff>
                    <xdr:row>3</xdr:row>
                    <xdr:rowOff>161925</xdr:rowOff>
                  </to>
                </anchor>
              </controlPr>
            </control>
          </mc:Choice>
        </mc:AlternateContent>
        <mc:AlternateContent xmlns:mc="http://schemas.openxmlformats.org/markup-compatibility/2006">
          <mc:Choice Requires="x14">
            <control shapeId="59395" r:id="rId5" name="Button 3">
              <controlPr defaultSize="0" print="0" autoFill="0" autoPict="0" macro="[0]!ShowResultsSummary">
                <anchor moveWithCells="1" sizeWithCells="1">
                  <from>
                    <xdr:col>0</xdr:col>
                    <xdr:colOff>133350</xdr:colOff>
                    <xdr:row>0</xdr:row>
                    <xdr:rowOff>142875</xdr:rowOff>
                  </from>
                  <to>
                    <xdr:col>0</xdr:col>
                    <xdr:colOff>1276350</xdr:colOff>
                    <xdr:row>2</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BC_Results"/>
  <dimension ref="A1:N39"/>
  <sheetViews>
    <sheetView workbookViewId="0"/>
  </sheetViews>
  <sheetFormatPr defaultColWidth="0" defaultRowHeight="15" zeroHeight="1" x14ac:dyDescent="0.25"/>
  <cols>
    <col min="1" max="1" width="2.7109375" customWidth="1"/>
    <col min="2" max="2" width="4.7109375" customWidth="1"/>
    <col min="3" max="3" width="20.7109375" customWidth="1"/>
    <col min="4" max="4" width="9.140625" customWidth="1"/>
    <col min="5" max="5" width="4.7109375" customWidth="1"/>
    <col min="6" max="6" width="2.7109375" customWidth="1"/>
    <col min="7" max="7" width="4.7109375" customWidth="1"/>
    <col min="8" max="8" width="20.7109375" customWidth="1"/>
    <col min="9" max="9" width="9.140625" customWidth="1"/>
    <col min="10" max="10" width="4.7109375" customWidth="1"/>
    <col min="11" max="11" width="2.7109375" customWidth="1"/>
    <col min="12" max="12" width="20.7109375" hidden="1" customWidth="1"/>
    <col min="13" max="13" width="9.140625" hidden="1" customWidth="1"/>
    <col min="14" max="14" width="4.7109375" hidden="1" customWidth="1"/>
    <col min="15" max="16384" width="9.140625" hidden="1"/>
  </cols>
  <sheetData>
    <row r="1" spans="1:11" s="2" customFormat="1" x14ac:dyDescent="0.25">
      <c r="A1" s="78"/>
      <c r="B1" s="78"/>
      <c r="C1" s="78"/>
      <c r="D1" s="78"/>
      <c r="E1" s="78"/>
      <c r="F1" s="77"/>
      <c r="G1" s="78"/>
      <c r="H1" s="78"/>
      <c r="I1" s="79"/>
      <c r="J1" s="79"/>
      <c r="K1" s="78"/>
    </row>
    <row r="2" spans="1:11" x14ac:dyDescent="0.25">
      <c r="A2" s="66"/>
      <c r="B2" s="66"/>
      <c r="C2" s="66"/>
      <c r="D2" s="66"/>
      <c r="E2" s="66"/>
      <c r="F2" s="77" t="s">
        <v>154</v>
      </c>
      <c r="G2" s="66"/>
      <c r="H2" s="66"/>
      <c r="I2" s="67"/>
      <c r="J2" s="70"/>
      <c r="K2" s="66"/>
    </row>
    <row r="3" spans="1:11" x14ac:dyDescent="0.25">
      <c r="A3" s="66"/>
      <c r="B3" s="66"/>
      <c r="C3" s="66"/>
      <c r="D3" s="66"/>
      <c r="E3" s="66"/>
      <c r="F3" s="77"/>
      <c r="G3" s="66"/>
      <c r="H3" s="66"/>
      <c r="I3" s="69"/>
      <c r="J3" s="69"/>
      <c r="K3" s="66"/>
    </row>
    <row r="4" spans="1:11" x14ac:dyDescent="0.25">
      <c r="A4" s="66"/>
      <c r="B4" s="66"/>
      <c r="C4" s="66"/>
      <c r="D4" s="143" t="s">
        <v>251</v>
      </c>
      <c r="E4" s="143"/>
      <c r="F4" s="77"/>
      <c r="G4" s="66"/>
      <c r="H4" s="66"/>
      <c r="I4" s="69"/>
      <c r="J4" s="69"/>
      <c r="K4" s="66"/>
    </row>
    <row r="5" spans="1:11" x14ac:dyDescent="0.25">
      <c r="A5" s="66"/>
      <c r="B5" s="66"/>
      <c r="C5" s="66"/>
      <c r="D5" s="66"/>
      <c r="E5" s="66"/>
      <c r="F5" s="66"/>
      <c r="G5" s="66"/>
      <c r="H5" s="66"/>
      <c r="I5" s="69"/>
      <c r="J5" s="69"/>
      <c r="K5" s="66"/>
    </row>
    <row r="6" spans="1:11" x14ac:dyDescent="0.25">
      <c r="A6" s="66"/>
      <c r="B6" s="83"/>
      <c r="C6" s="84"/>
      <c r="D6" s="84"/>
      <c r="E6" s="84"/>
      <c r="F6" s="85" t="str">
        <f>"Summary for "&amp;nrCBPlanNameRS</f>
        <v>Summary for Plan 1</v>
      </c>
      <c r="G6" s="84"/>
      <c r="H6" s="84"/>
      <c r="I6" s="86"/>
      <c r="J6" s="87"/>
      <c r="K6" s="66"/>
    </row>
    <row r="7" spans="1:11" x14ac:dyDescent="0.25">
      <c r="A7" s="66"/>
      <c r="B7" s="66"/>
      <c r="C7" s="66"/>
      <c r="D7" s="66"/>
      <c r="E7" s="66"/>
      <c r="F7" s="66"/>
      <c r="G7" s="66"/>
      <c r="H7" s="66"/>
      <c r="I7" s="69"/>
      <c r="J7" s="69"/>
      <c r="K7" s="66"/>
    </row>
    <row r="8" spans="1:11" x14ac:dyDescent="0.25">
      <c r="A8" s="66"/>
      <c r="B8" s="49" t="s">
        <v>179</v>
      </c>
      <c r="C8" s="50"/>
      <c r="D8" s="50"/>
      <c r="E8" s="51"/>
      <c r="F8" s="66"/>
      <c r="G8" s="49" t="s">
        <v>180</v>
      </c>
      <c r="H8" s="50"/>
      <c r="I8" s="50"/>
      <c r="J8" s="51"/>
      <c r="K8" s="66"/>
    </row>
    <row r="9" spans="1:11" x14ac:dyDescent="0.25">
      <c r="A9" s="66"/>
      <c r="B9" s="39"/>
      <c r="C9" s="40"/>
      <c r="D9" s="40"/>
      <c r="E9" s="41"/>
      <c r="F9" s="66"/>
      <c r="G9" s="39"/>
      <c r="H9" s="40"/>
      <c r="I9" s="40"/>
      <c r="J9" s="41"/>
      <c r="K9" s="66"/>
    </row>
    <row r="10" spans="1:11" x14ac:dyDescent="0.25">
      <c r="A10" s="66"/>
      <c r="B10" s="42"/>
      <c r="C10" s="52" t="s">
        <v>386</v>
      </c>
      <c r="D10" s="9">
        <v>0</v>
      </c>
      <c r="E10" s="43"/>
      <c r="F10" s="66"/>
      <c r="G10" s="42"/>
      <c r="H10" s="52" t="s">
        <v>386</v>
      </c>
      <c r="I10" s="9">
        <v>0</v>
      </c>
      <c r="J10" s="43"/>
      <c r="K10" s="66"/>
    </row>
    <row r="11" spans="1:11" x14ac:dyDescent="0.25">
      <c r="A11" s="66"/>
      <c r="B11" s="44"/>
      <c r="C11" s="10"/>
      <c r="D11" s="45"/>
      <c r="E11" s="46"/>
      <c r="F11" s="66"/>
      <c r="G11" s="44"/>
      <c r="H11" s="10"/>
      <c r="I11" s="45"/>
      <c r="J11" s="46"/>
      <c r="K11" s="66"/>
    </row>
    <row r="12" spans="1:11" x14ac:dyDescent="0.25">
      <c r="A12" s="66"/>
      <c r="B12" s="39"/>
      <c r="C12" s="11"/>
      <c r="D12" s="40"/>
      <c r="E12" s="41"/>
      <c r="F12" s="66"/>
      <c r="G12" s="39"/>
      <c r="H12" s="11"/>
      <c r="I12" s="40"/>
      <c r="J12" s="41"/>
      <c r="K12" s="66"/>
    </row>
    <row r="13" spans="1:11" x14ac:dyDescent="0.25">
      <c r="A13" s="66"/>
      <c r="B13" s="42"/>
      <c r="C13" s="53" t="s">
        <v>384</v>
      </c>
      <c r="D13" s="13">
        <v>12700</v>
      </c>
      <c r="E13" s="43"/>
      <c r="F13" s="66"/>
      <c r="G13" s="42"/>
      <c r="H13" s="53" t="s">
        <v>384</v>
      </c>
      <c r="I13" s="13">
        <v>5600</v>
      </c>
      <c r="J13" s="43"/>
      <c r="K13" s="66"/>
    </row>
    <row r="14" spans="1:11" x14ac:dyDescent="0.25">
      <c r="A14" s="66"/>
      <c r="B14" s="42"/>
      <c r="C14" s="47" t="s">
        <v>77</v>
      </c>
      <c r="D14" s="12">
        <v>0</v>
      </c>
      <c r="E14" s="43"/>
      <c r="F14" s="66"/>
      <c r="G14" s="42"/>
      <c r="H14" s="47" t="s">
        <v>77</v>
      </c>
      <c r="I14" s="12">
        <v>0</v>
      </c>
      <c r="J14" s="43"/>
      <c r="K14" s="66"/>
    </row>
    <row r="15" spans="1:11" x14ac:dyDescent="0.25">
      <c r="A15" s="66"/>
      <c r="B15" s="42"/>
      <c r="C15" s="47" t="s">
        <v>78</v>
      </c>
      <c r="D15" s="12">
        <v>0</v>
      </c>
      <c r="E15" s="43"/>
      <c r="F15" s="66"/>
      <c r="G15" s="42"/>
      <c r="H15" s="47" t="s">
        <v>78</v>
      </c>
      <c r="I15" s="12">
        <v>0</v>
      </c>
      <c r="J15" s="43"/>
      <c r="K15" s="66"/>
    </row>
    <row r="16" spans="1:11" x14ac:dyDescent="0.25">
      <c r="A16" s="66"/>
      <c r="B16" s="42"/>
      <c r="C16" s="47" t="s">
        <v>1</v>
      </c>
      <c r="D16" s="12">
        <v>0</v>
      </c>
      <c r="E16" s="43"/>
      <c r="F16" s="66"/>
      <c r="G16" s="42"/>
      <c r="H16" s="47" t="s">
        <v>1</v>
      </c>
      <c r="I16" s="12">
        <v>0</v>
      </c>
      <c r="J16" s="43"/>
      <c r="K16" s="66"/>
    </row>
    <row r="17" spans="1:11" x14ac:dyDescent="0.25">
      <c r="A17" s="66"/>
      <c r="B17" s="42"/>
      <c r="C17" s="47" t="s">
        <v>79</v>
      </c>
      <c r="D17" s="12">
        <v>12700</v>
      </c>
      <c r="E17" s="43"/>
      <c r="F17" s="66"/>
      <c r="G17" s="42"/>
      <c r="H17" s="47" t="s">
        <v>79</v>
      </c>
      <c r="I17" s="12">
        <v>5600</v>
      </c>
      <c r="J17" s="43"/>
      <c r="K17" s="66"/>
    </row>
    <row r="18" spans="1:11" x14ac:dyDescent="0.25">
      <c r="A18" s="66"/>
      <c r="B18" s="44"/>
      <c r="C18" s="45"/>
      <c r="D18" s="48"/>
      <c r="E18" s="46"/>
      <c r="F18" s="66"/>
      <c r="G18" s="44"/>
      <c r="H18" s="45"/>
      <c r="I18" s="48"/>
      <c r="J18" s="46"/>
      <c r="K18" s="66"/>
    </row>
    <row r="19" spans="1:11" x14ac:dyDescent="0.25">
      <c r="A19" s="66"/>
      <c r="B19" s="54"/>
      <c r="C19" s="55"/>
      <c r="D19" s="55"/>
      <c r="E19" s="56"/>
      <c r="F19" s="66"/>
      <c r="G19" s="54"/>
      <c r="H19" s="55"/>
      <c r="I19" s="55"/>
      <c r="J19" s="56"/>
      <c r="K19" s="66"/>
    </row>
    <row r="20" spans="1:11" x14ac:dyDescent="0.25">
      <c r="A20" s="66"/>
      <c r="B20" s="57"/>
      <c r="C20" s="58"/>
      <c r="D20" s="58"/>
      <c r="E20" s="59"/>
      <c r="F20" s="66"/>
      <c r="G20" s="57"/>
      <c r="H20" s="58"/>
      <c r="I20" s="58"/>
      <c r="J20" s="59"/>
      <c r="K20" s="66"/>
    </row>
    <row r="21" spans="1:11" x14ac:dyDescent="0.25">
      <c r="A21" s="66"/>
      <c r="B21" s="66"/>
      <c r="C21" s="66"/>
      <c r="D21" s="66"/>
      <c r="E21" s="66"/>
      <c r="F21" s="66"/>
      <c r="G21" s="66"/>
      <c r="H21" s="66"/>
      <c r="I21" s="66"/>
      <c r="J21" s="66"/>
      <c r="K21" s="66"/>
    </row>
    <row r="22" spans="1:11" x14ac:dyDescent="0.25">
      <c r="A22" s="66"/>
      <c r="B22" s="49" t="s">
        <v>181</v>
      </c>
      <c r="C22" s="50"/>
      <c r="D22" s="50"/>
      <c r="E22" s="51"/>
      <c r="F22" s="66"/>
      <c r="G22" s="66"/>
      <c r="H22" s="66"/>
      <c r="I22" s="66"/>
      <c r="J22" s="66"/>
      <c r="K22" s="66"/>
    </row>
    <row r="23" spans="1:11" x14ac:dyDescent="0.25">
      <c r="A23" s="66"/>
      <c r="B23" s="39"/>
      <c r="C23" s="40"/>
      <c r="D23" s="40"/>
      <c r="E23" s="41"/>
      <c r="F23" s="66"/>
      <c r="G23" s="66"/>
      <c r="H23" s="66"/>
      <c r="I23" s="66"/>
      <c r="J23" s="66"/>
      <c r="K23" s="66"/>
    </row>
    <row r="24" spans="1:11" x14ac:dyDescent="0.25">
      <c r="A24" s="66"/>
      <c r="B24" s="42"/>
      <c r="C24" s="52" t="s">
        <v>386</v>
      </c>
      <c r="D24" s="9">
        <v>0</v>
      </c>
      <c r="E24" s="43"/>
      <c r="F24" s="66"/>
      <c r="G24" s="66"/>
      <c r="H24" s="66"/>
      <c r="I24" s="66"/>
      <c r="J24" s="66"/>
      <c r="K24" s="66"/>
    </row>
    <row r="25" spans="1:11" x14ac:dyDescent="0.25">
      <c r="A25" s="66"/>
      <c r="B25" s="44"/>
      <c r="C25" s="10"/>
      <c r="D25" s="45"/>
      <c r="E25" s="46"/>
      <c r="F25" s="66"/>
      <c r="G25" s="66"/>
      <c r="H25" s="66"/>
      <c r="I25" s="66"/>
      <c r="J25" s="66"/>
      <c r="K25" s="66"/>
    </row>
    <row r="26" spans="1:11" x14ac:dyDescent="0.25">
      <c r="A26" s="66"/>
      <c r="B26" s="39"/>
      <c r="C26" s="11"/>
      <c r="D26" s="40"/>
      <c r="E26" s="41"/>
      <c r="F26" s="66"/>
      <c r="G26" s="66"/>
      <c r="H26" s="66"/>
      <c r="I26" s="66"/>
      <c r="J26" s="66"/>
      <c r="K26" s="66"/>
    </row>
    <row r="27" spans="1:11" x14ac:dyDescent="0.25">
      <c r="A27" s="66"/>
      <c r="B27" s="42"/>
      <c r="C27" s="53" t="s">
        <v>384</v>
      </c>
      <c r="D27" s="13">
        <v>2800</v>
      </c>
      <c r="E27" s="43"/>
      <c r="F27" s="66"/>
      <c r="G27" s="66"/>
      <c r="H27" s="66"/>
      <c r="I27" s="66"/>
      <c r="J27" s="66"/>
      <c r="K27" s="66"/>
    </row>
    <row r="28" spans="1:11" x14ac:dyDescent="0.25">
      <c r="A28" s="66"/>
      <c r="B28" s="42"/>
      <c r="C28" s="47" t="s">
        <v>77</v>
      </c>
      <c r="D28" s="12">
        <v>0</v>
      </c>
      <c r="E28" s="43"/>
      <c r="F28" s="66"/>
      <c r="G28" s="66"/>
      <c r="H28" s="66"/>
      <c r="I28" s="66"/>
      <c r="J28" s="66"/>
      <c r="K28" s="66"/>
    </row>
    <row r="29" spans="1:11" x14ac:dyDescent="0.25">
      <c r="A29" s="66"/>
      <c r="B29" s="42"/>
      <c r="C29" s="47" t="s">
        <v>78</v>
      </c>
      <c r="D29" s="12">
        <v>0</v>
      </c>
      <c r="E29" s="43"/>
      <c r="F29" s="66"/>
      <c r="G29" s="66"/>
      <c r="H29" s="66"/>
      <c r="I29" s="66"/>
      <c r="J29" s="66"/>
      <c r="K29" s="66"/>
    </row>
    <row r="30" spans="1:11" x14ac:dyDescent="0.25">
      <c r="A30" s="66"/>
      <c r="B30" s="42"/>
      <c r="C30" s="47" t="s">
        <v>1</v>
      </c>
      <c r="D30" s="12">
        <v>0</v>
      </c>
      <c r="E30" s="43"/>
      <c r="F30" s="66"/>
      <c r="G30" s="66"/>
      <c r="H30" s="66"/>
      <c r="I30" s="66"/>
      <c r="J30" s="66"/>
      <c r="K30" s="66"/>
    </row>
    <row r="31" spans="1:11" x14ac:dyDescent="0.25">
      <c r="A31" s="66"/>
      <c r="B31" s="42"/>
      <c r="C31" s="47" t="s">
        <v>79</v>
      </c>
      <c r="D31" s="12">
        <v>2800</v>
      </c>
      <c r="E31" s="43"/>
      <c r="F31" s="66"/>
      <c r="G31" s="66"/>
      <c r="H31" s="66"/>
      <c r="I31" s="66"/>
      <c r="J31" s="66"/>
      <c r="K31" s="66"/>
    </row>
    <row r="32" spans="1:11" x14ac:dyDescent="0.25">
      <c r="A32" s="66"/>
      <c r="B32" s="44"/>
      <c r="C32" s="45"/>
      <c r="D32" s="48"/>
      <c r="E32" s="46"/>
      <c r="F32" s="66"/>
      <c r="G32" s="66"/>
      <c r="H32" s="66"/>
      <c r="I32" s="66"/>
      <c r="J32" s="66"/>
      <c r="K32" s="66"/>
    </row>
    <row r="33" spans="1:11" x14ac:dyDescent="0.25">
      <c r="A33" s="66"/>
      <c r="B33" s="54"/>
      <c r="C33" s="55"/>
      <c r="D33" s="55"/>
      <c r="E33" s="56"/>
      <c r="F33" s="66"/>
      <c r="G33" s="66"/>
      <c r="H33" s="66"/>
      <c r="I33" s="66"/>
      <c r="J33" s="66"/>
      <c r="K33" s="66"/>
    </row>
    <row r="34" spans="1:11" x14ac:dyDescent="0.25">
      <c r="A34" s="66"/>
      <c r="B34" s="57"/>
      <c r="C34" s="58"/>
      <c r="D34" s="58"/>
      <c r="E34" s="59"/>
      <c r="F34" s="66"/>
      <c r="G34" s="66"/>
      <c r="H34" s="66"/>
      <c r="I34" s="66"/>
      <c r="J34" s="66"/>
      <c r="K34" s="66"/>
    </row>
    <row r="35" spans="1:11" x14ac:dyDescent="0.25">
      <c r="A35" s="66"/>
      <c r="B35" s="66"/>
      <c r="C35" s="66"/>
      <c r="D35" s="66"/>
      <c r="E35" s="66"/>
      <c r="F35" s="66"/>
      <c r="G35" s="66"/>
      <c r="H35" s="66"/>
      <c r="I35" s="66"/>
      <c r="J35" s="66"/>
      <c r="K35" s="66"/>
    </row>
    <row r="36" spans="1:11" x14ac:dyDescent="0.25">
      <c r="A36" s="66"/>
      <c r="B36" s="347" t="s">
        <v>385</v>
      </c>
      <c r="C36" s="348"/>
      <c r="D36" s="348"/>
      <c r="E36" s="348"/>
      <c r="F36" s="348"/>
      <c r="G36" s="348"/>
      <c r="H36" s="348"/>
      <c r="I36" s="348"/>
      <c r="J36" s="349"/>
      <c r="K36" s="66"/>
    </row>
    <row r="37" spans="1:11" x14ac:dyDescent="0.25">
      <c r="A37" s="66"/>
      <c r="B37" s="350"/>
      <c r="C37" s="351"/>
      <c r="D37" s="351"/>
      <c r="E37" s="351"/>
      <c r="F37" s="351"/>
      <c r="G37" s="351"/>
      <c r="H37" s="351"/>
      <c r="I37" s="351"/>
      <c r="J37" s="352"/>
      <c r="K37" s="66"/>
    </row>
    <row r="38" spans="1:11" x14ac:dyDescent="0.25">
      <c r="A38" s="66"/>
      <c r="B38" s="353"/>
      <c r="C38" s="354"/>
      <c r="D38" s="354"/>
      <c r="E38" s="354"/>
      <c r="F38" s="354"/>
      <c r="G38" s="354"/>
      <c r="H38" s="354"/>
      <c r="I38" s="354"/>
      <c r="J38" s="355"/>
      <c r="K38" s="66"/>
    </row>
    <row r="39" spans="1:11" x14ac:dyDescent="0.25">
      <c r="A39" s="66"/>
      <c r="B39" s="66"/>
      <c r="C39" s="66"/>
      <c r="D39" s="66"/>
      <c r="E39" s="66"/>
      <c r="F39" s="66"/>
      <c r="G39" s="66"/>
      <c r="H39" s="66"/>
      <c r="I39" s="66"/>
      <c r="J39" s="66"/>
      <c r="K39" s="66"/>
    </row>
  </sheetData>
  <mergeCells count="1">
    <mergeCell ref="B36:J38"/>
  </mergeCells>
  <pageMargins left="0.7" right="0.7" top="0.75" bottom="0.75" header="0.3" footer="0.3"/>
  <pageSetup orientation="portrait" r:id="rId1"/>
  <drawing r:id="rId2"/>
  <legacyDrawing r:id="rId3"/>
  <controls>
    <mc:AlternateContent xmlns:mc="http://schemas.openxmlformats.org/markup-compatibility/2006">
      <mc:Choice Requires="x14">
        <control shapeId="4116" r:id="rId4" name="cbRSPlanSelect">
          <controlPr defaultSize="0" autoLine="0" listFillRange="PLAN_OUTPUT_DATA!A8:A13" r:id="rId5">
            <anchor moveWithCells="1">
              <from>
                <xdr:col>4</xdr:col>
                <xdr:colOff>19050</xdr:colOff>
                <xdr:row>2</xdr:row>
                <xdr:rowOff>161925</xdr:rowOff>
              </from>
              <to>
                <xdr:col>7</xdr:col>
                <xdr:colOff>495300</xdr:colOff>
                <xdr:row>4</xdr:row>
                <xdr:rowOff>47625</xdr:rowOff>
              </to>
            </anchor>
          </controlPr>
        </control>
      </mc:Choice>
      <mc:Fallback>
        <control shapeId="4116" r:id="rId4" name="cbRSPlanSelect"/>
      </mc:Fallback>
    </mc:AlternateContent>
    <mc:AlternateContent xmlns:mc="http://schemas.openxmlformats.org/markup-compatibility/2006">
      <mc:Choice Requires="x14">
        <control shapeId="4097" r:id="rId6" name="Button 1">
          <controlPr defaultSize="0" print="0" autoFill="0" autoPict="0" macro="[0]!btnMatDetail_Click">
            <anchor moveWithCells="1" sizeWithCells="1">
              <from>
                <xdr:col>1</xdr:col>
                <xdr:colOff>95250</xdr:colOff>
                <xdr:row>18</xdr:row>
                <xdr:rowOff>66675</xdr:rowOff>
              </from>
              <to>
                <xdr:col>2</xdr:col>
                <xdr:colOff>581025</xdr:colOff>
                <xdr:row>19</xdr:row>
                <xdr:rowOff>104775</xdr:rowOff>
              </to>
            </anchor>
          </controlPr>
        </control>
      </mc:Choice>
    </mc:AlternateContent>
    <mc:AlternateContent xmlns:mc="http://schemas.openxmlformats.org/markup-compatibility/2006">
      <mc:Choice Requires="x14">
        <control shapeId="4098" r:id="rId7" name="Button 2">
          <controlPr defaultSize="0" print="0" autoFill="0" autoPict="0" macro="[0]!btnMatTimeline_Click">
            <anchor moveWithCells="1" sizeWithCells="1">
              <from>
                <xdr:col>2</xdr:col>
                <xdr:colOff>590550</xdr:colOff>
                <xdr:row>18</xdr:row>
                <xdr:rowOff>66675</xdr:rowOff>
              </from>
              <to>
                <xdr:col>3</xdr:col>
                <xdr:colOff>9525</xdr:colOff>
                <xdr:row>19</xdr:row>
                <xdr:rowOff>104775</xdr:rowOff>
              </to>
            </anchor>
          </controlPr>
        </control>
      </mc:Choice>
    </mc:AlternateContent>
    <mc:AlternateContent xmlns:mc="http://schemas.openxmlformats.org/markup-compatibility/2006">
      <mc:Choice Requires="x14">
        <control shapeId="4099" r:id="rId8" name="Button 3">
          <controlPr defaultSize="0" print="0" autoFill="0" autoPict="0" macro="[0]!btnDiaDetail_Click">
            <anchor moveWithCells="1" sizeWithCells="1">
              <from>
                <xdr:col>6</xdr:col>
                <xdr:colOff>95250</xdr:colOff>
                <xdr:row>18</xdr:row>
                <xdr:rowOff>66675</xdr:rowOff>
              </from>
              <to>
                <xdr:col>7</xdr:col>
                <xdr:colOff>581025</xdr:colOff>
                <xdr:row>19</xdr:row>
                <xdr:rowOff>104775</xdr:rowOff>
              </to>
            </anchor>
          </controlPr>
        </control>
      </mc:Choice>
    </mc:AlternateContent>
    <mc:AlternateContent xmlns:mc="http://schemas.openxmlformats.org/markup-compatibility/2006">
      <mc:Choice Requires="x14">
        <control shapeId="4100" r:id="rId9" name="Button 4">
          <controlPr defaultSize="0" print="0" autoFill="0" autoPict="0" macro="[0]!btnDiaTimeline_Click">
            <anchor moveWithCells="1" sizeWithCells="1">
              <from>
                <xdr:col>7</xdr:col>
                <xdr:colOff>590550</xdr:colOff>
                <xdr:row>18</xdr:row>
                <xdr:rowOff>66675</xdr:rowOff>
              </from>
              <to>
                <xdr:col>8</xdr:col>
                <xdr:colOff>9525</xdr:colOff>
                <xdr:row>19</xdr:row>
                <xdr:rowOff>104775</xdr:rowOff>
              </to>
            </anchor>
          </controlPr>
        </control>
      </mc:Choice>
    </mc:AlternateContent>
    <mc:AlternateContent xmlns:mc="http://schemas.openxmlformats.org/markup-compatibility/2006">
      <mc:Choice Requires="x14">
        <control shapeId="4101" r:id="rId10" name="Button 5">
          <controlPr defaultSize="0" print="0" autoFill="0" autoPict="0" macro="[0]!btnFraDetail_Click">
            <anchor moveWithCells="1" sizeWithCells="1">
              <from>
                <xdr:col>1</xdr:col>
                <xdr:colOff>95250</xdr:colOff>
                <xdr:row>32</xdr:row>
                <xdr:rowOff>66675</xdr:rowOff>
              </from>
              <to>
                <xdr:col>2</xdr:col>
                <xdr:colOff>581025</xdr:colOff>
                <xdr:row>33</xdr:row>
                <xdr:rowOff>104775</xdr:rowOff>
              </to>
            </anchor>
          </controlPr>
        </control>
      </mc:Choice>
    </mc:AlternateContent>
    <mc:AlternateContent xmlns:mc="http://schemas.openxmlformats.org/markup-compatibility/2006">
      <mc:Choice Requires="x14">
        <control shapeId="4102" r:id="rId11" name="Button 6">
          <controlPr defaultSize="0" print="0" autoFill="0" autoPict="0" macro="[0]!btnFraTimeline_Click">
            <anchor moveWithCells="1" sizeWithCells="1">
              <from>
                <xdr:col>2</xdr:col>
                <xdr:colOff>590550</xdr:colOff>
                <xdr:row>32</xdr:row>
                <xdr:rowOff>66675</xdr:rowOff>
              </from>
              <to>
                <xdr:col>3</xdr:col>
                <xdr:colOff>9525</xdr:colOff>
                <xdr:row>33</xdr:row>
                <xdr:rowOff>104775</xdr:rowOff>
              </to>
            </anchor>
          </controlPr>
        </control>
      </mc:Choice>
    </mc:AlternateContent>
    <mc:AlternateContent xmlns:mc="http://schemas.openxmlformats.org/markup-compatibility/2006">
      <mc:Choice Requires="x14">
        <control shapeId="4109" r:id="rId12" name="Button 13">
          <controlPr defaultSize="0" print="0" autoFill="0" autoPict="0" macro="[0]!ShowPlanInputData">
            <anchor moveWithCells="1" sizeWithCells="1">
              <from>
                <xdr:col>1</xdr:col>
                <xdr:colOff>0</xdr:colOff>
                <xdr:row>0</xdr:row>
                <xdr:rowOff>171450</xdr:rowOff>
              </from>
              <to>
                <xdr:col>2</xdr:col>
                <xdr:colOff>838200</xdr:colOff>
                <xdr:row>2</xdr:row>
                <xdr:rowOff>38100</xdr:rowOff>
              </to>
            </anchor>
          </controlPr>
        </control>
      </mc:Choice>
    </mc:AlternateContent>
    <mc:AlternateContent xmlns:mc="http://schemas.openxmlformats.org/markup-compatibility/2006">
      <mc:Choice Requires="x14">
        <control shapeId="4110" r:id="rId13" name="Button 14">
          <controlPr defaultSize="0" print="0" autoFill="0" autoPict="0" macro="[0]!ShowPlanOutputData">
            <anchor moveWithCells="1" sizeWithCells="1">
              <from>
                <xdr:col>7</xdr:col>
                <xdr:colOff>1200150</xdr:colOff>
                <xdr:row>1</xdr:row>
                <xdr:rowOff>0</xdr:rowOff>
              </from>
              <to>
                <xdr:col>10</xdr:col>
                <xdr:colOff>47625</xdr:colOff>
                <xdr:row>2</xdr:row>
                <xdr:rowOff>57150</xdr:rowOff>
              </to>
            </anchor>
          </controlPr>
        </control>
      </mc:Choice>
    </mc:AlternateContent>
    <mc:AlternateContent xmlns:mc="http://schemas.openxmlformats.org/markup-compatibility/2006">
      <mc:Choice Requires="x14">
        <control shapeId="4111" r:id="rId14" name="Button 15">
          <controlPr defaultSize="0" print="0" autoFill="0" autoPict="0" macro="[0]!ShowManualInput">
            <anchor moveWithCells="1" sizeWithCells="1">
              <from>
                <xdr:col>1</xdr:col>
                <xdr:colOff>9525</xdr:colOff>
                <xdr:row>2</xdr:row>
                <xdr:rowOff>152400</xdr:rowOff>
              </from>
              <to>
                <xdr:col>2</xdr:col>
                <xdr:colOff>847725</xdr:colOff>
                <xdr:row>4</xdr:row>
                <xdr:rowOff>19050</xdr:rowOff>
              </to>
            </anchor>
          </controlPr>
        </control>
      </mc:Choice>
    </mc:AlternateContent>
    <mc:AlternateContent xmlns:mc="http://schemas.openxmlformats.org/markup-compatibility/2006">
      <mc:Choice Requires="x14">
        <control shapeId="4112" r:id="rId15" name="Button 16">
          <controlPr defaultSize="0" print="0" autoFill="0" autoPict="0" macro="[0]!MultiPlanModeExport">
            <anchor moveWithCells="1" sizeWithCells="1">
              <from>
                <xdr:col>7</xdr:col>
                <xdr:colOff>1200150</xdr:colOff>
                <xdr:row>2</xdr:row>
                <xdr:rowOff>171450</xdr:rowOff>
              </from>
              <to>
                <xdr:col>10</xdr:col>
                <xdr:colOff>38100</xdr:colOff>
                <xdr:row>4</xdr:row>
                <xdr:rowOff>38100</xdr:rowOff>
              </to>
            </anchor>
          </controlPr>
        </control>
      </mc:Choice>
    </mc:AlternateContent>
    <mc:AlternateContent xmlns:mc="http://schemas.openxmlformats.org/markup-compatibility/2006">
      <mc:Choice Requires="x14">
        <control shapeId="4113" r:id="rId16" name="Button 17">
          <controlPr defaultSize="0" print="0" autoFill="0" autoPict="0" macro="[0]!btnMatLineItem_Click">
            <anchor moveWithCells="1" sizeWithCells="1">
              <from>
                <xdr:col>3</xdr:col>
                <xdr:colOff>28575</xdr:colOff>
                <xdr:row>18</xdr:row>
                <xdr:rowOff>66675</xdr:rowOff>
              </from>
              <to>
                <xdr:col>4</xdr:col>
                <xdr:colOff>219075</xdr:colOff>
                <xdr:row>19</xdr:row>
                <xdr:rowOff>104775</xdr:rowOff>
              </to>
            </anchor>
          </controlPr>
        </control>
      </mc:Choice>
    </mc:AlternateContent>
    <mc:AlternateContent xmlns:mc="http://schemas.openxmlformats.org/markup-compatibility/2006">
      <mc:Choice Requires="x14">
        <control shapeId="4114" r:id="rId17" name="Button 18">
          <controlPr defaultSize="0" print="0" autoFill="0" autoPict="0" macro="[0]!btnDiaLineItem_Click">
            <anchor moveWithCells="1" sizeWithCells="1">
              <from>
                <xdr:col>8</xdr:col>
                <xdr:colOff>28575</xdr:colOff>
                <xdr:row>18</xdr:row>
                <xdr:rowOff>66675</xdr:rowOff>
              </from>
              <to>
                <xdr:col>9</xdr:col>
                <xdr:colOff>219075</xdr:colOff>
                <xdr:row>19</xdr:row>
                <xdr:rowOff>104775</xdr:rowOff>
              </to>
            </anchor>
          </controlPr>
        </control>
      </mc:Choice>
    </mc:AlternateContent>
    <mc:AlternateContent xmlns:mc="http://schemas.openxmlformats.org/markup-compatibility/2006">
      <mc:Choice Requires="x14">
        <control shapeId="4115" r:id="rId18" name="Button 19">
          <controlPr defaultSize="0" print="0" autoFill="0" autoPict="0" macro="[0]!btnFraLineItem_Click">
            <anchor moveWithCells="1" sizeWithCells="1">
              <from>
                <xdr:col>3</xdr:col>
                <xdr:colOff>28575</xdr:colOff>
                <xdr:row>32</xdr:row>
                <xdr:rowOff>66675</xdr:rowOff>
              </from>
              <to>
                <xdr:col>4</xdr:col>
                <xdr:colOff>219075</xdr:colOff>
                <xdr:row>33</xdr:row>
                <xdr:rowOff>104775</xdr:rowOff>
              </to>
            </anchor>
          </controlPr>
        </control>
      </mc:Choice>
    </mc:AlternateContent>
    <mc:AlternateContent xmlns:mc="http://schemas.openxmlformats.org/markup-compatibility/2006">
      <mc:Choice Requires="x14">
        <control shapeId="4123" r:id="rId19" name="Button 27">
          <controlPr defaultSize="0" print="0" autoFill="0" autoPict="0" macro="[0]!CombBox_LoadResults">
            <anchor moveWithCells="1" sizeWithCells="1">
              <from>
                <xdr:col>7</xdr:col>
                <xdr:colOff>552450</xdr:colOff>
                <xdr:row>2</xdr:row>
                <xdr:rowOff>161925</xdr:rowOff>
              </from>
              <to>
                <xdr:col>7</xdr:col>
                <xdr:colOff>1009650</xdr:colOff>
                <xdr:row>4</xdr:row>
                <xdr:rowOff>38100</xdr:rowOff>
              </to>
            </anchor>
          </controlPr>
        </control>
      </mc:Choice>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1F563A434FC1438657F9F23EA1D451" ma:contentTypeVersion="9" ma:contentTypeDescription="Create a new document." ma:contentTypeScope="" ma:versionID="6ea0f982e4cc7697cda129164f141968">
  <xsd:schema xmlns:xsd="http://www.w3.org/2001/XMLSchema" xmlns:xs="http://www.w3.org/2001/XMLSchema" xmlns:p="http://schemas.microsoft.com/office/2006/metadata/properties" xmlns:ns2="43853452-9e67-45dc-9886-71352b2fd01a" targetNamespace="http://schemas.microsoft.com/office/2006/metadata/properties" ma:root="true" ma:fieldsID="9c7efbcca42a585f27be90ac03591184" ns2:_="">
    <xsd:import namespace="43853452-9e67-45dc-9886-71352b2fd01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853452-9e67-45dc-9886-71352b2fd0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6a8e296-5f29-4af2-954b-0de0d1e1f8bc" ContentTypeId="0x01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43853452-9e67-45dc-9886-71352b2fd01a">QSXZK4DW25JC-2088971228-2213</_dlc_DocId>
    <_dlc_DocIdUrl xmlns="43853452-9e67-45dc-9886-71352b2fd01a">
      <Url>https://share.cms.gov/center/cciio/CSG/TranDisc/_layouts/15/DocIdRedir.aspx?ID=QSXZK4DW25JC-2088971228-2213</Url>
      <Description>QSXZK4DW25JC-2088971228-2213</Description>
    </_dlc_DocIdUrl>
  </documentManagement>
</p:properties>
</file>

<file path=customXml/itemProps1.xml><?xml version="1.0" encoding="utf-8"?>
<ds:datastoreItem xmlns:ds="http://schemas.openxmlformats.org/officeDocument/2006/customXml" ds:itemID="{4FD2FE16-78F1-4EA8-9F99-3AD22C5DEB64}"/>
</file>

<file path=customXml/itemProps2.xml><?xml version="1.0" encoding="utf-8"?>
<ds:datastoreItem xmlns:ds="http://schemas.openxmlformats.org/officeDocument/2006/customXml" ds:itemID="{EE235145-597C-4B84-89FD-3C0CC46F288D}"/>
</file>

<file path=customXml/itemProps3.xml><?xml version="1.0" encoding="utf-8"?>
<ds:datastoreItem xmlns:ds="http://schemas.openxmlformats.org/officeDocument/2006/customXml" ds:itemID="{890D2BCB-348A-48D8-9BA7-11556DC7C290}"/>
</file>

<file path=customXml/itemProps4.xml><?xml version="1.0" encoding="utf-8"?>
<ds:datastoreItem xmlns:ds="http://schemas.openxmlformats.org/officeDocument/2006/customXml" ds:itemID="{229DD896-A20F-409A-9C36-59040EFD6342}"/>
</file>

<file path=customXml/itemProps5.xml><?xml version="1.0" encoding="utf-8"?>
<ds:datastoreItem xmlns:ds="http://schemas.openxmlformats.org/officeDocument/2006/customXml" ds:itemID="{A1F452AE-218C-4F05-BB56-ACFE4DBFF7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122</vt:i4>
      </vt:variant>
    </vt:vector>
  </HeadingPairs>
  <TitlesOfParts>
    <vt:vector size="140" baseType="lpstr">
      <vt:lpstr>WELCOME</vt:lpstr>
      <vt:lpstr>MULTIPLE_PLAN_MODE</vt:lpstr>
      <vt:lpstr>BENEFIT_DESIGN</vt:lpstr>
      <vt:lpstr>PLAN_INPUT_DATA</vt:lpstr>
      <vt:lpstr>HelperTab</vt:lpstr>
      <vt:lpstr>BENEFIT_DESIGN_ERRORS</vt:lpstr>
      <vt:lpstr>BENEFIT_PARAMETERS</vt:lpstr>
      <vt:lpstr>PLAN_OUTPUT_DATA</vt:lpstr>
      <vt:lpstr>RESULTS_SUMMARY</vt:lpstr>
      <vt:lpstr>MATERNITY_SUMMARY</vt:lpstr>
      <vt:lpstr>MATERNITY_LINE_ITEM</vt:lpstr>
      <vt:lpstr>DIABETES_SUMMARY</vt:lpstr>
      <vt:lpstr>MATERNITY_TIMELINE</vt:lpstr>
      <vt:lpstr>DIABETES_TIMELINE</vt:lpstr>
      <vt:lpstr>DIABETES_LINE_ITEM</vt:lpstr>
      <vt:lpstr>FRACTURE_SUMMARY</vt:lpstr>
      <vt:lpstr>FRACTURE_TIMELINE</vt:lpstr>
      <vt:lpstr>FRACTURE_LINE_ITEM</vt:lpstr>
      <vt:lpstr>DIABETES_TIMELINE!AllowedAmt</vt:lpstr>
      <vt:lpstr>FRACTURE_TIMELINE!AllowedAmt</vt:lpstr>
      <vt:lpstr>MATERNITY_TIMELINE!AllowedAmt</vt:lpstr>
      <vt:lpstr>DIABETES_TIMELINE!AllowedAmtAfterCopayCoins</vt:lpstr>
      <vt:lpstr>DIABETES_TIMELINE!AmtExceedAnnualLimit</vt:lpstr>
      <vt:lpstr>DIABETES_TIMELINE!AmtExceedMonthLimit</vt:lpstr>
      <vt:lpstr>DIABETES_TIMELINE!AnnualLimit</vt:lpstr>
      <vt:lpstr>DIABETES_TIMELINE!BenefitCategory</vt:lpstr>
      <vt:lpstr>FRACTURE_TIMELINE!BenefitCategory</vt:lpstr>
      <vt:lpstr>MATERNITY_TIMELINE!BenefitCategory</vt:lpstr>
      <vt:lpstr>BenefitCategoryList</vt:lpstr>
      <vt:lpstr>BenefitCoins</vt:lpstr>
      <vt:lpstr>BenefitCopay</vt:lpstr>
      <vt:lpstr>BenefitCostSharing</vt:lpstr>
      <vt:lpstr>BenefitDeductible</vt:lpstr>
      <vt:lpstr>DIABETES_TIMELINE!BenefitDeductiblePayment</vt:lpstr>
      <vt:lpstr>DIABETES_TIMELINE!BenefitDedutibleApplies</vt:lpstr>
      <vt:lpstr>BenefitDesignTable</vt:lpstr>
      <vt:lpstr>BenefitLimitAnnual</vt:lpstr>
      <vt:lpstr>BenefitLimithMonth</vt:lpstr>
      <vt:lpstr>BenefitOOPLimitApplies</vt:lpstr>
      <vt:lpstr>DIABETES_TIMELINE!ClaimDate</vt:lpstr>
      <vt:lpstr>FRACTURE_TIMELINE!ClaimDate</vt:lpstr>
      <vt:lpstr>MATERNITY_TIMELINE!ClaimDate</vt:lpstr>
      <vt:lpstr>DIABETES_TIMELINE!ClaimMonth</vt:lpstr>
      <vt:lpstr>FRACTURE_TIMELINE!ClaimMonth</vt:lpstr>
      <vt:lpstr>MATERNITY_TIMELINE!ClaimMonth</vt:lpstr>
      <vt:lpstr>DIABETES_TIMELINE!ClaimNumber</vt:lpstr>
      <vt:lpstr>FRACTURE_TIMELINE!ClaimNumber</vt:lpstr>
      <vt:lpstr>MATERNITY_TIMELINE!ClaimNumber</vt:lpstr>
      <vt:lpstr>DIABETES_TIMELINE!CoInsAmount</vt:lpstr>
      <vt:lpstr>DIABETES_TIMELINE!CoPayAmount</vt:lpstr>
      <vt:lpstr>DIABETES_TIMELINE!CostSharingType</vt:lpstr>
      <vt:lpstr>FRACTURE_TIMELINE!CostSharingType</vt:lpstr>
      <vt:lpstr>MATERNITY_TIMELINE!CostSharingType</vt:lpstr>
      <vt:lpstr>DIABETES_TIMELINE!CoveredAmt</vt:lpstr>
      <vt:lpstr>DIABETES_TIMELINE!CoveredAmtAfterDeductibles</vt:lpstr>
      <vt:lpstr>DIABETES_TIMELINE!DeductibleCApplies</vt:lpstr>
      <vt:lpstr>DIABETES_TIMELINE!DeductibleCPayment</vt:lpstr>
      <vt:lpstr>DIABETES_TIMELINE!DeductibleDApplies</vt:lpstr>
      <vt:lpstr>DIABETES_TIMELINE!DeductibleDPayment</vt:lpstr>
      <vt:lpstr>DiabetesFeeSchedule</vt:lpstr>
      <vt:lpstr>FractureFeeSchedule</vt:lpstr>
      <vt:lpstr>MaternityFeeSchedule</vt:lpstr>
      <vt:lpstr>DIABETES_TIMELINE!MonthLimit</vt:lpstr>
      <vt:lpstr>DIABETES_TIMELINE!NotCoveredAmt</vt:lpstr>
      <vt:lpstr>nrAddtlOpts</vt:lpstr>
      <vt:lpstr>nrAnnualLimitValid</vt:lpstr>
      <vt:lpstr>nrBC_TYPES</vt:lpstr>
      <vt:lpstr>nrBENEFIT_PARAMETERS</vt:lpstr>
      <vt:lpstr>nrCBPlanName</vt:lpstr>
      <vt:lpstr>nrCBPlanNameRS</vt:lpstr>
      <vt:lpstr>nrCostShareType</vt:lpstr>
      <vt:lpstr>nrCOV_LIMIT</vt:lpstr>
      <vt:lpstr>nrCoverageTable</vt:lpstr>
      <vt:lpstr>nrCovTypeValid</vt:lpstr>
      <vt:lpstr>nrCurrentPlan</vt:lpstr>
      <vt:lpstr>nrCurrentPlanRS</vt:lpstr>
      <vt:lpstr>nrDEDMOOP</vt:lpstr>
      <vt:lpstr>nrDIAB_PatientPays</vt:lpstr>
      <vt:lpstr>nrDIAB_PlanPays</vt:lpstr>
      <vt:lpstr>nrDM_TYPES</vt:lpstr>
      <vt:lpstr>nrFF_PatientPays</vt:lpstr>
      <vt:lpstr>nrFF_PlanPays</vt:lpstr>
      <vt:lpstr>nrMAT_PatientPays</vt:lpstr>
      <vt:lpstr>nrMAT_PlanPays</vt:lpstr>
      <vt:lpstr>nrMonthlyLimitValid</vt:lpstr>
      <vt:lpstr>nrOOPLimitValid</vt:lpstr>
      <vt:lpstr>nrOPL</vt:lpstr>
      <vt:lpstr>nrParamChanged</vt:lpstr>
      <vt:lpstr>nrPlanBenefitParameters</vt:lpstr>
      <vt:lpstr>nrPlanInput</vt:lpstr>
      <vt:lpstr>nrPlanName</vt:lpstr>
      <vt:lpstr>nrSVC_CS</vt:lpstr>
      <vt:lpstr>nrTotPlanCount</vt:lpstr>
      <vt:lpstr>nrTotPlanCountRS</vt:lpstr>
      <vt:lpstr>nrTYPE_CS</vt:lpstr>
      <vt:lpstr>nrUsesBenDeduct</vt:lpstr>
      <vt:lpstr>nrUsesCoins</vt:lpstr>
      <vt:lpstr>nrUsesCopay</vt:lpstr>
      <vt:lpstr>nrUsesDeductC</vt:lpstr>
      <vt:lpstr>nrUsesDeductD</vt:lpstr>
      <vt:lpstr>nrUsesPlanDeduct</vt:lpstr>
      <vt:lpstr>nrUsesRxDeduct</vt:lpstr>
      <vt:lpstr>OPLimit</vt:lpstr>
      <vt:lpstr>OptDeductibleC</vt:lpstr>
      <vt:lpstr>OptDeductibleD</vt:lpstr>
      <vt:lpstr>DIABETES_TIMELINE!PaymentTowardDeductibles</vt:lpstr>
      <vt:lpstr>PlanDeductible</vt:lpstr>
      <vt:lpstr>DIABETES_TIMELINE!PlanDeductibleApplies</vt:lpstr>
      <vt:lpstr>DIABETES_TIMELINE!PlanDeductiblePayment</vt:lpstr>
      <vt:lpstr>DIABETES_TIMELINE!PlanPaymentAmt</vt:lpstr>
      <vt:lpstr>FRACTURE_TIMELINE!PlanPaymentAmt</vt:lpstr>
      <vt:lpstr>MATERNITY_TIMELINE!PlanPaymentAmt</vt:lpstr>
      <vt:lpstr>DIABETES_TIMELINE!PriorUseAnnual</vt:lpstr>
      <vt:lpstr>DIABETES_TIMELINE!PriorUseMonth</vt:lpstr>
      <vt:lpstr>DIABETES_TIMELINE!RemainingBenefitDeduc</vt:lpstr>
      <vt:lpstr>DIABETES_TIMELINE!RemainingDeductibleC</vt:lpstr>
      <vt:lpstr>DIABETES_TIMELINE!RemainingDeductibleD</vt:lpstr>
      <vt:lpstr>DIABETES_TIMELINE!RemainingPlanDeduc</vt:lpstr>
      <vt:lpstr>DIABETES_TIMELINE!RemainingRxDeduc</vt:lpstr>
      <vt:lpstr>RxDeductible</vt:lpstr>
      <vt:lpstr>DIABETES_TIMELINE!RxDeductibleApplies</vt:lpstr>
      <vt:lpstr>DIABETES_TIMELINE!RxDeductiblePayment</vt:lpstr>
      <vt:lpstr>DIABETES_TIMELINE!ServiceCode</vt:lpstr>
      <vt:lpstr>FRACTURE_TIMELINE!ServiceCode</vt:lpstr>
      <vt:lpstr>MATERNITY_TIMELINE!ServiceCode</vt:lpstr>
      <vt:lpstr>DIABETES_TIMELINE!SubscriberPayCoins</vt:lpstr>
      <vt:lpstr>FRACTURE_TIMELINE!SubscriberPayCoins</vt:lpstr>
      <vt:lpstr>MATERNITY_TIMELINE!SubscriberPayCoins</vt:lpstr>
      <vt:lpstr>DIABETES_TIMELINE!SubscriberPayCopay</vt:lpstr>
      <vt:lpstr>FRACTURE_TIMELINE!SubscriberPayCopay</vt:lpstr>
      <vt:lpstr>MATERNITY_TIMELINE!SubscriberPayCopay</vt:lpstr>
      <vt:lpstr>DIABETES_TIMELINE!SubscriberPayDeduc</vt:lpstr>
      <vt:lpstr>FRACTURE_TIMELINE!SubscriberPayDeduc</vt:lpstr>
      <vt:lpstr>MATERNITY_TIMELINE!SubscriberPayDeduc</vt:lpstr>
      <vt:lpstr>DIABETES_TIMELINE!SubscriberPayExclusion</vt:lpstr>
      <vt:lpstr>FRACTURE_TIMELINE!SubscriberPayExclusion</vt:lpstr>
      <vt:lpstr>MATERNITY_TIMELINE!SubscriberPayExclusion</vt:lpstr>
      <vt:lpstr>DIABETES_TIMELINE!SubscriberPayNonCov</vt:lpstr>
      <vt:lpstr>FRACTURE_TIMELINE!SubscriberPayNonCov</vt:lpstr>
      <vt:lpstr>MATERNITY_TIMELINE!SubscriberPayNonCov</vt:lpstr>
    </vt:vector>
  </TitlesOfParts>
  <Company>RTI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 Bachofer</dc:creator>
  <cp:lastModifiedBy>Sarah Ungureit</cp:lastModifiedBy>
  <cp:lastPrinted>2015-02-25T19:11:31Z</cp:lastPrinted>
  <dcterms:created xsi:type="dcterms:W3CDTF">2015-02-25T14:47:23Z</dcterms:created>
  <dcterms:modified xsi:type="dcterms:W3CDTF">2019-10-31T22:03:15Z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ba35e757-6d83-4890-b5cf-712246e2f023</vt:lpwstr>
  </property>
  <property fmtid="{D5CDD505-2E9C-101B-9397-08002B2CF9AE}" pid="4" name="ContentTypeId">
    <vt:lpwstr>0x010100231F563A434FC1438657F9F23EA1D451</vt:lpwstr>
  </property>
</Properties>
</file>