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showInkAnnotation="0" codeName="ThisWorkbook" defaultThemeVersion="124226"/>
  <xr:revisionPtr revIDLastSave="0" documentId="8_{57E6B554-B6A9-43FA-B8BE-AB0A976FD2BA}" xr6:coauthVersionLast="41" xr6:coauthVersionMax="41" xr10:uidLastSave="{00000000-0000-0000-0000-000000000000}"/>
  <bookViews>
    <workbookView xWindow="19080" yWindow="-120" windowWidth="29040" windowHeight="15990" activeTab="5" xr2:uid="{00000000-000D-0000-FFFF-FFFF00000000}"/>
  </bookViews>
  <sheets>
    <sheet name="Inputs" sheetId="12" r:id="rId1"/>
    <sheet name="MemoTables" sheetId="38" r:id="rId2"/>
    <sheet name="YR1" sheetId="39" r:id="rId3"/>
    <sheet name="YR2" sheetId="34" r:id="rId4"/>
    <sheet name="YR3" sheetId="40" r:id="rId5"/>
    <sheet name="summary" sheetId="8" r:id="rId6"/>
    <sheet name="EPA_YR1" sheetId="7" r:id="rId7"/>
    <sheet name="EPA_YR2" sheetId="36" r:id="rId8"/>
    <sheet name="EPA_YR3" sheetId="37" r:id="rId9"/>
    <sheet name="EPA summary" sheetId="11" r:id="rId10"/>
  </sheets>
  <definedNames>
    <definedName name="_xlnm.Print_Area" localSheetId="9">'EPA summary'!$B$2:$I$8</definedName>
    <definedName name="_xlnm.Print_Area" localSheetId="6">EPA_YR1!$B$2:$N$36</definedName>
    <definedName name="_xlnm.Print_Area" localSheetId="7">EPA_YR2!$B$2:$N$36</definedName>
    <definedName name="_xlnm.Print_Area" localSheetId="8">EPA_YR3!$B$2:$N$36</definedName>
    <definedName name="_xlnm.Print_Area" localSheetId="5">summary!$B$1:$I$7</definedName>
    <definedName name="_xlnm.Print_Area" localSheetId="2">'YR1'!$B$2:$O$73</definedName>
    <definedName name="_xlnm.Print_Area" localSheetId="3">'YR2'!$B$2:$O$72</definedName>
    <definedName name="_xlnm.Print_Area" localSheetId="4">'YR3'!$B$2:$O$72</definedName>
    <definedName name="_xlnm.Print_Titles" localSheetId="2">'YR1'!$2:$3</definedName>
    <definedName name="_xlnm.Print_Titles" localSheetId="3">'YR2'!$2:$3</definedName>
    <definedName name="_xlnm.Print_Titles" localSheetId="4">'YR3'!$2:$3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 i="40" l="1"/>
  <c r="C29" i="38" l="1"/>
  <c r="C28" i="38"/>
  <c r="C27" i="38"/>
  <c r="C26" i="38"/>
  <c r="C25" i="38"/>
  <c r="C24" i="38"/>
  <c r="C23" i="38"/>
  <c r="C21" i="38"/>
  <c r="C20" i="38"/>
  <c r="C19" i="38"/>
  <c r="C18" i="38"/>
  <c r="D9" i="38"/>
  <c r="C9" i="38"/>
  <c r="G36" i="40" l="1"/>
  <c r="G35" i="40"/>
  <c r="G39" i="40"/>
  <c r="G38" i="40"/>
  <c r="G37" i="40"/>
  <c r="G34" i="40"/>
  <c r="G33" i="40"/>
  <c r="G39" i="34"/>
  <c r="G37" i="34" l="1"/>
  <c r="G48" i="34"/>
  <c r="G38" i="34"/>
  <c r="G51" i="34"/>
  <c r="G50" i="34"/>
  <c r="G36" i="34"/>
  <c r="G35" i="34"/>
  <c r="G34" i="34"/>
  <c r="G47" i="34"/>
  <c r="G33" i="34"/>
  <c r="G46" i="34"/>
  <c r="G51" i="40" l="1"/>
  <c r="G50" i="40"/>
  <c r="G49" i="40"/>
  <c r="G13" i="40"/>
  <c r="G49" i="34"/>
  <c r="G48" i="40"/>
  <c r="G28" i="34"/>
  <c r="G46" i="40"/>
  <c r="G10" i="40" l="1"/>
  <c r="G28" i="40" s="1"/>
  <c r="G29" i="40"/>
  <c r="G17" i="40"/>
  <c r="G16" i="40"/>
  <c r="G14" i="40"/>
  <c r="G47" i="40" s="1"/>
  <c r="G11" i="40"/>
  <c r="G17" i="34"/>
  <c r="G16" i="34"/>
  <c r="G13" i="34"/>
  <c r="G14" i="34" s="1"/>
  <c r="G11" i="34"/>
  <c r="G10" i="34"/>
  <c r="G8" i="38" l="1"/>
  <c r="D8" i="38"/>
  <c r="C8" i="38"/>
  <c r="E9" i="38"/>
  <c r="F8" i="38"/>
  <c r="C7" i="38"/>
  <c r="F7" i="38"/>
  <c r="D7" i="38"/>
  <c r="G7" i="38"/>
  <c r="D6" i="38"/>
  <c r="G6" i="38"/>
  <c r="F6" i="38"/>
  <c r="G5" i="38"/>
  <c r="F5" i="38"/>
  <c r="C6" i="38"/>
  <c r="D5" i="38"/>
  <c r="C5" i="38"/>
  <c r="D6" i="12"/>
  <c r="E6" i="12" s="1"/>
  <c r="D5" i="12"/>
  <c r="E5" i="12" s="1"/>
  <c r="E8" i="38" l="1"/>
  <c r="H8" i="38"/>
  <c r="G26" i="37"/>
  <c r="I26" i="37" s="1"/>
  <c r="G25" i="37"/>
  <c r="G23" i="37"/>
  <c r="I23" i="37" s="1"/>
  <c r="G22" i="37"/>
  <c r="I22" i="37" s="1"/>
  <c r="G21" i="37"/>
  <c r="I21" i="37" s="1"/>
  <c r="G20" i="37"/>
  <c r="G19" i="37"/>
  <c r="I19" i="37" s="1"/>
  <c r="G17" i="37"/>
  <c r="G15" i="37"/>
  <c r="I15" i="37" s="1"/>
  <c r="G14" i="37"/>
  <c r="I14" i="37" s="1"/>
  <c r="G8" i="37"/>
  <c r="J28" i="37" s="1"/>
  <c r="M28" i="37" s="1"/>
  <c r="I27" i="37"/>
  <c r="I25" i="37"/>
  <c r="I20" i="37"/>
  <c r="I17" i="37"/>
  <c r="K9" i="37"/>
  <c r="J9" i="37"/>
  <c r="L9" i="37" s="1"/>
  <c r="I9" i="37"/>
  <c r="M9" i="37" s="1"/>
  <c r="B9" i="37"/>
  <c r="K6" i="37"/>
  <c r="J6" i="37"/>
  <c r="L6" i="37" s="1"/>
  <c r="I6" i="37"/>
  <c r="G26" i="36"/>
  <c r="G25" i="36"/>
  <c r="I25" i="36" s="1"/>
  <c r="G24" i="36"/>
  <c r="I24" i="36" s="1"/>
  <c r="G22" i="36"/>
  <c r="I22" i="36" s="1"/>
  <c r="G21" i="36"/>
  <c r="I21" i="36" s="1"/>
  <c r="G17" i="36"/>
  <c r="G16" i="36"/>
  <c r="G8" i="36"/>
  <c r="I27" i="36"/>
  <c r="I26" i="36"/>
  <c r="I17" i="36"/>
  <c r="I16" i="36"/>
  <c r="K9" i="36"/>
  <c r="J9" i="36"/>
  <c r="L9" i="36" s="1"/>
  <c r="I9" i="36"/>
  <c r="M9" i="36" s="1"/>
  <c r="B9" i="36"/>
  <c r="J28" i="36"/>
  <c r="M28" i="36" s="1"/>
  <c r="J6" i="36"/>
  <c r="I6" i="36"/>
  <c r="K6" i="36" s="1"/>
  <c r="G25" i="7"/>
  <c r="I25" i="7" s="1"/>
  <c r="G22" i="7"/>
  <c r="I22" i="7" s="1"/>
  <c r="K22" i="7" s="1"/>
  <c r="G21" i="7"/>
  <c r="I21" i="7" s="1"/>
  <c r="G17" i="7"/>
  <c r="I17" i="7" s="1"/>
  <c r="K17" i="7" l="1"/>
  <c r="J17" i="7"/>
  <c r="M17" i="7" s="1"/>
  <c r="J22" i="7"/>
  <c r="M22" i="7" s="1"/>
  <c r="J20" i="37"/>
  <c r="M20" i="37" s="1"/>
  <c r="K20" i="37"/>
  <c r="K21" i="37"/>
  <c r="J21" i="37"/>
  <c r="K25" i="37"/>
  <c r="J25" i="37"/>
  <c r="J15" i="37"/>
  <c r="K15" i="37"/>
  <c r="K17" i="37"/>
  <c r="J17" i="37"/>
  <c r="M17" i="37" s="1"/>
  <c r="J22" i="37"/>
  <c r="K22" i="37"/>
  <c r="J26" i="37"/>
  <c r="K26" i="37"/>
  <c r="K14" i="37"/>
  <c r="J14" i="37"/>
  <c r="K19" i="37"/>
  <c r="L19" i="37" s="1"/>
  <c r="J19" i="37"/>
  <c r="K23" i="37"/>
  <c r="J23" i="37"/>
  <c r="I8" i="37"/>
  <c r="J27" i="37"/>
  <c r="M27" i="37" s="1"/>
  <c r="K27" i="37"/>
  <c r="L27" i="37" s="1"/>
  <c r="M6" i="37"/>
  <c r="L6" i="36"/>
  <c r="K17" i="36"/>
  <c r="J17" i="36"/>
  <c r="M17" i="36" s="1"/>
  <c r="K22" i="36"/>
  <c r="J22" i="36"/>
  <c r="K26" i="36"/>
  <c r="J26" i="36"/>
  <c r="M26" i="36" s="1"/>
  <c r="K24" i="36"/>
  <c r="J24" i="36"/>
  <c r="K16" i="36"/>
  <c r="J16" i="36"/>
  <c r="M16" i="36" s="1"/>
  <c r="K21" i="36"/>
  <c r="J21" i="36"/>
  <c r="L21" i="36" s="1"/>
  <c r="K25" i="36"/>
  <c r="J25" i="36"/>
  <c r="I8" i="36"/>
  <c r="J27" i="36"/>
  <c r="K27" i="36"/>
  <c r="L27" i="36" s="1"/>
  <c r="M6" i="36"/>
  <c r="J21" i="7"/>
  <c r="J25" i="7"/>
  <c r="K21" i="7"/>
  <c r="K25" i="7"/>
  <c r="L25" i="7" s="1"/>
  <c r="L25" i="37" l="1"/>
  <c r="L24" i="36"/>
  <c r="L23" i="37"/>
  <c r="M14" i="37"/>
  <c r="L26" i="37"/>
  <c r="M22" i="37"/>
  <c r="M15" i="37"/>
  <c r="L21" i="37"/>
  <c r="M21" i="7"/>
  <c r="M25" i="7"/>
  <c r="L17" i="7"/>
  <c r="L22" i="7"/>
  <c r="L21" i="7"/>
  <c r="L14" i="37"/>
  <c r="L22" i="37"/>
  <c r="L17" i="37"/>
  <c r="L15" i="37"/>
  <c r="M23" i="37"/>
  <c r="M26" i="37"/>
  <c r="L20" i="37"/>
  <c r="K8" i="37"/>
  <c r="J8" i="37"/>
  <c r="L8" i="37"/>
  <c r="M25" i="37"/>
  <c r="M21" i="37"/>
  <c r="M19" i="37"/>
  <c r="M21" i="36"/>
  <c r="M25" i="36"/>
  <c r="M22" i="36"/>
  <c r="M27" i="36"/>
  <c r="L26" i="36"/>
  <c r="L17" i="36"/>
  <c r="K8" i="36"/>
  <c r="J8" i="36"/>
  <c r="L25" i="36"/>
  <c r="L16" i="36"/>
  <c r="M24" i="36"/>
  <c r="L22" i="36"/>
  <c r="M8" i="37" l="1"/>
  <c r="M8" i="36"/>
  <c r="L8" i="36"/>
  <c r="G8" i="7" l="1"/>
  <c r="J28" i="7" s="1"/>
  <c r="M28" i="7" s="1"/>
  <c r="G20" i="40" l="1"/>
  <c r="G22" i="34"/>
  <c r="G20" i="34"/>
  <c r="G19" i="34"/>
  <c r="G31" i="34" l="1"/>
  <c r="G30" i="34"/>
  <c r="F47" i="12" l="1"/>
  <c r="F46" i="12"/>
  <c r="F45" i="12"/>
  <c r="G52" i="39"/>
  <c r="G26" i="7" s="1"/>
  <c r="G53" i="39"/>
  <c r="M53" i="39" s="1"/>
  <c r="G7" i="39"/>
  <c r="M7" i="39" s="1"/>
  <c r="M50" i="40"/>
  <c r="G24" i="37"/>
  <c r="I24" i="37" s="1"/>
  <c r="G30" i="40"/>
  <c r="G16" i="37" s="1"/>
  <c r="I16" i="37" s="1"/>
  <c r="M51" i="34"/>
  <c r="G23" i="36"/>
  <c r="I23" i="36" s="1"/>
  <c r="G20" i="36"/>
  <c r="I20" i="36" s="1"/>
  <c r="G19" i="36"/>
  <c r="I19" i="36" s="1"/>
  <c r="G29" i="34"/>
  <c r="G15" i="36" s="1"/>
  <c r="I15" i="36" s="1"/>
  <c r="G14" i="36"/>
  <c r="I14" i="36" s="1"/>
  <c r="G50" i="39"/>
  <c r="G49" i="39"/>
  <c r="G48" i="39"/>
  <c r="G47" i="39"/>
  <c r="G46" i="39"/>
  <c r="G38" i="39"/>
  <c r="G37" i="39"/>
  <c r="G23" i="7" s="1"/>
  <c r="I23" i="7" s="1"/>
  <c r="G34" i="39"/>
  <c r="G20" i="7" s="1"/>
  <c r="I20" i="7" s="1"/>
  <c r="G33" i="39"/>
  <c r="G19" i="7" s="1"/>
  <c r="I19" i="7" s="1"/>
  <c r="G30" i="39"/>
  <c r="G16" i="7" s="1"/>
  <c r="I16" i="7" s="1"/>
  <c r="G29" i="39"/>
  <c r="G15" i="7" s="1"/>
  <c r="I15" i="7" s="1"/>
  <c r="G28" i="39"/>
  <c r="G14" i="7" s="1"/>
  <c r="N55" i="40"/>
  <c r="M53" i="40"/>
  <c r="F53" i="40"/>
  <c r="H53" i="40" s="1"/>
  <c r="M52" i="40"/>
  <c r="F52" i="40"/>
  <c r="H52" i="40" s="1"/>
  <c r="F51" i="40"/>
  <c r="F50" i="40"/>
  <c r="H50" i="40" s="1"/>
  <c r="F49" i="40"/>
  <c r="F48" i="40"/>
  <c r="F47" i="40"/>
  <c r="F46" i="40"/>
  <c r="F39" i="40"/>
  <c r="F38" i="40"/>
  <c r="F37" i="40"/>
  <c r="N36" i="40"/>
  <c r="M36" i="40"/>
  <c r="F36" i="40"/>
  <c r="H36" i="40" s="1"/>
  <c r="I36" i="40" s="1"/>
  <c r="M35" i="40"/>
  <c r="F35" i="40"/>
  <c r="H35" i="40" s="1"/>
  <c r="F34" i="40"/>
  <c r="F33" i="40"/>
  <c r="F31" i="40"/>
  <c r="M30" i="40"/>
  <c r="F30" i="40"/>
  <c r="H30" i="40" s="1"/>
  <c r="F29" i="40"/>
  <c r="F28" i="40"/>
  <c r="F23" i="40"/>
  <c r="H23" i="40" s="1"/>
  <c r="D23" i="40"/>
  <c r="M23" i="40" s="1"/>
  <c r="F22" i="40"/>
  <c r="H22" i="40" s="1"/>
  <c r="D22" i="40"/>
  <c r="M22" i="40" s="1"/>
  <c r="F20" i="40"/>
  <c r="H20" i="40" s="1"/>
  <c r="D20" i="40"/>
  <c r="M20" i="40" s="1"/>
  <c r="H19" i="40"/>
  <c r="F19" i="40"/>
  <c r="D19" i="40"/>
  <c r="M19" i="40" s="1"/>
  <c r="F17" i="40"/>
  <c r="D17" i="40"/>
  <c r="M17" i="40" s="1"/>
  <c r="F16" i="40"/>
  <c r="H16" i="40" s="1"/>
  <c r="D16" i="40"/>
  <c r="M16" i="40" s="1"/>
  <c r="H14" i="40"/>
  <c r="F14" i="40"/>
  <c r="D14" i="40"/>
  <c r="M14" i="40" s="1"/>
  <c r="F13" i="40"/>
  <c r="H13" i="40" s="1"/>
  <c r="D13" i="40"/>
  <c r="M13" i="40" s="1"/>
  <c r="F11" i="40"/>
  <c r="D11" i="40"/>
  <c r="M11" i="40" s="1"/>
  <c r="F10" i="40"/>
  <c r="H10" i="40" s="1"/>
  <c r="D10" i="40"/>
  <c r="M7" i="40"/>
  <c r="F7" i="40"/>
  <c r="H7" i="40" s="1"/>
  <c r="N55" i="39"/>
  <c r="F53" i="39"/>
  <c r="F52" i="39"/>
  <c r="F51" i="39"/>
  <c r="M50" i="39"/>
  <c r="F50" i="39"/>
  <c r="H50" i="39" s="1"/>
  <c r="F49" i="39"/>
  <c r="F48" i="39"/>
  <c r="F47" i="39"/>
  <c r="F46" i="39"/>
  <c r="F39" i="39"/>
  <c r="N38" i="39"/>
  <c r="F38" i="39"/>
  <c r="F37" i="39"/>
  <c r="N36" i="39"/>
  <c r="M36" i="39"/>
  <c r="F36" i="39"/>
  <c r="H36" i="39" s="1"/>
  <c r="M35" i="39"/>
  <c r="F35" i="39"/>
  <c r="H35" i="39" s="1"/>
  <c r="F34" i="39"/>
  <c r="F33" i="39"/>
  <c r="F31" i="39"/>
  <c r="M30" i="39"/>
  <c r="H30" i="39"/>
  <c r="F30" i="39"/>
  <c r="F29" i="39"/>
  <c r="F28" i="39"/>
  <c r="H23" i="39"/>
  <c r="F23" i="39"/>
  <c r="D23" i="39"/>
  <c r="M23" i="39" s="1"/>
  <c r="F22" i="39"/>
  <c r="H22" i="39" s="1"/>
  <c r="D22" i="39"/>
  <c r="M22" i="39" s="1"/>
  <c r="H20" i="39"/>
  <c r="F20" i="39"/>
  <c r="D20" i="39"/>
  <c r="M20" i="39" s="1"/>
  <c r="F19" i="39"/>
  <c r="H19" i="39" s="1"/>
  <c r="D19" i="39"/>
  <c r="M19" i="39" s="1"/>
  <c r="F17" i="39"/>
  <c r="D17" i="39"/>
  <c r="M17" i="39" s="1"/>
  <c r="F16" i="39"/>
  <c r="H16" i="39" s="1"/>
  <c r="D16" i="39"/>
  <c r="M16" i="39" s="1"/>
  <c r="H14" i="39"/>
  <c r="F14" i="39"/>
  <c r="D14" i="39"/>
  <c r="M14" i="39" s="1"/>
  <c r="F13" i="39"/>
  <c r="H13" i="39" s="1"/>
  <c r="D13" i="39"/>
  <c r="M13" i="39" s="1"/>
  <c r="F11" i="39"/>
  <c r="D11" i="39"/>
  <c r="M11" i="39" s="1"/>
  <c r="F10" i="39"/>
  <c r="H10" i="39" s="1"/>
  <c r="D10" i="39"/>
  <c r="M10" i="39" s="1"/>
  <c r="F7" i="39"/>
  <c r="H7" i="39" s="1"/>
  <c r="F51" i="34"/>
  <c r="F33" i="34"/>
  <c r="F39" i="34"/>
  <c r="N38" i="34"/>
  <c r="F38" i="34"/>
  <c r="F31" i="34"/>
  <c r="N30" i="34"/>
  <c r="F30" i="34"/>
  <c r="D23" i="34"/>
  <c r="D22" i="34"/>
  <c r="D20" i="34"/>
  <c r="D19" i="34"/>
  <c r="D17" i="34"/>
  <c r="D16" i="34"/>
  <c r="F23" i="34"/>
  <c r="F22" i="34"/>
  <c r="K23" i="36" l="1"/>
  <c r="J23" i="36"/>
  <c r="M23" i="36"/>
  <c r="K20" i="36"/>
  <c r="J20" i="36"/>
  <c r="J15" i="36"/>
  <c r="M15" i="36" s="1"/>
  <c r="K15" i="36"/>
  <c r="J19" i="36"/>
  <c r="M19" i="36" s="1"/>
  <c r="K19" i="36"/>
  <c r="K14" i="36"/>
  <c r="J14" i="36"/>
  <c r="L14" i="36" s="1"/>
  <c r="I29" i="36"/>
  <c r="I53" i="40"/>
  <c r="J53" i="40"/>
  <c r="K24" i="37"/>
  <c r="J24" i="37"/>
  <c r="L24" i="37" s="1"/>
  <c r="K16" i="37"/>
  <c r="J16" i="37"/>
  <c r="L16" i="37" s="1"/>
  <c r="I29" i="37"/>
  <c r="J20" i="7"/>
  <c r="K20" i="7"/>
  <c r="M20" i="7" s="1"/>
  <c r="K15" i="7"/>
  <c r="J15" i="7"/>
  <c r="K23" i="7"/>
  <c r="J23" i="7"/>
  <c r="L23" i="7" s="1"/>
  <c r="H52" i="39"/>
  <c r="J52" i="39" s="1"/>
  <c r="J16" i="7"/>
  <c r="M16" i="7" s="1"/>
  <c r="K16" i="7"/>
  <c r="G51" i="39"/>
  <c r="H51" i="39" s="1"/>
  <c r="G24" i="7"/>
  <c r="I24" i="7" s="1"/>
  <c r="M52" i="39"/>
  <c r="K19" i="7"/>
  <c r="J19" i="7"/>
  <c r="L19" i="7" s="1"/>
  <c r="N38" i="40"/>
  <c r="F28" i="38" s="1"/>
  <c r="M51" i="39"/>
  <c r="L53" i="40"/>
  <c r="H53" i="39"/>
  <c r="I53" i="39" s="1"/>
  <c r="H51" i="40"/>
  <c r="J51" i="40" s="1"/>
  <c r="M51" i="40"/>
  <c r="H51" i="34"/>
  <c r="J51" i="34" s="1"/>
  <c r="I35" i="40"/>
  <c r="J35" i="40"/>
  <c r="I52" i="40"/>
  <c r="J52" i="40"/>
  <c r="K52" i="40" s="1"/>
  <c r="H31" i="40"/>
  <c r="N31" i="40"/>
  <c r="F21" i="38" s="1"/>
  <c r="M31" i="40"/>
  <c r="N37" i="40"/>
  <c r="M37" i="40"/>
  <c r="H37" i="40"/>
  <c r="I7" i="40"/>
  <c r="J7" i="40"/>
  <c r="I13" i="40"/>
  <c r="J13" i="40"/>
  <c r="I14" i="40"/>
  <c r="J14" i="40"/>
  <c r="J23" i="40"/>
  <c r="K23" i="40" s="1"/>
  <c r="I23" i="40"/>
  <c r="I30" i="40"/>
  <c r="J30" i="40"/>
  <c r="N28" i="40"/>
  <c r="M28" i="40"/>
  <c r="H28" i="40"/>
  <c r="I19" i="40"/>
  <c r="J19" i="40"/>
  <c r="J20" i="40"/>
  <c r="K20" i="40" s="1"/>
  <c r="I20" i="40"/>
  <c r="J50" i="40"/>
  <c r="I50" i="40"/>
  <c r="K50" i="40" s="1"/>
  <c r="I10" i="40"/>
  <c r="H11" i="40"/>
  <c r="I16" i="40"/>
  <c r="H17" i="40"/>
  <c r="I22" i="40"/>
  <c r="K22" i="40" s="1"/>
  <c r="N30" i="40"/>
  <c r="F20" i="38" s="1"/>
  <c r="N35" i="40"/>
  <c r="J36" i="40"/>
  <c r="L36" i="40" s="1"/>
  <c r="H38" i="40"/>
  <c r="I51" i="40"/>
  <c r="K53" i="40"/>
  <c r="J10" i="40"/>
  <c r="J16" i="40"/>
  <c r="J22" i="40"/>
  <c r="M38" i="40"/>
  <c r="I7" i="39"/>
  <c r="J7" i="39"/>
  <c r="N33" i="39"/>
  <c r="M33" i="39"/>
  <c r="H33" i="39"/>
  <c r="M39" i="39"/>
  <c r="H39" i="39"/>
  <c r="N39" i="39"/>
  <c r="I35" i="39"/>
  <c r="J35" i="39"/>
  <c r="I20" i="39"/>
  <c r="L20" i="39" s="1"/>
  <c r="J20" i="39"/>
  <c r="N31" i="39"/>
  <c r="H31" i="39"/>
  <c r="M31" i="39"/>
  <c r="N37" i="39"/>
  <c r="H37" i="39"/>
  <c r="M37" i="39"/>
  <c r="J50" i="39"/>
  <c r="I50" i="39"/>
  <c r="I19" i="39"/>
  <c r="J19" i="39"/>
  <c r="I13" i="39"/>
  <c r="L13" i="39" s="1"/>
  <c r="J13" i="39"/>
  <c r="I14" i="39"/>
  <c r="J14" i="39"/>
  <c r="J23" i="39"/>
  <c r="L23" i="39" s="1"/>
  <c r="I23" i="39"/>
  <c r="J30" i="39"/>
  <c r="I30" i="39"/>
  <c r="I36" i="39"/>
  <c r="J36" i="39"/>
  <c r="I52" i="39"/>
  <c r="I10" i="39"/>
  <c r="H11" i="39"/>
  <c r="I16" i="39"/>
  <c r="H17" i="39"/>
  <c r="I22" i="39"/>
  <c r="N30" i="39"/>
  <c r="N35" i="39"/>
  <c r="H38" i="39"/>
  <c r="J16" i="39"/>
  <c r="J22" i="39"/>
  <c r="M38" i="39"/>
  <c r="J10" i="39"/>
  <c r="L10" i="39" s="1"/>
  <c r="H23" i="34"/>
  <c r="M22" i="34"/>
  <c r="H22" i="34"/>
  <c r="J22" i="34" s="1"/>
  <c r="H38" i="34"/>
  <c r="M38" i="34"/>
  <c r="H30" i="34"/>
  <c r="M30" i="34"/>
  <c r="M23" i="34"/>
  <c r="I23" i="34"/>
  <c r="J23" i="34"/>
  <c r="K29" i="37" l="1"/>
  <c r="I51" i="34"/>
  <c r="L51" i="34" s="1"/>
  <c r="K10" i="40"/>
  <c r="K13" i="40"/>
  <c r="L23" i="36"/>
  <c r="M20" i="36"/>
  <c r="L19" i="36"/>
  <c r="J29" i="36"/>
  <c r="L15" i="36"/>
  <c r="L20" i="36"/>
  <c r="M14" i="36"/>
  <c r="M29" i="36" s="1"/>
  <c r="K29" i="36"/>
  <c r="L29" i="37"/>
  <c r="K36" i="40"/>
  <c r="K16" i="40"/>
  <c r="L52" i="40"/>
  <c r="M24" i="37"/>
  <c r="M16" i="37"/>
  <c r="J29" i="37"/>
  <c r="L23" i="40"/>
  <c r="L20" i="40"/>
  <c r="K35" i="40"/>
  <c r="M19" i="7"/>
  <c r="M15" i="7"/>
  <c r="I51" i="39"/>
  <c r="J51" i="39"/>
  <c r="L51" i="39" s="1"/>
  <c r="L16" i="39"/>
  <c r="K19" i="39"/>
  <c r="J53" i="39"/>
  <c r="K53" i="39" s="1"/>
  <c r="J24" i="7"/>
  <c r="K24" i="7"/>
  <c r="K22" i="39"/>
  <c r="K23" i="39"/>
  <c r="L20" i="7"/>
  <c r="L52" i="39"/>
  <c r="L16" i="7"/>
  <c r="M23" i="7"/>
  <c r="L15" i="7"/>
  <c r="L19" i="40"/>
  <c r="L14" i="40"/>
  <c r="L13" i="40"/>
  <c r="L16" i="40"/>
  <c r="L10" i="40"/>
  <c r="K30" i="40"/>
  <c r="L51" i="40"/>
  <c r="K36" i="39"/>
  <c r="L14" i="39"/>
  <c r="L22" i="39"/>
  <c r="K30" i="39"/>
  <c r="K13" i="39"/>
  <c r="K50" i="39"/>
  <c r="K52" i="39"/>
  <c r="L35" i="40"/>
  <c r="K51" i="40"/>
  <c r="L50" i="40"/>
  <c r="L50" i="39"/>
  <c r="L35" i="39"/>
  <c r="L30" i="39"/>
  <c r="L19" i="39"/>
  <c r="K10" i="39"/>
  <c r="L7" i="40"/>
  <c r="M61" i="40" s="1"/>
  <c r="M48" i="40"/>
  <c r="H48" i="40"/>
  <c r="J38" i="40"/>
  <c r="I38" i="40"/>
  <c r="L22" i="40"/>
  <c r="L30" i="40"/>
  <c r="K14" i="40"/>
  <c r="J37" i="40"/>
  <c r="I37" i="40"/>
  <c r="M39" i="40"/>
  <c r="H39" i="40"/>
  <c r="N39" i="40"/>
  <c r="M47" i="40"/>
  <c r="H47" i="40"/>
  <c r="M29" i="40"/>
  <c r="H29" i="40"/>
  <c r="N29" i="40"/>
  <c r="K19" i="40"/>
  <c r="J28" i="40"/>
  <c r="I28" i="40"/>
  <c r="J31" i="40"/>
  <c r="I31" i="40"/>
  <c r="M49" i="40"/>
  <c r="H49" i="40"/>
  <c r="M34" i="40"/>
  <c r="H34" i="40"/>
  <c r="N34" i="40"/>
  <c r="J17" i="40"/>
  <c r="I17" i="40"/>
  <c r="L17" i="40" s="1"/>
  <c r="N33" i="40"/>
  <c r="M33" i="40"/>
  <c r="H33" i="40"/>
  <c r="J11" i="40"/>
  <c r="I11" i="40"/>
  <c r="M46" i="40"/>
  <c r="H46" i="40"/>
  <c r="K7" i="40"/>
  <c r="J17" i="39"/>
  <c r="I17" i="39"/>
  <c r="M46" i="39"/>
  <c r="H46" i="39"/>
  <c r="L36" i="39"/>
  <c r="K14" i="39"/>
  <c r="J37" i="39"/>
  <c r="I37" i="39"/>
  <c r="K20" i="39"/>
  <c r="K35" i="39"/>
  <c r="I39" i="39"/>
  <c r="J39" i="39"/>
  <c r="K7" i="39"/>
  <c r="M34" i="39"/>
  <c r="H34" i="39"/>
  <c r="N34" i="39"/>
  <c r="J38" i="39"/>
  <c r="I38" i="39"/>
  <c r="K16" i="39"/>
  <c r="L7" i="39"/>
  <c r="M47" i="39"/>
  <c r="H47" i="39"/>
  <c r="N28" i="39"/>
  <c r="M28" i="39"/>
  <c r="H28" i="39"/>
  <c r="J31" i="39"/>
  <c r="I31" i="39"/>
  <c r="L31" i="39" s="1"/>
  <c r="M49" i="39"/>
  <c r="H49" i="39"/>
  <c r="M29" i="39"/>
  <c r="N29" i="39"/>
  <c r="H29" i="39"/>
  <c r="J11" i="39"/>
  <c r="I11" i="39"/>
  <c r="K11" i="39"/>
  <c r="M48" i="39"/>
  <c r="H48" i="39"/>
  <c r="J33" i="39"/>
  <c r="I33" i="39"/>
  <c r="L33" i="39" s="1"/>
  <c r="K51" i="34"/>
  <c r="I22" i="34"/>
  <c r="K22" i="34" s="1"/>
  <c r="J38" i="34"/>
  <c r="I38" i="34"/>
  <c r="K38" i="34" s="1"/>
  <c r="L22" i="34"/>
  <c r="L23" i="34"/>
  <c r="J30" i="34"/>
  <c r="I30" i="34"/>
  <c r="K23" i="34"/>
  <c r="L37" i="40" l="1"/>
  <c r="M29" i="37"/>
  <c r="L29" i="36"/>
  <c r="L11" i="40"/>
  <c r="K17" i="40"/>
  <c r="L31" i="40"/>
  <c r="L24" i="7"/>
  <c r="K51" i="39"/>
  <c r="L17" i="39"/>
  <c r="M24" i="7"/>
  <c r="L53" i="39"/>
  <c r="K11" i="40"/>
  <c r="N40" i="40"/>
  <c r="N56" i="40" s="1"/>
  <c r="K31" i="40"/>
  <c r="L28" i="40"/>
  <c r="M40" i="40"/>
  <c r="K37" i="40"/>
  <c r="K38" i="40"/>
  <c r="K38" i="39"/>
  <c r="L39" i="39"/>
  <c r="K37" i="39"/>
  <c r="K17" i="39"/>
  <c r="K31" i="39"/>
  <c r="H40" i="39"/>
  <c r="I29" i="40"/>
  <c r="J29" i="40"/>
  <c r="J33" i="40"/>
  <c r="I33" i="40"/>
  <c r="I34" i="40"/>
  <c r="J34" i="40"/>
  <c r="I39" i="40"/>
  <c r="J39" i="40"/>
  <c r="I46" i="40"/>
  <c r="H55" i="40"/>
  <c r="J46" i="40"/>
  <c r="K28" i="40"/>
  <c r="I47" i="40"/>
  <c r="J47" i="40"/>
  <c r="L38" i="40"/>
  <c r="I48" i="40"/>
  <c r="J48" i="40"/>
  <c r="M55" i="40"/>
  <c r="I49" i="40"/>
  <c r="K49" i="40" s="1"/>
  <c r="J49" i="40"/>
  <c r="H40" i="40"/>
  <c r="L11" i="39"/>
  <c r="J28" i="39"/>
  <c r="I28" i="39"/>
  <c r="L38" i="39"/>
  <c r="L37" i="39"/>
  <c r="I46" i="39"/>
  <c r="J46" i="39"/>
  <c r="H55" i="39"/>
  <c r="I47" i="39"/>
  <c r="L47" i="39" s="1"/>
  <c r="J47" i="39"/>
  <c r="K33" i="39"/>
  <c r="I48" i="39"/>
  <c r="J48" i="39"/>
  <c r="M40" i="39"/>
  <c r="I34" i="39"/>
  <c r="J34" i="39"/>
  <c r="K39" i="39"/>
  <c r="M55" i="39"/>
  <c r="I29" i="39"/>
  <c r="J29" i="39"/>
  <c r="I49" i="39"/>
  <c r="J49" i="39"/>
  <c r="N40" i="39"/>
  <c r="N56" i="39" s="1"/>
  <c r="L38" i="34"/>
  <c r="L30" i="34"/>
  <c r="K30" i="34"/>
  <c r="K48" i="40" l="1"/>
  <c r="M56" i="40"/>
  <c r="H5" i="8" s="1"/>
  <c r="K39" i="40"/>
  <c r="L39" i="40"/>
  <c r="K49" i="39"/>
  <c r="L33" i="40"/>
  <c r="I40" i="40"/>
  <c r="K46" i="40"/>
  <c r="L49" i="39"/>
  <c r="L46" i="39"/>
  <c r="L48" i="40"/>
  <c r="L47" i="40"/>
  <c r="L46" i="40"/>
  <c r="K34" i="40"/>
  <c r="K29" i="40"/>
  <c r="L49" i="40"/>
  <c r="J40" i="40"/>
  <c r="L34" i="40"/>
  <c r="L29" i="40"/>
  <c r="L29" i="39"/>
  <c r="L48" i="39"/>
  <c r="H56" i="39"/>
  <c r="C3" i="8" s="1"/>
  <c r="K47" i="39"/>
  <c r="I40" i="39"/>
  <c r="L34" i="39"/>
  <c r="J40" i="39"/>
  <c r="M56" i="39"/>
  <c r="K46" i="39"/>
  <c r="K47" i="40"/>
  <c r="H56" i="40"/>
  <c r="C5" i="8" s="1"/>
  <c r="K33" i="40"/>
  <c r="I55" i="40"/>
  <c r="J55" i="40"/>
  <c r="K29" i="39"/>
  <c r="K48" i="39"/>
  <c r="J55" i="39"/>
  <c r="L28" i="39"/>
  <c r="K34" i="39"/>
  <c r="I55" i="39"/>
  <c r="K28" i="39"/>
  <c r="L59" i="40" l="1"/>
  <c r="M62" i="40"/>
  <c r="K55" i="40"/>
  <c r="L40" i="40"/>
  <c r="L55" i="39"/>
  <c r="L59" i="39"/>
  <c r="H3" i="8"/>
  <c r="I56" i="40"/>
  <c r="D5" i="8" s="1"/>
  <c r="K40" i="40"/>
  <c r="J56" i="40"/>
  <c r="E5" i="8" s="1"/>
  <c r="K55" i="39"/>
  <c r="L40" i="39"/>
  <c r="L56" i="39" s="1"/>
  <c r="L55" i="40"/>
  <c r="M62" i="39"/>
  <c r="J56" i="39"/>
  <c r="E3" i="8" s="1"/>
  <c r="I56" i="39"/>
  <c r="D3" i="8" s="1"/>
  <c r="K40" i="39"/>
  <c r="K56" i="40" l="1"/>
  <c r="L56" i="40"/>
  <c r="K59" i="40" s="1"/>
  <c r="M59" i="40" s="1"/>
  <c r="J59" i="40"/>
  <c r="K56" i="39"/>
  <c r="K59" i="39"/>
  <c r="M59" i="39" s="1"/>
  <c r="G3" i="8"/>
  <c r="J59" i="39"/>
  <c r="G5" i="8" l="1"/>
  <c r="G27" i="12"/>
  <c r="F27" i="12"/>
  <c r="C38" i="12" l="1"/>
  <c r="D39" i="12" s="1"/>
  <c r="C32" i="12"/>
  <c r="D33" i="12" s="1"/>
  <c r="C33" i="12" l="1"/>
  <c r="C39" i="12"/>
  <c r="F20" i="34"/>
  <c r="F19" i="34"/>
  <c r="D4" i="12" l="1"/>
  <c r="E4" i="12" s="1"/>
  <c r="D3" i="12"/>
  <c r="E3" i="12" s="1"/>
  <c r="M50" i="34" l="1"/>
  <c r="F50" i="34"/>
  <c r="H50" i="34" s="1"/>
  <c r="N36" i="34"/>
  <c r="F26" i="38" s="1"/>
  <c r="M36" i="34"/>
  <c r="F36" i="34"/>
  <c r="H36" i="34" s="1"/>
  <c r="J50" i="34" l="1"/>
  <c r="I50" i="34"/>
  <c r="I36" i="34"/>
  <c r="J36" i="34"/>
  <c r="K36" i="34" l="1"/>
  <c r="K50" i="34"/>
  <c r="D7" i="12" l="1"/>
  <c r="E7" i="12" l="1"/>
  <c r="N39" i="34" l="1"/>
  <c r="F29" i="38" s="1"/>
  <c r="H39" i="34"/>
  <c r="M39" i="34"/>
  <c r="N33" i="34"/>
  <c r="F23" i="38" s="1"/>
  <c r="M33" i="34"/>
  <c r="H33" i="34"/>
  <c r="N31" i="34"/>
  <c r="H31" i="34"/>
  <c r="M31" i="34"/>
  <c r="H19" i="34"/>
  <c r="M19" i="34"/>
  <c r="H20" i="34"/>
  <c r="M20" i="34"/>
  <c r="J33" i="34" l="1"/>
  <c r="I33" i="34"/>
  <c r="K33" i="34"/>
  <c r="J39" i="34"/>
  <c r="K39" i="34" s="1"/>
  <c r="I39" i="34"/>
  <c r="J31" i="34"/>
  <c r="I31" i="34"/>
  <c r="J20" i="34"/>
  <c r="I20" i="34"/>
  <c r="I19" i="34"/>
  <c r="J19" i="34"/>
  <c r="I26" i="7"/>
  <c r="J26" i="7" s="1"/>
  <c r="I14" i="7"/>
  <c r="K14" i="7" s="1"/>
  <c r="N55" i="34"/>
  <c r="M53" i="34"/>
  <c r="F53" i="34"/>
  <c r="H53" i="34" s="1"/>
  <c r="I53" i="34" s="1"/>
  <c r="M52" i="34"/>
  <c r="F52" i="34"/>
  <c r="H52" i="34" s="1"/>
  <c r="I52" i="34" s="1"/>
  <c r="M49" i="34"/>
  <c r="F49" i="34"/>
  <c r="H49" i="34" s="1"/>
  <c r="I49" i="34" s="1"/>
  <c r="M48" i="34"/>
  <c r="F48" i="34"/>
  <c r="H48" i="34" s="1"/>
  <c r="M47" i="34"/>
  <c r="F47" i="34"/>
  <c r="H47" i="34" s="1"/>
  <c r="M46" i="34"/>
  <c r="F46" i="34"/>
  <c r="H46" i="34" s="1"/>
  <c r="N37" i="34"/>
  <c r="F27" i="38" s="1"/>
  <c r="M37" i="34"/>
  <c r="F37" i="34"/>
  <c r="H37" i="34" s="1"/>
  <c r="N35" i="34"/>
  <c r="F25" i="38" s="1"/>
  <c r="M35" i="34"/>
  <c r="F35" i="34"/>
  <c r="H35" i="34" s="1"/>
  <c r="N34" i="34"/>
  <c r="F24" i="38" s="1"/>
  <c r="M34" i="34"/>
  <c r="F34" i="34"/>
  <c r="H34" i="34" s="1"/>
  <c r="N29" i="34"/>
  <c r="F19" i="38" s="1"/>
  <c r="M29" i="34"/>
  <c r="F29" i="34"/>
  <c r="H29" i="34" s="1"/>
  <c r="J29" i="34" s="1"/>
  <c r="N28" i="34"/>
  <c r="F18" i="38" s="1"/>
  <c r="M28" i="34"/>
  <c r="F28" i="34"/>
  <c r="H28" i="34" s="1"/>
  <c r="F17" i="34"/>
  <c r="H17" i="34" s="1"/>
  <c r="I17" i="34" s="1"/>
  <c r="F16" i="34"/>
  <c r="H16" i="34" s="1"/>
  <c r="I16" i="34" s="1"/>
  <c r="F14" i="34"/>
  <c r="H14" i="34" s="1"/>
  <c r="F13" i="34"/>
  <c r="H13" i="34" s="1"/>
  <c r="F11" i="34"/>
  <c r="H11" i="34" s="1"/>
  <c r="F10" i="34"/>
  <c r="H10" i="34" s="1"/>
  <c r="M7" i="34"/>
  <c r="F7" i="34"/>
  <c r="H7" i="34" s="1"/>
  <c r="F30" i="38" l="1"/>
  <c r="N40" i="34"/>
  <c r="I46" i="34"/>
  <c r="H55" i="34"/>
  <c r="H40" i="34"/>
  <c r="L39" i="34"/>
  <c r="K31" i="34"/>
  <c r="L33" i="34"/>
  <c r="L31" i="34"/>
  <c r="K20" i="34"/>
  <c r="K19" i="34"/>
  <c r="C5" i="11"/>
  <c r="E5" i="11"/>
  <c r="J46" i="34"/>
  <c r="K46" i="34" s="1"/>
  <c r="K26" i="7"/>
  <c r="L26" i="7" s="1"/>
  <c r="J14" i="7"/>
  <c r="L14" i="7" s="1"/>
  <c r="I13" i="34"/>
  <c r="J13" i="34"/>
  <c r="I10" i="34"/>
  <c r="J10" i="34"/>
  <c r="I7" i="34"/>
  <c r="J7" i="34"/>
  <c r="I11" i="34"/>
  <c r="J11" i="34"/>
  <c r="J14" i="34"/>
  <c r="N56" i="34"/>
  <c r="I28" i="34"/>
  <c r="J35" i="34"/>
  <c r="I35" i="34"/>
  <c r="I14" i="34"/>
  <c r="J16" i="34"/>
  <c r="K16" i="34" s="1"/>
  <c r="J28" i="34"/>
  <c r="J37" i="34"/>
  <c r="I37" i="34"/>
  <c r="M55" i="34"/>
  <c r="J49" i="34"/>
  <c r="K49" i="34" s="1"/>
  <c r="J52" i="34"/>
  <c r="K52" i="34" s="1"/>
  <c r="J53" i="34"/>
  <c r="J17" i="34"/>
  <c r="K17" i="34" s="1"/>
  <c r="I29" i="34"/>
  <c r="J34" i="34"/>
  <c r="I34" i="34"/>
  <c r="J47" i="34"/>
  <c r="I47" i="34"/>
  <c r="J48" i="34"/>
  <c r="I48" i="34"/>
  <c r="J40" i="34" l="1"/>
  <c r="I40" i="34"/>
  <c r="D5" i="11"/>
  <c r="C6" i="11"/>
  <c r="K14" i="34"/>
  <c r="K48" i="34"/>
  <c r="K34" i="34"/>
  <c r="K53" i="34"/>
  <c r="K11" i="34"/>
  <c r="K37" i="34"/>
  <c r="H56" i="34"/>
  <c r="C4" i="8" s="1"/>
  <c r="K35" i="34"/>
  <c r="I55" i="34"/>
  <c r="K29" i="34"/>
  <c r="J55" i="34"/>
  <c r="K10" i="34"/>
  <c r="K13" i="34"/>
  <c r="K47" i="34"/>
  <c r="K28" i="34"/>
  <c r="K7" i="34"/>
  <c r="K40" i="34" l="1"/>
  <c r="D6" i="11"/>
  <c r="E6" i="11"/>
  <c r="K55" i="34"/>
  <c r="I56" i="34"/>
  <c r="D4" i="8" s="1"/>
  <c r="J56" i="34"/>
  <c r="E4" i="8" s="1"/>
  <c r="K56" i="34" l="1"/>
  <c r="J59" i="34"/>
  <c r="D14" i="34" l="1"/>
  <c r="M14" i="34" s="1"/>
  <c r="D13" i="34"/>
  <c r="M13" i="34" s="1"/>
  <c r="E6" i="38" l="1"/>
  <c r="H6" i="38"/>
  <c r="M17" i="34" l="1"/>
  <c r="M16" i="34"/>
  <c r="H7" i="38" l="1"/>
  <c r="E7" i="38"/>
  <c r="G24" i="12"/>
  <c r="G25" i="12"/>
  <c r="G26" i="12"/>
  <c r="G23" i="12"/>
  <c r="G22" i="12"/>
  <c r="F23" i="12"/>
  <c r="F24" i="12"/>
  <c r="F25" i="12"/>
  <c r="F26" i="12"/>
  <c r="F22" i="12"/>
  <c r="D11" i="34" l="1"/>
  <c r="M11" i="34" s="1"/>
  <c r="D10" i="34"/>
  <c r="M10" i="34" s="1"/>
  <c r="M40" i="34" s="1"/>
  <c r="E5" i="38" l="1"/>
  <c r="E10" i="38" s="1"/>
  <c r="H5" i="38"/>
  <c r="H10" i="38" s="1"/>
  <c r="M56" i="34" l="1"/>
  <c r="H4" i="8" l="1"/>
  <c r="L59" i="34"/>
  <c r="M62" i="34"/>
  <c r="L19" i="34" l="1"/>
  <c r="L20" i="34"/>
  <c r="L50" i="34"/>
  <c r="L36" i="34"/>
  <c r="L52" i="34"/>
  <c r="L46" i="34"/>
  <c r="L7" i="34"/>
  <c r="M61" i="34" s="1"/>
  <c r="L29" i="34"/>
  <c r="L17" i="34"/>
  <c r="L35" i="34"/>
  <c r="L47" i="34"/>
  <c r="L11" i="34"/>
  <c r="L37" i="34"/>
  <c r="L16" i="34"/>
  <c r="L49" i="34"/>
  <c r="L10" i="34"/>
  <c r="L13" i="34"/>
  <c r="L28" i="34"/>
  <c r="L48" i="34"/>
  <c r="L34" i="34"/>
  <c r="L53" i="34"/>
  <c r="L14" i="34"/>
  <c r="L40" i="34" l="1"/>
  <c r="L55" i="34"/>
  <c r="L56" i="34" l="1"/>
  <c r="K59" i="34" s="1"/>
  <c r="M59" i="34" s="1"/>
  <c r="G4" i="8" l="1"/>
  <c r="D56" i="12"/>
  <c r="D55" i="12"/>
  <c r="D54" i="12"/>
  <c r="M26" i="7" l="1"/>
  <c r="M14" i="7"/>
  <c r="G6" i="11" l="1"/>
  <c r="G5" i="11"/>
  <c r="F4" i="8" l="1"/>
  <c r="F6" i="11"/>
  <c r="F5" i="11"/>
  <c r="I4" i="8" l="1"/>
  <c r="H8" i="11"/>
  <c r="H7" i="11"/>
  <c r="F5" i="8" l="1"/>
  <c r="I5" i="8" l="1"/>
  <c r="I6" i="11"/>
  <c r="I5" i="11"/>
  <c r="I27" i="7"/>
  <c r="B9" i="7"/>
  <c r="I6" i="7"/>
  <c r="K27" i="7" l="1"/>
  <c r="J27" i="7"/>
  <c r="J6" i="7"/>
  <c r="K6" i="7"/>
  <c r="L27" i="7" l="1"/>
  <c r="M27" i="7"/>
  <c r="M6" i="7"/>
  <c r="L6" i="7"/>
  <c r="I9" i="7" l="1"/>
  <c r="I8" i="7" l="1"/>
  <c r="K9" i="7"/>
  <c r="J9" i="7"/>
  <c r="I29" i="7" l="1"/>
  <c r="C4" i="11" s="1"/>
  <c r="M9" i="7"/>
  <c r="L9" i="7"/>
  <c r="J8" i="7"/>
  <c r="J29" i="7" s="1"/>
  <c r="D4" i="11" s="1"/>
  <c r="K8" i="7"/>
  <c r="K29" i="7" s="1"/>
  <c r="E4" i="11" s="1"/>
  <c r="L8" i="7" l="1"/>
  <c r="L29" i="7" s="1"/>
  <c r="M8" i="7"/>
  <c r="M29" i="7" s="1"/>
  <c r="G4" i="11" s="1"/>
  <c r="C8" i="11"/>
  <c r="F4" i="11"/>
  <c r="C7" i="8"/>
  <c r="C6" i="8"/>
  <c r="D8" i="11"/>
  <c r="E8" i="11"/>
  <c r="C7" i="11"/>
  <c r="D7" i="11" l="1"/>
  <c r="I3" i="8"/>
  <c r="E7" i="11"/>
  <c r="E6" i="8"/>
  <c r="H7" i="8"/>
  <c r="I4" i="11"/>
  <c r="G7" i="8" l="1"/>
  <c r="G7" i="11"/>
  <c r="F7" i="11"/>
  <c r="F8" i="11"/>
  <c r="G8" i="11"/>
  <c r="E7" i="8"/>
  <c r="F3" i="8"/>
  <c r="I7" i="11"/>
  <c r="I8" i="11"/>
  <c r="H6" i="8"/>
  <c r="D7" i="8"/>
  <c r="D6" i="8"/>
  <c r="I6" i="8" l="1"/>
  <c r="G6" i="8"/>
  <c r="F7" i="8"/>
  <c r="F6" i="8"/>
  <c r="I7" i="8" l="1"/>
</calcChain>
</file>

<file path=xl/sharedStrings.xml><?xml version="1.0" encoding="utf-8"?>
<sst xmlns="http://schemas.openxmlformats.org/spreadsheetml/2006/main" count="711" uniqueCount="241">
  <si>
    <t>Managerial</t>
  </si>
  <si>
    <t>Technical</t>
  </si>
  <si>
    <t>Clerical</t>
  </si>
  <si>
    <t>Burden Item</t>
  </si>
  <si>
    <t>(A)
Respondent Hours per Occurrence (Technical hours)</t>
  </si>
  <si>
    <t>Footnotes</t>
  </si>
  <si>
    <t>(A)</t>
  </si>
  <si>
    <t>(B)</t>
  </si>
  <si>
    <t>(C)</t>
  </si>
  <si>
    <t>(D)</t>
  </si>
  <si>
    <t>(E)</t>
  </si>
  <si>
    <t>(F)</t>
  </si>
  <si>
    <t>Number of Occurrences Per Year</t>
  </si>
  <si>
    <t>1.</t>
  </si>
  <si>
    <t>Applications</t>
  </si>
  <si>
    <t>not applicable</t>
  </si>
  <si>
    <t>2.</t>
  </si>
  <si>
    <t>Read and Understand Rule Requirements</t>
  </si>
  <si>
    <t>3.</t>
  </si>
  <si>
    <t>Required Activities</t>
  </si>
  <si>
    <t>A.</t>
  </si>
  <si>
    <t>Observe stack tests</t>
  </si>
  <si>
    <t>B.</t>
  </si>
  <si>
    <t>Excess emissions -- Enforcement Activities</t>
  </si>
  <si>
    <t>C.</t>
  </si>
  <si>
    <t>Create Information</t>
  </si>
  <si>
    <t>D.</t>
  </si>
  <si>
    <t>Gather Information</t>
  </si>
  <si>
    <t>E.</t>
  </si>
  <si>
    <t>Report Reviews</t>
  </si>
  <si>
    <t>F.</t>
  </si>
  <si>
    <t>Prepare annual summary report</t>
  </si>
  <si>
    <t>c</t>
  </si>
  <si>
    <t xml:space="preserve">Travel expenses:  (1 person *  30 hours per year / 8 hours per day * $75 per diem) + ($600 per round trip) = </t>
  </si>
  <si>
    <t>per trip</t>
  </si>
  <si>
    <t>TOTAL</t>
  </si>
  <si>
    <t>a</t>
  </si>
  <si>
    <t>Percent of Stack Tests Observed</t>
  </si>
  <si>
    <t>Estimated Percent Retesting</t>
  </si>
  <si>
    <t>Estimated Percent Emission Exceedences</t>
  </si>
  <si>
    <t>Year</t>
  </si>
  <si>
    <t>Technical Hours</t>
  </si>
  <si>
    <t>Management Hours</t>
  </si>
  <si>
    <t>Clerical Hours</t>
  </si>
  <si>
    <t>Total Labor Hours</t>
  </si>
  <si>
    <t>Labor Costs</t>
  </si>
  <si>
    <t>Non-Labor (Annualized Capital/Startup and O&amp;M) Costs</t>
  </si>
  <si>
    <t>Total Costs</t>
  </si>
  <si>
    <t>Total</t>
  </si>
  <si>
    <t>Average</t>
  </si>
  <si>
    <t>Hourly Mean Wage</t>
  </si>
  <si>
    <t>With  Fringe &amp; Overhead</t>
  </si>
  <si>
    <t>(GS- 12, step 1) - Tech.</t>
  </si>
  <si>
    <t>(GS- 13, step 5) - Mgmt.</t>
  </si>
  <si>
    <t>(GS-6, step 3) - Cler.</t>
  </si>
  <si>
    <t>e</t>
  </si>
  <si>
    <t>4.</t>
  </si>
  <si>
    <t>Total Hours</t>
  </si>
  <si>
    <t>Non-Labor Costs</t>
  </si>
  <si>
    <t>4.  Recordkeeping Requirements</t>
  </si>
  <si>
    <t>A.  Read Instructions</t>
  </si>
  <si>
    <t>C.  Develop Record System</t>
  </si>
  <si>
    <t>Recordkeeping Subtotal</t>
  </si>
  <si>
    <t>1.  Applications</t>
  </si>
  <si>
    <t>NA</t>
  </si>
  <si>
    <t>2.  Surveys and Studies</t>
  </si>
  <si>
    <t>3.  Reporting Requirements</t>
  </si>
  <si>
    <t>A.  Read Rule</t>
  </si>
  <si>
    <t>B.  Required Activities</t>
  </si>
  <si>
    <t>C.  Create Information</t>
  </si>
  <si>
    <t>D.  Gather Information</t>
  </si>
  <si>
    <t>Inc. in 3B</t>
  </si>
  <si>
    <t>Inc. in 3E</t>
  </si>
  <si>
    <t>E.  Report Preparation</t>
  </si>
  <si>
    <t>Reporting Subtotal</t>
  </si>
  <si>
    <t>D.  Record information</t>
  </si>
  <si>
    <t>E.  Personnel Training</t>
  </si>
  <si>
    <t>F.  Time for Audits</t>
  </si>
  <si>
    <t>Labor</t>
  </si>
  <si>
    <t>Non-Labor</t>
  </si>
  <si>
    <t>Summary of Respondent Burden</t>
  </si>
  <si>
    <t>Initial Capital and Startup</t>
  </si>
  <si>
    <t>Annualized Capital/Start-up and O &amp; M</t>
  </si>
  <si>
    <t>(B) 
Non-Labor Costs Per Occurrence</t>
  </si>
  <si>
    <t>Category</t>
  </si>
  <si>
    <t>Occupation Code</t>
  </si>
  <si>
    <t>Title</t>
  </si>
  <si>
    <t>Loaded Wage</t>
  </si>
  <si>
    <t>Number of Responses</t>
  </si>
  <si>
    <t>(C) 
Number of Occurrences Per Respondent Per Year</t>
  </si>
  <si>
    <t>(E)
Number of Respondents Per Year</t>
  </si>
  <si>
    <t>(G) 
Clerical Hours per Year
(F X 0.1)</t>
  </si>
  <si>
    <t>(H)
Management Hours per Year
(F X .05)</t>
  </si>
  <si>
    <t>Footnotes:</t>
  </si>
  <si>
    <t>Tech Hours Per Year
(C=A x B)</t>
  </si>
  <si>
    <t>Management Hours Per Year
(D = C x 0.05)</t>
  </si>
  <si>
    <t>Clerical Hours Per Year
(E = C x 0.1)</t>
  </si>
  <si>
    <t>(F)
Technical Hours per Year
(D X E)</t>
  </si>
  <si>
    <t>B.  Implement Activities</t>
  </si>
  <si>
    <t>Capital Cost</t>
  </si>
  <si>
    <t>a.  Capital Cost</t>
  </si>
  <si>
    <t>b.  Annualized Cost</t>
  </si>
  <si>
    <t>Inc. in 3.A</t>
  </si>
  <si>
    <t>https://www.opm.gov/policy-data-oversight/pay-leave/salaries-wages/salary-tables/pdf/2016/GS_h.pdf</t>
  </si>
  <si>
    <t>or https://www.opm.gov/policy-data-oversight/pay-leave/salaries-wages/</t>
  </si>
  <si>
    <t>(D)
Technical Hours per Respondent Per Year
 (A X C)</t>
  </si>
  <si>
    <t>Number of Respondents</t>
  </si>
  <si>
    <t>Technical Hours Per Occurrence</t>
  </si>
  <si>
    <t>Total Hours Per Year (C+D+E)</t>
  </si>
  <si>
    <t>Total Cost Per Year</t>
  </si>
  <si>
    <t>(G)</t>
  </si>
  <si>
    <t>(I)
Total Hours per Year
(F + G + H)</t>
  </si>
  <si>
    <t>(J)
Total Labor Costs Per Year</t>
  </si>
  <si>
    <t>(K)
Total Non-Labor Costs Per Year 
(B x C x E)</t>
  </si>
  <si>
    <t>(L)
Total Number of Responses per Year
(C X E)</t>
  </si>
  <si>
    <t>Capital/Startup and O&amp;M Costs</t>
  </si>
  <si>
    <t>a.  Flares</t>
  </si>
  <si>
    <t>b.  PRDs</t>
  </si>
  <si>
    <t>Annual Cost</t>
  </si>
  <si>
    <t>Parameter</t>
  </si>
  <si>
    <t>Flare Management Plan - One-time cost</t>
  </si>
  <si>
    <t>Value</t>
  </si>
  <si>
    <t>Capital Equipment Cost ($/flare)</t>
  </si>
  <si>
    <t>Annualized Cost ($/yr/flare)</t>
  </si>
  <si>
    <t>Number of Flares Impacted</t>
  </si>
  <si>
    <t>Calorimeter</t>
  </si>
  <si>
    <t>Flare Gas Flow Monitor</t>
  </si>
  <si>
    <t>Steam Controls/Flow Monitor</t>
  </si>
  <si>
    <t>Air Controls/Flow Monitor</t>
  </si>
  <si>
    <t>EPA Wages</t>
  </si>
  <si>
    <t>Industry Wages</t>
  </si>
  <si>
    <t>H2 Analyzer</t>
  </si>
  <si>
    <t>Nationwide Capital Equipment Cost ($)</t>
  </si>
  <si>
    <t>Nationwide Total Annualized Cost ($/yr)</t>
  </si>
  <si>
    <t>Monitoring Equipment</t>
  </si>
  <si>
    <t>PRD Monitor</t>
  </si>
  <si>
    <t>HEX El Paso Method Monitor</t>
  </si>
  <si>
    <t>e.  HEX El Paso Method</t>
  </si>
  <si>
    <t>2016 Wage</t>
  </si>
  <si>
    <t># facilities with atmospheric PRDs</t>
  </si>
  <si>
    <t>Review flare management plan</t>
  </si>
  <si>
    <t>Review notification of compliance status</t>
  </si>
  <si>
    <t>Flare Monitors</t>
  </si>
  <si>
    <t>Heat Exchangers - El Paso Method</t>
  </si>
  <si>
    <t>Capital/Startup Costs for One Respondent</t>
  </si>
  <si>
    <t>Number of Respondents with Capital/Startup Costs</t>
  </si>
  <si>
    <t>Annual Cost (O&amp;M and Capital) for One Respondent</t>
  </si>
  <si>
    <t>Total Capital/ Startup Cost
(B X C)</t>
  </si>
  <si>
    <t>Total Annual Cost,
(E X F)</t>
  </si>
  <si>
    <t>Source &amp; Monitor Type</t>
  </si>
  <si>
    <t>1/3 of facilities</t>
  </si>
  <si>
    <t>2/3 of facilities</t>
  </si>
  <si>
    <t>All facilities</t>
  </si>
  <si>
    <t>Information Collection Activity</t>
  </si>
  <si>
    <t>Number of Existing Respondents That Keep Records But Do Not Submit Reports</t>
  </si>
  <si>
    <t>Total Annual Responses</t>
  </si>
  <si>
    <t>Notification of Compliance Status</t>
  </si>
  <si>
    <t>Periodic Reports</t>
  </si>
  <si>
    <t>Total Annual Responses
E=(BxC)+D</t>
  </si>
  <si>
    <r>
      <t>Number of Respondents</t>
    </r>
    <r>
      <rPr>
        <vertAlign val="superscript"/>
        <sz val="10"/>
        <color rgb="FF000000"/>
        <rFont val="Times New Roman"/>
        <family val="1"/>
      </rPr>
      <t>a</t>
    </r>
  </si>
  <si>
    <t># MON Facilities</t>
  </si>
  <si>
    <t># ETO Facilities</t>
  </si>
  <si>
    <t># Facilities w/Tank Scrubbers</t>
  </si>
  <si>
    <t># Facilities w/PV Scrubbers</t>
  </si>
  <si>
    <t># Facilities w/Flares</t>
  </si>
  <si>
    <t>Monitor Capital Cost</t>
  </si>
  <si>
    <t>Monitor Annual Cost</t>
  </si>
  <si>
    <t>Process Vents and Tanks - Scrubber Monitoring &amp; Testing</t>
  </si>
  <si>
    <t>1.  Flare Monitors</t>
  </si>
  <si>
    <t>2.  PRD Monitor</t>
  </si>
  <si>
    <t>3.  HEX El Paso Method</t>
  </si>
  <si>
    <t>Avg. Cost Per Facility</t>
  </si>
  <si>
    <t>Flare Monitor Costs</t>
  </si>
  <si>
    <t>Initial Scrubber Testing</t>
  </si>
  <si>
    <t>one-time</t>
  </si>
  <si>
    <t>Scrubber Testing: 5-yr Re-test</t>
  </si>
  <si>
    <t>every 5 yrs, not included in burden as not in 3-yr window</t>
  </si>
  <si>
    <t>a.  Initial Testing</t>
  </si>
  <si>
    <t>b.  Re-Testing</t>
  </si>
  <si>
    <t>c.  Process Vents &amp; Tanks</t>
  </si>
  <si>
    <t>d.  Eq. Leaks</t>
  </si>
  <si>
    <t>c.  Maintenance Vents</t>
  </si>
  <si>
    <t>d.  Bypass Lines</t>
  </si>
  <si>
    <t>f.  Process Vents &amp; Tanks</t>
  </si>
  <si>
    <t>g.  Eq. Leaks</t>
  </si>
  <si>
    <t>1.  Notification of Compliance Status</t>
  </si>
  <si>
    <t>2.  Periodic Report</t>
  </si>
  <si>
    <t>1.  Flares</t>
  </si>
  <si>
    <t>2.  PRDs</t>
  </si>
  <si>
    <t>4.  Maintenance Vents</t>
  </si>
  <si>
    <t>5.  Bypass Lines</t>
  </si>
  <si>
    <t>7.  Flare Management Plan</t>
  </si>
  <si>
    <t>Review periodic reports</t>
  </si>
  <si>
    <t>(a) This is a one-time cost (e.g., to read rule or develop plan).</t>
  </si>
  <si>
    <t>(b) Includes costs for the following monitoring equipment: H2 analyzer, calorimeter, flare gas flow monitor, steam controls/flow monitor, and air controls/flow monitor.</t>
  </si>
  <si>
    <t>d</t>
  </si>
  <si>
    <t>(d) Assumed that bypass lines were not used during the 3-year period, so costs for bypass lines would not be incurred.</t>
  </si>
  <si>
    <t>(e) Assumed recordkeeping hours are comparable to previously required water methods, and assigned 0 additional hours to implement the El Paso Method.</t>
  </si>
  <si>
    <t xml:space="preserve">(f) Assumed that one-third of the facilities would begin complying in year 2 and the remaining two-thirds of the facilities in year 3. </t>
  </si>
  <si>
    <t>(a) Within a given year, there are a maximum of 201 respondents per information collection activity, however the values in column F reflect the sum of these respondents for years 2 and 3.</t>
  </si>
  <si>
    <t>Flares</t>
  </si>
  <si>
    <t>PRDs</t>
  </si>
  <si>
    <t>Maintenance Vents</t>
  </si>
  <si>
    <t>Bypass Lines</t>
  </si>
  <si>
    <t>HEX El Paso Method</t>
  </si>
  <si>
    <t>Table 4 - Summary of Annual Respondent Burden and Cost of Recordkeeping and Reporting Requirements for the MON RTR</t>
  </si>
  <si>
    <t>Table 1 - Annual Respondent Burden and Cost of Recordkeeping and Reporting Requirements for the MON RTR  - Year 1</t>
  </si>
  <si>
    <t>Table 2 - Annual Respondent Burden and Cost of Recordkeeping and Reporting Requirements for the MON RTR  - Year 2</t>
  </si>
  <si>
    <t>Table 3 - Annual Respondent Burden and Cost of Recordkeeping and Reporting Requirements for the MON RTR  - Year 3</t>
  </si>
  <si>
    <t>Table 5 - Annual Agency Burden and Cost of Recordkeeping and Reporting Requirements for the MON RTR - Year 1</t>
  </si>
  <si>
    <t>Table 6 - Annual Agency Burden and Cost of Recordkeeping and Reporting Requirements for the MON RTR - Year 2</t>
  </si>
  <si>
    <t>Table 7 - Annual Agency Burden and Cost of Recordkeeping and Reporting Requirements for the MON RTR - Year 3</t>
  </si>
  <si>
    <t>Table 8 - Summary of Annual Agency Burden and Cost of Recordkeeping and Reporting Requirements for the MON RTR</t>
  </si>
  <si>
    <t>1/3 in year 2 and 2/3 in year 3</t>
  </si>
  <si>
    <t>Number of occurrences is the number of states and EPA Regions with affected sources (35 states + 10 EPA regions = 45 respondents).</t>
  </si>
  <si>
    <t>Ethylene Oxide Process Vents &amp; Storage Tanks - Scrubber Monitor</t>
  </si>
  <si>
    <t>Ethylene Oxide Process Vents &amp; Storage Tanks - Scrubber Testing</t>
  </si>
  <si>
    <t>Ethylene Oxide Process Vents &amp; Storage Tanks</t>
  </si>
  <si>
    <t>Equipment Leaks</t>
  </si>
  <si>
    <t>f</t>
  </si>
  <si>
    <t>b,f</t>
  </si>
  <si>
    <t>c,f</t>
  </si>
  <si>
    <t>d,f</t>
  </si>
  <si>
    <t>17-2081</t>
  </si>
  <si>
    <t>Environmental Engineer</t>
  </si>
  <si>
    <t>Office and Administrative Support Occupations</t>
  </si>
  <si>
    <t>11-9041</t>
  </si>
  <si>
    <t>Architectural and Engineering Managers</t>
  </si>
  <si>
    <t>May 2016 National Industry-Specific Occupational Employment and Wage Estimates</t>
  </si>
  <si>
    <t>43-0000</t>
  </si>
  <si>
    <t>https://www.bls.gov/oes/2016/may/naics3_325000.htm</t>
  </si>
  <si>
    <t>NAICS 325000 - Chemical Manufacturing</t>
  </si>
  <si>
    <t>Ethylene Oxide Equipment Leaks</t>
  </si>
  <si>
    <t>(c) Only applicable to facilities with ethylene oxide emissions. Assumed facilities would begin complying in year 2. Note, there are not new monitoring or recordkeeping costs for ethylene oxide equipment leaks (there are only reporting costs), as these activities are already conducted under the original MON requirements.</t>
  </si>
  <si>
    <t>4.  Ethylene Oxide Process Vents &amp; Storage Tanks - Scrubber Monitor</t>
  </si>
  <si>
    <t>5.  Ethylene Oxide Process Vents &amp; Storage Tanks - Scrubber Testing</t>
  </si>
  <si>
    <t>c.  Ethylene Oxide Process Vents &amp; Tanks</t>
  </si>
  <si>
    <t>d.  Ethylene Oxide Eq. Leaks</t>
  </si>
  <si>
    <t>f.  Ethylene Oxide Process Vents &amp; Tanks</t>
  </si>
  <si>
    <t>g.  Ethylene Oxide Eq. Leaks</t>
  </si>
  <si>
    <t>6.  Ethylene Oxide Process Vents &amp; Tanks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</si>
</sst>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
    <numFmt numFmtId="167" formatCode="General_)"/>
    <numFmt numFmtId="168" formatCode="0_)"/>
  </numFmts>
  <fonts count="39" x14ac:knownFonts="1">
    <font>
      <sz val="11"/>
      <color theme="1"/>
      <name val="Calibri"/>
      <family val="2"/>
      <scheme val="minor"/>
    </font>
    <font>
      <sz val="10"/>
      <name val="Arial"/>
      <family val="2"/>
    </font>
    <font>
      <sz val="9"/>
      <color indexed="8"/>
      <name val="Arial"/>
      <family val="2"/>
    </font>
    <font>
      <sz val="11"/>
      <color theme="1"/>
      <name val="Calibri"/>
      <family val="2"/>
      <scheme val="minor"/>
    </font>
    <font>
      <b/>
      <sz val="12"/>
      <name val="Arial"/>
      <family val="2"/>
    </font>
    <font>
      <sz val="9"/>
      <name val="Arial"/>
      <family val="2"/>
    </font>
    <font>
      <sz val="8"/>
      <name val="Arial"/>
      <family val="2"/>
    </font>
    <font>
      <sz val="8"/>
      <color indexed="10"/>
      <name val="Arial"/>
      <family val="2"/>
    </font>
    <font>
      <u/>
      <sz val="11"/>
      <color theme="10"/>
      <name val="Calibri"/>
      <family val="2"/>
    </font>
    <font>
      <sz val="8"/>
      <name val="Courier"/>
      <family val="3"/>
    </font>
    <font>
      <sz val="10"/>
      <color theme="1"/>
      <name val="Calibri"/>
      <family val="2"/>
      <scheme val="minor"/>
    </font>
    <font>
      <b/>
      <sz val="14"/>
      <name val="Arial"/>
      <family val="2"/>
    </font>
    <font>
      <b/>
      <i/>
      <sz val="8"/>
      <name val="Arial"/>
      <family val="2"/>
    </font>
    <font>
      <b/>
      <sz val="8"/>
      <name val="Arial"/>
      <family val="2"/>
    </font>
    <font>
      <sz val="11"/>
      <color theme="1"/>
      <name val="Arial"/>
      <family val="2"/>
    </font>
    <font>
      <sz val="9"/>
      <color indexed="12"/>
      <name val="Arial"/>
      <family val="2"/>
    </font>
    <font>
      <b/>
      <sz val="11"/>
      <name val="Arial"/>
      <family val="2"/>
    </font>
    <font>
      <b/>
      <sz val="10"/>
      <color theme="1"/>
      <name val="Calibri"/>
      <family val="2"/>
      <scheme val="minor"/>
    </font>
    <font>
      <b/>
      <sz val="10"/>
      <name val="Calibri"/>
      <family val="2"/>
      <scheme val="minor"/>
    </font>
    <font>
      <sz val="10"/>
      <name val="Calibri"/>
      <family val="2"/>
      <scheme val="minor"/>
    </font>
    <font>
      <u/>
      <sz val="10"/>
      <color theme="10"/>
      <name val="Calibri"/>
      <family val="2"/>
      <scheme val="minor"/>
    </font>
    <font>
      <b/>
      <sz val="11"/>
      <color theme="1"/>
      <name val="Calibri"/>
      <family val="2"/>
      <scheme val="minor"/>
    </font>
    <font>
      <sz val="8"/>
      <color rgb="FFC00000"/>
      <name val="Arial"/>
      <family val="2"/>
    </font>
    <font>
      <b/>
      <sz val="11"/>
      <name val="Calibri"/>
      <family val="2"/>
      <scheme val="minor"/>
    </font>
    <font>
      <sz val="9"/>
      <color theme="1"/>
      <name val="Arial"/>
      <family val="2"/>
    </font>
    <font>
      <i/>
      <sz val="10"/>
      <color theme="1"/>
      <name val="Calibri"/>
      <family val="2"/>
      <scheme val="minor"/>
    </font>
    <font>
      <sz val="10"/>
      <color theme="1"/>
      <name val="Times New Roman"/>
      <family val="1"/>
    </font>
    <font>
      <b/>
      <sz val="12"/>
      <color rgb="FF000000"/>
      <name val="Times New Roman"/>
      <family val="1"/>
    </font>
    <font>
      <sz val="10"/>
      <color rgb="FF000000"/>
      <name val="Times New Roman"/>
      <family val="1"/>
    </font>
    <font>
      <sz val="10"/>
      <name val="Times New Roman"/>
      <family val="1"/>
    </font>
    <font>
      <sz val="9"/>
      <color rgb="FF000000"/>
      <name val="Times New Roman"/>
      <family val="1"/>
    </font>
    <font>
      <sz val="9"/>
      <color theme="1"/>
      <name val="Times New Roman"/>
      <family val="1"/>
    </font>
    <font>
      <b/>
      <sz val="11"/>
      <color rgb="FF000000"/>
      <name val="Times New Roman"/>
      <family val="1"/>
    </font>
    <font>
      <vertAlign val="superscript"/>
      <sz val="10"/>
      <color rgb="FF000000"/>
      <name val="Times New Roman"/>
      <family val="1"/>
    </font>
    <font>
      <b/>
      <sz val="10"/>
      <name val="Times New Roman"/>
      <family val="1"/>
    </font>
    <font>
      <b/>
      <sz val="10"/>
      <color rgb="FF000000"/>
      <name val="Times New Roman"/>
      <family val="1"/>
    </font>
    <font>
      <b/>
      <sz val="10"/>
      <color theme="1"/>
      <name val="Times New Roman"/>
      <family val="1"/>
    </font>
    <font>
      <b/>
      <sz val="9"/>
      <color theme="1"/>
      <name val="Times New Roman"/>
      <family val="1"/>
    </font>
    <font>
      <b/>
      <sz val="9"/>
      <color rgb="FF00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D9D9D9"/>
        <bgColor indexed="64"/>
      </patternFill>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style="thin">
        <color indexed="8"/>
      </left>
      <right style="thin">
        <color indexed="8"/>
      </right>
      <top/>
      <bottom/>
      <diagonal/>
    </border>
    <border>
      <left style="thin">
        <color indexed="64"/>
      </left>
      <right style="thin">
        <color indexed="64"/>
      </right>
      <top style="thin">
        <color indexed="64"/>
      </top>
      <bottom style="double">
        <color indexed="64"/>
      </bottom>
      <diagonal/>
    </border>
    <border>
      <left style="thin">
        <color indexed="8"/>
      </left>
      <right/>
      <top/>
      <bottom style="thin">
        <color indexed="64"/>
      </bottom>
      <diagonal/>
    </border>
    <border>
      <left/>
      <right/>
      <top/>
      <bottom style="thin">
        <color indexed="64"/>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right/>
      <top style="thin">
        <color indexed="64"/>
      </top>
      <bottom/>
      <diagonal/>
    </border>
    <border>
      <left style="thin">
        <color indexed="8"/>
      </left>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medium">
        <color indexed="64"/>
      </top>
      <bottom/>
      <diagonal/>
    </border>
    <border>
      <left/>
      <right/>
      <top/>
      <bottom style="double">
        <color indexed="64"/>
      </bottom>
      <diagonal/>
    </border>
    <border>
      <left/>
      <right style="thin">
        <color indexed="8"/>
      </right>
      <top/>
      <bottom style="double">
        <color indexed="64"/>
      </bottom>
      <diagonal/>
    </border>
    <border>
      <left style="thin">
        <color indexed="8"/>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64"/>
      </right>
      <top style="thin">
        <color indexed="64"/>
      </top>
      <bottom/>
      <diagonal/>
    </border>
    <border>
      <left/>
      <right style="thin">
        <color indexed="64"/>
      </right>
      <top/>
      <bottom style="double">
        <color indexed="64"/>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right style="thin">
        <color indexed="64"/>
      </right>
      <top style="thin">
        <color indexed="64"/>
      </top>
      <bottom style="double">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8"/>
      </left>
      <right/>
      <top style="thin">
        <color indexed="8"/>
      </top>
      <bottom style="thin">
        <color indexed="8"/>
      </bottom>
      <diagonal/>
    </border>
  </borders>
  <cellStyleXfs count="8">
    <xf numFmtId="0" fontId="0" fillId="0" borderId="0"/>
    <xf numFmtId="0" fontId="1" fillId="0" borderId="0"/>
    <xf numFmtId="43" fontId="3"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cellStyleXfs>
  <cellXfs count="312">
    <xf numFmtId="0" fontId="0" fillId="0" borderId="0" xfId="0"/>
    <xf numFmtId="0" fontId="0" fillId="3" borderId="0" xfId="0" applyFill="1"/>
    <xf numFmtId="3" fontId="1" fillId="3" borderId="11" xfId="0" applyNumberFormat="1" applyFont="1" applyFill="1" applyBorder="1" applyAlignment="1">
      <alignment horizontal="center"/>
    </xf>
    <xf numFmtId="164" fontId="1" fillId="3" borderId="11" xfId="0" applyNumberFormat="1" applyFont="1" applyFill="1" applyBorder="1" applyAlignment="1">
      <alignment horizontal="center"/>
    </xf>
    <xf numFmtId="3" fontId="1"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3" fontId="1" fillId="3" borderId="15" xfId="0" applyNumberFormat="1" applyFont="1" applyFill="1" applyBorder="1" applyAlignment="1">
      <alignment horizontal="center"/>
    </xf>
    <xf numFmtId="164" fontId="1" fillId="3" borderId="15" xfId="0" applyNumberFormat="1" applyFont="1" applyFill="1" applyBorder="1" applyAlignment="1">
      <alignment horizontal="center"/>
    </xf>
    <xf numFmtId="167" fontId="6" fillId="3" borderId="0" xfId="0" applyNumberFormat="1" applyFont="1" applyFill="1"/>
    <xf numFmtId="167"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vertical="center"/>
    </xf>
    <xf numFmtId="167" fontId="6" fillId="3" borderId="0" xfId="0" applyNumberFormat="1" applyFont="1" applyFill="1" applyBorder="1" applyAlignment="1">
      <alignment horizontal="left" vertical="center"/>
    </xf>
    <xf numFmtId="164" fontId="6" fillId="3" borderId="0" xfId="0" applyNumberFormat="1" applyFont="1" applyFill="1" applyBorder="1" applyAlignment="1">
      <alignment horizontal="center" vertical="center"/>
    </xf>
    <xf numFmtId="0" fontId="1" fillId="3" borderId="0" xfId="3" applyFont="1" applyFill="1"/>
    <xf numFmtId="167" fontId="6" fillId="3" borderId="0" xfId="0" applyNumberFormat="1" applyFont="1" applyFill="1" applyBorder="1"/>
    <xf numFmtId="167" fontId="6" fillId="3" borderId="0" xfId="0" applyNumberFormat="1" applyFont="1" applyFill="1" applyBorder="1" applyAlignment="1"/>
    <xf numFmtId="167" fontId="6" fillId="3" borderId="0" xfId="0" applyNumberFormat="1" applyFont="1" applyFill="1" applyBorder="1" applyAlignment="1">
      <alignment horizontal="center"/>
    </xf>
    <xf numFmtId="3" fontId="6" fillId="3" borderId="0" xfId="2" applyNumberFormat="1" applyFont="1" applyFill="1" applyBorder="1" applyAlignment="1">
      <alignment horizontal="right"/>
    </xf>
    <xf numFmtId="167" fontId="7" fillId="3" borderId="0" xfId="0" applyNumberFormat="1" applyFont="1" applyFill="1" applyBorder="1" applyAlignment="1"/>
    <xf numFmtId="0" fontId="6" fillId="3" borderId="0" xfId="0" applyFont="1" applyFill="1"/>
    <xf numFmtId="167" fontId="6" fillId="3" borderId="0" xfId="0" applyNumberFormat="1" applyFont="1" applyFill="1" applyAlignment="1">
      <alignment horizontal="right"/>
    </xf>
    <xf numFmtId="0" fontId="10" fillId="0" borderId="0" xfId="0" applyFont="1"/>
    <xf numFmtId="0" fontId="6" fillId="3" borderId="0" xfId="0" applyFont="1" applyFill="1" applyAlignment="1">
      <alignment wrapText="1"/>
    </xf>
    <xf numFmtId="0" fontId="6" fillId="0" borderId="1" xfId="0" applyFont="1" applyFill="1" applyBorder="1" applyAlignment="1">
      <alignment horizontal="center"/>
    </xf>
    <xf numFmtId="1" fontId="6" fillId="0" borderId="1" xfId="0" applyNumberFormat="1" applyFont="1" applyFill="1" applyBorder="1" applyAlignment="1">
      <alignment horizontal="center"/>
    </xf>
    <xf numFmtId="0" fontId="6" fillId="3" borderId="0" xfId="0" applyFont="1" applyFill="1" applyBorder="1"/>
    <xf numFmtId="164" fontId="6" fillId="3" borderId="0" xfId="0" applyNumberFormat="1" applyFont="1" applyFill="1"/>
    <xf numFmtId="0" fontId="5" fillId="3" borderId="0" xfId="0" applyFont="1" applyFill="1"/>
    <xf numFmtId="167" fontId="11" fillId="3" borderId="0" xfId="0" applyNumberFormat="1" applyFont="1" applyFill="1" applyBorder="1" applyAlignment="1" applyProtection="1"/>
    <xf numFmtId="0" fontId="14" fillId="3" borderId="0" xfId="0" applyFont="1" applyFill="1"/>
    <xf numFmtId="9" fontId="14" fillId="3" borderId="1" xfId="0" applyNumberFormat="1" applyFont="1" applyFill="1" applyBorder="1"/>
    <xf numFmtId="167" fontId="5" fillId="3" borderId="18" xfId="0" applyNumberFormat="1" applyFont="1" applyFill="1" applyBorder="1" applyAlignment="1" applyProtection="1">
      <alignment horizontal="left" vertical="center"/>
    </xf>
    <xf numFmtId="167" fontId="5" fillId="3" borderId="18" xfId="0" applyNumberFormat="1" applyFont="1" applyFill="1" applyBorder="1"/>
    <xf numFmtId="167" fontId="5" fillId="3" borderId="22" xfId="0" applyNumberFormat="1" applyFont="1" applyFill="1" applyBorder="1"/>
    <xf numFmtId="167" fontId="5" fillId="3" borderId="0" xfId="0" applyNumberFormat="1" applyFont="1" applyFill="1" applyBorder="1" applyAlignment="1" applyProtection="1">
      <alignment horizontal="left" vertical="center"/>
    </xf>
    <xf numFmtId="167" fontId="5" fillId="3" borderId="0" xfId="0" applyNumberFormat="1" applyFont="1" applyFill="1" applyBorder="1" applyAlignment="1">
      <alignment vertical="center"/>
    </xf>
    <xf numFmtId="167" fontId="5" fillId="3" borderId="27" xfId="0" applyNumberFormat="1" applyFont="1" applyFill="1" applyBorder="1" applyAlignment="1" applyProtection="1">
      <alignment horizontal="left" vertical="center"/>
    </xf>
    <xf numFmtId="167" fontId="5" fillId="3" borderId="33" xfId="0" applyNumberFormat="1" applyFont="1" applyFill="1" applyBorder="1" applyAlignment="1">
      <alignment vertical="center"/>
    </xf>
    <xf numFmtId="167" fontId="5" fillId="3" borderId="0" xfId="0" applyNumberFormat="1" applyFont="1" applyFill="1" applyBorder="1" applyAlignment="1" applyProtection="1">
      <alignment horizontal="right" vertical="center"/>
    </xf>
    <xf numFmtId="9" fontId="2" fillId="3" borderId="23" xfId="0" applyNumberFormat="1" applyFont="1" applyFill="1" applyBorder="1" applyAlignment="1" applyProtection="1">
      <alignment horizontal="right" vertical="center"/>
      <protection locked="0"/>
    </xf>
    <xf numFmtId="167" fontId="5" fillId="3" borderId="23" xfId="0" applyNumberFormat="1" applyFont="1" applyFill="1" applyBorder="1" applyAlignment="1" applyProtection="1">
      <alignment horizontal="left" vertical="center"/>
    </xf>
    <xf numFmtId="167" fontId="5" fillId="3" borderId="23" xfId="0" applyNumberFormat="1" applyFont="1" applyFill="1" applyBorder="1" applyAlignment="1">
      <alignment vertical="center"/>
    </xf>
    <xf numFmtId="9" fontId="5" fillId="3" borderId="18" xfId="0" applyNumberFormat="1" applyFont="1" applyFill="1" applyBorder="1" applyAlignment="1" applyProtection="1">
      <alignment horizontal="right" vertical="center"/>
    </xf>
    <xf numFmtId="167" fontId="5" fillId="3" borderId="18" xfId="0" applyNumberFormat="1" applyFont="1" applyFill="1" applyBorder="1" applyAlignment="1">
      <alignment vertical="center"/>
    </xf>
    <xf numFmtId="9" fontId="5" fillId="3" borderId="28" xfId="0" applyNumberFormat="1" applyFont="1" applyFill="1" applyBorder="1" applyAlignment="1" applyProtection="1">
      <alignment horizontal="right" vertical="center"/>
    </xf>
    <xf numFmtId="167" fontId="5" fillId="3" borderId="28" xfId="0" applyNumberFormat="1" applyFont="1" applyFill="1" applyBorder="1" applyAlignment="1" applyProtection="1">
      <alignment horizontal="left" vertical="center"/>
    </xf>
    <xf numFmtId="167" fontId="5" fillId="3" borderId="28" xfId="0" applyNumberFormat="1" applyFont="1" applyFill="1" applyBorder="1" applyAlignment="1">
      <alignment vertical="center"/>
    </xf>
    <xf numFmtId="9" fontId="5" fillId="3" borderId="27" xfId="0" applyNumberFormat="1" applyFont="1" applyFill="1" applyBorder="1" applyAlignment="1" applyProtection="1">
      <alignment horizontal="right" vertical="center"/>
    </xf>
    <xf numFmtId="167" fontId="5" fillId="3" borderId="27" xfId="0" applyNumberFormat="1" applyFont="1" applyFill="1" applyBorder="1" applyAlignment="1">
      <alignment vertical="center"/>
    </xf>
    <xf numFmtId="0" fontId="5" fillId="3" borderId="35" xfId="3" applyFont="1" applyFill="1" applyBorder="1"/>
    <xf numFmtId="5" fontId="5" fillId="3" borderId="15" xfId="0" applyNumberFormat="1" applyFont="1" applyFill="1" applyBorder="1" applyAlignment="1">
      <alignment horizontal="center" vertical="center"/>
    </xf>
    <xf numFmtId="167" fontId="5" fillId="3" borderId="0" xfId="0" applyNumberFormat="1" applyFont="1" applyFill="1" applyBorder="1"/>
    <xf numFmtId="167" fontId="5" fillId="3" borderId="0" xfId="0" applyNumberFormat="1" applyFont="1" applyFill="1" applyBorder="1" applyAlignment="1">
      <alignment horizontal="right"/>
    </xf>
    <xf numFmtId="167" fontId="5" fillId="3" borderId="0" xfId="0" applyNumberFormat="1" applyFont="1" applyFill="1" applyAlignment="1">
      <alignment horizontal="right"/>
    </xf>
    <xf numFmtId="167" fontId="5" fillId="3" borderId="0" xfId="0" applyNumberFormat="1" applyFont="1" applyFill="1"/>
    <xf numFmtId="9" fontId="5" fillId="3" borderId="35" xfId="0" applyNumberFormat="1" applyFont="1" applyFill="1" applyBorder="1" applyAlignment="1" applyProtection="1">
      <alignment horizontal="left" vertical="center"/>
    </xf>
    <xf numFmtId="167" fontId="5" fillId="3" borderId="35" xfId="0" applyNumberFormat="1" applyFont="1" applyFill="1" applyBorder="1" applyAlignment="1">
      <alignment vertical="center"/>
    </xf>
    <xf numFmtId="168" fontId="15" fillId="3" borderId="35" xfId="0" applyNumberFormat="1" applyFont="1" applyFill="1" applyBorder="1" applyAlignment="1" applyProtection="1">
      <alignment horizontal="center" vertical="center"/>
      <protection locked="0"/>
    </xf>
    <xf numFmtId="5" fontId="5" fillId="3" borderId="46" xfId="0" applyNumberFormat="1" applyFont="1" applyFill="1" applyBorder="1" applyAlignment="1" applyProtection="1">
      <alignment horizontal="center" vertical="center"/>
    </xf>
    <xf numFmtId="1" fontId="5" fillId="3" borderId="35" xfId="0" applyNumberFormat="1" applyFont="1" applyFill="1" applyBorder="1" applyAlignment="1" applyProtection="1">
      <alignment horizontal="left" vertical="center"/>
    </xf>
    <xf numFmtId="167" fontId="5" fillId="3" borderId="17" xfId="0" applyNumberFormat="1" applyFont="1" applyFill="1" applyBorder="1" applyAlignment="1" applyProtection="1">
      <alignment horizontal="right" vertical="center"/>
    </xf>
    <xf numFmtId="167" fontId="5" fillId="3" borderId="17" xfId="0" applyNumberFormat="1" applyFont="1" applyFill="1" applyBorder="1" applyAlignment="1" applyProtection="1">
      <alignment horizontal="left" vertical="center"/>
    </xf>
    <xf numFmtId="167" fontId="5" fillId="3" borderId="20" xfId="0" applyNumberFormat="1" applyFont="1" applyFill="1" applyBorder="1" applyAlignment="1">
      <alignment vertical="center"/>
    </xf>
    <xf numFmtId="9" fontId="5" fillId="3" borderId="17" xfId="0" applyNumberFormat="1" applyFont="1" applyFill="1" applyBorder="1" applyAlignment="1" applyProtection="1">
      <alignment horizontal="right" vertical="center"/>
    </xf>
    <xf numFmtId="167" fontId="5" fillId="3" borderId="20" xfId="0" applyNumberFormat="1" applyFont="1" applyFill="1" applyBorder="1" applyAlignment="1" applyProtection="1">
      <alignment horizontal="left" vertical="center"/>
    </xf>
    <xf numFmtId="167" fontId="5" fillId="3" borderId="17" xfId="0" applyNumberFormat="1" applyFont="1" applyFill="1" applyBorder="1" applyAlignment="1" applyProtection="1">
      <alignment horizontal="left" vertical="center" wrapText="1"/>
    </xf>
    <xf numFmtId="0" fontId="10" fillId="0" borderId="0" xfId="0" applyFont="1" applyBorder="1"/>
    <xf numFmtId="164" fontId="10" fillId="0" borderId="0" xfId="0" applyNumberFormat="1" applyFont="1" applyBorder="1" applyAlignment="1">
      <alignment horizontal="center"/>
    </xf>
    <xf numFmtId="164" fontId="17" fillId="0" borderId="0" xfId="0" applyNumberFormat="1" applyFont="1" applyBorder="1" applyAlignment="1">
      <alignment horizontal="center"/>
    </xf>
    <xf numFmtId="0" fontId="19" fillId="0" borderId="13" xfId="6" applyFont="1" applyBorder="1" applyAlignment="1"/>
    <xf numFmtId="0" fontId="18" fillId="2" borderId="9" xfId="6" applyFont="1" applyFill="1" applyBorder="1" applyAlignment="1">
      <alignment horizontal="center"/>
    </xf>
    <xf numFmtId="17" fontId="18" fillId="2" borderId="1" xfId="6" applyNumberFormat="1" applyFont="1" applyFill="1" applyBorder="1" applyAlignment="1">
      <alignment horizontal="center"/>
    </xf>
    <xf numFmtId="0" fontId="18" fillId="2" borderId="1" xfId="6" applyFont="1" applyFill="1" applyBorder="1" applyAlignment="1">
      <alignment horizontal="center"/>
    </xf>
    <xf numFmtId="0" fontId="19" fillId="0" borderId="1" xfId="6" applyFont="1" applyBorder="1"/>
    <xf numFmtId="17" fontId="19" fillId="0" borderId="1" xfId="6" quotePrefix="1" applyNumberFormat="1" applyFont="1" applyBorder="1"/>
    <xf numFmtId="17" fontId="19" fillId="0" borderId="0" xfId="6" quotePrefix="1" applyNumberFormat="1" applyFont="1" applyBorder="1"/>
    <xf numFmtId="0" fontId="19" fillId="0" borderId="0" xfId="6" applyFont="1" applyBorder="1"/>
    <xf numFmtId="0" fontId="19" fillId="0" borderId="1" xfId="5" applyFont="1" applyFill="1" applyBorder="1"/>
    <xf numFmtId="0" fontId="19" fillId="0" borderId="1" xfId="1" applyFont="1" applyFill="1" applyBorder="1"/>
    <xf numFmtId="0" fontId="19" fillId="0" borderId="0" xfId="5" applyFont="1" applyBorder="1"/>
    <xf numFmtId="0" fontId="19" fillId="0" borderId="0" xfId="1" applyFont="1" applyFill="1" applyBorder="1"/>
    <xf numFmtId="0" fontId="10" fillId="0" borderId="9" xfId="0" applyFont="1" applyBorder="1"/>
    <xf numFmtId="0" fontId="10" fillId="0" borderId="10" xfId="0" applyFont="1" applyBorder="1"/>
    <xf numFmtId="0" fontId="10" fillId="0" borderId="12" xfId="0" applyFont="1" applyBorder="1"/>
    <xf numFmtId="0" fontId="10" fillId="0" borderId="34" xfId="0" applyFont="1" applyBorder="1"/>
    <xf numFmtId="0" fontId="10" fillId="0" borderId="40" xfId="0" applyFont="1" applyBorder="1"/>
    <xf numFmtId="0" fontId="19" fillId="0" borderId="1" xfId="0" applyFont="1" applyBorder="1"/>
    <xf numFmtId="2" fontId="19" fillId="2" borderId="2" xfId="0" applyNumberFormat="1" applyFont="1" applyFill="1" applyBorder="1"/>
    <xf numFmtId="0" fontId="10" fillId="0" borderId="13" xfId="0" applyFont="1" applyBorder="1"/>
    <xf numFmtId="0" fontId="19" fillId="0" borderId="0" xfId="0" applyFont="1" applyBorder="1"/>
    <xf numFmtId="0" fontId="19" fillId="0" borderId="31" xfId="0" applyFont="1" applyBorder="1"/>
    <xf numFmtId="0" fontId="10" fillId="0" borderId="31" xfId="0" applyFont="1" applyBorder="1"/>
    <xf numFmtId="0" fontId="10" fillId="0" borderId="39" xfId="0" applyFont="1" applyBorder="1"/>
    <xf numFmtId="0" fontId="20" fillId="0" borderId="0" xfId="4" applyFont="1" applyFill="1" applyBorder="1" applyAlignment="1" applyProtection="1"/>
    <xf numFmtId="0" fontId="19" fillId="0" borderId="0" xfId="0" applyFont="1"/>
    <xf numFmtId="0" fontId="19" fillId="0" borderId="9" xfId="5" applyFont="1" applyFill="1" applyBorder="1"/>
    <xf numFmtId="0" fontId="19" fillId="0" borderId="9" xfId="1" applyFont="1" applyFill="1" applyBorder="1"/>
    <xf numFmtId="0" fontId="19" fillId="0" borderId="40" xfId="1" applyFont="1" applyFill="1" applyBorder="1"/>
    <xf numFmtId="0" fontId="19" fillId="0" borderId="13" xfId="5" applyFont="1" applyBorder="1"/>
    <xf numFmtId="0" fontId="19" fillId="0" borderId="40" xfId="5" applyFont="1" applyBorder="1"/>
    <xf numFmtId="0" fontId="19" fillId="0" borderId="38" xfId="5" applyFont="1" applyFill="1" applyBorder="1"/>
    <xf numFmtId="0" fontId="19" fillId="0" borderId="31" xfId="5" applyFont="1" applyBorder="1"/>
    <xf numFmtId="0" fontId="19" fillId="0" borderId="39" xfId="5" applyFont="1" applyBorder="1"/>
    <xf numFmtId="0" fontId="18" fillId="0" borderId="1" xfId="1" applyFont="1" applyFill="1" applyBorder="1" applyAlignment="1">
      <alignment wrapText="1"/>
    </xf>
    <xf numFmtId="0" fontId="19" fillId="0" borderId="12" xfId="5" applyFont="1" applyFill="1" applyBorder="1"/>
    <xf numFmtId="0" fontId="19" fillId="0" borderId="34" xfId="5" applyFont="1" applyFill="1" applyBorder="1"/>
    <xf numFmtId="0" fontId="19" fillId="0" borderId="9" xfId="1" applyFont="1" applyFill="1" applyBorder="1" applyAlignment="1">
      <alignment wrapText="1"/>
    </xf>
    <xf numFmtId="0" fontId="18" fillId="0" borderId="2" xfId="1" applyFont="1" applyFill="1" applyBorder="1" applyAlignment="1">
      <alignment wrapText="1"/>
    </xf>
    <xf numFmtId="165" fontId="19" fillId="2" borderId="2" xfId="5" applyNumberFormat="1" applyFont="1" applyFill="1" applyBorder="1"/>
    <xf numFmtId="17" fontId="18" fillId="4" borderId="1" xfId="6" applyNumberFormat="1" applyFont="1" applyFill="1" applyBorder="1" applyAlignment="1">
      <alignment horizontal="center"/>
    </xf>
    <xf numFmtId="0" fontId="17" fillId="5" borderId="1" xfId="0" applyFont="1" applyFill="1" applyBorder="1" applyAlignment="1">
      <alignment horizontal="center" vertical="center" wrapText="1"/>
    </xf>
    <xf numFmtId="0" fontId="22" fillId="3" borderId="0" xfId="0" applyFont="1" applyFill="1"/>
    <xf numFmtId="0" fontId="18" fillId="4" borderId="2" xfId="6" applyFont="1" applyFill="1" applyBorder="1" applyAlignment="1">
      <alignment horizontal="center"/>
    </xf>
    <xf numFmtId="0" fontId="18" fillId="2" borderId="9" xfId="6" applyFont="1" applyFill="1" applyBorder="1" applyAlignment="1">
      <alignment horizontal="center" vertical="center"/>
    </xf>
    <xf numFmtId="0" fontId="19" fillId="0" borderId="9" xfId="6" applyFont="1" applyFill="1" applyBorder="1" applyAlignment="1">
      <alignment horizontal="left"/>
    </xf>
    <xf numFmtId="0" fontId="21" fillId="0" borderId="5" xfId="0" applyFont="1" applyBorder="1"/>
    <xf numFmtId="0" fontId="17" fillId="5" borderId="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0" fillId="0" borderId="6" xfId="0" applyFont="1" applyBorder="1"/>
    <xf numFmtId="0" fontId="10" fillId="0" borderId="4" xfId="0" applyFont="1" applyBorder="1"/>
    <xf numFmtId="0" fontId="23" fillId="0" borderId="5" xfId="6" applyFont="1" applyFill="1" applyBorder="1"/>
    <xf numFmtId="0" fontId="23" fillId="0" borderId="5" xfId="1" applyFont="1" applyFill="1" applyBorder="1"/>
    <xf numFmtId="164" fontId="6" fillId="0" borderId="1" xfId="0" applyNumberFormat="1" applyFont="1" applyFill="1" applyBorder="1" applyAlignment="1">
      <alignment horizontal="center"/>
    </xf>
    <xf numFmtId="49" fontId="5" fillId="3" borderId="17" xfId="3" applyNumberFormat="1" applyFont="1" applyFill="1" applyBorder="1" applyAlignment="1">
      <alignment horizontal="right" vertical="center"/>
    </xf>
    <xf numFmtId="3" fontId="1" fillId="0" borderId="1" xfId="0" applyNumberFormat="1" applyFont="1" applyFill="1" applyBorder="1" applyAlignment="1">
      <alignment horizontal="center"/>
    </xf>
    <xf numFmtId="167" fontId="24" fillId="3" borderId="37" xfId="0" applyNumberFormat="1" applyFont="1" applyFill="1" applyBorder="1" applyAlignment="1">
      <alignment horizontal="center" wrapText="1"/>
    </xf>
    <xf numFmtId="167" fontId="24" fillId="3" borderId="44" xfId="0" applyNumberFormat="1" applyFont="1" applyFill="1" applyBorder="1" applyAlignment="1">
      <alignment horizontal="center" wrapText="1"/>
    </xf>
    <xf numFmtId="167" fontId="24" fillId="3" borderId="45" xfId="0" applyNumberFormat="1" applyFont="1" applyFill="1" applyBorder="1" applyAlignment="1">
      <alignment horizontal="center" wrapText="1"/>
    </xf>
    <xf numFmtId="1" fontId="6" fillId="0" borderId="20" xfId="0" applyNumberFormat="1" applyFont="1" applyFill="1" applyBorder="1" applyAlignment="1" applyProtection="1">
      <alignment horizontal="center" vertical="center"/>
    </xf>
    <xf numFmtId="164" fontId="6" fillId="3" borderId="1" xfId="0" applyNumberFormat="1" applyFont="1" applyFill="1" applyBorder="1" applyAlignment="1">
      <alignment horizontal="center" vertical="center"/>
    </xf>
    <xf numFmtId="168" fontId="5" fillId="3" borderId="1" xfId="0" applyNumberFormat="1" applyFont="1" applyFill="1" applyBorder="1" applyAlignment="1" applyProtection="1">
      <alignment horizontal="center" vertical="center"/>
      <protection locked="0"/>
    </xf>
    <xf numFmtId="1" fontId="5" fillId="3" borderId="20" xfId="0" applyNumberFormat="1" applyFont="1" applyFill="1" applyBorder="1" applyAlignment="1" applyProtection="1">
      <alignment horizontal="center" vertical="center"/>
    </xf>
    <xf numFmtId="5" fontId="5" fillId="3" borderId="1" xfId="0" applyNumberFormat="1" applyFont="1" applyFill="1" applyBorder="1" applyAlignment="1">
      <alignment horizontal="center" vertical="center"/>
    </xf>
    <xf numFmtId="168" fontId="5" fillId="3" borderId="14" xfId="0" applyNumberFormat="1" applyFont="1" applyFill="1" applyBorder="1" applyAlignment="1" applyProtection="1">
      <alignment horizontal="center" vertical="center"/>
      <protection locked="0"/>
    </xf>
    <xf numFmtId="167" fontId="5" fillId="3" borderId="21" xfId="0" applyNumberFormat="1" applyFont="1" applyFill="1" applyBorder="1" applyAlignment="1">
      <alignment horizontal="center" vertical="center"/>
    </xf>
    <xf numFmtId="1" fontId="5" fillId="3" borderId="21" xfId="0" applyNumberFormat="1" applyFont="1" applyFill="1" applyBorder="1" applyAlignment="1" applyProtection="1">
      <alignment horizontal="center" vertical="center"/>
    </xf>
    <xf numFmtId="167" fontId="5"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xf>
    <xf numFmtId="1" fontId="5" fillId="3" borderId="1" xfId="0" applyNumberFormat="1" applyFont="1" applyFill="1" applyBorder="1" applyAlignment="1" applyProtection="1">
      <alignment horizontal="center" vertical="center"/>
    </xf>
    <xf numFmtId="37" fontId="5" fillId="3" borderId="1" xfId="0" applyNumberFormat="1" applyFont="1" applyFill="1" applyBorder="1" applyAlignment="1" applyProtection="1">
      <alignment horizontal="center" vertical="center"/>
      <protection locked="0"/>
    </xf>
    <xf numFmtId="6" fontId="19" fillId="0" borderId="1" xfId="6" applyNumberFormat="1" applyFont="1" applyFill="1" applyBorder="1" applyAlignment="1">
      <alignment horizontal="center" vertical="center"/>
    </xf>
    <xf numFmtId="0" fontId="19" fillId="0" borderId="34" xfId="6" applyFont="1" applyFill="1" applyBorder="1"/>
    <xf numFmtId="0" fontId="18" fillId="2" borderId="2" xfId="6" applyFont="1" applyFill="1" applyBorder="1" applyAlignment="1">
      <alignment horizontal="center" vertical="center"/>
    </xf>
    <xf numFmtId="6" fontId="19" fillId="0" borderId="2" xfId="6" applyNumberFormat="1" applyFont="1" applyFill="1" applyBorder="1" applyAlignment="1">
      <alignment horizontal="center" vertical="center"/>
    </xf>
    <xf numFmtId="0" fontId="19" fillId="0" borderId="10" xfId="6" applyFont="1" applyFill="1" applyBorder="1" applyAlignment="1">
      <alignment horizontal="left"/>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0" fillId="0" borderId="9" xfId="0" applyFont="1" applyBorder="1" applyAlignment="1">
      <alignment horizontal="left" vertical="center" wrapText="1"/>
    </xf>
    <xf numFmtId="6" fontId="18" fillId="6" borderId="3" xfId="6" applyNumberFormat="1" applyFont="1" applyFill="1" applyBorder="1" applyAlignment="1">
      <alignment horizontal="center" vertical="center"/>
    </xf>
    <xf numFmtId="6" fontId="18" fillId="6" borderId="4" xfId="6" applyNumberFormat="1" applyFont="1" applyFill="1" applyBorder="1" applyAlignment="1">
      <alignment horizontal="center" vertical="center"/>
    </xf>
    <xf numFmtId="0" fontId="25" fillId="0" borderId="0" xfId="0" applyFont="1"/>
    <xf numFmtId="0" fontId="10" fillId="0" borderId="38" xfId="0" applyFont="1" applyFill="1" applyBorder="1"/>
    <xf numFmtId="0" fontId="19" fillId="0" borderId="1" xfId="6" applyFont="1" applyBorder="1" applyAlignment="1"/>
    <xf numFmtId="0" fontId="19" fillId="0" borderId="41" xfId="6" applyFont="1" applyFill="1" applyBorder="1" applyAlignment="1">
      <alignment horizontal="left"/>
    </xf>
    <xf numFmtId="6" fontId="19" fillId="0" borderId="43" xfId="6"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167" fontId="6" fillId="3" borderId="47" xfId="0" applyNumberFormat="1" applyFont="1" applyFill="1" applyBorder="1" applyAlignment="1">
      <alignment horizontal="left" vertical="center"/>
    </xf>
    <xf numFmtId="167" fontId="6" fillId="3" borderId="27" xfId="0" applyNumberFormat="1" applyFont="1" applyFill="1" applyBorder="1" applyAlignment="1">
      <alignment horizontal="center" vertical="center"/>
    </xf>
    <xf numFmtId="3" fontId="6" fillId="3" borderId="27" xfId="0" applyNumberFormat="1" applyFont="1" applyFill="1" applyBorder="1" applyAlignment="1">
      <alignment horizontal="center" vertical="center"/>
    </xf>
    <xf numFmtId="164" fontId="6" fillId="3" borderId="27" xfId="0" applyNumberFormat="1" applyFont="1" applyFill="1" applyBorder="1" applyAlignment="1">
      <alignment horizontal="center" vertical="center"/>
    </xf>
    <xf numFmtId="0" fontId="6" fillId="3" borderId="32" xfId="0" applyFont="1" applyFill="1" applyBorder="1"/>
    <xf numFmtId="3" fontId="6" fillId="3" borderId="32" xfId="0" applyNumberFormat="1" applyFont="1" applyFill="1" applyBorder="1" applyAlignment="1">
      <alignment horizontal="center" vertical="center"/>
    </xf>
    <xf numFmtId="0" fontId="6" fillId="3" borderId="0" xfId="0" applyFont="1" applyFill="1" applyAlignment="1">
      <alignment vertical="center"/>
    </xf>
    <xf numFmtId="0" fontId="22" fillId="3" borderId="0" xfId="0" applyFont="1" applyFill="1" applyAlignment="1">
      <alignment vertical="center"/>
    </xf>
    <xf numFmtId="0" fontId="6" fillId="0" borderId="1" xfId="0" applyFont="1" applyFill="1" applyBorder="1" applyAlignment="1">
      <alignment horizontal="center" wrapText="1"/>
    </xf>
    <xf numFmtId="3" fontId="6" fillId="0" borderId="1" xfId="0" applyNumberFormat="1" applyFont="1" applyFill="1" applyBorder="1" applyAlignment="1">
      <alignment horizontal="center"/>
    </xf>
    <xf numFmtId="5" fontId="6" fillId="3" borderId="1" xfId="0" applyNumberFormat="1" applyFont="1" applyFill="1" applyBorder="1" applyAlignment="1">
      <alignment horizontal="center" vertical="center"/>
    </xf>
    <xf numFmtId="3" fontId="6" fillId="0" borderId="20" xfId="0" applyNumberFormat="1" applyFont="1" applyFill="1" applyBorder="1" applyAlignment="1" applyProtection="1">
      <alignment horizontal="center" vertical="center"/>
    </xf>
    <xf numFmtId="37" fontId="5" fillId="0" borderId="19" xfId="0" applyNumberFormat="1" applyFont="1" applyFill="1" applyBorder="1" applyAlignment="1" applyProtection="1">
      <alignment horizontal="center" vertical="center"/>
      <protection locked="0"/>
    </xf>
    <xf numFmtId="168" fontId="5" fillId="0" borderId="24" xfId="0" applyNumberFormat="1" applyFont="1" applyFill="1" applyBorder="1" applyAlignment="1" applyProtection="1">
      <alignment horizontal="center" vertical="center"/>
      <protection locked="0"/>
    </xf>
    <xf numFmtId="6" fontId="28" fillId="0" borderId="1" xfId="0" applyNumberFormat="1" applyFont="1" applyBorder="1" applyAlignment="1">
      <alignment horizontal="center" vertical="center" wrapText="1"/>
    </xf>
    <xf numFmtId="0" fontId="26" fillId="0" borderId="0" xfId="0" applyFont="1"/>
    <xf numFmtId="0" fontId="29" fillId="0" borderId="1" xfId="0" applyFont="1" applyFill="1" applyBorder="1" applyAlignment="1">
      <alignment horizontal="left"/>
    </xf>
    <xf numFmtId="1" fontId="28" fillId="0" borderId="1" xfId="0" applyNumberFormat="1" applyFont="1" applyBorder="1" applyAlignment="1">
      <alignment horizontal="center" vertical="center" wrapText="1"/>
    </xf>
    <xf numFmtId="0" fontId="28" fillId="0" borderId="42" xfId="0" applyFont="1" applyBorder="1" applyAlignment="1">
      <alignment horizontal="center" vertical="center" wrapText="1"/>
    </xf>
    <xf numFmtId="0" fontId="28" fillId="0" borderId="11" xfId="0" applyFont="1" applyBorder="1" applyAlignment="1">
      <alignment horizontal="center" vertical="center" wrapText="1"/>
    </xf>
    <xf numFmtId="0" fontId="10" fillId="0" borderId="1" xfId="0" applyFont="1" applyBorder="1"/>
    <xf numFmtId="0" fontId="17" fillId="2" borderId="7" xfId="0" applyFont="1" applyFill="1" applyBorder="1" applyAlignment="1">
      <alignment horizontal="center" vertical="center"/>
    </xf>
    <xf numFmtId="0" fontId="17" fillId="2" borderId="7" xfId="0" quotePrefix="1" applyFont="1" applyFill="1" applyBorder="1" applyAlignment="1">
      <alignment horizontal="center" vertical="center"/>
    </xf>
    <xf numFmtId="0" fontId="17" fillId="2" borderId="8" xfId="0" applyFont="1" applyFill="1" applyBorder="1" applyAlignment="1">
      <alignment horizontal="center" vertical="center"/>
    </xf>
    <xf numFmtId="0" fontId="10" fillId="0" borderId="2" xfId="0" applyFont="1" applyBorder="1"/>
    <xf numFmtId="0" fontId="10" fillId="0" borderId="3" xfId="0" applyFont="1" applyBorder="1"/>
    <xf numFmtId="0" fontId="30" fillId="0" borderId="1" xfId="0" applyFont="1" applyBorder="1" applyAlignment="1">
      <alignment horizontal="center" vertical="center" wrapText="1"/>
    </xf>
    <xf numFmtId="1" fontId="30" fillId="0" borderId="1" xfId="0" applyNumberFormat="1" applyFont="1" applyBorder="1" applyAlignment="1">
      <alignment horizontal="center" vertical="center" wrapText="1"/>
    </xf>
    <xf numFmtId="0" fontId="31" fillId="0" borderId="1" xfId="0" applyFont="1" applyBorder="1" applyAlignment="1">
      <alignment horizontal="left" vertical="center" wrapText="1"/>
    </xf>
    <xf numFmtId="1" fontId="6" fillId="0" borderId="1" xfId="0" applyNumberFormat="1" applyFont="1" applyFill="1" applyBorder="1" applyAlignment="1">
      <alignment horizontal="center" wrapText="1"/>
    </xf>
    <xf numFmtId="3" fontId="6" fillId="0" borderId="1" xfId="0" applyNumberFormat="1" applyFont="1" applyFill="1" applyBorder="1" applyAlignment="1">
      <alignment horizontal="center" wrapText="1"/>
    </xf>
    <xf numFmtId="0" fontId="6" fillId="0" borderId="1" xfId="0" applyFont="1" applyFill="1" applyBorder="1" applyAlignment="1">
      <alignment horizontal="center" textRotation="90" wrapText="1"/>
    </xf>
    <xf numFmtId="0" fontId="6" fillId="0" borderId="1" xfId="0" applyFont="1" applyFill="1" applyBorder="1"/>
    <xf numFmtId="0" fontId="6" fillId="0" borderId="1" xfId="0" applyFont="1" applyFill="1" applyBorder="1" applyAlignment="1">
      <alignment horizontal="left" indent="2"/>
    </xf>
    <xf numFmtId="0" fontId="6" fillId="0" borderId="1" xfId="0" applyFont="1" applyFill="1" applyBorder="1" applyAlignment="1">
      <alignment horizontal="left" wrapText="1" indent="4"/>
    </xf>
    <xf numFmtId="0" fontId="6" fillId="0" borderId="1" xfId="0" applyFont="1" applyFill="1" applyBorder="1" applyAlignment="1">
      <alignment horizontal="left" indent="6"/>
    </xf>
    <xf numFmtId="0" fontId="6" fillId="0" borderId="1" xfId="0" applyFont="1" applyFill="1" applyBorder="1" applyAlignment="1">
      <alignment horizontal="left" indent="4"/>
    </xf>
    <xf numFmtId="0" fontId="12" fillId="0" borderId="1" xfId="0" applyFont="1" applyFill="1" applyBorder="1"/>
    <xf numFmtId="0" fontId="6" fillId="3" borderId="50" xfId="0" applyFont="1" applyFill="1" applyBorder="1"/>
    <xf numFmtId="0" fontId="6" fillId="3" borderId="21" xfId="0" applyFont="1" applyFill="1" applyBorder="1"/>
    <xf numFmtId="0" fontId="6" fillId="3" borderId="51" xfId="0" applyFont="1" applyFill="1" applyBorder="1"/>
    <xf numFmtId="0" fontId="6" fillId="3" borderId="17" xfId="0" applyFont="1" applyFill="1" applyBorder="1"/>
    <xf numFmtId="167" fontId="6" fillId="3" borderId="27" xfId="0" applyNumberFormat="1" applyFont="1" applyFill="1" applyBorder="1" applyAlignment="1">
      <alignment horizontal="left" vertical="center"/>
    </xf>
    <xf numFmtId="164" fontId="6" fillId="3" borderId="32" xfId="0" applyNumberFormat="1" applyFont="1" applyFill="1" applyBorder="1" applyAlignment="1">
      <alignment horizontal="center" vertical="center"/>
    </xf>
    <xf numFmtId="0" fontId="6" fillId="3" borderId="20" xfId="0" applyFont="1" applyFill="1" applyBorder="1"/>
    <xf numFmtId="0" fontId="13" fillId="3" borderId="11" xfId="0" applyFont="1" applyFill="1" applyBorder="1" applyAlignment="1">
      <alignment vertical="center"/>
    </xf>
    <xf numFmtId="0" fontId="6" fillId="3" borderId="11" xfId="0" applyFont="1" applyFill="1" applyBorder="1" applyAlignment="1">
      <alignment horizontal="center" vertical="center"/>
    </xf>
    <xf numFmtId="0" fontId="12" fillId="0" borderId="15" xfId="0" applyFont="1" applyFill="1" applyBorder="1"/>
    <xf numFmtId="0" fontId="6" fillId="0" borderId="15" xfId="0" applyFont="1" applyFill="1" applyBorder="1" applyAlignment="1">
      <alignment horizontal="center"/>
    </xf>
    <xf numFmtId="167" fontId="1" fillId="3" borderId="15" xfId="0" applyNumberFormat="1" applyFont="1" applyFill="1" applyBorder="1" applyAlignment="1">
      <alignment horizontal="center"/>
    </xf>
    <xf numFmtId="167" fontId="1" fillId="3" borderId="15" xfId="0" applyNumberFormat="1" applyFont="1" applyFill="1" applyBorder="1" applyAlignment="1">
      <alignment horizontal="center" wrapText="1"/>
    </xf>
    <xf numFmtId="167" fontId="1" fillId="3" borderId="11" xfId="0" applyNumberFormat="1" applyFont="1" applyFill="1" applyBorder="1" applyAlignment="1">
      <alignment horizontal="center"/>
    </xf>
    <xf numFmtId="167" fontId="1" fillId="3" borderId="1" xfId="0" applyNumberFormat="1" applyFont="1" applyFill="1" applyBorder="1" applyAlignment="1">
      <alignment horizontal="center"/>
    </xf>
    <xf numFmtId="164" fontId="1" fillId="0" borderId="1" xfId="0" applyNumberFormat="1" applyFont="1" applyFill="1" applyBorder="1" applyAlignment="1">
      <alignment horizontal="center"/>
    </xf>
    <xf numFmtId="167" fontId="5" fillId="3" borderId="48" xfId="0" applyNumberFormat="1" applyFont="1" applyFill="1" applyBorder="1" applyAlignment="1" applyProtection="1">
      <alignment horizontal="centerContinuous"/>
    </xf>
    <xf numFmtId="167" fontId="5" fillId="3" borderId="29" xfId="0" applyNumberFormat="1" applyFont="1" applyFill="1" applyBorder="1" applyAlignment="1">
      <alignment horizontal="centerContinuous"/>
    </xf>
    <xf numFmtId="167" fontId="24" fillId="3" borderId="30" xfId="0" applyNumberFormat="1" applyFont="1" applyFill="1" applyBorder="1" applyAlignment="1">
      <alignment horizontal="center" vertical="center"/>
    </xf>
    <xf numFmtId="167" fontId="24" fillId="3" borderId="52" xfId="0" applyNumberFormat="1" applyFont="1" applyFill="1" applyBorder="1" applyAlignment="1">
      <alignment horizontal="center" vertical="center"/>
    </xf>
    <xf numFmtId="167" fontId="24" fillId="3" borderId="49" xfId="0" applyNumberFormat="1" applyFont="1" applyFill="1" applyBorder="1" applyAlignment="1">
      <alignment horizontal="center" vertical="center"/>
    </xf>
    <xf numFmtId="167" fontId="24" fillId="3" borderId="42" xfId="0" applyNumberFormat="1" applyFont="1" applyFill="1" applyBorder="1" applyAlignment="1">
      <alignment horizontal="center" vertical="center"/>
    </xf>
    <xf numFmtId="167" fontId="5" fillId="3" borderId="54" xfId="0" applyNumberFormat="1" applyFont="1" applyFill="1" applyBorder="1" applyAlignment="1" applyProtection="1">
      <alignment horizontal="center" vertical="center"/>
    </xf>
    <xf numFmtId="167" fontId="5" fillId="3" borderId="50" xfId="0" applyNumberFormat="1" applyFont="1" applyFill="1" applyBorder="1" applyAlignment="1" applyProtection="1">
      <alignment horizontal="center" vertical="center"/>
    </xf>
    <xf numFmtId="167" fontId="5" fillId="3" borderId="47" xfId="0" applyNumberFormat="1" applyFont="1" applyFill="1" applyBorder="1" applyAlignment="1" applyProtection="1">
      <alignment horizontal="center" vertical="center"/>
    </xf>
    <xf numFmtId="166" fontId="15" fillId="3" borderId="50" xfId="0" applyNumberFormat="1" applyFont="1" applyFill="1" applyBorder="1" applyAlignment="1" applyProtection="1">
      <alignment vertical="center"/>
      <protection locked="0"/>
    </xf>
    <xf numFmtId="5" fontId="5" fillId="3" borderId="20" xfId="0" applyNumberFormat="1" applyFont="1" applyFill="1" applyBorder="1" applyAlignment="1">
      <alignment horizontal="center" vertical="center"/>
    </xf>
    <xf numFmtId="166" fontId="15" fillId="3" borderId="55" xfId="0" applyNumberFormat="1" applyFont="1" applyFill="1" applyBorder="1" applyAlignment="1" applyProtection="1">
      <alignment vertical="center"/>
      <protection locked="0"/>
    </xf>
    <xf numFmtId="166" fontId="15" fillId="3" borderId="47" xfId="0" applyNumberFormat="1" applyFont="1" applyFill="1" applyBorder="1" applyAlignment="1" applyProtection="1">
      <alignment vertical="center"/>
      <protection locked="0"/>
    </xf>
    <xf numFmtId="166" fontId="15" fillId="3" borderId="51" xfId="0" applyNumberFormat="1" applyFont="1" applyFill="1" applyBorder="1" applyAlignment="1" applyProtection="1">
      <alignment vertical="center"/>
      <protection locked="0"/>
    </xf>
    <xf numFmtId="167" fontId="5" fillId="3" borderId="51" xfId="0" applyNumberFormat="1" applyFont="1" applyFill="1" applyBorder="1" applyAlignment="1" applyProtection="1">
      <alignment horizontal="center" vertical="center"/>
    </xf>
    <xf numFmtId="167" fontId="2" fillId="3" borderId="46" xfId="0" quotePrefix="1" applyNumberFormat="1" applyFont="1" applyFill="1" applyBorder="1" applyAlignment="1" applyProtection="1">
      <alignment horizontal="center" vertical="center"/>
      <protection locked="0"/>
    </xf>
    <xf numFmtId="5" fontId="5" fillId="3" borderId="56" xfId="0" applyNumberFormat="1" applyFont="1" applyFill="1" applyBorder="1" applyAlignment="1">
      <alignment horizontal="center" vertical="center"/>
    </xf>
    <xf numFmtId="9" fontId="5" fillId="3" borderId="51" xfId="0" applyNumberFormat="1" applyFont="1" applyFill="1" applyBorder="1" applyAlignment="1" applyProtection="1">
      <alignment vertical="center"/>
    </xf>
    <xf numFmtId="9" fontId="5" fillId="3" borderId="17" xfId="0" applyNumberFormat="1" applyFont="1" applyFill="1" applyBorder="1" applyAlignment="1" applyProtection="1">
      <alignment vertical="center"/>
    </xf>
    <xf numFmtId="167" fontId="5" fillId="3" borderId="17" xfId="0" applyNumberFormat="1" applyFont="1" applyFill="1" applyBorder="1" applyAlignment="1">
      <alignment vertical="center"/>
    </xf>
    <xf numFmtId="168" fontId="15" fillId="3" borderId="17" xfId="0" applyNumberFormat="1" applyFont="1" applyFill="1" applyBorder="1" applyAlignment="1" applyProtection="1">
      <alignment horizontal="center" vertical="center"/>
      <protection locked="0"/>
    </xf>
    <xf numFmtId="1" fontId="5" fillId="3" borderId="57" xfId="0" applyNumberFormat="1" applyFont="1" applyFill="1" applyBorder="1" applyAlignment="1" applyProtection="1">
      <alignment horizontal="center" vertical="center"/>
    </xf>
    <xf numFmtId="1" fontId="5" fillId="3" borderId="16" xfId="0" applyNumberFormat="1" applyFont="1" applyFill="1" applyBorder="1" applyAlignment="1" applyProtection="1">
      <alignment horizontal="center" vertical="center"/>
    </xf>
    <xf numFmtId="5" fontId="5" fillId="3" borderId="11" xfId="0" applyNumberFormat="1" applyFont="1" applyFill="1" applyBorder="1" applyAlignment="1">
      <alignment horizontal="center" vertical="center"/>
    </xf>
    <xf numFmtId="0" fontId="10" fillId="0" borderId="41" xfId="0" applyFont="1" applyBorder="1"/>
    <xf numFmtId="1" fontId="10" fillId="0" borderId="0" xfId="0" applyNumberFormat="1" applyFont="1"/>
    <xf numFmtId="6" fontId="18" fillId="6" borderId="2" xfId="6" applyNumberFormat="1" applyFont="1" applyFill="1" applyBorder="1" applyAlignment="1">
      <alignment horizontal="center" vertical="center"/>
    </xf>
    <xf numFmtId="0" fontId="21" fillId="0" borderId="5" xfId="0" applyFont="1" applyFill="1" applyBorder="1"/>
    <xf numFmtId="0" fontId="10" fillId="0" borderId="42" xfId="0" applyFont="1" applyFill="1" applyBorder="1"/>
    <xf numFmtId="3" fontId="12" fillId="0" borderId="1" xfId="0" applyNumberFormat="1" applyFont="1" applyFill="1" applyBorder="1" applyAlignment="1">
      <alignment horizontal="center"/>
    </xf>
    <xf numFmtId="164" fontId="12" fillId="0" borderId="1" xfId="0" applyNumberFormat="1" applyFont="1" applyFill="1" applyBorder="1" applyAlignment="1">
      <alignment horizontal="center"/>
    </xf>
    <xf numFmtId="3" fontId="12" fillId="0" borderId="15" xfId="0" applyNumberFormat="1" applyFont="1" applyFill="1" applyBorder="1" applyAlignment="1">
      <alignment horizontal="center"/>
    </xf>
    <xf numFmtId="164" fontId="12" fillId="0" borderId="15" xfId="0" applyNumberFormat="1" applyFont="1" applyFill="1" applyBorder="1" applyAlignment="1">
      <alignment horizontal="center"/>
    </xf>
    <xf numFmtId="1" fontId="12" fillId="0" borderId="15" xfId="0" applyNumberFormat="1" applyFont="1" applyFill="1" applyBorder="1" applyAlignment="1">
      <alignment horizontal="center"/>
    </xf>
    <xf numFmtId="3" fontId="13" fillId="3" borderId="11" xfId="0" applyNumberFormat="1" applyFont="1" applyFill="1" applyBorder="1" applyAlignment="1">
      <alignment horizontal="center" vertical="center"/>
    </xf>
    <xf numFmtId="164" fontId="13" fillId="3" borderId="11" xfId="0" applyNumberFormat="1" applyFont="1" applyFill="1" applyBorder="1" applyAlignment="1">
      <alignment horizontal="center" vertical="center"/>
    </xf>
    <xf numFmtId="0" fontId="13" fillId="3" borderId="11" xfId="0" applyFont="1" applyFill="1" applyBorder="1" applyAlignment="1">
      <alignment horizontal="center" vertical="center"/>
    </xf>
    <xf numFmtId="3" fontId="22" fillId="3" borderId="0" xfId="0" applyNumberFormat="1" applyFont="1" applyFill="1"/>
    <xf numFmtId="168" fontId="5" fillId="0" borderId="63" xfId="0" applyNumberFormat="1" applyFont="1" applyFill="1" applyBorder="1" applyAlignment="1" applyProtection="1">
      <alignment horizontal="center" vertical="center"/>
      <protection locked="0"/>
    </xf>
    <xf numFmtId="1" fontId="5" fillId="3" borderId="1" xfId="0" applyNumberFormat="1" applyFont="1" applyFill="1" applyBorder="1" applyAlignment="1">
      <alignment horizontal="center" vertical="center"/>
    </xf>
    <xf numFmtId="6" fontId="10" fillId="0" borderId="0" xfId="0" applyNumberFormat="1" applyFont="1"/>
    <xf numFmtId="0" fontId="31" fillId="0" borderId="1" xfId="0" applyFont="1" applyBorder="1" applyAlignment="1">
      <alignment horizontal="left" vertical="center" wrapText="1" indent="1"/>
    </xf>
    <xf numFmtId="0" fontId="29" fillId="0" borderId="1" xfId="0" applyFont="1" applyFill="1" applyBorder="1" applyAlignment="1">
      <alignment horizontal="left" wrapText="1"/>
    </xf>
    <xf numFmtId="0" fontId="19" fillId="0" borderId="1" xfId="6" applyFont="1" applyFill="1" applyBorder="1"/>
    <xf numFmtId="0" fontId="34" fillId="0" borderId="1" xfId="0" applyFont="1" applyFill="1" applyBorder="1" applyAlignment="1">
      <alignment horizontal="left"/>
    </xf>
    <xf numFmtId="6" fontId="35" fillId="0" borderId="1" xfId="0" applyNumberFormat="1" applyFont="1" applyBorder="1" applyAlignment="1">
      <alignment horizontal="center" vertical="center" wrapText="1"/>
    </xf>
    <xf numFmtId="1" fontId="35"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36" fillId="0" borderId="0" xfId="0" applyFont="1"/>
    <xf numFmtId="0" fontId="38" fillId="0" borderId="1" xfId="0" applyFont="1" applyBorder="1" applyAlignment="1">
      <alignment horizontal="center" vertical="center" wrapText="1"/>
    </xf>
    <xf numFmtId="0" fontId="6" fillId="0" borderId="1" xfId="0" applyFont="1" applyFill="1" applyBorder="1" applyAlignment="1">
      <alignment horizontal="left" wrapText="1" indent="6"/>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0" fontId="6" fillId="0" borderId="15" xfId="0" applyFont="1" applyFill="1" applyBorder="1" applyAlignment="1">
      <alignment horizontal="center" vertical="center"/>
    </xf>
    <xf numFmtId="3" fontId="12" fillId="0" borderId="15"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 fontId="12" fillId="0" borderId="15" xfId="0" applyNumberFormat="1" applyFont="1" applyFill="1" applyBorder="1" applyAlignment="1">
      <alignment horizontal="center" vertical="center"/>
    </xf>
    <xf numFmtId="0" fontId="32" fillId="0" borderId="1" xfId="0" applyFont="1" applyBorder="1" applyAlignment="1">
      <alignment horizontal="center" vertical="center"/>
    </xf>
    <xf numFmtId="0" fontId="37" fillId="0" borderId="47" xfId="0" applyFont="1" applyBorder="1" applyAlignment="1">
      <alignment horizontal="left" vertical="center" wrapText="1"/>
    </xf>
    <xf numFmtId="0" fontId="37" fillId="0" borderId="27" xfId="0" applyFont="1" applyBorder="1" applyAlignment="1">
      <alignment horizontal="left" vertical="center" wrapText="1"/>
    </xf>
    <xf numFmtId="0" fontId="37" fillId="0" borderId="32" xfId="0" applyFont="1" applyBorder="1" applyAlignment="1">
      <alignment horizontal="left" vertical="center" wrapText="1"/>
    </xf>
    <xf numFmtId="0" fontId="27" fillId="0" borderId="42" xfId="0" applyFont="1" applyBorder="1" applyAlignment="1">
      <alignment horizontal="center" vertical="center" wrapText="1"/>
    </xf>
    <xf numFmtId="0" fontId="6" fillId="0" borderId="0" xfId="0" applyFont="1" applyFill="1" applyBorder="1" applyAlignment="1">
      <alignment horizontal="left" vertical="top" wrapText="1"/>
    </xf>
    <xf numFmtId="167" fontId="4" fillId="3" borderId="0" xfId="0" applyNumberFormat="1" applyFont="1" applyFill="1" applyBorder="1" applyAlignment="1" applyProtection="1">
      <alignment horizontal="center" vertical="top" wrapText="1"/>
    </xf>
    <xf numFmtId="0" fontId="6" fillId="3" borderId="0" xfId="0" applyFont="1" applyFill="1" applyAlignment="1">
      <alignment horizontal="left" wrapText="1"/>
    </xf>
    <xf numFmtId="167" fontId="4" fillId="3" borderId="0" xfId="0" applyNumberFormat="1" applyFont="1" applyFill="1" applyBorder="1" applyAlignment="1" applyProtection="1">
      <alignment horizontal="center" wrapText="1"/>
    </xf>
    <xf numFmtId="167" fontId="14" fillId="3" borderId="1" xfId="0" applyNumberFormat="1" applyFont="1" applyFill="1" applyBorder="1" applyAlignment="1">
      <alignment horizontal="center"/>
    </xf>
    <xf numFmtId="0" fontId="5" fillId="3" borderId="26" xfId="0" applyNumberFormat="1" applyFont="1" applyFill="1" applyBorder="1" applyAlignment="1" applyProtection="1">
      <alignment horizontal="center" vertical="center"/>
      <protection locked="0"/>
    </xf>
    <xf numFmtId="0" fontId="5" fillId="3" borderId="27" xfId="0" applyNumberFormat="1" applyFont="1" applyFill="1" applyBorder="1" applyAlignment="1" applyProtection="1">
      <alignment horizontal="center" vertical="center"/>
      <protection locked="0"/>
    </xf>
    <xf numFmtId="0" fontId="5" fillId="3" borderId="32" xfId="0" applyNumberFormat="1" applyFont="1" applyFill="1" applyBorder="1" applyAlignment="1" applyProtection="1">
      <alignment horizontal="center" vertical="center"/>
      <protection locked="0"/>
    </xf>
    <xf numFmtId="0" fontId="5" fillId="3" borderId="30" xfId="0" applyNumberFormat="1" applyFont="1" applyFill="1" applyBorder="1" applyAlignment="1" applyProtection="1">
      <alignment horizontal="center" vertical="center"/>
      <protection locked="0"/>
    </xf>
    <xf numFmtId="0" fontId="5" fillId="3" borderId="29" xfId="0" applyNumberFormat="1" applyFont="1" applyFill="1" applyBorder="1" applyAlignment="1" applyProtection="1">
      <alignment horizontal="center" vertical="center"/>
      <protection locked="0"/>
    </xf>
    <xf numFmtId="0" fontId="5" fillId="3" borderId="49" xfId="0" applyNumberFormat="1" applyFont="1" applyFill="1" applyBorder="1" applyAlignment="1" applyProtection="1">
      <alignment horizontal="center" vertical="center"/>
      <protection locked="0"/>
    </xf>
    <xf numFmtId="167" fontId="5" fillId="3" borderId="18" xfId="0" applyNumberFormat="1" applyFont="1" applyFill="1" applyBorder="1" applyAlignment="1" applyProtection="1">
      <alignment horizontal="left" vertical="center" wrapText="1"/>
    </xf>
    <xf numFmtId="167" fontId="5" fillId="3" borderId="18" xfId="0" applyNumberFormat="1" applyFont="1" applyFill="1" applyBorder="1" applyAlignment="1">
      <alignment vertical="center" wrapText="1"/>
    </xf>
    <xf numFmtId="167" fontId="5" fillId="3" borderId="22" xfId="0" applyNumberFormat="1" applyFont="1" applyFill="1" applyBorder="1" applyAlignment="1">
      <alignment vertical="center" wrapText="1"/>
    </xf>
    <xf numFmtId="0" fontId="5" fillId="3" borderId="49" xfId="0" applyFont="1" applyFill="1" applyBorder="1" applyAlignment="1">
      <alignment horizontal="center" textRotation="90" wrapText="1"/>
    </xf>
    <xf numFmtId="0" fontId="5" fillId="3" borderId="53" xfId="0" applyFont="1" applyFill="1" applyBorder="1" applyAlignment="1">
      <alignment horizontal="center" textRotation="90" wrapText="1"/>
    </xf>
    <xf numFmtId="167" fontId="16" fillId="3" borderId="0" xfId="0" applyNumberFormat="1" applyFont="1" applyFill="1" applyBorder="1" applyAlignment="1" applyProtection="1">
      <alignment horizontal="center" wrapText="1"/>
    </xf>
    <xf numFmtId="167" fontId="5" fillId="3" borderId="46" xfId="0" applyNumberFormat="1" applyFont="1" applyFill="1" applyBorder="1" applyAlignment="1" applyProtection="1">
      <alignment horizontal="center"/>
    </xf>
    <xf numFmtId="167" fontId="5" fillId="3" borderId="35" xfId="0" applyNumberFormat="1" applyFont="1" applyFill="1" applyBorder="1" applyAlignment="1" applyProtection="1">
      <alignment horizontal="center"/>
    </xf>
    <xf numFmtId="167" fontId="5" fillId="3" borderId="36" xfId="0" applyNumberFormat="1" applyFont="1" applyFill="1" applyBorder="1" applyAlignment="1" applyProtection="1">
      <alignment horizontal="center"/>
    </xf>
    <xf numFmtId="167" fontId="5" fillId="3" borderId="16" xfId="0" applyNumberFormat="1" applyFont="1" applyFill="1" applyBorder="1" applyAlignment="1">
      <alignment horizontal="center" vertical="center" wrapText="1"/>
    </xf>
    <xf numFmtId="167" fontId="5" fillId="3" borderId="17" xfId="0" applyNumberFormat="1" applyFont="1" applyFill="1" applyBorder="1" applyAlignment="1">
      <alignment horizontal="center" vertical="center" wrapText="1"/>
    </xf>
    <xf numFmtId="167" fontId="5" fillId="3" borderId="20" xfId="0" applyNumberFormat="1" applyFont="1" applyFill="1" applyBorder="1" applyAlignment="1">
      <alignment horizontal="center" vertical="center" wrapText="1"/>
    </xf>
    <xf numFmtId="167" fontId="5" fillId="3" borderId="60" xfId="0" applyNumberFormat="1" applyFont="1" applyFill="1" applyBorder="1" applyAlignment="1">
      <alignment horizontal="center" vertical="center" wrapText="1"/>
    </xf>
    <xf numFmtId="167" fontId="5" fillId="3" borderId="61" xfId="0" applyNumberFormat="1" applyFont="1" applyFill="1" applyBorder="1" applyAlignment="1">
      <alignment horizontal="center" vertical="center" wrapText="1"/>
    </xf>
    <xf numFmtId="167" fontId="5" fillId="3" borderId="62" xfId="0" applyNumberFormat="1" applyFont="1" applyFill="1" applyBorder="1" applyAlignment="1">
      <alignment horizontal="center" vertical="center" wrapText="1"/>
    </xf>
    <xf numFmtId="0" fontId="5" fillId="3" borderId="16"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5" fillId="3" borderId="20" xfId="0" applyNumberFormat="1" applyFont="1" applyFill="1" applyBorder="1" applyAlignment="1" applyProtection="1">
      <alignment horizontal="center" vertical="center"/>
      <protection locked="0"/>
    </xf>
    <xf numFmtId="167" fontId="5" fillId="3" borderId="58" xfId="0" applyNumberFormat="1" applyFont="1" applyFill="1" applyBorder="1" applyAlignment="1" applyProtection="1">
      <alignment horizontal="left" vertical="center" wrapText="1"/>
    </xf>
    <xf numFmtId="167" fontId="5" fillId="3" borderId="59" xfId="0" applyNumberFormat="1" applyFont="1" applyFill="1" applyBorder="1" applyAlignment="1" applyProtection="1">
      <alignment horizontal="left" vertical="center" wrapText="1"/>
    </xf>
  </cellXfs>
  <cellStyles count="8">
    <cellStyle name="Comma" xfId="2" builtinId="3"/>
    <cellStyle name="Currency 2" xfId="7" xr:uid="{00000000-0005-0000-0000-000002000000}"/>
    <cellStyle name="Hyperlink" xfId="4" builtinId="8"/>
    <cellStyle name="Normal" xfId="0" builtinId="0"/>
    <cellStyle name="Normal 2" xfId="6" xr:uid="{00000000-0005-0000-0000-000005000000}"/>
    <cellStyle name="Normal_HMIWI EG SS" xfId="5" xr:uid="{00000000-0005-0000-0000-000007000000}"/>
    <cellStyle name="Normal_ICR Cost Inputs" xfId="1" xr:uid="{00000000-0005-0000-0000-000008000000}"/>
    <cellStyle name="Normal_Sheet1" xfId="3"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workbookViewId="0">
      <selection activeCell="H11" sqref="H10:H11"/>
    </sheetView>
  </sheetViews>
  <sheetFormatPr defaultRowHeight="12.75" x14ac:dyDescent="0.2"/>
  <cols>
    <col min="1" max="1" width="5" style="21" customWidth="1"/>
    <col min="2" max="2" width="31.85546875" style="21" customWidth="1"/>
    <col min="3" max="3" width="16" style="21" bestFit="1" customWidth="1"/>
    <col min="4" max="4" width="17.42578125" style="21" customWidth="1"/>
    <col min="5" max="5" width="14.7109375" style="21" bestFit="1" customWidth="1"/>
    <col min="6" max="6" width="16.5703125" style="21" customWidth="1"/>
    <col min="7" max="7" width="15.5703125" style="21" customWidth="1"/>
    <col min="8" max="16384" width="9.140625" style="21"/>
  </cols>
  <sheetData>
    <row r="1" spans="1:7" ht="13.5" thickBot="1" x14ac:dyDescent="0.25"/>
    <row r="2" spans="1:7" x14ac:dyDescent="0.2">
      <c r="B2" s="118"/>
      <c r="C2" s="181" t="s">
        <v>152</v>
      </c>
      <c r="D2" s="182" t="s">
        <v>150</v>
      </c>
      <c r="E2" s="183" t="s">
        <v>151</v>
      </c>
    </row>
    <row r="3" spans="1:7" x14ac:dyDescent="0.2">
      <c r="B3" s="81" t="s">
        <v>160</v>
      </c>
      <c r="C3" s="180">
        <v>201</v>
      </c>
      <c r="D3" s="180">
        <f>ROUND(C3/3,0)</f>
        <v>67</v>
      </c>
      <c r="E3" s="184">
        <f>C3-D3</f>
        <v>134</v>
      </c>
    </row>
    <row r="4" spans="1:7" x14ac:dyDescent="0.2">
      <c r="B4" s="81" t="s">
        <v>161</v>
      </c>
      <c r="C4" s="180">
        <v>8</v>
      </c>
      <c r="D4" s="180">
        <f>ROUND(C4/3,0)</f>
        <v>3</v>
      </c>
      <c r="E4" s="184">
        <f>C4-D4</f>
        <v>5</v>
      </c>
    </row>
    <row r="5" spans="1:7" x14ac:dyDescent="0.2">
      <c r="B5" s="238" t="s">
        <v>162</v>
      </c>
      <c r="C5" s="242">
        <v>3</v>
      </c>
      <c r="D5" s="180">
        <f>ROUND(C5/3,0)</f>
        <v>1</v>
      </c>
      <c r="E5" s="184">
        <f>C5-D5</f>
        <v>2</v>
      </c>
    </row>
    <row r="6" spans="1:7" x14ac:dyDescent="0.2">
      <c r="B6" s="238" t="s">
        <v>163</v>
      </c>
      <c r="C6" s="242">
        <v>3</v>
      </c>
      <c r="D6" s="180">
        <f>ROUND(C6/3,0)</f>
        <v>1</v>
      </c>
      <c r="E6" s="184">
        <f>C6-D6</f>
        <v>2</v>
      </c>
    </row>
    <row r="7" spans="1:7" ht="13.5" thickBot="1" x14ac:dyDescent="0.25">
      <c r="A7" s="66"/>
      <c r="B7" s="82" t="s">
        <v>164</v>
      </c>
      <c r="C7" s="185">
        <v>21</v>
      </c>
      <c r="D7" s="185">
        <f>ROUND(C7/3,0)</f>
        <v>7</v>
      </c>
      <c r="E7" s="119">
        <f>C7-D7</f>
        <v>14</v>
      </c>
    </row>
    <row r="8" spans="1:7" ht="13.5" thickBot="1" x14ac:dyDescent="0.25">
      <c r="A8" s="66"/>
      <c r="B8" s="66"/>
      <c r="C8" s="67"/>
      <c r="D8" s="68"/>
    </row>
    <row r="9" spans="1:7" ht="15" x14ac:dyDescent="0.25">
      <c r="B9" s="120" t="s">
        <v>120</v>
      </c>
      <c r="C9" s="142"/>
    </row>
    <row r="10" spans="1:7" x14ac:dyDescent="0.2">
      <c r="B10" s="113" t="s">
        <v>119</v>
      </c>
      <c r="C10" s="143" t="s">
        <v>121</v>
      </c>
    </row>
    <row r="11" spans="1:7" ht="13.5" thickBot="1" x14ac:dyDescent="0.25">
      <c r="B11" s="145" t="s">
        <v>171</v>
      </c>
      <c r="C11" s="153">
        <v>13576.424999999999</v>
      </c>
    </row>
    <row r="12" spans="1:7" ht="13.5" thickBot="1" x14ac:dyDescent="0.25">
      <c r="G12" s="254"/>
    </row>
    <row r="13" spans="1:7" ht="15" x14ac:dyDescent="0.25">
      <c r="B13" s="120" t="s">
        <v>167</v>
      </c>
      <c r="C13" s="142"/>
    </row>
    <row r="14" spans="1:7" x14ac:dyDescent="0.2">
      <c r="B14" s="113" t="s">
        <v>119</v>
      </c>
      <c r="C14" s="143" t="s">
        <v>121</v>
      </c>
    </row>
    <row r="15" spans="1:7" x14ac:dyDescent="0.2">
      <c r="B15" s="114" t="s">
        <v>165</v>
      </c>
      <c r="C15" s="240">
        <v>23200</v>
      </c>
    </row>
    <row r="16" spans="1:7" x14ac:dyDescent="0.2">
      <c r="B16" s="114" t="s">
        <v>166</v>
      </c>
      <c r="C16" s="240">
        <v>4900</v>
      </c>
    </row>
    <row r="17" spans="2:8" x14ac:dyDescent="0.2">
      <c r="B17" s="114" t="s">
        <v>173</v>
      </c>
      <c r="C17" s="240">
        <v>38302</v>
      </c>
      <c r="D17" s="21" t="s">
        <v>174</v>
      </c>
    </row>
    <row r="18" spans="2:8" ht="13.5" thickBot="1" x14ac:dyDescent="0.25">
      <c r="B18" s="145" t="s">
        <v>175</v>
      </c>
      <c r="C18" s="153">
        <v>19151</v>
      </c>
      <c r="D18" s="21" t="s">
        <v>176</v>
      </c>
    </row>
    <row r="19" spans="2:8" ht="13.5" thickBot="1" x14ac:dyDescent="0.25"/>
    <row r="20" spans="2:8" ht="15" x14ac:dyDescent="0.25">
      <c r="B20" s="241" t="s">
        <v>172</v>
      </c>
      <c r="C20" s="83"/>
      <c r="D20" s="83"/>
      <c r="E20" s="83"/>
      <c r="F20" s="83"/>
      <c r="G20" s="84"/>
    </row>
    <row r="21" spans="2:8" ht="38.25" x14ac:dyDescent="0.2">
      <c r="B21" s="149" t="s">
        <v>134</v>
      </c>
      <c r="C21" s="148" t="s">
        <v>122</v>
      </c>
      <c r="D21" s="148" t="s">
        <v>123</v>
      </c>
      <c r="E21" s="148" t="s">
        <v>124</v>
      </c>
      <c r="F21" s="148" t="s">
        <v>132</v>
      </c>
      <c r="G21" s="150" t="s">
        <v>133</v>
      </c>
    </row>
    <row r="22" spans="2:8" x14ac:dyDescent="0.2">
      <c r="B22" s="151" t="s">
        <v>131</v>
      </c>
      <c r="C22" s="147">
        <v>35405</v>
      </c>
      <c r="D22" s="147">
        <v>22502.400000000001</v>
      </c>
      <c r="E22" s="146">
        <v>16</v>
      </c>
      <c r="F22" s="141">
        <f>C22*E22</f>
        <v>566480</v>
      </c>
      <c r="G22" s="144">
        <f>D22*E22</f>
        <v>360038.40000000002</v>
      </c>
    </row>
    <row r="23" spans="2:8" x14ac:dyDescent="0.2">
      <c r="B23" s="151" t="s">
        <v>125</v>
      </c>
      <c r="C23" s="147">
        <v>103265</v>
      </c>
      <c r="D23" s="147">
        <v>28017.200000000001</v>
      </c>
      <c r="E23" s="146">
        <v>16</v>
      </c>
      <c r="F23" s="141">
        <f>C23*E23</f>
        <v>1652240</v>
      </c>
      <c r="G23" s="144">
        <f>D23*E23</f>
        <v>448275.20000000001</v>
      </c>
    </row>
    <row r="24" spans="2:8" x14ac:dyDescent="0.2">
      <c r="B24" s="151" t="s">
        <v>126</v>
      </c>
      <c r="C24" s="147">
        <v>432731</v>
      </c>
      <c r="D24" s="147">
        <v>73184.48000000001</v>
      </c>
      <c r="E24" s="146">
        <v>16</v>
      </c>
      <c r="F24" s="141">
        <f>C24*E24</f>
        <v>6923696</v>
      </c>
      <c r="G24" s="144">
        <f>D24*E24</f>
        <v>1170951.6800000002</v>
      </c>
    </row>
    <row r="25" spans="2:8" x14ac:dyDescent="0.2">
      <c r="B25" s="151" t="s">
        <v>127</v>
      </c>
      <c r="C25" s="147">
        <v>672699</v>
      </c>
      <c r="D25" s="147">
        <v>112460.92</v>
      </c>
      <c r="E25" s="146">
        <v>11</v>
      </c>
      <c r="F25" s="141">
        <f>C25*E25</f>
        <v>7399689</v>
      </c>
      <c r="G25" s="144">
        <f>D25*E25</f>
        <v>1237070.1199999999</v>
      </c>
    </row>
    <row r="26" spans="2:8" x14ac:dyDescent="0.2">
      <c r="B26" s="151" t="s">
        <v>128</v>
      </c>
      <c r="C26" s="147">
        <v>161290</v>
      </c>
      <c r="D26" s="147">
        <v>48818.2</v>
      </c>
      <c r="E26" s="146">
        <v>3</v>
      </c>
      <c r="F26" s="141">
        <f>C26*E26</f>
        <v>483870</v>
      </c>
      <c r="G26" s="144">
        <f>D26*E26</f>
        <v>146454.59999999998</v>
      </c>
    </row>
    <row r="27" spans="2:8" ht="13.5" thickBot="1" x14ac:dyDescent="0.25">
      <c r="B27" s="145" t="s">
        <v>171</v>
      </c>
      <c r="C27" s="91"/>
      <c r="D27" s="91"/>
      <c r="E27" s="91"/>
      <c r="F27" s="152">
        <f>ROUND(SUM(F22:F26)/($C$7),0)</f>
        <v>810761</v>
      </c>
      <c r="G27" s="153">
        <f>ROUND(SUM(G22:G26)/($C$7),0)</f>
        <v>160133</v>
      </c>
      <c r="H27" s="154"/>
    </row>
    <row r="28" spans="2:8" ht="13.5" thickBot="1" x14ac:dyDescent="0.25"/>
    <row r="29" spans="2:8" ht="15" x14ac:dyDescent="0.25">
      <c r="B29" s="115" t="s">
        <v>135</v>
      </c>
      <c r="C29" s="83"/>
      <c r="D29" s="84"/>
    </row>
    <row r="30" spans="2:8" x14ac:dyDescent="0.2">
      <c r="B30" s="116" t="s">
        <v>119</v>
      </c>
      <c r="C30" s="110" t="s">
        <v>99</v>
      </c>
      <c r="D30" s="117" t="s">
        <v>118</v>
      </c>
    </row>
    <row r="31" spans="2:8" x14ac:dyDescent="0.2">
      <c r="B31" s="114" t="s">
        <v>48</v>
      </c>
      <c r="C31" s="141">
        <v>12693240</v>
      </c>
      <c r="D31" s="144">
        <v>1678122.9628293696</v>
      </c>
    </row>
    <row r="32" spans="2:8" x14ac:dyDescent="0.2">
      <c r="B32" s="157" t="s">
        <v>139</v>
      </c>
      <c r="C32" s="146">
        <f>$C$3</f>
        <v>201</v>
      </c>
      <c r="D32" s="158"/>
    </row>
    <row r="33" spans="2:6" ht="13.5" thickBot="1" x14ac:dyDescent="0.25">
      <c r="B33" s="145" t="s">
        <v>171</v>
      </c>
      <c r="C33" s="152">
        <f>ROUND(C31/($C32),0)</f>
        <v>63150</v>
      </c>
      <c r="D33" s="153">
        <f>ROUND(D31/($C32),0)</f>
        <v>8349</v>
      </c>
    </row>
    <row r="34" spans="2:6" ht="13.5" thickBot="1" x14ac:dyDescent="0.25"/>
    <row r="35" spans="2:6" ht="15" x14ac:dyDescent="0.25">
      <c r="B35" s="115" t="s">
        <v>136</v>
      </c>
      <c r="C35" s="83"/>
      <c r="D35" s="84"/>
    </row>
    <row r="36" spans="2:6" x14ac:dyDescent="0.2">
      <c r="B36" s="116" t="s">
        <v>119</v>
      </c>
      <c r="C36" s="110" t="s">
        <v>99</v>
      </c>
      <c r="D36" s="117" t="s">
        <v>118</v>
      </c>
    </row>
    <row r="37" spans="2:6" x14ac:dyDescent="0.2">
      <c r="B37" s="114" t="s">
        <v>48</v>
      </c>
      <c r="C37" s="141">
        <v>1483221</v>
      </c>
      <c r="D37" s="144">
        <v>342624</v>
      </c>
    </row>
    <row r="38" spans="2:6" x14ac:dyDescent="0.2">
      <c r="B38" s="157" t="s">
        <v>139</v>
      </c>
      <c r="C38" s="146">
        <f>$C$3</f>
        <v>201</v>
      </c>
      <c r="D38" s="158"/>
    </row>
    <row r="39" spans="2:6" ht="13.5" thickBot="1" x14ac:dyDescent="0.25">
      <c r="B39" s="145" t="s">
        <v>171</v>
      </c>
      <c r="C39" s="152">
        <f>ROUND(C37/($C38),0)</f>
        <v>7379</v>
      </c>
      <c r="D39" s="153">
        <f>ROUND(D37/($C38),0)</f>
        <v>1705</v>
      </c>
      <c r="E39" s="239"/>
      <c r="F39" s="239"/>
    </row>
    <row r="40" spans="2:6" ht="13.5" thickBot="1" x14ac:dyDescent="0.25"/>
    <row r="41" spans="2:6" ht="15" x14ac:dyDescent="0.25">
      <c r="B41" s="120" t="s">
        <v>130</v>
      </c>
      <c r="C41" s="83"/>
      <c r="D41" s="83"/>
      <c r="E41" s="83"/>
      <c r="F41" s="84"/>
    </row>
    <row r="42" spans="2:6" x14ac:dyDescent="0.2">
      <c r="B42" s="88" t="s">
        <v>228</v>
      </c>
      <c r="C42" s="66"/>
      <c r="D42" s="66"/>
      <c r="E42" s="66"/>
      <c r="F42" s="85"/>
    </row>
    <row r="43" spans="2:6" x14ac:dyDescent="0.2">
      <c r="B43" s="69" t="s">
        <v>231</v>
      </c>
      <c r="C43" s="66"/>
      <c r="D43" s="66"/>
      <c r="E43" s="66"/>
      <c r="F43" s="85"/>
    </row>
    <row r="44" spans="2:6" x14ac:dyDescent="0.2">
      <c r="B44" s="70" t="s">
        <v>84</v>
      </c>
      <c r="C44" s="71" t="s">
        <v>85</v>
      </c>
      <c r="D44" s="72" t="s">
        <v>86</v>
      </c>
      <c r="E44" s="109" t="s">
        <v>138</v>
      </c>
      <c r="F44" s="112" t="s">
        <v>87</v>
      </c>
    </row>
    <row r="45" spans="2:6" x14ac:dyDescent="0.2">
      <c r="B45" s="81" t="s">
        <v>1</v>
      </c>
      <c r="C45" s="73" t="s">
        <v>223</v>
      </c>
      <c r="D45" s="73" t="s">
        <v>224</v>
      </c>
      <c r="E45" s="86">
        <v>49.95</v>
      </c>
      <c r="F45" s="87">
        <f>ROUND(E45+E45*1.1,2)</f>
        <v>104.9</v>
      </c>
    </row>
    <row r="46" spans="2:6" x14ac:dyDescent="0.2">
      <c r="B46" s="81" t="s">
        <v>2</v>
      </c>
      <c r="C46" s="73" t="s">
        <v>229</v>
      </c>
      <c r="D46" s="257" t="s">
        <v>225</v>
      </c>
      <c r="E46" s="86">
        <v>20.66</v>
      </c>
      <c r="F46" s="87">
        <f>ROUND(E46+E46*1.1,2)</f>
        <v>43.39</v>
      </c>
    </row>
    <row r="47" spans="2:6" x14ac:dyDescent="0.2">
      <c r="B47" s="81" t="s">
        <v>0</v>
      </c>
      <c r="C47" s="74" t="s">
        <v>226</v>
      </c>
      <c r="D47" s="156" t="s">
        <v>227</v>
      </c>
      <c r="E47" s="86">
        <v>68.36</v>
      </c>
      <c r="F47" s="87">
        <f>ROUND(E47+E47*1.1,2)</f>
        <v>143.56</v>
      </c>
    </row>
    <row r="48" spans="2:6" x14ac:dyDescent="0.2">
      <c r="B48" s="81"/>
      <c r="C48" s="74"/>
      <c r="D48" s="73"/>
      <c r="E48" s="86"/>
      <c r="F48" s="87"/>
    </row>
    <row r="49" spans="2:6" x14ac:dyDescent="0.2">
      <c r="B49" s="88"/>
      <c r="C49" s="75"/>
      <c r="D49" s="76"/>
      <c r="E49" s="89"/>
      <c r="F49" s="85"/>
    </row>
    <row r="50" spans="2:6" ht="13.5" thickBot="1" x14ac:dyDescent="0.25">
      <c r="B50" s="155" t="s">
        <v>230</v>
      </c>
      <c r="C50" s="90"/>
      <c r="D50" s="90"/>
      <c r="E50" s="91"/>
      <c r="F50" s="92"/>
    </row>
    <row r="51" spans="2:6" ht="13.5" thickBot="1" x14ac:dyDescent="0.25">
      <c r="B51" s="93"/>
      <c r="C51" s="94"/>
      <c r="D51" s="94"/>
    </row>
    <row r="52" spans="2:6" ht="15" x14ac:dyDescent="0.25">
      <c r="B52" s="121" t="s">
        <v>129</v>
      </c>
      <c r="C52" s="104"/>
      <c r="D52" s="105"/>
    </row>
    <row r="53" spans="2:6" ht="25.5" x14ac:dyDescent="0.2">
      <c r="B53" s="106"/>
      <c r="C53" s="103" t="s">
        <v>50</v>
      </c>
      <c r="D53" s="107" t="s">
        <v>51</v>
      </c>
    </row>
    <row r="54" spans="2:6" x14ac:dyDescent="0.2">
      <c r="B54" s="96" t="s">
        <v>52</v>
      </c>
      <c r="C54" s="78">
        <v>29.76</v>
      </c>
      <c r="D54" s="108">
        <f>C54*1.6</f>
        <v>47.616000000000007</v>
      </c>
    </row>
    <row r="55" spans="2:6" x14ac:dyDescent="0.2">
      <c r="B55" s="95" t="s">
        <v>53</v>
      </c>
      <c r="C55" s="77">
        <v>40.1</v>
      </c>
      <c r="D55" s="108">
        <f>C55*1.6</f>
        <v>64.160000000000011</v>
      </c>
    </row>
    <row r="56" spans="2:6" x14ac:dyDescent="0.2">
      <c r="B56" s="96" t="s">
        <v>54</v>
      </c>
      <c r="C56" s="78">
        <v>16.100000000000001</v>
      </c>
      <c r="D56" s="108">
        <f>C56*1.6</f>
        <v>25.760000000000005</v>
      </c>
    </row>
    <row r="57" spans="2:6" x14ac:dyDescent="0.2">
      <c r="B57" s="98" t="s">
        <v>103</v>
      </c>
      <c r="C57" s="80"/>
      <c r="D57" s="97"/>
    </row>
    <row r="58" spans="2:6" x14ac:dyDescent="0.2">
      <c r="B58" s="98" t="s">
        <v>104</v>
      </c>
      <c r="C58" s="79"/>
      <c r="D58" s="99"/>
    </row>
    <row r="59" spans="2:6" ht="13.5" thickBot="1" x14ac:dyDescent="0.25">
      <c r="B59" s="100"/>
      <c r="C59" s="101"/>
      <c r="D59" s="10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2:I8"/>
  <sheetViews>
    <sheetView zoomScaleNormal="100" workbookViewId="0">
      <selection activeCell="F8" sqref="F8"/>
    </sheetView>
  </sheetViews>
  <sheetFormatPr defaultRowHeight="15" x14ac:dyDescent="0.25"/>
  <cols>
    <col min="1" max="1" width="3.5703125" style="1" customWidth="1"/>
    <col min="2" max="2" width="8.5703125" style="8" customWidth="1"/>
    <col min="3" max="3" width="11.5703125" style="8" customWidth="1"/>
    <col min="4" max="4" width="18.28515625" style="8" customWidth="1"/>
    <col min="5" max="5" width="14" style="8" customWidth="1"/>
    <col min="6" max="6" width="12.85546875" style="8" customWidth="1"/>
    <col min="7" max="7" width="13" style="8" customWidth="1"/>
    <col min="8" max="8" width="10.5703125" style="8" customWidth="1"/>
    <col min="9" max="9" width="12.7109375" style="8" customWidth="1"/>
    <col min="10" max="16384" width="9.140625" style="1"/>
  </cols>
  <sheetData>
    <row r="2" spans="2:9" ht="39" customHeight="1" x14ac:dyDescent="0.25">
      <c r="B2" s="284" t="s">
        <v>212</v>
      </c>
      <c r="C2" s="284"/>
      <c r="D2" s="284"/>
      <c r="E2" s="284"/>
      <c r="F2" s="284"/>
      <c r="G2" s="284"/>
      <c r="H2" s="284"/>
      <c r="I2" s="284"/>
    </row>
    <row r="3" spans="2:9" ht="29.25" customHeight="1" thickBot="1" x14ac:dyDescent="0.3">
      <c r="B3" s="209" t="s">
        <v>40</v>
      </c>
      <c r="C3" s="210" t="s">
        <v>41</v>
      </c>
      <c r="D3" s="210" t="s">
        <v>42</v>
      </c>
      <c r="E3" s="210" t="s">
        <v>43</v>
      </c>
      <c r="F3" s="210" t="s">
        <v>57</v>
      </c>
      <c r="G3" s="210" t="s">
        <v>45</v>
      </c>
      <c r="H3" s="210" t="s">
        <v>58</v>
      </c>
      <c r="I3" s="210" t="s">
        <v>47</v>
      </c>
    </row>
    <row r="4" spans="2:9" ht="15.75" thickTop="1" x14ac:dyDescent="0.25">
      <c r="B4" s="211">
        <v>1</v>
      </c>
      <c r="C4" s="2">
        <f>EPA_YR1!I29</f>
        <v>1195</v>
      </c>
      <c r="D4" s="2">
        <f>EPA_YR1!J29</f>
        <v>59.75</v>
      </c>
      <c r="E4" s="2">
        <f>EPA_YR1!K29</f>
        <v>119.5</v>
      </c>
      <c r="F4" s="2">
        <f>SUM(C4:E4)</f>
        <v>1374.25</v>
      </c>
      <c r="G4" s="3">
        <f>EPA_YR1!M29</f>
        <v>63813.000000000007</v>
      </c>
      <c r="H4" s="3">
        <v>0</v>
      </c>
      <c r="I4" s="3">
        <f>+G4+H4</f>
        <v>63813.000000000007</v>
      </c>
    </row>
    <row r="5" spans="2:9" x14ac:dyDescent="0.25">
      <c r="B5" s="212">
        <v>2</v>
      </c>
      <c r="C5" s="4">
        <f>EPA_YR2!I29</f>
        <v>1438</v>
      </c>
      <c r="D5" s="4">
        <f>EPA_YR2!J29</f>
        <v>71.900000000000006</v>
      </c>
      <c r="E5" s="4">
        <f>EPA_YR2!K29</f>
        <v>143.80000000000001</v>
      </c>
      <c r="F5" s="2">
        <f>SUM(C5:E5)</f>
        <v>1653.7</v>
      </c>
      <c r="G5" s="5">
        <f>EPA_YR2!M29</f>
        <v>82076.700000000026</v>
      </c>
      <c r="H5" s="5">
        <v>0</v>
      </c>
      <c r="I5" s="5">
        <f>+G5+H5</f>
        <v>82076.700000000026</v>
      </c>
    </row>
    <row r="6" spans="2:9" ht="15.75" thickBot="1" x14ac:dyDescent="0.3">
      <c r="B6" s="209">
        <v>3</v>
      </c>
      <c r="C6" s="6">
        <f>EPA_YR3!I29</f>
        <v>3662</v>
      </c>
      <c r="D6" s="6">
        <f>EPA_YR3!J29</f>
        <v>183.1</v>
      </c>
      <c r="E6" s="6">
        <f>EPA_YR3!K29</f>
        <v>366.2</v>
      </c>
      <c r="F6" s="6">
        <f>SUM(C6:E6)</f>
        <v>4211.3</v>
      </c>
      <c r="G6" s="7">
        <f>EPA_YR3!M29</f>
        <v>195550.80000000002</v>
      </c>
      <c r="H6" s="7">
        <v>0</v>
      </c>
      <c r="I6" s="7">
        <f>+G6+H6</f>
        <v>195550.80000000002</v>
      </c>
    </row>
    <row r="7" spans="2:9" ht="15.75" thickTop="1" x14ac:dyDescent="0.25">
      <c r="B7" s="211" t="s">
        <v>48</v>
      </c>
      <c r="C7" s="2">
        <f t="shared" ref="C7:I7" si="0">SUM(C4:C6)</f>
        <v>6295</v>
      </c>
      <c r="D7" s="2">
        <f t="shared" si="0"/>
        <v>314.75</v>
      </c>
      <c r="E7" s="2">
        <f t="shared" si="0"/>
        <v>629.5</v>
      </c>
      <c r="F7" s="2">
        <f t="shared" si="0"/>
        <v>7239.25</v>
      </c>
      <c r="G7" s="3">
        <f t="shared" si="0"/>
        <v>341440.50000000006</v>
      </c>
      <c r="H7" s="3">
        <f t="shared" si="0"/>
        <v>0</v>
      </c>
      <c r="I7" s="3">
        <f t="shared" si="0"/>
        <v>341440.50000000006</v>
      </c>
    </row>
    <row r="8" spans="2:9" x14ac:dyDescent="0.25">
      <c r="B8" s="212" t="s">
        <v>49</v>
      </c>
      <c r="C8" s="4">
        <f t="shared" ref="C8:I8" si="1">AVERAGE(C4:C6)</f>
        <v>2098.3333333333335</v>
      </c>
      <c r="D8" s="4">
        <f t="shared" si="1"/>
        <v>104.91666666666667</v>
      </c>
      <c r="E8" s="4">
        <f t="shared" si="1"/>
        <v>209.83333333333334</v>
      </c>
      <c r="F8" s="4">
        <f t="shared" si="1"/>
        <v>2413.0833333333335</v>
      </c>
      <c r="G8" s="5">
        <f t="shared" si="1"/>
        <v>113813.50000000001</v>
      </c>
      <c r="H8" s="5">
        <f t="shared" si="1"/>
        <v>0</v>
      </c>
      <c r="I8" s="5">
        <f t="shared" si="1"/>
        <v>113813.50000000001</v>
      </c>
    </row>
  </sheetData>
  <mergeCells count="1">
    <mergeCell ref="B2:I2"/>
  </mergeCells>
  <printOptions horizontalCentered="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CA704-0BDB-48D9-9FB6-06C875D99756}">
  <sheetPr>
    <tabColor theme="4"/>
  </sheetPr>
  <dimension ref="B2:H30"/>
  <sheetViews>
    <sheetView workbookViewId="0">
      <selection activeCell="B29" sqref="B29"/>
    </sheetView>
  </sheetViews>
  <sheetFormatPr defaultRowHeight="12.75" x14ac:dyDescent="0.2"/>
  <cols>
    <col min="1" max="1" width="9.140625" style="175"/>
    <col min="2" max="2" width="27.85546875" style="175" customWidth="1"/>
    <col min="3" max="4" width="12.42578125" style="175" bestFit="1" customWidth="1"/>
    <col min="5" max="5" width="16.140625" style="175" customWidth="1"/>
    <col min="6" max="6" width="13.140625" style="175" bestFit="1" customWidth="1"/>
    <col min="7" max="7" width="12.85546875" style="175" customWidth="1"/>
    <col min="8" max="8" width="10" style="175" bestFit="1" customWidth="1"/>
    <col min="9" max="16384" width="9.140625" style="175"/>
  </cols>
  <sheetData>
    <row r="2" spans="2:8" ht="15.75" x14ac:dyDescent="0.2">
      <c r="B2" s="280" t="s">
        <v>115</v>
      </c>
      <c r="C2" s="280"/>
      <c r="D2" s="280"/>
      <c r="E2" s="280"/>
      <c r="F2" s="280"/>
      <c r="G2" s="280"/>
      <c r="H2" s="280"/>
    </row>
    <row r="3" spans="2:8" x14ac:dyDescent="0.2">
      <c r="B3" s="178" t="s">
        <v>6</v>
      </c>
      <c r="C3" s="178" t="s">
        <v>7</v>
      </c>
      <c r="D3" s="178" t="s">
        <v>8</v>
      </c>
      <c r="E3" s="178" t="s">
        <v>9</v>
      </c>
      <c r="F3" s="178" t="s">
        <v>10</v>
      </c>
      <c r="G3" s="178" t="s">
        <v>11</v>
      </c>
      <c r="H3" s="178" t="s">
        <v>110</v>
      </c>
    </row>
    <row r="4" spans="2:8" ht="63.75" x14ac:dyDescent="0.2">
      <c r="B4" s="179" t="s">
        <v>149</v>
      </c>
      <c r="C4" s="179" t="s">
        <v>144</v>
      </c>
      <c r="D4" s="179" t="s">
        <v>145</v>
      </c>
      <c r="E4" s="179" t="s">
        <v>147</v>
      </c>
      <c r="F4" s="179" t="s">
        <v>146</v>
      </c>
      <c r="G4" s="179" t="s">
        <v>159</v>
      </c>
      <c r="H4" s="179" t="s">
        <v>148</v>
      </c>
    </row>
    <row r="5" spans="2:8" x14ac:dyDescent="0.2">
      <c r="B5" s="176" t="s">
        <v>142</v>
      </c>
      <c r="C5" s="174">
        <f>Inputs!F27</f>
        <v>810761</v>
      </c>
      <c r="D5" s="177">
        <f>Inputs!$C$7</f>
        <v>21</v>
      </c>
      <c r="E5" s="174">
        <f>C5*D5</f>
        <v>17025981</v>
      </c>
      <c r="F5" s="174">
        <f>Inputs!G27</f>
        <v>160133</v>
      </c>
      <c r="G5" s="177">
        <f>'YR2'!G11+'YR3'!G11</f>
        <v>28</v>
      </c>
      <c r="H5" s="174">
        <f>F5*G5</f>
        <v>4483724</v>
      </c>
    </row>
    <row r="6" spans="2:8" x14ac:dyDescent="0.2">
      <c r="B6" s="176" t="s">
        <v>135</v>
      </c>
      <c r="C6" s="174">
        <f>Inputs!C33</f>
        <v>63150</v>
      </c>
      <c r="D6" s="177">
        <f>Inputs!C32</f>
        <v>201</v>
      </c>
      <c r="E6" s="174">
        <f>C6*D6</f>
        <v>12693150</v>
      </c>
      <c r="F6" s="174">
        <f>Inputs!D33</f>
        <v>8349</v>
      </c>
      <c r="G6" s="177">
        <f>'YR2'!G14+'YR3'!G14</f>
        <v>268</v>
      </c>
      <c r="H6" s="174">
        <f>F6*G6</f>
        <v>2237532</v>
      </c>
    </row>
    <row r="7" spans="2:8" x14ac:dyDescent="0.2">
      <c r="B7" s="176" t="s">
        <v>143</v>
      </c>
      <c r="C7" s="174">
        <f>Inputs!C39</f>
        <v>7379</v>
      </c>
      <c r="D7" s="177">
        <f>'YR2'!G16+'YR3'!G16</f>
        <v>201</v>
      </c>
      <c r="E7" s="174">
        <f>C7*D7</f>
        <v>1483179</v>
      </c>
      <c r="F7" s="174">
        <f>Inputs!D39</f>
        <v>1705</v>
      </c>
      <c r="G7" s="177">
        <f>'YR2'!G17+'YR3'!G17</f>
        <v>268</v>
      </c>
      <c r="H7" s="174">
        <f>F7*G7</f>
        <v>456940</v>
      </c>
    </row>
    <row r="8" spans="2:8" ht="25.5" x14ac:dyDescent="0.2">
      <c r="B8" s="256" t="s">
        <v>215</v>
      </c>
      <c r="C8" s="174">
        <f>Inputs!C15</f>
        <v>23200</v>
      </c>
      <c r="D8" s="177">
        <f>'YR2'!G19+'YR3'!G19</f>
        <v>6</v>
      </c>
      <c r="E8" s="174">
        <f>C8*D8</f>
        <v>139200</v>
      </c>
      <c r="F8" s="174">
        <f>Inputs!C16</f>
        <v>4900</v>
      </c>
      <c r="G8" s="177">
        <f>'YR2'!G20+'YR3'!G20</f>
        <v>12</v>
      </c>
      <c r="H8" s="174">
        <f>F8*G8</f>
        <v>58800</v>
      </c>
    </row>
    <row r="9" spans="2:8" ht="25.5" x14ac:dyDescent="0.2">
      <c r="B9" s="256" t="s">
        <v>216</v>
      </c>
      <c r="C9" s="174">
        <f>Inputs!C17</f>
        <v>38302</v>
      </c>
      <c r="D9" s="177">
        <f>'YR2'!G22+'YR3'!G22</f>
        <v>6</v>
      </c>
      <c r="E9" s="174">
        <f>C9*D9</f>
        <v>229812</v>
      </c>
      <c r="F9" s="174" t="s">
        <v>64</v>
      </c>
      <c r="G9" s="177" t="s">
        <v>64</v>
      </c>
      <c r="H9" s="174" t="s">
        <v>64</v>
      </c>
    </row>
    <row r="10" spans="2:8" s="262" customFormat="1" x14ac:dyDescent="0.2">
      <c r="B10" s="258" t="s">
        <v>35</v>
      </c>
      <c r="C10" s="259"/>
      <c r="D10" s="260"/>
      <c r="E10" s="259">
        <f>SUM(E5:E9)</f>
        <v>31571322</v>
      </c>
      <c r="F10" s="259"/>
      <c r="G10" s="261"/>
      <c r="H10" s="259">
        <f>SUM(H5:H9)</f>
        <v>7236996</v>
      </c>
    </row>
    <row r="11" spans="2:8" x14ac:dyDescent="0.2">
      <c r="B11" s="175" t="s">
        <v>199</v>
      </c>
    </row>
    <row r="14" spans="2:8" ht="14.25" x14ac:dyDescent="0.2">
      <c r="B14" s="276" t="s">
        <v>155</v>
      </c>
      <c r="C14" s="276"/>
      <c r="D14" s="276"/>
      <c r="E14" s="276"/>
      <c r="F14" s="276"/>
    </row>
    <row r="15" spans="2:8" x14ac:dyDescent="0.2">
      <c r="B15" s="186" t="s">
        <v>6</v>
      </c>
      <c r="C15" s="186" t="s">
        <v>7</v>
      </c>
      <c r="D15" s="186" t="s">
        <v>8</v>
      </c>
      <c r="E15" s="186" t="s">
        <v>9</v>
      </c>
      <c r="F15" s="186" t="s">
        <v>10</v>
      </c>
    </row>
    <row r="16" spans="2:8" ht="60" x14ac:dyDescent="0.2">
      <c r="B16" s="186" t="s">
        <v>153</v>
      </c>
      <c r="C16" s="186" t="s">
        <v>106</v>
      </c>
      <c r="D16" s="186" t="s">
        <v>88</v>
      </c>
      <c r="E16" s="186" t="s">
        <v>154</v>
      </c>
      <c r="F16" s="186" t="s">
        <v>158</v>
      </c>
    </row>
    <row r="17" spans="2:6" x14ac:dyDescent="0.2">
      <c r="B17" s="188" t="s">
        <v>156</v>
      </c>
      <c r="C17" s="186"/>
      <c r="D17" s="186"/>
      <c r="E17" s="186"/>
      <c r="F17" s="186"/>
    </row>
    <row r="18" spans="2:6" x14ac:dyDescent="0.2">
      <c r="B18" s="255" t="s">
        <v>200</v>
      </c>
      <c r="C18" s="187">
        <f>'YR1'!G28+'YR2'!G28+'YR3'!G28</f>
        <v>21</v>
      </c>
      <c r="D18" s="186">
        <v>1</v>
      </c>
      <c r="E18" s="186">
        <v>0</v>
      </c>
      <c r="F18" s="186">
        <f>C18*D18</f>
        <v>21</v>
      </c>
    </row>
    <row r="19" spans="2:6" x14ac:dyDescent="0.2">
      <c r="B19" s="255" t="s">
        <v>201</v>
      </c>
      <c r="C19" s="187">
        <f>'YR1'!G29+'YR2'!G29+'YR3'!G29</f>
        <v>201</v>
      </c>
      <c r="D19" s="186">
        <v>1</v>
      </c>
      <c r="E19" s="186">
        <v>0</v>
      </c>
      <c r="F19" s="186">
        <f>C19*D19</f>
        <v>201</v>
      </c>
    </row>
    <row r="20" spans="2:6" ht="24" x14ac:dyDescent="0.2">
      <c r="B20" s="255" t="s">
        <v>217</v>
      </c>
      <c r="C20" s="187">
        <f>'YR1'!G30+'YR2'!G30+'YR3'!G30</f>
        <v>6</v>
      </c>
      <c r="D20" s="186">
        <v>1</v>
      </c>
      <c r="E20" s="186">
        <v>0</v>
      </c>
      <c r="F20" s="186">
        <f>C20*D20</f>
        <v>6</v>
      </c>
    </row>
    <row r="21" spans="2:6" x14ac:dyDescent="0.2">
      <c r="B21" s="255" t="s">
        <v>218</v>
      </c>
      <c r="C21" s="187">
        <f>'YR1'!G31+'YR2'!G31+'YR3'!G31</f>
        <v>8</v>
      </c>
      <c r="D21" s="186">
        <v>1</v>
      </c>
      <c r="E21" s="186">
        <v>0</v>
      </c>
      <c r="F21" s="186">
        <f>C21*D21</f>
        <v>8</v>
      </c>
    </row>
    <row r="22" spans="2:6" x14ac:dyDescent="0.2">
      <c r="B22" s="188" t="s">
        <v>157</v>
      </c>
      <c r="C22" s="186"/>
      <c r="D22" s="186"/>
      <c r="E22" s="186"/>
      <c r="F22" s="186"/>
    </row>
    <row r="23" spans="2:6" x14ac:dyDescent="0.2">
      <c r="B23" s="255" t="s">
        <v>200</v>
      </c>
      <c r="C23" s="187">
        <f>'YR1'!G33+'YR2'!G33+'YR3'!G33</f>
        <v>28</v>
      </c>
      <c r="D23" s="186">
        <v>2</v>
      </c>
      <c r="E23" s="186">
        <v>0</v>
      </c>
      <c r="F23" s="186">
        <f t="shared" ref="F23:F29" si="0">C23*D23</f>
        <v>56</v>
      </c>
    </row>
    <row r="24" spans="2:6" x14ac:dyDescent="0.2">
      <c r="B24" s="255" t="s">
        <v>201</v>
      </c>
      <c r="C24" s="187">
        <f>'YR1'!G34+'YR2'!G34+'YR3'!G34</f>
        <v>268</v>
      </c>
      <c r="D24" s="186">
        <v>2</v>
      </c>
      <c r="E24" s="186">
        <v>0</v>
      </c>
      <c r="F24" s="186">
        <f t="shared" si="0"/>
        <v>536</v>
      </c>
    </row>
    <row r="25" spans="2:6" x14ac:dyDescent="0.2">
      <c r="B25" s="255" t="s">
        <v>202</v>
      </c>
      <c r="C25" s="187">
        <f>'YR1'!G35+'YR2'!G35+'YR3'!G35</f>
        <v>268</v>
      </c>
      <c r="D25" s="186">
        <v>2</v>
      </c>
      <c r="E25" s="186">
        <v>0</v>
      </c>
      <c r="F25" s="186">
        <f t="shared" si="0"/>
        <v>536</v>
      </c>
    </row>
    <row r="26" spans="2:6" x14ac:dyDescent="0.2">
      <c r="B26" s="255" t="s">
        <v>203</v>
      </c>
      <c r="C26" s="187">
        <f>'YR1'!G36+'YR2'!G36+'YR3'!G36</f>
        <v>268</v>
      </c>
      <c r="D26" s="186">
        <v>2</v>
      </c>
      <c r="E26" s="186">
        <v>0</v>
      </c>
      <c r="F26" s="186">
        <f t="shared" si="0"/>
        <v>536</v>
      </c>
    </row>
    <row r="27" spans="2:6" x14ac:dyDescent="0.2">
      <c r="B27" s="255" t="s">
        <v>204</v>
      </c>
      <c r="C27" s="187">
        <f>'YR1'!G37+'YR2'!G37+'YR3'!G37</f>
        <v>268</v>
      </c>
      <c r="D27" s="186">
        <v>2</v>
      </c>
      <c r="E27" s="186">
        <v>0</v>
      </c>
      <c r="F27" s="186">
        <f t="shared" si="0"/>
        <v>536</v>
      </c>
    </row>
    <row r="28" spans="2:6" ht="24" x14ac:dyDescent="0.2">
      <c r="B28" s="255" t="s">
        <v>217</v>
      </c>
      <c r="C28" s="187">
        <f>'YR1'!G38+'YR2'!G38+'YR3'!G38</f>
        <v>12</v>
      </c>
      <c r="D28" s="186">
        <v>2</v>
      </c>
      <c r="E28" s="186">
        <v>0</v>
      </c>
      <c r="F28" s="186">
        <f t="shared" si="0"/>
        <v>24</v>
      </c>
    </row>
    <row r="29" spans="2:6" x14ac:dyDescent="0.2">
      <c r="B29" s="255" t="s">
        <v>232</v>
      </c>
      <c r="C29" s="187">
        <f>'YR1'!G39+'YR2'!G39+'YR3'!G39</f>
        <v>16</v>
      </c>
      <c r="D29" s="186">
        <v>2</v>
      </c>
      <c r="E29" s="186">
        <v>0</v>
      </c>
      <c r="F29" s="186">
        <f t="shared" si="0"/>
        <v>32</v>
      </c>
    </row>
    <row r="30" spans="2:6" x14ac:dyDescent="0.2">
      <c r="B30" s="277" t="s">
        <v>35</v>
      </c>
      <c r="C30" s="278"/>
      <c r="D30" s="278"/>
      <c r="E30" s="279"/>
      <c r="F30" s="263">
        <f>SUM(F17:F29)</f>
        <v>2492</v>
      </c>
    </row>
  </sheetData>
  <mergeCells count="3">
    <mergeCell ref="B14:F14"/>
    <mergeCell ref="B30:E30"/>
    <mergeCell ref="B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F9ED-2701-4D83-B488-86B94FB781FE}">
  <sheetPr>
    <tabColor rgb="FF7030A0"/>
  </sheetPr>
  <dimension ref="B2:Q73"/>
  <sheetViews>
    <sheetView zoomScaleNormal="100" zoomScaleSheetLayoutView="80" workbookViewId="0">
      <pane ySplit="3" topLeftCell="A28" activePane="bottomLeft" state="frozen"/>
      <selection activeCell="Q53" sqref="Q53"/>
      <selection pane="bottomLeft" activeCell="M62" sqref="M62"/>
    </sheetView>
  </sheetViews>
  <sheetFormatPr defaultRowHeight="11.25" x14ac:dyDescent="0.2"/>
  <cols>
    <col min="1" max="1" width="2.140625" style="19" customWidth="1"/>
    <col min="2" max="2" width="32.5703125" style="19" customWidth="1"/>
    <col min="3" max="4" width="9.28515625" style="19" bestFit="1" customWidth="1"/>
    <col min="5" max="5" width="10.140625" style="19" bestFit="1" customWidth="1"/>
    <col min="6" max="6" width="9.7109375" style="19" customWidth="1"/>
    <col min="7" max="7" width="10.140625" style="19" bestFit="1" customWidth="1"/>
    <col min="8" max="8" width="7.85546875" style="19" bestFit="1" customWidth="1"/>
    <col min="9" max="9" width="8.85546875" style="19" bestFit="1" customWidth="1"/>
    <col min="10" max="10" width="9.7109375" style="19" bestFit="1" customWidth="1"/>
    <col min="11" max="11" width="8.85546875" style="19" bestFit="1" customWidth="1"/>
    <col min="12" max="12" width="9.5703125" style="19" bestFit="1" customWidth="1"/>
    <col min="13" max="13" width="9.42578125" style="19" bestFit="1" customWidth="1"/>
    <col min="14" max="14" width="8.85546875" style="19" bestFit="1" customWidth="1"/>
    <col min="15" max="15" width="4" style="19" customWidth="1"/>
    <col min="16" max="16" width="2.5703125" style="19" customWidth="1"/>
    <col min="17" max="17" width="29.140625" style="111" customWidth="1"/>
    <col min="18" max="16384" width="9.140625" style="19"/>
  </cols>
  <sheetData>
    <row r="2" spans="2:15" ht="15.75" x14ac:dyDescent="0.2">
      <c r="B2" s="282" t="s">
        <v>206</v>
      </c>
      <c r="C2" s="282"/>
      <c r="D2" s="282"/>
      <c r="E2" s="282"/>
      <c r="F2" s="282"/>
      <c r="G2" s="282"/>
      <c r="H2" s="282"/>
      <c r="I2" s="282"/>
      <c r="J2" s="282"/>
      <c r="K2" s="282"/>
      <c r="L2" s="282"/>
      <c r="M2" s="282"/>
      <c r="N2" s="282"/>
      <c r="O2" s="282"/>
    </row>
    <row r="3" spans="2:15" s="22" customFormat="1" ht="69.75" customHeight="1" x14ac:dyDescent="0.2">
      <c r="B3" s="168" t="s">
        <v>3</v>
      </c>
      <c r="C3" s="168" t="s">
        <v>4</v>
      </c>
      <c r="D3" s="168" t="s">
        <v>83</v>
      </c>
      <c r="E3" s="168" t="s">
        <v>89</v>
      </c>
      <c r="F3" s="168" t="s">
        <v>105</v>
      </c>
      <c r="G3" s="189" t="s">
        <v>90</v>
      </c>
      <c r="H3" s="190" t="s">
        <v>97</v>
      </c>
      <c r="I3" s="190" t="s">
        <v>91</v>
      </c>
      <c r="J3" s="190" t="s">
        <v>92</v>
      </c>
      <c r="K3" s="190" t="s">
        <v>111</v>
      </c>
      <c r="L3" s="168" t="s">
        <v>112</v>
      </c>
      <c r="M3" s="190" t="s">
        <v>113</v>
      </c>
      <c r="N3" s="190" t="s">
        <v>114</v>
      </c>
      <c r="O3" s="191" t="s">
        <v>5</v>
      </c>
    </row>
    <row r="4" spans="2:15" ht="10.5" customHeight="1" x14ac:dyDescent="0.2">
      <c r="B4" s="192" t="s">
        <v>63</v>
      </c>
      <c r="C4" s="168" t="s">
        <v>64</v>
      </c>
      <c r="D4" s="23"/>
      <c r="E4" s="23"/>
      <c r="F4" s="23"/>
      <c r="G4" s="23"/>
      <c r="H4" s="23"/>
      <c r="I4" s="23"/>
      <c r="J4" s="23"/>
      <c r="K4" s="23"/>
      <c r="L4" s="23"/>
      <c r="M4" s="23"/>
      <c r="N4" s="23"/>
      <c r="O4" s="23"/>
    </row>
    <row r="5" spans="2:15" ht="10.5" customHeight="1" x14ac:dyDescent="0.2">
      <c r="B5" s="192" t="s">
        <v>65</v>
      </c>
      <c r="C5" s="168" t="s">
        <v>64</v>
      </c>
      <c r="D5" s="23"/>
      <c r="E5" s="23"/>
      <c r="F5" s="23"/>
      <c r="G5" s="23"/>
      <c r="H5" s="23"/>
      <c r="I5" s="23"/>
      <c r="J5" s="23"/>
      <c r="K5" s="23"/>
      <c r="L5" s="23"/>
      <c r="M5" s="23"/>
      <c r="N5" s="23"/>
      <c r="O5" s="23"/>
    </row>
    <row r="6" spans="2:15" ht="10.5" customHeight="1" x14ac:dyDescent="0.2">
      <c r="B6" s="192" t="s">
        <v>66</v>
      </c>
      <c r="C6" s="168"/>
      <c r="D6" s="23"/>
      <c r="E6" s="23"/>
      <c r="F6" s="23"/>
      <c r="G6" s="23"/>
      <c r="H6" s="23"/>
      <c r="I6" s="23"/>
      <c r="J6" s="23"/>
      <c r="K6" s="23"/>
      <c r="L6" s="23"/>
      <c r="M6" s="23"/>
      <c r="N6" s="23"/>
      <c r="O6" s="23"/>
    </row>
    <row r="7" spans="2:15" x14ac:dyDescent="0.2">
      <c r="B7" s="193" t="s">
        <v>67</v>
      </c>
      <c r="C7" s="23">
        <v>24</v>
      </c>
      <c r="D7" s="122">
        <v>0</v>
      </c>
      <c r="E7" s="23">
        <v>1</v>
      </c>
      <c r="F7" s="169">
        <f>C7*E7</f>
        <v>24</v>
      </c>
      <c r="G7" s="169">
        <f>Inputs!$C$3</f>
        <v>201</v>
      </c>
      <c r="H7" s="169">
        <f>G7*F7</f>
        <v>4824</v>
      </c>
      <c r="I7" s="169">
        <f>H7*0.1</f>
        <v>482.40000000000003</v>
      </c>
      <c r="J7" s="169">
        <f>H7*0.05</f>
        <v>241.20000000000002</v>
      </c>
      <c r="K7" s="169">
        <f>SUM(H7:J7)</f>
        <v>5547.5999999999995</v>
      </c>
      <c r="L7" s="122">
        <f>ROUND(H7*Inputs!$F$45+I7*Inputs!$F$46+J7*Inputs!$F$47,0)</f>
        <v>561596</v>
      </c>
      <c r="M7" s="122">
        <f>D7*E7*G7</f>
        <v>0</v>
      </c>
      <c r="N7" s="23">
        <v>0</v>
      </c>
      <c r="O7" s="23" t="s">
        <v>36</v>
      </c>
    </row>
    <row r="8" spans="2:15" x14ac:dyDescent="0.2">
      <c r="B8" s="193" t="s">
        <v>68</v>
      </c>
      <c r="C8" s="23"/>
      <c r="D8" s="122"/>
      <c r="E8" s="23"/>
      <c r="F8" s="169"/>
      <c r="G8" s="169"/>
      <c r="H8" s="169"/>
      <c r="I8" s="169"/>
      <c r="J8" s="169"/>
      <c r="K8" s="169"/>
      <c r="L8" s="122"/>
      <c r="M8" s="122"/>
      <c r="N8" s="23"/>
      <c r="O8" s="23"/>
    </row>
    <row r="9" spans="2:15" x14ac:dyDescent="0.2">
      <c r="B9" s="196" t="s">
        <v>168</v>
      </c>
      <c r="C9" s="23"/>
      <c r="D9" s="122"/>
      <c r="E9" s="23"/>
      <c r="F9" s="169"/>
      <c r="G9" s="169"/>
      <c r="H9" s="169"/>
      <c r="I9" s="169"/>
      <c r="J9" s="169"/>
      <c r="K9" s="169"/>
      <c r="L9" s="122"/>
      <c r="M9" s="122"/>
      <c r="N9" s="23"/>
      <c r="O9" s="23" t="s">
        <v>220</v>
      </c>
    </row>
    <row r="10" spans="2:15" x14ac:dyDescent="0.2">
      <c r="B10" s="195" t="s">
        <v>100</v>
      </c>
      <c r="C10" s="23">
        <v>0</v>
      </c>
      <c r="D10" s="122">
        <f>Inputs!F27</f>
        <v>810761</v>
      </c>
      <c r="E10" s="23">
        <v>1</v>
      </c>
      <c r="F10" s="169">
        <f>C10*E10</f>
        <v>0</v>
      </c>
      <c r="G10" s="169">
        <v>0</v>
      </c>
      <c r="H10" s="169">
        <f>G10*F10</f>
        <v>0</v>
      </c>
      <c r="I10" s="169">
        <f>H10*0.1</f>
        <v>0</v>
      </c>
      <c r="J10" s="169">
        <f>H10*0.05</f>
        <v>0</v>
      </c>
      <c r="K10" s="169">
        <f>SUM(H10:J10)</f>
        <v>0</v>
      </c>
      <c r="L10" s="122">
        <f>ROUND(H10*Inputs!$F$45+I10*Inputs!$F$46+J10*Inputs!$F$47,0)</f>
        <v>0</v>
      </c>
      <c r="M10" s="122">
        <f>D10*E10*G10</f>
        <v>0</v>
      </c>
      <c r="N10" s="23">
        <v>0</v>
      </c>
      <c r="O10" s="23"/>
    </row>
    <row r="11" spans="2:15" x14ac:dyDescent="0.2">
      <c r="B11" s="195" t="s">
        <v>101</v>
      </c>
      <c r="C11" s="23">
        <v>0</v>
      </c>
      <c r="D11" s="122">
        <f>Inputs!G27</f>
        <v>160133</v>
      </c>
      <c r="E11" s="23">
        <v>1</v>
      </c>
      <c r="F11" s="169">
        <f>C11*E11</f>
        <v>0</v>
      </c>
      <c r="G11" s="169">
        <v>0</v>
      </c>
      <c r="H11" s="169">
        <f>G11*F11</f>
        <v>0</v>
      </c>
      <c r="I11" s="169">
        <f>H11*0.1</f>
        <v>0</v>
      </c>
      <c r="J11" s="169">
        <f>H11*0.05</f>
        <v>0</v>
      </c>
      <c r="K11" s="169">
        <f>SUM(H11:J11)</f>
        <v>0</v>
      </c>
      <c r="L11" s="122">
        <f>ROUND(H11*Inputs!$F$45+I11*Inputs!$F$46+J11*Inputs!$F$47,0)</f>
        <v>0</v>
      </c>
      <c r="M11" s="122">
        <f>D11*E11*G11</f>
        <v>0</v>
      </c>
      <c r="N11" s="23">
        <v>0</v>
      </c>
      <c r="O11" s="23"/>
    </row>
    <row r="12" spans="2:15" x14ac:dyDescent="0.2">
      <c r="B12" s="196" t="s">
        <v>169</v>
      </c>
      <c r="C12" s="23"/>
      <c r="D12" s="122"/>
      <c r="E12" s="23"/>
      <c r="F12" s="169"/>
      <c r="G12" s="169"/>
      <c r="H12" s="169"/>
      <c r="I12" s="169"/>
      <c r="J12" s="169"/>
      <c r="K12" s="169"/>
      <c r="L12" s="122"/>
      <c r="M12" s="122"/>
      <c r="N12" s="23"/>
      <c r="O12" s="23" t="s">
        <v>219</v>
      </c>
    </row>
    <row r="13" spans="2:15" x14ac:dyDescent="0.2">
      <c r="B13" s="195" t="s">
        <v>100</v>
      </c>
      <c r="C13" s="23">
        <v>0</v>
      </c>
      <c r="D13" s="122">
        <f>Inputs!C33</f>
        <v>63150</v>
      </c>
      <c r="E13" s="23">
        <v>1</v>
      </c>
      <c r="F13" s="169">
        <f>C13*E13</f>
        <v>0</v>
      </c>
      <c r="G13" s="169">
        <v>0</v>
      </c>
      <c r="H13" s="169">
        <f>G13*F13</f>
        <v>0</v>
      </c>
      <c r="I13" s="169">
        <f>H13*0.1</f>
        <v>0</v>
      </c>
      <c r="J13" s="169">
        <f>H13*0.05</f>
        <v>0</v>
      </c>
      <c r="K13" s="169">
        <f>SUM(H13:J13)</f>
        <v>0</v>
      </c>
      <c r="L13" s="122">
        <f>ROUND(H13*Inputs!$F$45+I13*Inputs!$F$46+J13*Inputs!$F$47,0)</f>
        <v>0</v>
      </c>
      <c r="M13" s="122">
        <f>D13*E13*G13</f>
        <v>0</v>
      </c>
      <c r="N13" s="23">
        <v>0</v>
      </c>
      <c r="O13" s="23"/>
    </row>
    <row r="14" spans="2:15" x14ac:dyDescent="0.2">
      <c r="B14" s="195" t="s">
        <v>101</v>
      </c>
      <c r="C14" s="23">
        <v>0</v>
      </c>
      <c r="D14" s="122">
        <f>Inputs!D33</f>
        <v>8349</v>
      </c>
      <c r="E14" s="23">
        <v>1</v>
      </c>
      <c r="F14" s="169">
        <f>C14*E14</f>
        <v>0</v>
      </c>
      <c r="G14" s="169">
        <v>0</v>
      </c>
      <c r="H14" s="169">
        <f>G14*F14</f>
        <v>0</v>
      </c>
      <c r="I14" s="169">
        <f>H14*0.1</f>
        <v>0</v>
      </c>
      <c r="J14" s="169">
        <f>H14*0.05</f>
        <v>0</v>
      </c>
      <c r="K14" s="169">
        <f>SUM(H14:J14)</f>
        <v>0</v>
      </c>
      <c r="L14" s="122">
        <f>ROUND(H14*Inputs!$F$45+I14*Inputs!$F$46+J14*Inputs!$F$47,0)</f>
        <v>0</v>
      </c>
      <c r="M14" s="122">
        <f>D14*E14*G14</f>
        <v>0</v>
      </c>
      <c r="N14" s="23">
        <v>0</v>
      </c>
      <c r="O14" s="23"/>
    </row>
    <row r="15" spans="2:15" x14ac:dyDescent="0.2">
      <c r="B15" s="196" t="s">
        <v>170</v>
      </c>
      <c r="C15" s="23"/>
      <c r="D15" s="122"/>
      <c r="E15" s="23"/>
      <c r="F15" s="169"/>
      <c r="G15" s="169"/>
      <c r="H15" s="169"/>
      <c r="I15" s="169"/>
      <c r="J15" s="169"/>
      <c r="K15" s="169"/>
      <c r="L15" s="122"/>
      <c r="M15" s="122"/>
      <c r="N15" s="23"/>
      <c r="O15" s="23" t="s">
        <v>219</v>
      </c>
    </row>
    <row r="16" spans="2:15" x14ac:dyDescent="0.2">
      <c r="B16" s="195" t="s">
        <v>100</v>
      </c>
      <c r="C16" s="23">
        <v>0</v>
      </c>
      <c r="D16" s="122">
        <f>Inputs!C39</f>
        <v>7379</v>
      </c>
      <c r="E16" s="23">
        <v>1</v>
      </c>
      <c r="F16" s="169">
        <f>C16*E16</f>
        <v>0</v>
      </c>
      <c r="G16" s="169">
        <v>0</v>
      </c>
      <c r="H16" s="169">
        <f>G16*F16</f>
        <v>0</v>
      </c>
      <c r="I16" s="169">
        <f>H16*0.1</f>
        <v>0</v>
      </c>
      <c r="J16" s="169">
        <f>H16*0.05</f>
        <v>0</v>
      </c>
      <c r="K16" s="169">
        <f>SUM(H16:J16)</f>
        <v>0</v>
      </c>
      <c r="L16" s="122">
        <f>ROUND(H16*Inputs!$F$45+I16*Inputs!$F$46+J16*Inputs!$F$47,0)</f>
        <v>0</v>
      </c>
      <c r="M16" s="122">
        <f>D16*E16*G16</f>
        <v>0</v>
      </c>
      <c r="N16" s="23">
        <v>0</v>
      </c>
      <c r="O16" s="23"/>
    </row>
    <row r="17" spans="2:17" x14ac:dyDescent="0.2">
      <c r="B17" s="195" t="s">
        <v>101</v>
      </c>
      <c r="C17" s="23">
        <v>0</v>
      </c>
      <c r="D17" s="122">
        <f>Inputs!D39</f>
        <v>1705</v>
      </c>
      <c r="E17" s="23">
        <v>1</v>
      </c>
      <c r="F17" s="169">
        <f>C17*E17</f>
        <v>0</v>
      </c>
      <c r="G17" s="169">
        <v>0</v>
      </c>
      <c r="H17" s="169">
        <f>G17*F17</f>
        <v>0</v>
      </c>
      <c r="I17" s="169">
        <f>H17*0.1</f>
        <v>0</v>
      </c>
      <c r="J17" s="169">
        <f>H17*0.05</f>
        <v>0</v>
      </c>
      <c r="K17" s="169">
        <f>SUM(H17:J17)</f>
        <v>0</v>
      </c>
      <c r="L17" s="122">
        <f>ROUND(H17*Inputs!$F$45+I17*Inputs!$F$46+J17*Inputs!$F$47,0)</f>
        <v>0</v>
      </c>
      <c r="M17" s="122">
        <f>D17*E17*G17</f>
        <v>0</v>
      </c>
      <c r="N17" s="23">
        <v>0</v>
      </c>
      <c r="O17" s="23"/>
    </row>
    <row r="18" spans="2:17" ht="22.5" x14ac:dyDescent="0.2">
      <c r="B18" s="194" t="s">
        <v>234</v>
      </c>
      <c r="C18" s="23"/>
      <c r="D18" s="122"/>
      <c r="E18" s="23"/>
      <c r="F18" s="169"/>
      <c r="G18" s="169"/>
      <c r="H18" s="169"/>
      <c r="I18" s="169"/>
      <c r="J18" s="169"/>
      <c r="K18" s="169"/>
      <c r="L18" s="122"/>
      <c r="M18" s="122"/>
      <c r="N18" s="23"/>
      <c r="O18" s="265" t="s">
        <v>221</v>
      </c>
    </row>
    <row r="19" spans="2:17" x14ac:dyDescent="0.2">
      <c r="B19" s="195" t="s">
        <v>100</v>
      </c>
      <c r="C19" s="23">
        <v>0</v>
      </c>
      <c r="D19" s="122">
        <f>Inputs!C15</f>
        <v>23200</v>
      </c>
      <c r="E19" s="23">
        <v>1</v>
      </c>
      <c r="F19" s="169">
        <f>C19*E19</f>
        <v>0</v>
      </c>
      <c r="G19" s="169">
        <v>0</v>
      </c>
      <c r="H19" s="169">
        <f>G19*F19</f>
        <v>0</v>
      </c>
      <c r="I19" s="169">
        <f>H19*0.1</f>
        <v>0</v>
      </c>
      <c r="J19" s="169">
        <f>H19*0.05</f>
        <v>0</v>
      </c>
      <c r="K19" s="169">
        <f>SUM(H19:J19)</f>
        <v>0</v>
      </c>
      <c r="L19" s="122">
        <f>ROUND(H19*Inputs!$F$45+I19*Inputs!$F$46+J19*Inputs!$F$47,0)</f>
        <v>0</v>
      </c>
      <c r="M19" s="122">
        <f>D19*E19*G19</f>
        <v>0</v>
      </c>
      <c r="N19" s="23">
        <v>0</v>
      </c>
      <c r="O19" s="265"/>
      <c r="Q19" s="251"/>
    </row>
    <row r="20" spans="2:17" x14ac:dyDescent="0.2">
      <c r="B20" s="195" t="s">
        <v>101</v>
      </c>
      <c r="C20" s="23">
        <v>0</v>
      </c>
      <c r="D20" s="122">
        <f>Inputs!C16</f>
        <v>4900</v>
      </c>
      <c r="E20" s="23">
        <v>1</v>
      </c>
      <c r="F20" s="169">
        <f>C20*E20</f>
        <v>0</v>
      </c>
      <c r="G20" s="169">
        <v>0</v>
      </c>
      <c r="H20" s="169">
        <f>G20*F20</f>
        <v>0</v>
      </c>
      <c r="I20" s="169">
        <f>H20*0.1</f>
        <v>0</v>
      </c>
      <c r="J20" s="169">
        <f>H20*0.05</f>
        <v>0</v>
      </c>
      <c r="K20" s="169">
        <f>SUM(H20:J20)</f>
        <v>0</v>
      </c>
      <c r="L20" s="122">
        <f>ROUND(H20*Inputs!$F$45+I20*Inputs!$F$46+J20*Inputs!$F$47,0)</f>
        <v>0</v>
      </c>
      <c r="M20" s="122">
        <f>D20*E20*G20</f>
        <v>0</v>
      </c>
      <c r="N20" s="23">
        <v>0</v>
      </c>
      <c r="O20" s="265"/>
    </row>
    <row r="21" spans="2:17" ht="22.5" x14ac:dyDescent="0.2">
      <c r="B21" s="194" t="s">
        <v>235</v>
      </c>
      <c r="C21" s="23"/>
      <c r="D21" s="122"/>
      <c r="E21" s="23"/>
      <c r="F21" s="169"/>
      <c r="G21" s="169"/>
      <c r="H21" s="169"/>
      <c r="I21" s="169"/>
      <c r="J21" s="169"/>
      <c r="K21" s="169"/>
      <c r="L21" s="122"/>
      <c r="M21" s="122"/>
      <c r="N21" s="23"/>
      <c r="O21" s="265" t="s">
        <v>221</v>
      </c>
    </row>
    <row r="22" spans="2:17" x14ac:dyDescent="0.2">
      <c r="B22" s="195" t="s">
        <v>177</v>
      </c>
      <c r="C22" s="23">
        <v>0</v>
      </c>
      <c r="D22" s="122">
        <f>Inputs!C17</f>
        <v>38302</v>
      </c>
      <c r="E22" s="23">
        <v>1</v>
      </c>
      <c r="F22" s="169">
        <f>C22*E22</f>
        <v>0</v>
      </c>
      <c r="G22" s="169">
        <v>0</v>
      </c>
      <c r="H22" s="169">
        <f>G22*F22</f>
        <v>0</v>
      </c>
      <c r="I22" s="169">
        <f>H22*0.1</f>
        <v>0</v>
      </c>
      <c r="J22" s="169">
        <f>H22*0.05</f>
        <v>0</v>
      </c>
      <c r="K22" s="169">
        <f>SUM(H22:J22)</f>
        <v>0</v>
      </c>
      <c r="L22" s="122">
        <f>ROUND(H22*Inputs!$F$45+I22*Inputs!$F$46+J22*Inputs!$F$47,0)</f>
        <v>0</v>
      </c>
      <c r="M22" s="122">
        <f>D22*E22*G22</f>
        <v>0</v>
      </c>
      <c r="N22" s="23">
        <v>0</v>
      </c>
      <c r="O22" s="23"/>
    </row>
    <row r="23" spans="2:17" x14ac:dyDescent="0.2">
      <c r="B23" s="195" t="s">
        <v>178</v>
      </c>
      <c r="C23" s="23">
        <v>0</v>
      </c>
      <c r="D23" s="122">
        <f>Inputs!C18</f>
        <v>19151</v>
      </c>
      <c r="E23" s="23">
        <v>1</v>
      </c>
      <c r="F23" s="169">
        <f>C23*E23</f>
        <v>0</v>
      </c>
      <c r="G23" s="169">
        <v>0</v>
      </c>
      <c r="H23" s="169">
        <f>G23*F23</f>
        <v>0</v>
      </c>
      <c r="I23" s="169">
        <f>H23*0.1</f>
        <v>0</v>
      </c>
      <c r="J23" s="169">
        <f>H23*0.05</f>
        <v>0</v>
      </c>
      <c r="K23" s="169">
        <f>SUM(H23:J23)</f>
        <v>0</v>
      </c>
      <c r="L23" s="122">
        <f>ROUND(H23*Inputs!$F$45+I23*Inputs!$F$46+J23*Inputs!$F$47,0)</f>
        <v>0</v>
      </c>
      <c r="M23" s="122">
        <f>D23*E23*G23</f>
        <v>0</v>
      </c>
      <c r="N23" s="23">
        <v>0</v>
      </c>
      <c r="O23" s="23"/>
    </row>
    <row r="24" spans="2:17" x14ac:dyDescent="0.2">
      <c r="B24" s="193" t="s">
        <v>69</v>
      </c>
      <c r="C24" s="23" t="s">
        <v>71</v>
      </c>
      <c r="D24" s="122"/>
      <c r="E24" s="23"/>
      <c r="F24" s="169"/>
      <c r="G24" s="169"/>
      <c r="H24" s="169"/>
      <c r="I24" s="169"/>
      <c r="J24" s="169"/>
      <c r="K24" s="169"/>
      <c r="L24" s="122"/>
      <c r="M24" s="122"/>
      <c r="N24" s="23"/>
      <c r="O24" s="23"/>
    </row>
    <row r="25" spans="2:17" x14ac:dyDescent="0.2">
      <c r="B25" s="193" t="s">
        <v>70</v>
      </c>
      <c r="C25" s="23" t="s">
        <v>72</v>
      </c>
      <c r="D25" s="122"/>
      <c r="E25" s="23"/>
      <c r="F25" s="169"/>
      <c r="G25" s="169"/>
      <c r="H25" s="169"/>
      <c r="I25" s="169"/>
      <c r="J25" s="169"/>
      <c r="K25" s="169"/>
      <c r="L25" s="122"/>
      <c r="M25" s="122"/>
      <c r="N25" s="23"/>
      <c r="O25" s="23"/>
    </row>
    <row r="26" spans="2:17" x14ac:dyDescent="0.2">
      <c r="B26" s="193" t="s">
        <v>73</v>
      </c>
      <c r="C26" s="23"/>
      <c r="D26" s="122"/>
      <c r="E26" s="23"/>
      <c r="F26" s="169"/>
      <c r="G26" s="169"/>
      <c r="H26" s="169"/>
      <c r="I26" s="169"/>
      <c r="J26" s="169"/>
      <c r="K26" s="169"/>
      <c r="L26" s="122"/>
      <c r="M26" s="122"/>
      <c r="N26" s="23"/>
      <c r="O26" s="23"/>
    </row>
    <row r="27" spans="2:17" x14ac:dyDescent="0.2">
      <c r="B27" s="194" t="s">
        <v>185</v>
      </c>
      <c r="C27" s="23"/>
      <c r="D27" s="122"/>
      <c r="E27" s="23"/>
      <c r="F27" s="169"/>
      <c r="G27" s="169"/>
      <c r="H27" s="169"/>
      <c r="I27" s="169"/>
      <c r="J27" s="169"/>
      <c r="K27" s="169"/>
      <c r="L27" s="122"/>
      <c r="M27" s="122"/>
      <c r="N27" s="23"/>
      <c r="O27" s="23"/>
    </row>
    <row r="28" spans="2:17" x14ac:dyDescent="0.2">
      <c r="B28" s="195" t="s">
        <v>116</v>
      </c>
      <c r="C28" s="23">
        <v>5</v>
      </c>
      <c r="D28" s="122">
        <v>0</v>
      </c>
      <c r="E28" s="23">
        <v>1</v>
      </c>
      <c r="F28" s="169">
        <f t="shared" ref="F28:F31" si="0">C28*E28</f>
        <v>5</v>
      </c>
      <c r="G28" s="169">
        <f>G10</f>
        <v>0</v>
      </c>
      <c r="H28" s="169">
        <f t="shared" ref="H28:H31" si="1">G28*F28</f>
        <v>0</v>
      </c>
      <c r="I28" s="169">
        <f t="shared" ref="I28:I31" si="2">H28*0.1</f>
        <v>0</v>
      </c>
      <c r="J28" s="169">
        <f t="shared" ref="J28:J31" si="3">H28*0.05</f>
        <v>0</v>
      </c>
      <c r="K28" s="169">
        <f t="shared" ref="K28:K31" si="4">SUM(H28:J28)</f>
        <v>0</v>
      </c>
      <c r="L28" s="122">
        <f>ROUND(H28*Inputs!$F$45+I28*Inputs!$F$46+J28*Inputs!$F$47,0)</f>
        <v>0</v>
      </c>
      <c r="M28" s="122">
        <f t="shared" ref="M28:M31" si="5">D28*E28*G28</f>
        <v>0</v>
      </c>
      <c r="N28" s="23">
        <f t="shared" ref="N28:N31" si="6">G28*E28</f>
        <v>0</v>
      </c>
      <c r="O28" s="23" t="s">
        <v>219</v>
      </c>
    </row>
    <row r="29" spans="2:17" x14ac:dyDescent="0.2">
      <c r="B29" s="195" t="s">
        <v>117</v>
      </c>
      <c r="C29" s="23">
        <v>15</v>
      </c>
      <c r="D29" s="122">
        <v>0</v>
      </c>
      <c r="E29" s="23">
        <v>1</v>
      </c>
      <c r="F29" s="169">
        <f t="shared" si="0"/>
        <v>15</v>
      </c>
      <c r="G29" s="169">
        <f>G13</f>
        <v>0</v>
      </c>
      <c r="H29" s="169">
        <f t="shared" si="1"/>
        <v>0</v>
      </c>
      <c r="I29" s="169">
        <f t="shared" si="2"/>
        <v>0</v>
      </c>
      <c r="J29" s="169">
        <f t="shared" si="3"/>
        <v>0</v>
      </c>
      <c r="K29" s="169">
        <f t="shared" si="4"/>
        <v>0</v>
      </c>
      <c r="L29" s="122">
        <f>ROUND(H29*Inputs!$F$45+I29*Inputs!$F$46+J29*Inputs!$F$47,0)</f>
        <v>0</v>
      </c>
      <c r="M29" s="122">
        <f t="shared" si="5"/>
        <v>0</v>
      </c>
      <c r="N29" s="23">
        <f t="shared" si="6"/>
        <v>0</v>
      </c>
      <c r="O29" s="23" t="s">
        <v>219</v>
      </c>
    </row>
    <row r="30" spans="2:17" ht="22.5" x14ac:dyDescent="0.2">
      <c r="B30" s="264" t="s">
        <v>236</v>
      </c>
      <c r="C30" s="265">
        <v>4</v>
      </c>
      <c r="D30" s="266">
        <v>0</v>
      </c>
      <c r="E30" s="265">
        <v>1</v>
      </c>
      <c r="F30" s="267">
        <f t="shared" si="0"/>
        <v>4</v>
      </c>
      <c r="G30" s="267">
        <f>G19</f>
        <v>0</v>
      </c>
      <c r="H30" s="267">
        <f t="shared" si="1"/>
        <v>0</v>
      </c>
      <c r="I30" s="267">
        <f t="shared" si="2"/>
        <v>0</v>
      </c>
      <c r="J30" s="267">
        <f t="shared" si="3"/>
        <v>0</v>
      </c>
      <c r="K30" s="267">
        <f t="shared" si="4"/>
        <v>0</v>
      </c>
      <c r="L30" s="266">
        <f>ROUND(H30*Inputs!$F$45+I30*Inputs!$F$46+J30*Inputs!$F$47,0)</f>
        <v>0</v>
      </c>
      <c r="M30" s="266">
        <f t="shared" si="5"/>
        <v>0</v>
      </c>
      <c r="N30" s="265">
        <f t="shared" si="6"/>
        <v>0</v>
      </c>
      <c r="O30" s="265" t="s">
        <v>32</v>
      </c>
    </row>
    <row r="31" spans="2:17" x14ac:dyDescent="0.2">
      <c r="B31" s="195" t="s">
        <v>237</v>
      </c>
      <c r="C31" s="23">
        <v>4</v>
      </c>
      <c r="D31" s="122">
        <v>0</v>
      </c>
      <c r="E31" s="23">
        <v>1</v>
      </c>
      <c r="F31" s="169">
        <f t="shared" si="0"/>
        <v>4</v>
      </c>
      <c r="G31" s="169">
        <v>0</v>
      </c>
      <c r="H31" s="169">
        <f t="shared" si="1"/>
        <v>0</v>
      </c>
      <c r="I31" s="169">
        <f t="shared" si="2"/>
        <v>0</v>
      </c>
      <c r="J31" s="169">
        <f t="shared" si="3"/>
        <v>0</v>
      </c>
      <c r="K31" s="169">
        <f t="shared" si="4"/>
        <v>0</v>
      </c>
      <c r="L31" s="122">
        <f>ROUND(H31*Inputs!$F$45+I31*Inputs!$F$46+J31*Inputs!$F$47,0)</f>
        <v>0</v>
      </c>
      <c r="M31" s="122">
        <f t="shared" si="5"/>
        <v>0</v>
      </c>
      <c r="N31" s="23">
        <f t="shared" si="6"/>
        <v>0</v>
      </c>
      <c r="O31" s="23" t="s">
        <v>32</v>
      </c>
    </row>
    <row r="32" spans="2:17" x14ac:dyDescent="0.2">
      <c r="B32" s="196" t="s">
        <v>186</v>
      </c>
      <c r="C32" s="23"/>
      <c r="D32" s="122"/>
      <c r="E32" s="23"/>
      <c r="F32" s="169"/>
      <c r="G32" s="169"/>
      <c r="H32" s="169"/>
      <c r="I32" s="169"/>
      <c r="J32" s="169"/>
      <c r="K32" s="169"/>
      <c r="L32" s="122"/>
      <c r="M32" s="122"/>
      <c r="N32" s="23"/>
      <c r="O32" s="23"/>
    </row>
    <row r="33" spans="2:15" x14ac:dyDescent="0.2">
      <c r="B33" s="195" t="s">
        <v>116</v>
      </c>
      <c r="C33" s="23">
        <v>5</v>
      </c>
      <c r="D33" s="122">
        <v>0</v>
      </c>
      <c r="E33" s="23">
        <v>2</v>
      </c>
      <c r="F33" s="169">
        <f t="shared" ref="F33:F39" si="7">C33*E33</f>
        <v>10</v>
      </c>
      <c r="G33" s="169">
        <f>G11</f>
        <v>0</v>
      </c>
      <c r="H33" s="169">
        <f t="shared" ref="H33:H39" si="8">G33*F33</f>
        <v>0</v>
      </c>
      <c r="I33" s="169">
        <f t="shared" ref="I33:I39" si="9">H33*0.1</f>
        <v>0</v>
      </c>
      <c r="J33" s="169">
        <f t="shared" ref="J33:J39" si="10">H33*0.05</f>
        <v>0</v>
      </c>
      <c r="K33" s="169">
        <f t="shared" ref="K33:K39" si="11">SUM(H33:J33)</f>
        <v>0</v>
      </c>
      <c r="L33" s="122">
        <f>ROUND(H33*Inputs!$F$45+I33*Inputs!$F$46+J33*Inputs!$F$47,0)</f>
        <v>0</v>
      </c>
      <c r="M33" s="122">
        <f t="shared" ref="M33:M39" si="12">D33*E33*G33</f>
        <v>0</v>
      </c>
      <c r="N33" s="23">
        <f>G33*E33</f>
        <v>0</v>
      </c>
      <c r="O33" s="23" t="s">
        <v>219</v>
      </c>
    </row>
    <row r="34" spans="2:15" x14ac:dyDescent="0.2">
      <c r="B34" s="195" t="s">
        <v>117</v>
      </c>
      <c r="C34" s="23">
        <v>10</v>
      </c>
      <c r="D34" s="122">
        <v>0</v>
      </c>
      <c r="E34" s="23">
        <v>2</v>
      </c>
      <c r="F34" s="169">
        <f t="shared" si="7"/>
        <v>20</v>
      </c>
      <c r="G34" s="169">
        <f>G14</f>
        <v>0</v>
      </c>
      <c r="H34" s="169">
        <f t="shared" si="8"/>
        <v>0</v>
      </c>
      <c r="I34" s="169">
        <f t="shared" si="9"/>
        <v>0</v>
      </c>
      <c r="J34" s="169">
        <f t="shared" si="10"/>
        <v>0</v>
      </c>
      <c r="K34" s="169">
        <f t="shared" si="11"/>
        <v>0</v>
      </c>
      <c r="L34" s="122">
        <f>ROUND(H34*Inputs!$F$45+I34*Inputs!$F$46+J34*Inputs!$F$47,0)</f>
        <v>0</v>
      </c>
      <c r="M34" s="122">
        <f t="shared" si="12"/>
        <v>0</v>
      </c>
      <c r="N34" s="23">
        <f t="shared" ref="N34:N39" si="13">G34*E34</f>
        <v>0</v>
      </c>
      <c r="O34" s="23" t="s">
        <v>219</v>
      </c>
    </row>
    <row r="35" spans="2:15" x14ac:dyDescent="0.2">
      <c r="B35" s="195" t="s">
        <v>181</v>
      </c>
      <c r="C35" s="23">
        <v>4</v>
      </c>
      <c r="D35" s="122">
        <v>0</v>
      </c>
      <c r="E35" s="23">
        <v>2</v>
      </c>
      <c r="F35" s="169">
        <f t="shared" si="7"/>
        <v>8</v>
      </c>
      <c r="G35" s="169">
        <v>0</v>
      </c>
      <c r="H35" s="169">
        <f t="shared" si="8"/>
        <v>0</v>
      </c>
      <c r="I35" s="169">
        <f t="shared" si="9"/>
        <v>0</v>
      </c>
      <c r="J35" s="169">
        <f t="shared" si="10"/>
        <v>0</v>
      </c>
      <c r="K35" s="169">
        <f t="shared" si="11"/>
        <v>0</v>
      </c>
      <c r="L35" s="122">
        <f>ROUND(H35*Inputs!$F$45+I35*Inputs!$F$46+J35*Inputs!$F$47,0)</f>
        <v>0</v>
      </c>
      <c r="M35" s="122">
        <f t="shared" si="12"/>
        <v>0</v>
      </c>
      <c r="N35" s="23">
        <f t="shared" si="13"/>
        <v>0</v>
      </c>
      <c r="O35" s="23" t="s">
        <v>219</v>
      </c>
    </row>
    <row r="36" spans="2:15" x14ac:dyDescent="0.2">
      <c r="B36" s="195" t="s">
        <v>182</v>
      </c>
      <c r="C36" s="23">
        <v>4</v>
      </c>
      <c r="D36" s="122">
        <v>0</v>
      </c>
      <c r="E36" s="23">
        <v>2</v>
      </c>
      <c r="F36" s="169">
        <f t="shared" si="7"/>
        <v>8</v>
      </c>
      <c r="G36" s="169">
        <v>0</v>
      </c>
      <c r="H36" s="169">
        <f t="shared" si="8"/>
        <v>0</v>
      </c>
      <c r="I36" s="169">
        <f t="shared" si="9"/>
        <v>0</v>
      </c>
      <c r="J36" s="169">
        <f t="shared" si="10"/>
        <v>0</v>
      </c>
      <c r="K36" s="169">
        <f t="shared" si="11"/>
        <v>0</v>
      </c>
      <c r="L36" s="122">
        <f>ROUND(H36*Inputs!$F$45+I36*Inputs!$F$46+J36*Inputs!$F$47,0)</f>
        <v>0</v>
      </c>
      <c r="M36" s="122">
        <f t="shared" si="12"/>
        <v>0</v>
      </c>
      <c r="N36" s="23">
        <f t="shared" si="13"/>
        <v>0</v>
      </c>
      <c r="O36" s="23" t="s">
        <v>222</v>
      </c>
    </row>
    <row r="37" spans="2:15" x14ac:dyDescent="0.2">
      <c r="B37" s="195" t="s">
        <v>137</v>
      </c>
      <c r="C37" s="23">
        <v>3</v>
      </c>
      <c r="D37" s="122">
        <v>0</v>
      </c>
      <c r="E37" s="23">
        <v>2</v>
      </c>
      <c r="F37" s="169">
        <f t="shared" si="7"/>
        <v>6</v>
      </c>
      <c r="G37" s="169">
        <f>G17</f>
        <v>0</v>
      </c>
      <c r="H37" s="169">
        <f t="shared" si="8"/>
        <v>0</v>
      </c>
      <c r="I37" s="169">
        <f t="shared" si="9"/>
        <v>0</v>
      </c>
      <c r="J37" s="169">
        <f t="shared" si="10"/>
        <v>0</v>
      </c>
      <c r="K37" s="169">
        <f t="shared" si="11"/>
        <v>0</v>
      </c>
      <c r="L37" s="122">
        <f>ROUND(H37*Inputs!$F$45+I37*Inputs!$F$46+J37*Inputs!$F$47,0)</f>
        <v>0</v>
      </c>
      <c r="M37" s="122">
        <f t="shared" si="12"/>
        <v>0</v>
      </c>
      <c r="N37" s="23">
        <f t="shared" si="13"/>
        <v>0</v>
      </c>
      <c r="O37" s="23" t="s">
        <v>219</v>
      </c>
    </row>
    <row r="38" spans="2:15" ht="22.5" x14ac:dyDescent="0.2">
      <c r="B38" s="264" t="s">
        <v>238</v>
      </c>
      <c r="C38" s="265">
        <v>4</v>
      </c>
      <c r="D38" s="266">
        <v>0</v>
      </c>
      <c r="E38" s="265">
        <v>2</v>
      </c>
      <c r="F38" s="267">
        <f t="shared" si="7"/>
        <v>8</v>
      </c>
      <c r="G38" s="267">
        <f>G20</f>
        <v>0</v>
      </c>
      <c r="H38" s="267">
        <f t="shared" si="8"/>
        <v>0</v>
      </c>
      <c r="I38" s="267">
        <f t="shared" si="9"/>
        <v>0</v>
      </c>
      <c r="J38" s="267">
        <f t="shared" si="10"/>
        <v>0</v>
      </c>
      <c r="K38" s="267">
        <f t="shared" si="11"/>
        <v>0</v>
      </c>
      <c r="L38" s="266">
        <f>ROUND(H38*Inputs!$F$45+I38*Inputs!$F$46+J38*Inputs!$F$47,0)</f>
        <v>0</v>
      </c>
      <c r="M38" s="266">
        <f t="shared" si="12"/>
        <v>0</v>
      </c>
      <c r="N38" s="265">
        <f t="shared" si="13"/>
        <v>0</v>
      </c>
      <c r="O38" s="265" t="s">
        <v>32</v>
      </c>
    </row>
    <row r="39" spans="2:15" x14ac:dyDescent="0.2">
      <c r="B39" s="195" t="s">
        <v>239</v>
      </c>
      <c r="C39" s="23">
        <v>4</v>
      </c>
      <c r="D39" s="122">
        <v>0</v>
      </c>
      <c r="E39" s="23">
        <v>2</v>
      </c>
      <c r="F39" s="169">
        <f t="shared" si="7"/>
        <v>8</v>
      </c>
      <c r="G39" s="169">
        <v>0</v>
      </c>
      <c r="H39" s="169">
        <f t="shared" si="8"/>
        <v>0</v>
      </c>
      <c r="I39" s="169">
        <f t="shared" si="9"/>
        <v>0</v>
      </c>
      <c r="J39" s="169">
        <f t="shared" si="10"/>
        <v>0</v>
      </c>
      <c r="K39" s="169">
        <f t="shared" si="11"/>
        <v>0</v>
      </c>
      <c r="L39" s="122">
        <f>ROUND(H39*Inputs!$F$45+I39*Inputs!$F$46+J39*Inputs!$F$47,0)</f>
        <v>0</v>
      </c>
      <c r="M39" s="122">
        <f t="shared" si="12"/>
        <v>0</v>
      </c>
      <c r="N39" s="23">
        <f t="shared" si="13"/>
        <v>0</v>
      </c>
      <c r="O39" s="23" t="s">
        <v>32</v>
      </c>
    </row>
    <row r="40" spans="2:15" x14ac:dyDescent="0.2">
      <c r="B40" s="197" t="s">
        <v>74</v>
      </c>
      <c r="C40" s="23"/>
      <c r="D40" s="122"/>
      <c r="E40" s="23"/>
      <c r="F40" s="23"/>
      <c r="G40" s="23"/>
      <c r="H40" s="243">
        <f>SUM(H7:H39)</f>
        <v>4824</v>
      </c>
      <c r="I40" s="243">
        <f>SUM(I7:I39)</f>
        <v>482.40000000000003</v>
      </c>
      <c r="J40" s="243">
        <f>SUM(J7:J39)</f>
        <v>241.20000000000002</v>
      </c>
      <c r="K40" s="243">
        <f>SUM(K7:K39)</f>
        <v>5547.5999999999995</v>
      </c>
      <c r="L40" s="244">
        <f>SUM(L7:L39)</f>
        <v>561596</v>
      </c>
      <c r="M40" s="244">
        <f>SUM(M7:M39)-M10-M13-M16-M19-M22</f>
        <v>0</v>
      </c>
      <c r="N40" s="243">
        <f>SUM(N7:N39)</f>
        <v>0</v>
      </c>
      <c r="O40" s="23"/>
    </row>
    <row r="41" spans="2:15" x14ac:dyDescent="0.2">
      <c r="B41" s="192" t="s">
        <v>59</v>
      </c>
      <c r="C41" s="23"/>
      <c r="D41" s="122"/>
      <c r="E41" s="23"/>
      <c r="F41" s="23"/>
      <c r="G41" s="23"/>
      <c r="H41" s="23"/>
      <c r="I41" s="24"/>
      <c r="J41" s="24"/>
      <c r="K41" s="24"/>
      <c r="L41" s="122"/>
      <c r="M41" s="122"/>
      <c r="N41" s="23"/>
      <c r="O41" s="23"/>
    </row>
    <row r="42" spans="2:15" x14ac:dyDescent="0.2">
      <c r="B42" s="193" t="s">
        <v>60</v>
      </c>
      <c r="C42" s="23" t="s">
        <v>102</v>
      </c>
      <c r="D42" s="122"/>
      <c r="E42" s="23"/>
      <c r="F42" s="23"/>
      <c r="G42" s="23"/>
      <c r="H42" s="23"/>
      <c r="I42" s="24"/>
      <c r="J42" s="24"/>
      <c r="K42" s="24"/>
      <c r="L42" s="122"/>
      <c r="M42" s="122"/>
      <c r="N42" s="23"/>
      <c r="O42" s="23"/>
    </row>
    <row r="43" spans="2:15" x14ac:dyDescent="0.2">
      <c r="B43" s="193" t="s">
        <v>98</v>
      </c>
      <c r="C43" s="168" t="s">
        <v>64</v>
      </c>
      <c r="D43" s="122"/>
      <c r="E43" s="23"/>
      <c r="F43" s="23"/>
      <c r="G43" s="23"/>
      <c r="H43" s="23"/>
      <c r="I43" s="24"/>
      <c r="J43" s="24"/>
      <c r="K43" s="24"/>
      <c r="L43" s="122"/>
      <c r="M43" s="122"/>
      <c r="N43" s="23"/>
      <c r="O43" s="23"/>
    </row>
    <row r="44" spans="2:15" x14ac:dyDescent="0.2">
      <c r="B44" s="193" t="s">
        <v>61</v>
      </c>
      <c r="C44" s="168" t="s">
        <v>64</v>
      </c>
      <c r="D44" s="122"/>
      <c r="E44" s="23"/>
      <c r="F44" s="23"/>
      <c r="G44" s="23"/>
      <c r="H44" s="23"/>
      <c r="I44" s="24"/>
      <c r="J44" s="24"/>
      <c r="K44" s="24"/>
      <c r="L44" s="122"/>
      <c r="M44" s="122"/>
      <c r="N44" s="23"/>
      <c r="O44" s="23"/>
    </row>
    <row r="45" spans="2:15" x14ac:dyDescent="0.2">
      <c r="B45" s="193" t="s">
        <v>75</v>
      </c>
      <c r="C45" s="23"/>
      <c r="D45" s="122"/>
      <c r="E45" s="23"/>
      <c r="F45" s="23"/>
      <c r="G45" s="23"/>
      <c r="H45" s="23"/>
      <c r="I45" s="24"/>
      <c r="J45" s="24"/>
      <c r="K45" s="24"/>
      <c r="L45" s="122"/>
      <c r="M45" s="122"/>
      <c r="N45" s="23"/>
      <c r="O45" s="23"/>
    </row>
    <row r="46" spans="2:15" x14ac:dyDescent="0.2">
      <c r="B46" s="196" t="s">
        <v>187</v>
      </c>
      <c r="C46" s="23">
        <v>0.4</v>
      </c>
      <c r="D46" s="122">
        <v>0</v>
      </c>
      <c r="E46" s="23">
        <v>365</v>
      </c>
      <c r="F46" s="23">
        <f t="shared" ref="F46:F48" si="14">C46*E46</f>
        <v>146</v>
      </c>
      <c r="G46" s="24">
        <f>G11</f>
        <v>0</v>
      </c>
      <c r="H46" s="169">
        <f t="shared" ref="H46:H53" si="15">G46*F46</f>
        <v>0</v>
      </c>
      <c r="I46" s="169">
        <f t="shared" ref="I46:I53" si="16">H46*0.1</f>
        <v>0</v>
      </c>
      <c r="J46" s="169">
        <f t="shared" ref="J46:J53" si="17">H46*0.05</f>
        <v>0</v>
      </c>
      <c r="K46" s="171">
        <f t="shared" ref="K46:K53" si="18">SUM(H46:J46)</f>
        <v>0</v>
      </c>
      <c r="L46" s="122">
        <f>ROUND(H46*Inputs!$F$45+I46*Inputs!$F$46+J46*Inputs!$F$47,0)</f>
        <v>0</v>
      </c>
      <c r="M46" s="122">
        <f t="shared" ref="M46:M53" si="19">D46*E46*G46</f>
        <v>0</v>
      </c>
      <c r="N46" s="23">
        <v>0</v>
      </c>
      <c r="O46" s="23" t="s">
        <v>219</v>
      </c>
    </row>
    <row r="47" spans="2:15" x14ac:dyDescent="0.2">
      <c r="B47" s="196" t="s">
        <v>188</v>
      </c>
      <c r="C47" s="23">
        <v>10</v>
      </c>
      <c r="D47" s="122">
        <v>0</v>
      </c>
      <c r="E47" s="23">
        <v>1</v>
      </c>
      <c r="F47" s="23">
        <f t="shared" si="14"/>
        <v>10</v>
      </c>
      <c r="G47" s="24">
        <f>G14</f>
        <v>0</v>
      </c>
      <c r="H47" s="169">
        <f t="shared" si="15"/>
        <v>0</v>
      </c>
      <c r="I47" s="169">
        <f t="shared" si="16"/>
        <v>0</v>
      </c>
      <c r="J47" s="169">
        <f t="shared" si="17"/>
        <v>0</v>
      </c>
      <c r="K47" s="171">
        <f t="shared" si="18"/>
        <v>0</v>
      </c>
      <c r="L47" s="122">
        <f>ROUND(H47*Inputs!$F$45+I47*Inputs!$F$46+J47*Inputs!$F$47,0)</f>
        <v>0</v>
      </c>
      <c r="M47" s="122">
        <f t="shared" si="19"/>
        <v>0</v>
      </c>
      <c r="N47" s="23">
        <v>0</v>
      </c>
      <c r="O47" s="23" t="s">
        <v>219</v>
      </c>
    </row>
    <row r="48" spans="2:15" x14ac:dyDescent="0.2">
      <c r="B48" s="196" t="s">
        <v>170</v>
      </c>
      <c r="C48" s="23">
        <v>0</v>
      </c>
      <c r="D48" s="122">
        <v>0</v>
      </c>
      <c r="E48" s="23">
        <v>1</v>
      </c>
      <c r="F48" s="23">
        <f t="shared" si="14"/>
        <v>0</v>
      </c>
      <c r="G48" s="24">
        <f>G17</f>
        <v>0</v>
      </c>
      <c r="H48" s="169">
        <f t="shared" si="15"/>
        <v>0</v>
      </c>
      <c r="I48" s="169">
        <f t="shared" si="16"/>
        <v>0</v>
      </c>
      <c r="J48" s="169">
        <f t="shared" si="17"/>
        <v>0</v>
      </c>
      <c r="K48" s="171">
        <f t="shared" si="18"/>
        <v>0</v>
      </c>
      <c r="L48" s="122">
        <f>ROUND(H48*Inputs!$F$45+I48*Inputs!$F$46+J48*Inputs!$F$47,0)</f>
        <v>0</v>
      </c>
      <c r="M48" s="122">
        <f t="shared" si="19"/>
        <v>0</v>
      </c>
      <c r="N48" s="23">
        <v>0</v>
      </c>
      <c r="O48" s="23" t="s">
        <v>55</v>
      </c>
    </row>
    <row r="49" spans="2:17" x14ac:dyDescent="0.2">
      <c r="B49" s="196" t="s">
        <v>189</v>
      </c>
      <c r="C49" s="23">
        <v>1</v>
      </c>
      <c r="D49" s="122">
        <v>0</v>
      </c>
      <c r="E49" s="23">
        <v>1</v>
      </c>
      <c r="F49" s="23">
        <f>C49*E49</f>
        <v>1</v>
      </c>
      <c r="G49" s="24">
        <f>G35</f>
        <v>0</v>
      </c>
      <c r="H49" s="169">
        <f t="shared" si="15"/>
        <v>0</v>
      </c>
      <c r="I49" s="169">
        <f t="shared" si="16"/>
        <v>0</v>
      </c>
      <c r="J49" s="169">
        <f t="shared" si="17"/>
        <v>0</v>
      </c>
      <c r="K49" s="171">
        <f t="shared" si="18"/>
        <v>0</v>
      </c>
      <c r="L49" s="122">
        <f>ROUND(H49*Inputs!$F$45+I49*Inputs!$F$46+J49*Inputs!$F$47,0)</f>
        <v>0</v>
      </c>
      <c r="M49" s="122">
        <f t="shared" si="19"/>
        <v>0</v>
      </c>
      <c r="N49" s="23">
        <v>0</v>
      </c>
      <c r="O49" s="23" t="s">
        <v>219</v>
      </c>
    </row>
    <row r="50" spans="2:17" x14ac:dyDescent="0.2">
      <c r="B50" s="196" t="s">
        <v>190</v>
      </c>
      <c r="C50" s="23">
        <v>0</v>
      </c>
      <c r="D50" s="122">
        <v>0</v>
      </c>
      <c r="E50" s="23">
        <v>1</v>
      </c>
      <c r="F50" s="23">
        <f t="shared" ref="F50:F53" si="20">C50*E50</f>
        <v>0</v>
      </c>
      <c r="G50" s="24">
        <f>G36</f>
        <v>0</v>
      </c>
      <c r="H50" s="169">
        <f t="shared" si="15"/>
        <v>0</v>
      </c>
      <c r="I50" s="169">
        <f t="shared" si="16"/>
        <v>0</v>
      </c>
      <c r="J50" s="169">
        <f t="shared" si="17"/>
        <v>0</v>
      </c>
      <c r="K50" s="171">
        <f t="shared" si="18"/>
        <v>0</v>
      </c>
      <c r="L50" s="122">
        <f>ROUND(H50*Inputs!$F$45+I50*Inputs!$F$46+J50*Inputs!$F$47,0)</f>
        <v>0</v>
      </c>
      <c r="M50" s="122">
        <f t="shared" si="19"/>
        <v>0</v>
      </c>
      <c r="N50" s="23">
        <v>0</v>
      </c>
      <c r="O50" s="23" t="s">
        <v>195</v>
      </c>
    </row>
    <row r="51" spans="2:17" ht="22.5" x14ac:dyDescent="0.2">
      <c r="B51" s="194" t="s">
        <v>240</v>
      </c>
      <c r="C51" s="265">
        <v>2</v>
      </c>
      <c r="D51" s="266">
        <v>0</v>
      </c>
      <c r="E51" s="265">
        <v>1</v>
      </c>
      <c r="F51" s="265">
        <f t="shared" si="20"/>
        <v>2</v>
      </c>
      <c r="G51" s="268">
        <f>G38</f>
        <v>0</v>
      </c>
      <c r="H51" s="267">
        <f t="shared" si="15"/>
        <v>0</v>
      </c>
      <c r="I51" s="267">
        <f t="shared" si="16"/>
        <v>0</v>
      </c>
      <c r="J51" s="267">
        <f t="shared" si="17"/>
        <v>0</v>
      </c>
      <c r="K51" s="171">
        <f t="shared" si="18"/>
        <v>0</v>
      </c>
      <c r="L51" s="266">
        <f>ROUND(H51*Inputs!$F$45+I51*Inputs!$F$46+J51*Inputs!$F$47,0)</f>
        <v>0</v>
      </c>
      <c r="M51" s="266">
        <f t="shared" si="19"/>
        <v>0</v>
      </c>
      <c r="N51" s="265">
        <v>0</v>
      </c>
      <c r="O51" s="265" t="s">
        <v>32</v>
      </c>
    </row>
    <row r="52" spans="2:17" x14ac:dyDescent="0.2">
      <c r="B52" s="196" t="s">
        <v>191</v>
      </c>
      <c r="C52" s="23">
        <v>75</v>
      </c>
      <c r="D52" s="122">
        <v>0</v>
      </c>
      <c r="E52" s="23">
        <v>1</v>
      </c>
      <c r="F52" s="23">
        <f t="shared" si="20"/>
        <v>75</v>
      </c>
      <c r="G52" s="24">
        <f>Inputs!$C$7</f>
        <v>21</v>
      </c>
      <c r="H52" s="169">
        <f t="shared" si="15"/>
        <v>1575</v>
      </c>
      <c r="I52" s="169">
        <f t="shared" si="16"/>
        <v>157.5</v>
      </c>
      <c r="J52" s="169">
        <f t="shared" si="17"/>
        <v>78.75</v>
      </c>
      <c r="K52" s="171">
        <f t="shared" si="18"/>
        <v>1811.25</v>
      </c>
      <c r="L52" s="122">
        <f>ROUND(H52*Inputs!$F$45+I52*Inputs!$F$46+J52*Inputs!$F$47,0)</f>
        <v>183357</v>
      </c>
      <c r="M52" s="122">
        <f t="shared" si="19"/>
        <v>0</v>
      </c>
      <c r="N52" s="23">
        <v>0</v>
      </c>
      <c r="O52" s="23" t="s">
        <v>36</v>
      </c>
    </row>
    <row r="53" spans="2:17" x14ac:dyDescent="0.2">
      <c r="B53" s="193" t="s">
        <v>76</v>
      </c>
      <c r="C53" s="23">
        <v>16</v>
      </c>
      <c r="D53" s="122">
        <v>0</v>
      </c>
      <c r="E53" s="23">
        <v>1</v>
      </c>
      <c r="F53" s="23">
        <f t="shared" si="20"/>
        <v>16</v>
      </c>
      <c r="G53" s="24">
        <f>Inputs!$C$3</f>
        <v>201</v>
      </c>
      <c r="H53" s="169">
        <f t="shared" si="15"/>
        <v>3216</v>
      </c>
      <c r="I53" s="169">
        <f t="shared" si="16"/>
        <v>321.60000000000002</v>
      </c>
      <c r="J53" s="169">
        <f t="shared" si="17"/>
        <v>160.80000000000001</v>
      </c>
      <c r="K53" s="171">
        <f t="shared" si="18"/>
        <v>3698.4</v>
      </c>
      <c r="L53" s="122">
        <f>ROUND(H53*Inputs!$F$45+I53*Inputs!$F$46+J53*Inputs!$F$47,0)</f>
        <v>374397</v>
      </c>
      <c r="M53" s="122">
        <f t="shared" si="19"/>
        <v>0</v>
      </c>
      <c r="N53" s="23">
        <v>0</v>
      </c>
      <c r="O53" s="23"/>
    </row>
    <row r="54" spans="2:17" x14ac:dyDescent="0.2">
      <c r="B54" s="193" t="s">
        <v>77</v>
      </c>
      <c r="C54" s="23" t="s">
        <v>64</v>
      </c>
      <c r="D54" s="122"/>
      <c r="E54" s="23"/>
      <c r="F54" s="23"/>
      <c r="G54" s="23"/>
      <c r="H54" s="169"/>
      <c r="I54" s="169"/>
      <c r="J54" s="169"/>
      <c r="K54" s="169"/>
      <c r="L54" s="122"/>
      <c r="M54" s="122"/>
      <c r="N54" s="23"/>
      <c r="O54" s="23"/>
    </row>
    <row r="55" spans="2:17" ht="12" thickBot="1" x14ac:dyDescent="0.25">
      <c r="B55" s="207" t="s">
        <v>62</v>
      </c>
      <c r="C55" s="208"/>
      <c r="D55" s="208"/>
      <c r="E55" s="208"/>
      <c r="F55" s="208"/>
      <c r="G55" s="208"/>
      <c r="H55" s="245">
        <f>SUM(H46:H53)</f>
        <v>4791</v>
      </c>
      <c r="I55" s="245">
        <f>SUM(I46:I53)</f>
        <v>479.1</v>
      </c>
      <c r="J55" s="245">
        <f>SUM(J46:J53)</f>
        <v>239.55</v>
      </c>
      <c r="K55" s="245">
        <f>SUM(K46:K53)</f>
        <v>5509.65</v>
      </c>
      <c r="L55" s="246">
        <f>SUM(L46:L53)</f>
        <v>557754</v>
      </c>
      <c r="M55" s="246">
        <f>SUM(M46:M52)</f>
        <v>0</v>
      </c>
      <c r="N55" s="247">
        <f>SUM(N46:N53)</f>
        <v>0</v>
      </c>
      <c r="O55" s="208"/>
    </row>
    <row r="56" spans="2:17" s="166" customFormat="1" ht="13.5" customHeight="1" thickTop="1" x14ac:dyDescent="0.25">
      <c r="B56" s="205" t="s">
        <v>35</v>
      </c>
      <c r="C56" s="206"/>
      <c r="D56" s="206"/>
      <c r="E56" s="206"/>
      <c r="F56" s="206"/>
      <c r="G56" s="206"/>
      <c r="H56" s="248">
        <f t="shared" ref="H56:N56" si="21">H55+H40</f>
        <v>9615</v>
      </c>
      <c r="I56" s="248">
        <f t="shared" si="21"/>
        <v>961.5</v>
      </c>
      <c r="J56" s="248">
        <f t="shared" si="21"/>
        <v>480.75</v>
      </c>
      <c r="K56" s="248">
        <f t="shared" si="21"/>
        <v>11057.25</v>
      </c>
      <c r="L56" s="249">
        <f t="shared" si="21"/>
        <v>1119350</v>
      </c>
      <c r="M56" s="249">
        <f t="shared" si="21"/>
        <v>0</v>
      </c>
      <c r="N56" s="250">
        <f t="shared" si="21"/>
        <v>0</v>
      </c>
      <c r="O56" s="206"/>
      <c r="Q56" s="167"/>
    </row>
    <row r="57" spans="2:17" ht="7.5" customHeight="1" x14ac:dyDescent="0.2">
      <c r="B57" s="198"/>
      <c r="C57" s="25"/>
      <c r="D57" s="25"/>
      <c r="E57" s="25"/>
      <c r="F57" s="25"/>
      <c r="G57" s="11"/>
      <c r="H57" s="9"/>
      <c r="I57" s="10"/>
      <c r="J57" s="10"/>
      <c r="K57" s="12"/>
      <c r="L57" s="12"/>
      <c r="M57" s="12"/>
      <c r="N57" s="25"/>
      <c r="O57" s="199"/>
    </row>
    <row r="58" spans="2:17" x14ac:dyDescent="0.2">
      <c r="B58" s="198"/>
      <c r="C58" s="25"/>
      <c r="D58" s="25"/>
      <c r="E58" s="25"/>
      <c r="F58" s="25"/>
      <c r="G58" s="9"/>
      <c r="H58" s="9"/>
      <c r="I58" s="10"/>
      <c r="J58" s="159" t="s">
        <v>57</v>
      </c>
      <c r="K58" s="159" t="s">
        <v>78</v>
      </c>
      <c r="L58" s="170" t="s">
        <v>79</v>
      </c>
      <c r="M58" s="170" t="s">
        <v>48</v>
      </c>
      <c r="N58" s="25"/>
      <c r="O58" s="199"/>
    </row>
    <row r="59" spans="2:17" x14ac:dyDescent="0.2">
      <c r="B59" s="198"/>
      <c r="C59" s="25"/>
      <c r="D59" s="25"/>
      <c r="E59" s="25"/>
      <c r="F59" s="25"/>
      <c r="G59" s="160" t="s">
        <v>80</v>
      </c>
      <c r="H59" s="161"/>
      <c r="I59" s="165"/>
      <c r="J59" s="159">
        <f>H56+I56+J56</f>
        <v>11057.25</v>
      </c>
      <c r="K59" s="129">
        <f>L56</f>
        <v>1119350</v>
      </c>
      <c r="L59" s="129">
        <f>M56</f>
        <v>0</v>
      </c>
      <c r="M59" s="129">
        <f>L59+K59</f>
        <v>1119350</v>
      </c>
      <c r="N59" s="25"/>
      <c r="O59" s="199"/>
    </row>
    <row r="60" spans="2:17" ht="7.5" customHeight="1" x14ac:dyDescent="0.2">
      <c r="B60" s="198"/>
      <c r="C60" s="25"/>
      <c r="D60" s="25"/>
      <c r="E60" s="25"/>
      <c r="F60" s="25"/>
      <c r="G60" s="11"/>
      <c r="H60" s="9"/>
      <c r="I60" s="10"/>
      <c r="J60" s="10"/>
      <c r="K60" s="12"/>
      <c r="L60" s="12"/>
      <c r="M60" s="12"/>
      <c r="N60" s="25"/>
      <c r="O60" s="199"/>
    </row>
    <row r="61" spans="2:17" x14ac:dyDescent="0.2">
      <c r="B61" s="198"/>
      <c r="C61" s="25"/>
      <c r="D61" s="25"/>
      <c r="E61" s="25"/>
      <c r="F61" s="25"/>
      <c r="G61" s="160" t="s">
        <v>81</v>
      </c>
      <c r="H61" s="161"/>
      <c r="I61" s="162"/>
      <c r="J61" s="162"/>
      <c r="K61" s="163"/>
      <c r="L61" s="164"/>
      <c r="M61" s="129">
        <v>0</v>
      </c>
      <c r="N61" s="25"/>
      <c r="O61" s="199"/>
    </row>
    <row r="62" spans="2:17" x14ac:dyDescent="0.2">
      <c r="B62" s="200"/>
      <c r="C62" s="201"/>
      <c r="D62" s="201"/>
      <c r="E62" s="201"/>
      <c r="F62" s="201"/>
      <c r="G62" s="160" t="s">
        <v>82</v>
      </c>
      <c r="H62" s="202"/>
      <c r="I62" s="202"/>
      <c r="J62" s="202"/>
      <c r="K62" s="163"/>
      <c r="L62" s="203"/>
      <c r="M62" s="129">
        <f>M56</f>
        <v>0</v>
      </c>
      <c r="N62" s="201"/>
      <c r="O62" s="204"/>
    </row>
    <row r="63" spans="2:17" ht="8.25" customHeight="1" x14ac:dyDescent="0.2"/>
    <row r="64" spans="2:17" x14ac:dyDescent="0.2">
      <c r="B64" s="19" t="s">
        <v>93</v>
      </c>
      <c r="L64" s="26"/>
    </row>
    <row r="65" spans="2:14" x14ac:dyDescent="0.2">
      <c r="B65" s="19" t="s">
        <v>193</v>
      </c>
    </row>
    <row r="66" spans="2:14" ht="11.25" customHeight="1" x14ac:dyDescent="0.2">
      <c r="B66" s="283" t="s">
        <v>194</v>
      </c>
      <c r="C66" s="283"/>
      <c r="D66" s="283"/>
      <c r="E66" s="283"/>
      <c r="F66" s="283"/>
      <c r="G66" s="283"/>
      <c r="H66" s="283"/>
      <c r="I66" s="283"/>
      <c r="J66" s="283"/>
      <c r="K66" s="283"/>
      <c r="L66" s="283"/>
      <c r="M66" s="283"/>
      <c r="N66" s="283"/>
    </row>
    <row r="67" spans="2:14" ht="22.5" customHeight="1" x14ac:dyDescent="0.2">
      <c r="B67" s="283" t="s">
        <v>233</v>
      </c>
      <c r="C67" s="283"/>
      <c r="D67" s="283"/>
      <c r="E67" s="283"/>
      <c r="F67" s="283"/>
      <c r="G67" s="283"/>
      <c r="H67" s="283"/>
      <c r="I67" s="283"/>
      <c r="J67" s="283"/>
      <c r="K67" s="283"/>
      <c r="L67" s="283"/>
      <c r="M67" s="283"/>
      <c r="N67" s="283"/>
    </row>
    <row r="68" spans="2:14" x14ac:dyDescent="0.2">
      <c r="B68" s="283" t="s">
        <v>196</v>
      </c>
      <c r="C68" s="283"/>
      <c r="D68" s="283"/>
      <c r="E68" s="283"/>
      <c r="F68" s="283"/>
      <c r="G68" s="283"/>
      <c r="H68" s="283"/>
      <c r="I68" s="283"/>
      <c r="J68" s="283"/>
      <c r="K68" s="283"/>
      <c r="L68" s="283"/>
      <c r="M68" s="283"/>
      <c r="N68" s="283"/>
    </row>
    <row r="69" spans="2:14" x14ac:dyDescent="0.2">
      <c r="B69" s="281" t="s">
        <v>197</v>
      </c>
      <c r="C69" s="281"/>
      <c r="D69" s="281"/>
      <c r="E69" s="281"/>
      <c r="F69" s="281"/>
      <c r="G69" s="281"/>
      <c r="H69" s="281"/>
      <c r="I69" s="281"/>
      <c r="J69" s="281"/>
      <c r="K69" s="281"/>
      <c r="L69" s="281"/>
      <c r="M69" s="281"/>
      <c r="N69" s="281"/>
    </row>
    <row r="70" spans="2:14" x14ac:dyDescent="0.2">
      <c r="B70" s="283" t="s">
        <v>198</v>
      </c>
      <c r="C70" s="283"/>
      <c r="D70" s="283"/>
      <c r="E70" s="283"/>
      <c r="F70" s="283"/>
      <c r="G70" s="283"/>
      <c r="H70" s="283"/>
      <c r="I70" s="283"/>
      <c r="J70" s="283"/>
      <c r="K70" s="283"/>
      <c r="L70" s="283"/>
      <c r="M70" s="283"/>
      <c r="N70" s="283"/>
    </row>
    <row r="72" spans="2:14" ht="11.25" customHeight="1" x14ac:dyDescent="0.2"/>
    <row r="73" spans="2:14" ht="11.25" customHeight="1" x14ac:dyDescent="0.2"/>
  </sheetData>
  <mergeCells count="6">
    <mergeCell ref="B69:N69"/>
    <mergeCell ref="B2:O2"/>
    <mergeCell ref="B70:N70"/>
    <mergeCell ref="B68:N68"/>
    <mergeCell ref="B66:N66"/>
    <mergeCell ref="B67:N67"/>
  </mergeCells>
  <printOptions horizontalCentered="1"/>
  <pageMargins left="0.5" right="0.5" top="0.5" bottom="0.5" header="0.3" footer="0.3"/>
  <pageSetup scale="86" fitToHeight="2" orientation="landscape" r:id="rId1"/>
  <rowBreaks count="1" manualBreakCount="1">
    <brk id="40" min="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5484-6ED1-43AC-B9C5-C1C2989C2314}">
  <sheetPr>
    <tabColor rgb="FF7030A0"/>
  </sheetPr>
  <dimension ref="B2:Q73"/>
  <sheetViews>
    <sheetView zoomScaleNormal="100" zoomScaleSheetLayoutView="80" workbookViewId="0">
      <pane ySplit="3" topLeftCell="A34" activePane="bottomLeft" state="frozen"/>
      <selection activeCell="Q53" sqref="Q53"/>
      <selection pane="bottomLeft" activeCell="G11" sqref="G11"/>
    </sheetView>
  </sheetViews>
  <sheetFormatPr defaultRowHeight="11.25" x14ac:dyDescent="0.2"/>
  <cols>
    <col min="1" max="1" width="2.140625" style="19" customWidth="1"/>
    <col min="2" max="2" width="32.5703125" style="19" customWidth="1"/>
    <col min="3" max="4" width="9.28515625" style="19" bestFit="1" customWidth="1"/>
    <col min="5" max="5" width="10.140625" style="19" bestFit="1" customWidth="1"/>
    <col min="6" max="6" width="9.7109375" style="19" customWidth="1"/>
    <col min="7" max="7" width="10.140625" style="19" bestFit="1" customWidth="1"/>
    <col min="8" max="8" width="7.85546875" style="19" bestFit="1" customWidth="1"/>
    <col min="9" max="9" width="8.85546875" style="19" bestFit="1" customWidth="1"/>
    <col min="10" max="10" width="9.7109375" style="19" bestFit="1" customWidth="1"/>
    <col min="11" max="11" width="8.85546875" style="19" bestFit="1" customWidth="1"/>
    <col min="12" max="12" width="9.5703125" style="19" bestFit="1" customWidth="1"/>
    <col min="13" max="13" width="9.42578125" style="19" bestFit="1" customWidth="1"/>
    <col min="14" max="14" width="8.85546875" style="19" bestFit="1" customWidth="1"/>
    <col min="15" max="15" width="4" style="19" customWidth="1"/>
    <col min="16" max="16" width="2.5703125" style="19" customWidth="1"/>
    <col min="17" max="17" width="29.140625" style="111" customWidth="1"/>
    <col min="18" max="16384" width="9.140625" style="19"/>
  </cols>
  <sheetData>
    <row r="2" spans="2:17" ht="15.75" x14ac:dyDescent="0.2">
      <c r="B2" s="282" t="s">
        <v>207</v>
      </c>
      <c r="C2" s="282"/>
      <c r="D2" s="282"/>
      <c r="E2" s="282"/>
      <c r="F2" s="282"/>
      <c r="G2" s="282"/>
      <c r="H2" s="282"/>
      <c r="I2" s="282"/>
      <c r="J2" s="282"/>
      <c r="K2" s="282"/>
      <c r="L2" s="282"/>
      <c r="M2" s="282"/>
      <c r="N2" s="282"/>
      <c r="O2" s="282"/>
    </row>
    <row r="3" spans="2:17" s="22" customFormat="1" ht="69.75" customHeight="1" x14ac:dyDescent="0.2">
      <c r="B3" s="168" t="s">
        <v>3</v>
      </c>
      <c r="C3" s="168" t="s">
        <v>4</v>
      </c>
      <c r="D3" s="168" t="s">
        <v>83</v>
      </c>
      <c r="E3" s="168" t="s">
        <v>89</v>
      </c>
      <c r="F3" s="168" t="s">
        <v>105</v>
      </c>
      <c r="G3" s="189" t="s">
        <v>90</v>
      </c>
      <c r="H3" s="190" t="s">
        <v>97</v>
      </c>
      <c r="I3" s="190" t="s">
        <v>91</v>
      </c>
      <c r="J3" s="190" t="s">
        <v>92</v>
      </c>
      <c r="K3" s="190" t="s">
        <v>111</v>
      </c>
      <c r="L3" s="168" t="s">
        <v>112</v>
      </c>
      <c r="M3" s="190" t="s">
        <v>113</v>
      </c>
      <c r="N3" s="190" t="s">
        <v>114</v>
      </c>
      <c r="O3" s="191" t="s">
        <v>5</v>
      </c>
    </row>
    <row r="4" spans="2:17" ht="10.5" customHeight="1" x14ac:dyDescent="0.2">
      <c r="B4" s="192" t="s">
        <v>63</v>
      </c>
      <c r="C4" s="269" t="s">
        <v>64</v>
      </c>
      <c r="D4" s="265"/>
      <c r="E4" s="265"/>
      <c r="F4" s="265"/>
      <c r="G4" s="265"/>
      <c r="H4" s="265"/>
      <c r="I4" s="265"/>
      <c r="J4" s="265"/>
      <c r="K4" s="265"/>
      <c r="L4" s="265"/>
      <c r="M4" s="265"/>
      <c r="N4" s="265"/>
      <c r="O4" s="265"/>
    </row>
    <row r="5" spans="2:17" ht="10.5" customHeight="1" x14ac:dyDescent="0.2">
      <c r="B5" s="192" t="s">
        <v>65</v>
      </c>
      <c r="C5" s="269" t="s">
        <v>64</v>
      </c>
      <c r="D5" s="265"/>
      <c r="E5" s="265"/>
      <c r="F5" s="265"/>
      <c r="G5" s="265"/>
      <c r="H5" s="265"/>
      <c r="I5" s="265"/>
      <c r="J5" s="265"/>
      <c r="K5" s="265"/>
      <c r="L5" s="265"/>
      <c r="M5" s="265"/>
      <c r="N5" s="265"/>
      <c r="O5" s="265"/>
    </row>
    <row r="6" spans="2:17" ht="10.5" customHeight="1" x14ac:dyDescent="0.2">
      <c r="B6" s="192" t="s">
        <v>66</v>
      </c>
      <c r="C6" s="269"/>
      <c r="D6" s="265"/>
      <c r="E6" s="265"/>
      <c r="F6" s="265"/>
      <c r="G6" s="265"/>
      <c r="H6" s="265"/>
      <c r="I6" s="265"/>
      <c r="J6" s="265"/>
      <c r="K6" s="265"/>
      <c r="L6" s="265"/>
      <c r="M6" s="265"/>
      <c r="N6" s="265"/>
      <c r="O6" s="265"/>
    </row>
    <row r="7" spans="2:17" x14ac:dyDescent="0.2">
      <c r="B7" s="193" t="s">
        <v>67</v>
      </c>
      <c r="C7" s="265">
        <v>24</v>
      </c>
      <c r="D7" s="266">
        <v>0</v>
      </c>
      <c r="E7" s="265">
        <v>1</v>
      </c>
      <c r="F7" s="265">
        <f>C7*E7</f>
        <v>24</v>
      </c>
      <c r="G7" s="268">
        <v>0</v>
      </c>
      <c r="H7" s="265">
        <f>G7*F7</f>
        <v>0</v>
      </c>
      <c r="I7" s="268">
        <f>H7*0.1</f>
        <v>0</v>
      </c>
      <c r="J7" s="268">
        <f>H7*0.05</f>
        <v>0</v>
      </c>
      <c r="K7" s="128">
        <f>SUM(H7:J7)</f>
        <v>0</v>
      </c>
      <c r="L7" s="266">
        <f>ROUND(H7*Inputs!$F$45+I7*Inputs!$F$46+J7*Inputs!$F$47,0)</f>
        <v>0</v>
      </c>
      <c r="M7" s="266">
        <f>D7*E7*G7</f>
        <v>0</v>
      </c>
      <c r="N7" s="265">
        <v>0</v>
      </c>
      <c r="O7" s="265" t="s">
        <v>36</v>
      </c>
    </row>
    <row r="8" spans="2:17" x14ac:dyDescent="0.2">
      <c r="B8" s="193" t="s">
        <v>68</v>
      </c>
      <c r="C8" s="265"/>
      <c r="D8" s="266"/>
      <c r="E8" s="265"/>
      <c r="F8" s="265"/>
      <c r="G8" s="265"/>
      <c r="H8" s="265"/>
      <c r="I8" s="268"/>
      <c r="J8" s="268"/>
      <c r="K8" s="268"/>
      <c r="L8" s="266"/>
      <c r="M8" s="266"/>
      <c r="N8" s="265"/>
      <c r="O8" s="265"/>
    </row>
    <row r="9" spans="2:17" x14ac:dyDescent="0.2">
      <c r="B9" s="196" t="s">
        <v>168</v>
      </c>
      <c r="C9" s="265"/>
      <c r="D9" s="266"/>
      <c r="E9" s="265"/>
      <c r="F9" s="265"/>
      <c r="G9" s="268"/>
      <c r="H9" s="265"/>
      <c r="I9" s="268"/>
      <c r="J9" s="268"/>
      <c r="K9" s="128"/>
      <c r="L9" s="266"/>
      <c r="M9" s="266"/>
      <c r="N9" s="265"/>
      <c r="O9" s="265" t="s">
        <v>220</v>
      </c>
    </row>
    <row r="10" spans="2:17" x14ac:dyDescent="0.2">
      <c r="B10" s="195" t="s">
        <v>100</v>
      </c>
      <c r="C10" s="265">
        <v>0</v>
      </c>
      <c r="D10" s="266">
        <f>Inputs!F27</f>
        <v>810761</v>
      </c>
      <c r="E10" s="265">
        <v>1</v>
      </c>
      <c r="F10" s="265">
        <f>C10*E10</f>
        <v>0</v>
      </c>
      <c r="G10" s="267">
        <f>Inputs!D7</f>
        <v>7</v>
      </c>
      <c r="H10" s="265">
        <f>G10*F10</f>
        <v>0</v>
      </c>
      <c r="I10" s="268">
        <f>H10*0.1</f>
        <v>0</v>
      </c>
      <c r="J10" s="268">
        <f>H10*0.05</f>
        <v>0</v>
      </c>
      <c r="K10" s="128">
        <f>SUM(H10:J10)</f>
        <v>0</v>
      </c>
      <c r="L10" s="266">
        <f>ROUND(H10*Inputs!$F$45+I10*Inputs!$F$46+J10*Inputs!$F$47,0)</f>
        <v>0</v>
      </c>
      <c r="M10" s="266">
        <f>D10*E10*G10</f>
        <v>5675327</v>
      </c>
      <c r="N10" s="265">
        <v>0</v>
      </c>
      <c r="O10" s="265"/>
      <c r="Q10" s="111" t="s">
        <v>213</v>
      </c>
    </row>
    <row r="11" spans="2:17" x14ac:dyDescent="0.2">
      <c r="B11" s="195" t="s">
        <v>101</v>
      </c>
      <c r="C11" s="265">
        <v>0</v>
      </c>
      <c r="D11" s="266">
        <f>Inputs!G27</f>
        <v>160133</v>
      </c>
      <c r="E11" s="265">
        <v>1</v>
      </c>
      <c r="F11" s="265">
        <f>C11*E11</f>
        <v>0</v>
      </c>
      <c r="G11" s="267">
        <f>G10</f>
        <v>7</v>
      </c>
      <c r="H11" s="265">
        <f>G11*F11</f>
        <v>0</v>
      </c>
      <c r="I11" s="268">
        <f>H11*0.1</f>
        <v>0</v>
      </c>
      <c r="J11" s="268">
        <f>H11*0.05</f>
        <v>0</v>
      </c>
      <c r="K11" s="128">
        <f>SUM(H11:J11)</f>
        <v>0</v>
      </c>
      <c r="L11" s="266">
        <f>ROUND(H11*Inputs!$F$45+I11*Inputs!$F$46+J11*Inputs!$F$47,0)</f>
        <v>0</v>
      </c>
      <c r="M11" s="266">
        <f>D11*E11*G11</f>
        <v>1120931</v>
      </c>
      <c r="N11" s="265">
        <v>0</v>
      </c>
      <c r="O11" s="265"/>
    </row>
    <row r="12" spans="2:17" x14ac:dyDescent="0.2">
      <c r="B12" s="196" t="s">
        <v>169</v>
      </c>
      <c r="C12" s="265"/>
      <c r="D12" s="266"/>
      <c r="E12" s="265"/>
      <c r="F12" s="265"/>
      <c r="G12" s="267"/>
      <c r="H12" s="265"/>
      <c r="I12" s="268"/>
      <c r="J12" s="268"/>
      <c r="K12" s="268"/>
      <c r="L12" s="266"/>
      <c r="M12" s="266"/>
      <c r="N12" s="265"/>
      <c r="O12" s="265" t="s">
        <v>219</v>
      </c>
    </row>
    <row r="13" spans="2:17" x14ac:dyDescent="0.2">
      <c r="B13" s="195" t="s">
        <v>100</v>
      </c>
      <c r="C13" s="265">
        <v>0</v>
      </c>
      <c r="D13" s="266">
        <f>Inputs!C33</f>
        <v>63150</v>
      </c>
      <c r="E13" s="265">
        <v>1</v>
      </c>
      <c r="F13" s="265">
        <f>C13*E13</f>
        <v>0</v>
      </c>
      <c r="G13" s="267">
        <f>Inputs!D3</f>
        <v>67</v>
      </c>
      <c r="H13" s="265">
        <f>G13*F13</f>
        <v>0</v>
      </c>
      <c r="I13" s="268">
        <f>H13*0.1</f>
        <v>0</v>
      </c>
      <c r="J13" s="268">
        <f>H13*0.05</f>
        <v>0</v>
      </c>
      <c r="K13" s="128">
        <f>SUM(H13:J13)</f>
        <v>0</v>
      </c>
      <c r="L13" s="266">
        <f>ROUND(H13*Inputs!$F$45+I13*Inputs!$F$46+J13*Inputs!$F$47,0)</f>
        <v>0</v>
      </c>
      <c r="M13" s="266">
        <f>D13*E13*G13</f>
        <v>4231050</v>
      </c>
      <c r="N13" s="265">
        <v>0</v>
      </c>
      <c r="O13" s="265"/>
      <c r="Q13" s="111" t="s">
        <v>213</v>
      </c>
    </row>
    <row r="14" spans="2:17" x14ac:dyDescent="0.2">
      <c r="B14" s="195" t="s">
        <v>101</v>
      </c>
      <c r="C14" s="265">
        <v>0</v>
      </c>
      <c r="D14" s="266">
        <f>Inputs!D33</f>
        <v>8349</v>
      </c>
      <c r="E14" s="265">
        <v>1</v>
      </c>
      <c r="F14" s="265">
        <f>C14*E14</f>
        <v>0</v>
      </c>
      <c r="G14" s="267">
        <f>G13</f>
        <v>67</v>
      </c>
      <c r="H14" s="265">
        <f>G14*F14</f>
        <v>0</v>
      </c>
      <c r="I14" s="268">
        <f>H14*0.1</f>
        <v>0</v>
      </c>
      <c r="J14" s="268">
        <f>H14*0.05</f>
        <v>0</v>
      </c>
      <c r="K14" s="128">
        <f>SUM(H14:J14)</f>
        <v>0</v>
      </c>
      <c r="L14" s="266">
        <f>ROUND(H14*Inputs!$F$45+I14*Inputs!$F$46+J14*Inputs!$F$47,0)</f>
        <v>0</v>
      </c>
      <c r="M14" s="266">
        <f>D14*E14*G14</f>
        <v>559383</v>
      </c>
      <c r="N14" s="265">
        <v>0</v>
      </c>
      <c r="O14" s="265"/>
    </row>
    <row r="15" spans="2:17" x14ac:dyDescent="0.2">
      <c r="B15" s="196" t="s">
        <v>170</v>
      </c>
      <c r="C15" s="265"/>
      <c r="D15" s="266"/>
      <c r="E15" s="265"/>
      <c r="F15" s="265"/>
      <c r="G15" s="267"/>
      <c r="H15" s="265"/>
      <c r="I15" s="268"/>
      <c r="J15" s="268"/>
      <c r="K15" s="268"/>
      <c r="L15" s="266"/>
      <c r="M15" s="266"/>
      <c r="N15" s="265"/>
      <c r="O15" s="265" t="s">
        <v>219</v>
      </c>
    </row>
    <row r="16" spans="2:17" x14ac:dyDescent="0.2">
      <c r="B16" s="195" t="s">
        <v>100</v>
      </c>
      <c r="C16" s="265">
        <v>0</v>
      </c>
      <c r="D16" s="266">
        <f>Inputs!C39</f>
        <v>7379</v>
      </c>
      <c r="E16" s="265">
        <v>1</v>
      </c>
      <c r="F16" s="265">
        <f>C16*E16</f>
        <v>0</v>
      </c>
      <c r="G16" s="267">
        <f>Inputs!D3</f>
        <v>67</v>
      </c>
      <c r="H16" s="265">
        <f>G16*F16</f>
        <v>0</v>
      </c>
      <c r="I16" s="268">
        <f>H16*0.1</f>
        <v>0</v>
      </c>
      <c r="J16" s="268">
        <f>H16*0.05</f>
        <v>0</v>
      </c>
      <c r="K16" s="128">
        <f>SUM(H16:J16)</f>
        <v>0</v>
      </c>
      <c r="L16" s="266">
        <f>ROUND(H16*Inputs!$F$45+I16*Inputs!$F$46+J16*Inputs!$F$47,0)</f>
        <v>0</v>
      </c>
      <c r="M16" s="266">
        <f>D16*E16*G16</f>
        <v>494393</v>
      </c>
      <c r="N16" s="265">
        <v>0</v>
      </c>
      <c r="O16" s="265"/>
      <c r="Q16" s="111" t="s">
        <v>213</v>
      </c>
    </row>
    <row r="17" spans="2:17" x14ac:dyDescent="0.2">
      <c r="B17" s="195" t="s">
        <v>101</v>
      </c>
      <c r="C17" s="265">
        <v>0</v>
      </c>
      <c r="D17" s="266">
        <f>Inputs!D39</f>
        <v>1705</v>
      </c>
      <c r="E17" s="265">
        <v>1</v>
      </c>
      <c r="F17" s="265">
        <f>C17*E17</f>
        <v>0</v>
      </c>
      <c r="G17" s="267">
        <f>G16</f>
        <v>67</v>
      </c>
      <c r="H17" s="265">
        <f>G17*F17</f>
        <v>0</v>
      </c>
      <c r="I17" s="268">
        <f>H17*0.1</f>
        <v>0</v>
      </c>
      <c r="J17" s="268">
        <f>H17*0.05</f>
        <v>0</v>
      </c>
      <c r="K17" s="128">
        <f>SUM(H17:J17)</f>
        <v>0</v>
      </c>
      <c r="L17" s="266">
        <f>ROUND(H17*Inputs!$F$45+I17*Inputs!$F$46+J17*Inputs!$F$47,0)</f>
        <v>0</v>
      </c>
      <c r="M17" s="266">
        <f>D17*E17*G17</f>
        <v>114235</v>
      </c>
      <c r="N17" s="265">
        <v>0</v>
      </c>
      <c r="O17" s="265"/>
    </row>
    <row r="18" spans="2:17" ht="22.5" x14ac:dyDescent="0.2">
      <c r="B18" s="194" t="s">
        <v>234</v>
      </c>
      <c r="C18" s="265"/>
      <c r="D18" s="266"/>
      <c r="E18" s="265"/>
      <c r="F18" s="265"/>
      <c r="G18" s="267"/>
      <c r="H18" s="265"/>
      <c r="I18" s="268"/>
      <c r="J18" s="268"/>
      <c r="K18" s="268"/>
      <c r="L18" s="266"/>
      <c r="M18" s="266"/>
      <c r="N18" s="265"/>
      <c r="O18" s="265" t="s">
        <v>221</v>
      </c>
    </row>
    <row r="19" spans="2:17" x14ac:dyDescent="0.2">
      <c r="B19" s="195" t="s">
        <v>100</v>
      </c>
      <c r="C19" s="265">
        <v>0</v>
      </c>
      <c r="D19" s="266">
        <f>Inputs!C15</f>
        <v>23200</v>
      </c>
      <c r="E19" s="265">
        <v>1</v>
      </c>
      <c r="F19" s="265">
        <f>C19*E19</f>
        <v>0</v>
      </c>
      <c r="G19" s="268">
        <f>Inputs!$C$5+Inputs!$C$6</f>
        <v>6</v>
      </c>
      <c r="H19" s="265">
        <f>G19*F19</f>
        <v>0</v>
      </c>
      <c r="I19" s="268">
        <f>H19*0.1</f>
        <v>0</v>
      </c>
      <c r="J19" s="268">
        <f>H19*0.05</f>
        <v>0</v>
      </c>
      <c r="K19" s="128">
        <f>SUM(H19:J19)</f>
        <v>0</v>
      </c>
      <c r="L19" s="266">
        <f>ROUND(H19*Inputs!$F$45+I19*Inputs!$F$46+J19*Inputs!$F$47,0)</f>
        <v>0</v>
      </c>
      <c r="M19" s="266">
        <f>D19*E19*G19</f>
        <v>139200</v>
      </c>
      <c r="N19" s="265">
        <v>0</v>
      </c>
      <c r="O19" s="265"/>
    </row>
    <row r="20" spans="2:17" x14ac:dyDescent="0.2">
      <c r="B20" s="195" t="s">
        <v>101</v>
      </c>
      <c r="C20" s="265">
        <v>0</v>
      </c>
      <c r="D20" s="266">
        <f>Inputs!C16</f>
        <v>4900</v>
      </c>
      <c r="E20" s="265">
        <v>1</v>
      </c>
      <c r="F20" s="265">
        <f>C20*E20</f>
        <v>0</v>
      </c>
      <c r="G20" s="268">
        <f>Inputs!$C$5+Inputs!$C$6</f>
        <v>6</v>
      </c>
      <c r="H20" s="265">
        <f>G20*F20</f>
        <v>0</v>
      </c>
      <c r="I20" s="268">
        <f>H20*0.1</f>
        <v>0</v>
      </c>
      <c r="J20" s="268">
        <f>H20*0.05</f>
        <v>0</v>
      </c>
      <c r="K20" s="128">
        <f>SUM(H20:J20)</f>
        <v>0</v>
      </c>
      <c r="L20" s="266">
        <f>ROUND(H20*Inputs!$F$45+I20*Inputs!$F$46+J20*Inputs!$F$47,0)</f>
        <v>0</v>
      </c>
      <c r="M20" s="266">
        <f>D20*E20*G20</f>
        <v>29400</v>
      </c>
      <c r="N20" s="265">
        <v>0</v>
      </c>
      <c r="O20" s="265"/>
    </row>
    <row r="21" spans="2:17" ht="22.5" x14ac:dyDescent="0.2">
      <c r="B21" s="194" t="s">
        <v>235</v>
      </c>
      <c r="C21" s="265"/>
      <c r="D21" s="266"/>
      <c r="E21" s="265"/>
      <c r="F21" s="265"/>
      <c r="G21" s="267"/>
      <c r="H21" s="265"/>
      <c r="I21" s="268"/>
      <c r="J21" s="268"/>
      <c r="K21" s="128"/>
      <c r="L21" s="266"/>
      <c r="M21" s="266"/>
      <c r="N21" s="265"/>
      <c r="O21" s="265" t="s">
        <v>221</v>
      </c>
    </row>
    <row r="22" spans="2:17" x14ac:dyDescent="0.2">
      <c r="B22" s="195" t="s">
        <v>177</v>
      </c>
      <c r="C22" s="265">
        <v>0</v>
      </c>
      <c r="D22" s="266">
        <f>Inputs!C17</f>
        <v>38302</v>
      </c>
      <c r="E22" s="265">
        <v>1</v>
      </c>
      <c r="F22" s="265">
        <f>C22*E22</f>
        <v>0</v>
      </c>
      <c r="G22" s="268">
        <f>Inputs!$C$5+Inputs!$C$6</f>
        <v>6</v>
      </c>
      <c r="H22" s="265">
        <f>G22*F22</f>
        <v>0</v>
      </c>
      <c r="I22" s="268">
        <f>H22*0.1</f>
        <v>0</v>
      </c>
      <c r="J22" s="268">
        <f>H22*0.05</f>
        <v>0</v>
      </c>
      <c r="K22" s="128">
        <f>SUM(H22:J22)</f>
        <v>0</v>
      </c>
      <c r="L22" s="266">
        <f>ROUND(H22*Inputs!$F$45+I22*Inputs!$F$46+J22*Inputs!$F$47,0)</f>
        <v>0</v>
      </c>
      <c r="M22" s="266">
        <f>D22*E22*G22</f>
        <v>229812</v>
      </c>
      <c r="N22" s="265">
        <v>0</v>
      </c>
      <c r="O22" s="265"/>
    </row>
    <row r="23" spans="2:17" x14ac:dyDescent="0.2">
      <c r="B23" s="195" t="s">
        <v>178</v>
      </c>
      <c r="C23" s="265">
        <v>0</v>
      </c>
      <c r="D23" s="266">
        <f>Inputs!C18</f>
        <v>19151</v>
      </c>
      <c r="E23" s="265">
        <v>1</v>
      </c>
      <c r="F23" s="265">
        <f>C23*E23</f>
        <v>0</v>
      </c>
      <c r="G23" s="267">
        <v>0</v>
      </c>
      <c r="H23" s="265">
        <f>G23*F23</f>
        <v>0</v>
      </c>
      <c r="I23" s="268">
        <f>H23*0.1</f>
        <v>0</v>
      </c>
      <c r="J23" s="268">
        <f>H23*0.05</f>
        <v>0</v>
      </c>
      <c r="K23" s="128">
        <f>SUM(H23:J23)</f>
        <v>0</v>
      </c>
      <c r="L23" s="266">
        <f>ROUND(H23*Inputs!$F$45+I23*Inputs!$F$46+J23*Inputs!$F$47,0)</f>
        <v>0</v>
      </c>
      <c r="M23" s="266">
        <f>D23*E23*G23</f>
        <v>0</v>
      </c>
      <c r="N23" s="265">
        <v>0</v>
      </c>
      <c r="O23" s="265"/>
    </row>
    <row r="24" spans="2:17" x14ac:dyDescent="0.2">
      <c r="B24" s="193" t="s">
        <v>69</v>
      </c>
      <c r="C24" s="265" t="s">
        <v>71</v>
      </c>
      <c r="D24" s="266"/>
      <c r="E24" s="265"/>
      <c r="F24" s="265"/>
      <c r="G24" s="265"/>
      <c r="H24" s="265"/>
      <c r="I24" s="268"/>
      <c r="J24" s="268"/>
      <c r="K24" s="268"/>
      <c r="L24" s="266"/>
      <c r="M24" s="266"/>
      <c r="N24" s="265"/>
      <c r="O24" s="265"/>
    </row>
    <row r="25" spans="2:17" x14ac:dyDescent="0.2">
      <c r="B25" s="193" t="s">
        <v>70</v>
      </c>
      <c r="C25" s="265" t="s">
        <v>72</v>
      </c>
      <c r="D25" s="266"/>
      <c r="E25" s="265"/>
      <c r="F25" s="265"/>
      <c r="G25" s="265"/>
      <c r="H25" s="265"/>
      <c r="I25" s="268"/>
      <c r="J25" s="268"/>
      <c r="K25" s="268"/>
      <c r="L25" s="266"/>
      <c r="M25" s="266"/>
      <c r="N25" s="265"/>
      <c r="O25" s="265"/>
    </row>
    <row r="26" spans="2:17" x14ac:dyDescent="0.2">
      <c r="B26" s="193" t="s">
        <v>73</v>
      </c>
      <c r="C26" s="265"/>
      <c r="D26" s="266"/>
      <c r="E26" s="265"/>
      <c r="F26" s="265"/>
      <c r="G26" s="265"/>
      <c r="H26" s="265"/>
      <c r="I26" s="268"/>
      <c r="J26" s="268"/>
      <c r="K26" s="268"/>
      <c r="L26" s="266"/>
      <c r="M26" s="266"/>
      <c r="N26" s="265"/>
      <c r="O26" s="265"/>
    </row>
    <row r="27" spans="2:17" x14ac:dyDescent="0.2">
      <c r="B27" s="194" t="s">
        <v>185</v>
      </c>
      <c r="C27" s="265"/>
      <c r="D27" s="266"/>
      <c r="E27" s="265"/>
      <c r="F27" s="265"/>
      <c r="G27" s="265"/>
      <c r="H27" s="265"/>
      <c r="I27" s="268"/>
      <c r="J27" s="268"/>
      <c r="K27" s="128"/>
      <c r="L27" s="266"/>
      <c r="M27" s="266"/>
      <c r="N27" s="265"/>
      <c r="O27" s="265"/>
    </row>
    <row r="28" spans="2:17" x14ac:dyDescent="0.2">
      <c r="B28" s="195" t="s">
        <v>116</v>
      </c>
      <c r="C28" s="265">
        <v>5</v>
      </c>
      <c r="D28" s="266">
        <v>0</v>
      </c>
      <c r="E28" s="265">
        <v>1</v>
      </c>
      <c r="F28" s="265">
        <f t="shared" ref="F28:F29" si="0">C28*E28</f>
        <v>5</v>
      </c>
      <c r="G28" s="268">
        <f>G10</f>
        <v>7</v>
      </c>
      <c r="H28" s="265">
        <f t="shared" ref="H28:H29" si="1">G28*F28</f>
        <v>35</v>
      </c>
      <c r="I28" s="268">
        <f t="shared" ref="I28:I29" si="2">H28*0.1</f>
        <v>3.5</v>
      </c>
      <c r="J28" s="268">
        <f t="shared" ref="J28:J29" si="3">H28*0.05</f>
        <v>1.75</v>
      </c>
      <c r="K28" s="128">
        <f t="shared" ref="K28:K29" si="4">SUM(H28:J28)</f>
        <v>40.25</v>
      </c>
      <c r="L28" s="266">
        <f>ROUND(H28*Inputs!$F$45+I28*Inputs!$F$46+J28*Inputs!$F$47,0)</f>
        <v>4075</v>
      </c>
      <c r="M28" s="266">
        <f t="shared" ref="M28:M29" si="5">D28*E28*G28</f>
        <v>0</v>
      </c>
      <c r="N28" s="265">
        <f t="shared" ref="N28:N29" si="6">G28*E28</f>
        <v>7</v>
      </c>
      <c r="O28" s="265" t="s">
        <v>219</v>
      </c>
      <c r="Q28" s="111" t="s">
        <v>213</v>
      </c>
    </row>
    <row r="29" spans="2:17" x14ac:dyDescent="0.2">
      <c r="B29" s="195" t="s">
        <v>117</v>
      </c>
      <c r="C29" s="265">
        <v>15</v>
      </c>
      <c r="D29" s="266">
        <v>0</v>
      </c>
      <c r="E29" s="265">
        <v>1</v>
      </c>
      <c r="F29" s="265">
        <f t="shared" si="0"/>
        <v>15</v>
      </c>
      <c r="G29" s="268">
        <f>G13</f>
        <v>67</v>
      </c>
      <c r="H29" s="265">
        <f t="shared" si="1"/>
        <v>1005</v>
      </c>
      <c r="I29" s="268">
        <f t="shared" si="2"/>
        <v>100.5</v>
      </c>
      <c r="J29" s="268">
        <f t="shared" si="3"/>
        <v>50.25</v>
      </c>
      <c r="K29" s="128">
        <f t="shared" si="4"/>
        <v>1155.75</v>
      </c>
      <c r="L29" s="266">
        <f>ROUND(H29*Inputs!$F$45+I29*Inputs!$F$46+J29*Inputs!$F$47,0)</f>
        <v>116999</v>
      </c>
      <c r="M29" s="266">
        <f t="shared" si="5"/>
        <v>0</v>
      </c>
      <c r="N29" s="265">
        <f t="shared" si="6"/>
        <v>67</v>
      </c>
      <c r="O29" s="265" t="s">
        <v>219</v>
      </c>
      <c r="Q29" s="111" t="s">
        <v>213</v>
      </c>
    </row>
    <row r="30" spans="2:17" ht="22.5" x14ac:dyDescent="0.2">
      <c r="B30" s="264" t="s">
        <v>236</v>
      </c>
      <c r="C30" s="265">
        <v>4</v>
      </c>
      <c r="D30" s="266">
        <v>0</v>
      </c>
      <c r="E30" s="265">
        <v>1</v>
      </c>
      <c r="F30" s="265">
        <f t="shared" ref="F30:F31" si="7">C30*E30</f>
        <v>4</v>
      </c>
      <c r="G30" s="268">
        <f>Inputs!$C$5+Inputs!$C$6</f>
        <v>6</v>
      </c>
      <c r="H30" s="265">
        <f t="shared" ref="H30:H31" si="8">G30*F30</f>
        <v>24</v>
      </c>
      <c r="I30" s="268">
        <f t="shared" ref="I30:I31" si="9">H30*0.1</f>
        <v>2.4000000000000004</v>
      </c>
      <c r="J30" s="268">
        <f t="shared" ref="J30:J31" si="10">H30*0.05</f>
        <v>1.2000000000000002</v>
      </c>
      <c r="K30" s="128">
        <f t="shared" ref="K30:K31" si="11">SUM(H30:J30)</f>
        <v>27.599999999999998</v>
      </c>
      <c r="L30" s="266">
        <f>ROUND(H30*Inputs!$F$45+I30*Inputs!$F$46+J30*Inputs!$F$47,0)</f>
        <v>2794</v>
      </c>
      <c r="M30" s="266">
        <f t="shared" ref="M30:M31" si="12">D30*E30*G30</f>
        <v>0</v>
      </c>
      <c r="N30" s="265">
        <f t="shared" ref="N30:N31" si="13">G30*E30</f>
        <v>6</v>
      </c>
      <c r="O30" s="265" t="s">
        <v>32</v>
      </c>
    </row>
    <row r="31" spans="2:17" x14ac:dyDescent="0.2">
      <c r="B31" s="195" t="s">
        <v>237</v>
      </c>
      <c r="C31" s="265">
        <v>4</v>
      </c>
      <c r="D31" s="266">
        <v>0</v>
      </c>
      <c r="E31" s="265">
        <v>1</v>
      </c>
      <c r="F31" s="265">
        <f t="shared" si="7"/>
        <v>4</v>
      </c>
      <c r="G31" s="268">
        <f>Inputs!$C$4</f>
        <v>8</v>
      </c>
      <c r="H31" s="265">
        <f t="shared" si="8"/>
        <v>32</v>
      </c>
      <c r="I31" s="268">
        <f t="shared" si="9"/>
        <v>3.2</v>
      </c>
      <c r="J31" s="268">
        <f t="shared" si="10"/>
        <v>1.6</v>
      </c>
      <c r="K31" s="128">
        <f t="shared" si="11"/>
        <v>36.800000000000004</v>
      </c>
      <c r="L31" s="266">
        <f>ROUND(H31*Inputs!$F$45+I31*Inputs!$F$46+J31*Inputs!$F$47,0)</f>
        <v>3725</v>
      </c>
      <c r="M31" s="266">
        <f t="shared" si="12"/>
        <v>0</v>
      </c>
      <c r="N31" s="265">
        <f t="shared" si="13"/>
        <v>8</v>
      </c>
      <c r="O31" s="265" t="s">
        <v>32</v>
      </c>
    </row>
    <row r="32" spans="2:17" x14ac:dyDescent="0.2">
      <c r="B32" s="196" t="s">
        <v>186</v>
      </c>
      <c r="C32" s="265"/>
      <c r="D32" s="266"/>
      <c r="E32" s="265"/>
      <c r="F32" s="265"/>
      <c r="G32" s="268"/>
      <c r="H32" s="265"/>
      <c r="I32" s="268"/>
      <c r="J32" s="268"/>
      <c r="K32" s="128"/>
      <c r="L32" s="266"/>
      <c r="M32" s="266"/>
      <c r="N32" s="265"/>
      <c r="O32" s="265"/>
    </row>
    <row r="33" spans="2:17" x14ac:dyDescent="0.2">
      <c r="B33" s="195" t="s">
        <v>116</v>
      </c>
      <c r="C33" s="265">
        <v>5</v>
      </c>
      <c r="D33" s="266">
        <v>0</v>
      </c>
      <c r="E33" s="265">
        <v>2</v>
      </c>
      <c r="F33" s="265">
        <f t="shared" ref="F33:F37" si="14">C33*E33</f>
        <v>10</v>
      </c>
      <c r="G33" s="268">
        <f>G11</f>
        <v>7</v>
      </c>
      <c r="H33" s="265">
        <f t="shared" ref="H33:H37" si="15">G33*F33</f>
        <v>70</v>
      </c>
      <c r="I33" s="268">
        <f t="shared" ref="I33:I37" si="16">H33*0.1</f>
        <v>7</v>
      </c>
      <c r="J33" s="268">
        <f t="shared" ref="J33:J37" si="17">H33*0.05</f>
        <v>3.5</v>
      </c>
      <c r="K33" s="128">
        <f t="shared" ref="K33:K37" si="18">SUM(H33:J33)</f>
        <v>80.5</v>
      </c>
      <c r="L33" s="266">
        <f>ROUND(H33*Inputs!$F$45+I33*Inputs!$F$46+J33*Inputs!$F$47,0)</f>
        <v>8149</v>
      </c>
      <c r="M33" s="266">
        <f t="shared" ref="M33:M37" si="19">D33*E33*G33</f>
        <v>0</v>
      </c>
      <c r="N33" s="265">
        <f>G33*E33</f>
        <v>14</v>
      </c>
      <c r="O33" s="265" t="s">
        <v>219</v>
      </c>
      <c r="Q33" s="111" t="s">
        <v>213</v>
      </c>
    </row>
    <row r="34" spans="2:17" x14ac:dyDescent="0.2">
      <c r="B34" s="195" t="s">
        <v>117</v>
      </c>
      <c r="C34" s="265">
        <v>10</v>
      </c>
      <c r="D34" s="266">
        <v>0</v>
      </c>
      <c r="E34" s="265">
        <v>2</v>
      </c>
      <c r="F34" s="265">
        <f t="shared" si="14"/>
        <v>20</v>
      </c>
      <c r="G34" s="268">
        <f>G14</f>
        <v>67</v>
      </c>
      <c r="H34" s="265">
        <f t="shared" si="15"/>
        <v>1340</v>
      </c>
      <c r="I34" s="268">
        <f t="shared" si="16"/>
        <v>134</v>
      </c>
      <c r="J34" s="268">
        <f t="shared" si="17"/>
        <v>67</v>
      </c>
      <c r="K34" s="128">
        <f t="shared" si="18"/>
        <v>1541</v>
      </c>
      <c r="L34" s="266">
        <f>ROUND(H34*Inputs!$F$45+I34*Inputs!$F$46+J34*Inputs!$F$47,0)</f>
        <v>155999</v>
      </c>
      <c r="M34" s="266">
        <f t="shared" si="19"/>
        <v>0</v>
      </c>
      <c r="N34" s="265">
        <f t="shared" ref="N34:N37" si="20">G34*E34</f>
        <v>134</v>
      </c>
      <c r="O34" s="265" t="s">
        <v>219</v>
      </c>
      <c r="Q34" s="111" t="s">
        <v>213</v>
      </c>
    </row>
    <row r="35" spans="2:17" x14ac:dyDescent="0.2">
      <c r="B35" s="195" t="s">
        <v>181</v>
      </c>
      <c r="C35" s="265">
        <v>4</v>
      </c>
      <c r="D35" s="266">
        <v>0</v>
      </c>
      <c r="E35" s="265">
        <v>2</v>
      </c>
      <c r="F35" s="265">
        <f t="shared" si="14"/>
        <v>8</v>
      </c>
      <c r="G35" s="268">
        <f>Inputs!$D$3</f>
        <v>67</v>
      </c>
      <c r="H35" s="265">
        <f t="shared" si="15"/>
        <v>536</v>
      </c>
      <c r="I35" s="268">
        <f t="shared" si="16"/>
        <v>53.6</v>
      </c>
      <c r="J35" s="268">
        <f t="shared" si="17"/>
        <v>26.8</v>
      </c>
      <c r="K35" s="128">
        <f t="shared" si="18"/>
        <v>616.4</v>
      </c>
      <c r="L35" s="266">
        <f>ROUND(H35*Inputs!$F$45+I35*Inputs!$F$46+J35*Inputs!$F$47,0)</f>
        <v>62400</v>
      </c>
      <c r="M35" s="266">
        <f t="shared" si="19"/>
        <v>0</v>
      </c>
      <c r="N35" s="265">
        <f t="shared" si="20"/>
        <v>134</v>
      </c>
      <c r="O35" s="265" t="s">
        <v>219</v>
      </c>
      <c r="Q35" s="111" t="s">
        <v>213</v>
      </c>
    </row>
    <row r="36" spans="2:17" x14ac:dyDescent="0.2">
      <c r="B36" s="195" t="s">
        <v>182</v>
      </c>
      <c r="C36" s="265">
        <v>4</v>
      </c>
      <c r="D36" s="266">
        <v>0</v>
      </c>
      <c r="E36" s="265">
        <v>2</v>
      </c>
      <c r="F36" s="265">
        <f t="shared" si="14"/>
        <v>8</v>
      </c>
      <c r="G36" s="268">
        <f>Inputs!$D$3</f>
        <v>67</v>
      </c>
      <c r="H36" s="265">
        <f t="shared" si="15"/>
        <v>536</v>
      </c>
      <c r="I36" s="268">
        <f t="shared" si="16"/>
        <v>53.6</v>
      </c>
      <c r="J36" s="268">
        <f t="shared" si="17"/>
        <v>26.8</v>
      </c>
      <c r="K36" s="128">
        <f t="shared" si="18"/>
        <v>616.4</v>
      </c>
      <c r="L36" s="266">
        <f>ROUND(H36*Inputs!$F$45+I36*Inputs!$F$46+J36*Inputs!$F$47,0)</f>
        <v>62400</v>
      </c>
      <c r="M36" s="266">
        <f t="shared" si="19"/>
        <v>0</v>
      </c>
      <c r="N36" s="265">
        <f t="shared" si="20"/>
        <v>134</v>
      </c>
      <c r="O36" s="265" t="s">
        <v>222</v>
      </c>
      <c r="Q36" s="111" t="s">
        <v>213</v>
      </c>
    </row>
    <row r="37" spans="2:17" x14ac:dyDescent="0.2">
      <c r="B37" s="195" t="s">
        <v>137</v>
      </c>
      <c r="C37" s="265">
        <v>3</v>
      </c>
      <c r="D37" s="266">
        <v>0</v>
      </c>
      <c r="E37" s="265">
        <v>2</v>
      </c>
      <c r="F37" s="265">
        <f t="shared" si="14"/>
        <v>6</v>
      </c>
      <c r="G37" s="268">
        <f>G17</f>
        <v>67</v>
      </c>
      <c r="H37" s="265">
        <f t="shared" si="15"/>
        <v>402</v>
      </c>
      <c r="I37" s="268">
        <f t="shared" si="16"/>
        <v>40.200000000000003</v>
      </c>
      <c r="J37" s="268">
        <f t="shared" si="17"/>
        <v>20.100000000000001</v>
      </c>
      <c r="K37" s="128">
        <f t="shared" si="18"/>
        <v>462.3</v>
      </c>
      <c r="L37" s="266">
        <f>ROUND(H37*Inputs!$F$45+I37*Inputs!$F$46+J37*Inputs!$F$47,0)</f>
        <v>46800</v>
      </c>
      <c r="M37" s="266">
        <f t="shared" si="19"/>
        <v>0</v>
      </c>
      <c r="N37" s="265">
        <f t="shared" si="20"/>
        <v>134</v>
      </c>
      <c r="O37" s="265" t="s">
        <v>219</v>
      </c>
      <c r="Q37" s="111" t="s">
        <v>213</v>
      </c>
    </row>
    <row r="38" spans="2:17" ht="22.5" x14ac:dyDescent="0.2">
      <c r="B38" s="264" t="s">
        <v>238</v>
      </c>
      <c r="C38" s="265">
        <v>4</v>
      </c>
      <c r="D38" s="266">
        <v>0</v>
      </c>
      <c r="E38" s="265">
        <v>2</v>
      </c>
      <c r="F38" s="265">
        <f t="shared" ref="F38:F39" si="21">C38*E38</f>
        <v>8</v>
      </c>
      <c r="G38" s="268">
        <f>G20</f>
        <v>6</v>
      </c>
      <c r="H38" s="265">
        <f t="shared" ref="H38:H39" si="22">G38*F38</f>
        <v>48</v>
      </c>
      <c r="I38" s="268">
        <f t="shared" ref="I38:I39" si="23">H38*0.1</f>
        <v>4.8000000000000007</v>
      </c>
      <c r="J38" s="268">
        <f t="shared" ref="J38:J39" si="24">H38*0.05</f>
        <v>2.4000000000000004</v>
      </c>
      <c r="K38" s="128">
        <f t="shared" ref="K38:K39" si="25">SUM(H38:J38)</f>
        <v>55.199999999999996</v>
      </c>
      <c r="L38" s="266">
        <f>ROUND(H38*Inputs!$F$45+I38*Inputs!$F$46+J38*Inputs!$F$47,0)</f>
        <v>5588</v>
      </c>
      <c r="M38" s="266">
        <f t="shared" ref="M38:M39" si="26">D38*E38*G38</f>
        <v>0</v>
      </c>
      <c r="N38" s="265">
        <f t="shared" ref="N38:N39" si="27">G38*E38</f>
        <v>12</v>
      </c>
      <c r="O38" s="265" t="s">
        <v>32</v>
      </c>
    </row>
    <row r="39" spans="2:17" x14ac:dyDescent="0.2">
      <c r="B39" s="195" t="s">
        <v>239</v>
      </c>
      <c r="C39" s="265">
        <v>4</v>
      </c>
      <c r="D39" s="266">
        <v>0</v>
      </c>
      <c r="E39" s="265">
        <v>2</v>
      </c>
      <c r="F39" s="265">
        <f t="shared" si="21"/>
        <v>8</v>
      </c>
      <c r="G39" s="268">
        <f>Inputs!$C$4</f>
        <v>8</v>
      </c>
      <c r="H39" s="265">
        <f t="shared" si="22"/>
        <v>64</v>
      </c>
      <c r="I39" s="268">
        <f t="shared" si="23"/>
        <v>6.4</v>
      </c>
      <c r="J39" s="268">
        <f t="shared" si="24"/>
        <v>3.2</v>
      </c>
      <c r="K39" s="128">
        <f t="shared" si="25"/>
        <v>73.600000000000009</v>
      </c>
      <c r="L39" s="266">
        <f>ROUND(H39*Inputs!$F$45+I39*Inputs!$F$46+J39*Inputs!$F$47,0)</f>
        <v>7451</v>
      </c>
      <c r="M39" s="266">
        <f t="shared" si="26"/>
        <v>0</v>
      </c>
      <c r="N39" s="265">
        <f t="shared" si="27"/>
        <v>16</v>
      </c>
      <c r="O39" s="265" t="s">
        <v>32</v>
      </c>
    </row>
    <row r="40" spans="2:17" x14ac:dyDescent="0.2">
      <c r="B40" s="197" t="s">
        <v>74</v>
      </c>
      <c r="C40" s="265"/>
      <c r="D40" s="266"/>
      <c r="E40" s="265"/>
      <c r="F40" s="265"/>
      <c r="G40" s="265"/>
      <c r="H40" s="270">
        <f>SUM(H7:H39)</f>
        <v>4092</v>
      </c>
      <c r="I40" s="270">
        <f>SUM(I7:I39)</f>
        <v>409.20000000000005</v>
      </c>
      <c r="J40" s="270">
        <f>SUM(J7:J39)</f>
        <v>204.60000000000002</v>
      </c>
      <c r="K40" s="270">
        <f>SUM(K7:K39)</f>
        <v>4705.8</v>
      </c>
      <c r="L40" s="271">
        <f>SUM(L7:L39)</f>
        <v>476380</v>
      </c>
      <c r="M40" s="271">
        <f>SUM(M7:M39)-M10-M13-M16-M19-M22</f>
        <v>1823949</v>
      </c>
      <c r="N40" s="270">
        <f>SUM(N7:N39)</f>
        <v>666</v>
      </c>
      <c r="O40" s="265"/>
    </row>
    <row r="41" spans="2:17" x14ac:dyDescent="0.2">
      <c r="B41" s="192" t="s">
        <v>59</v>
      </c>
      <c r="C41" s="265"/>
      <c r="D41" s="266"/>
      <c r="E41" s="265"/>
      <c r="F41" s="265"/>
      <c r="G41" s="265"/>
      <c r="H41" s="265"/>
      <c r="I41" s="268"/>
      <c r="J41" s="268"/>
      <c r="K41" s="268"/>
      <c r="L41" s="266"/>
      <c r="M41" s="266"/>
      <c r="N41" s="265"/>
      <c r="O41" s="265"/>
    </row>
    <row r="42" spans="2:17" x14ac:dyDescent="0.2">
      <c r="B42" s="193" t="s">
        <v>60</v>
      </c>
      <c r="C42" s="265" t="s">
        <v>102</v>
      </c>
      <c r="D42" s="266"/>
      <c r="E42" s="265"/>
      <c r="F42" s="265"/>
      <c r="G42" s="265"/>
      <c r="H42" s="265"/>
      <c r="I42" s="268"/>
      <c r="J42" s="268"/>
      <c r="K42" s="268"/>
      <c r="L42" s="266"/>
      <c r="M42" s="266"/>
      <c r="N42" s="265"/>
      <c r="O42" s="265"/>
    </row>
    <row r="43" spans="2:17" x14ac:dyDescent="0.2">
      <c r="B43" s="193" t="s">
        <v>98</v>
      </c>
      <c r="C43" s="269" t="s">
        <v>64</v>
      </c>
      <c r="D43" s="266"/>
      <c r="E43" s="265"/>
      <c r="F43" s="265"/>
      <c r="G43" s="265"/>
      <c r="H43" s="265"/>
      <c r="I43" s="268"/>
      <c r="J43" s="268"/>
      <c r="K43" s="268"/>
      <c r="L43" s="266"/>
      <c r="M43" s="266"/>
      <c r="N43" s="265"/>
      <c r="O43" s="265"/>
    </row>
    <row r="44" spans="2:17" x14ac:dyDescent="0.2">
      <c r="B44" s="193" t="s">
        <v>61</v>
      </c>
      <c r="C44" s="269" t="s">
        <v>64</v>
      </c>
      <c r="D44" s="266"/>
      <c r="E44" s="265"/>
      <c r="F44" s="265"/>
      <c r="G44" s="265"/>
      <c r="H44" s="265"/>
      <c r="I44" s="268"/>
      <c r="J44" s="268"/>
      <c r="K44" s="268"/>
      <c r="L44" s="266"/>
      <c r="M44" s="266"/>
      <c r="N44" s="265"/>
      <c r="O44" s="265"/>
    </row>
    <row r="45" spans="2:17" x14ac:dyDescent="0.2">
      <c r="B45" s="193" t="s">
        <v>75</v>
      </c>
      <c r="C45" s="265"/>
      <c r="D45" s="266"/>
      <c r="E45" s="265"/>
      <c r="F45" s="265"/>
      <c r="G45" s="265"/>
      <c r="H45" s="265"/>
      <c r="I45" s="268"/>
      <c r="J45" s="268"/>
      <c r="K45" s="268"/>
      <c r="L45" s="266"/>
      <c r="M45" s="266"/>
      <c r="N45" s="265"/>
      <c r="O45" s="265"/>
    </row>
    <row r="46" spans="2:17" x14ac:dyDescent="0.2">
      <c r="B46" s="196" t="s">
        <v>187</v>
      </c>
      <c r="C46" s="265">
        <v>0.4</v>
      </c>
      <c r="D46" s="266">
        <v>0</v>
      </c>
      <c r="E46" s="265">
        <v>365</v>
      </c>
      <c r="F46" s="265">
        <f t="shared" ref="F46:F48" si="28">C46*E46</f>
        <v>146</v>
      </c>
      <c r="G46" s="268">
        <f>G11</f>
        <v>7</v>
      </c>
      <c r="H46" s="267">
        <f t="shared" ref="H46:H53" si="29">G46*F46</f>
        <v>1022</v>
      </c>
      <c r="I46" s="267">
        <f t="shared" ref="I46:I53" si="30">H46*0.1</f>
        <v>102.2</v>
      </c>
      <c r="J46" s="267">
        <f t="shared" ref="J46:J53" si="31">H46*0.05</f>
        <v>51.1</v>
      </c>
      <c r="K46" s="171">
        <f t="shared" ref="K46:K53" si="32">SUM(H46:J46)</f>
        <v>1175.3</v>
      </c>
      <c r="L46" s="266">
        <f>ROUND(H46*Inputs!$F$45+I46*Inputs!$F$46+J46*Inputs!$F$47,0)</f>
        <v>118978</v>
      </c>
      <c r="M46" s="266">
        <f t="shared" ref="M46:M53" si="33">D46*E46*G46</f>
        <v>0</v>
      </c>
      <c r="N46" s="265">
        <v>0</v>
      </c>
      <c r="O46" s="265" t="s">
        <v>219</v>
      </c>
      <c r="Q46" s="111" t="s">
        <v>213</v>
      </c>
    </row>
    <row r="47" spans="2:17" x14ac:dyDescent="0.2">
      <c r="B47" s="196" t="s">
        <v>188</v>
      </c>
      <c r="C47" s="265">
        <v>10</v>
      </c>
      <c r="D47" s="266">
        <v>0</v>
      </c>
      <c r="E47" s="265">
        <v>1</v>
      </c>
      <c r="F47" s="265">
        <f t="shared" si="28"/>
        <v>10</v>
      </c>
      <c r="G47" s="268">
        <f>G14</f>
        <v>67</v>
      </c>
      <c r="H47" s="267">
        <f t="shared" si="29"/>
        <v>670</v>
      </c>
      <c r="I47" s="267">
        <f t="shared" si="30"/>
        <v>67</v>
      </c>
      <c r="J47" s="267">
        <f t="shared" si="31"/>
        <v>33.5</v>
      </c>
      <c r="K47" s="171">
        <f t="shared" si="32"/>
        <v>770.5</v>
      </c>
      <c r="L47" s="266">
        <f>ROUND(H47*Inputs!$F$45+I47*Inputs!$F$46+J47*Inputs!$F$47,0)</f>
        <v>77999</v>
      </c>
      <c r="M47" s="266">
        <f t="shared" si="33"/>
        <v>0</v>
      </c>
      <c r="N47" s="265">
        <v>0</v>
      </c>
      <c r="O47" s="265" t="s">
        <v>219</v>
      </c>
      <c r="Q47" s="111" t="s">
        <v>213</v>
      </c>
    </row>
    <row r="48" spans="2:17" x14ac:dyDescent="0.2">
      <c r="B48" s="196" t="s">
        <v>170</v>
      </c>
      <c r="C48" s="265">
        <v>0</v>
      </c>
      <c r="D48" s="266">
        <v>0</v>
      </c>
      <c r="E48" s="265">
        <v>1</v>
      </c>
      <c r="F48" s="265">
        <f t="shared" si="28"/>
        <v>0</v>
      </c>
      <c r="G48" s="268">
        <f>G17</f>
        <v>67</v>
      </c>
      <c r="H48" s="267">
        <f t="shared" si="29"/>
        <v>0</v>
      </c>
      <c r="I48" s="267">
        <f t="shared" si="30"/>
        <v>0</v>
      </c>
      <c r="J48" s="267">
        <f t="shared" si="31"/>
        <v>0</v>
      </c>
      <c r="K48" s="171">
        <f t="shared" si="32"/>
        <v>0</v>
      </c>
      <c r="L48" s="266">
        <f>ROUND(H48*Inputs!$F$45+I48*Inputs!$F$46+J48*Inputs!$F$47,0)</f>
        <v>0</v>
      </c>
      <c r="M48" s="266">
        <f t="shared" si="33"/>
        <v>0</v>
      </c>
      <c r="N48" s="265">
        <v>0</v>
      </c>
      <c r="O48" s="265" t="s">
        <v>55</v>
      </c>
    </row>
    <row r="49" spans="2:17" x14ac:dyDescent="0.2">
      <c r="B49" s="196" t="s">
        <v>189</v>
      </c>
      <c r="C49" s="265">
        <v>1</v>
      </c>
      <c r="D49" s="266">
        <v>0</v>
      </c>
      <c r="E49" s="265">
        <v>1</v>
      </c>
      <c r="F49" s="265">
        <f>C49*E49</f>
        <v>1</v>
      </c>
      <c r="G49" s="268">
        <f>Inputs!$D$3</f>
        <v>67</v>
      </c>
      <c r="H49" s="267">
        <f t="shared" si="29"/>
        <v>67</v>
      </c>
      <c r="I49" s="267">
        <f t="shared" si="30"/>
        <v>6.7</v>
      </c>
      <c r="J49" s="267">
        <f t="shared" si="31"/>
        <v>3.35</v>
      </c>
      <c r="K49" s="171">
        <f t="shared" si="32"/>
        <v>77.05</v>
      </c>
      <c r="L49" s="266">
        <f>ROUND(H49*Inputs!$F$45+I49*Inputs!$F$46+J49*Inputs!$F$47,0)</f>
        <v>7800</v>
      </c>
      <c r="M49" s="266">
        <f t="shared" si="33"/>
        <v>0</v>
      </c>
      <c r="N49" s="265">
        <v>0</v>
      </c>
      <c r="O49" s="265" t="s">
        <v>219</v>
      </c>
      <c r="Q49" s="111" t="s">
        <v>213</v>
      </c>
    </row>
    <row r="50" spans="2:17" x14ac:dyDescent="0.2">
      <c r="B50" s="196" t="s">
        <v>190</v>
      </c>
      <c r="C50" s="265">
        <v>0</v>
      </c>
      <c r="D50" s="266">
        <v>0</v>
      </c>
      <c r="E50" s="265">
        <v>1</v>
      </c>
      <c r="F50" s="265">
        <f t="shared" ref="F50" si="34">C50*E50</f>
        <v>0</v>
      </c>
      <c r="G50" s="268">
        <f>G36</f>
        <v>67</v>
      </c>
      <c r="H50" s="267">
        <f t="shared" si="29"/>
        <v>0</v>
      </c>
      <c r="I50" s="267">
        <f t="shared" si="30"/>
        <v>0</v>
      </c>
      <c r="J50" s="267">
        <f t="shared" si="31"/>
        <v>0</v>
      </c>
      <c r="K50" s="171">
        <f t="shared" si="32"/>
        <v>0</v>
      </c>
      <c r="L50" s="266">
        <f>ROUND(H50*Inputs!$F$45+I50*Inputs!$F$46+J50*Inputs!$F$47,0)</f>
        <v>0</v>
      </c>
      <c r="M50" s="266">
        <f t="shared" si="33"/>
        <v>0</v>
      </c>
      <c r="N50" s="265">
        <v>0</v>
      </c>
      <c r="O50" s="265" t="s">
        <v>195</v>
      </c>
    </row>
    <row r="51" spans="2:17" ht="22.5" x14ac:dyDescent="0.2">
      <c r="B51" s="194" t="s">
        <v>240</v>
      </c>
      <c r="C51" s="265">
        <v>2</v>
      </c>
      <c r="D51" s="266">
        <v>0</v>
      </c>
      <c r="E51" s="265">
        <v>1</v>
      </c>
      <c r="F51" s="265">
        <f t="shared" ref="F51" si="35">C51*E51</f>
        <v>2</v>
      </c>
      <c r="G51" s="268">
        <f>G20</f>
        <v>6</v>
      </c>
      <c r="H51" s="267">
        <f t="shared" ref="H51" si="36">G51*F51</f>
        <v>12</v>
      </c>
      <c r="I51" s="267">
        <f t="shared" ref="I51" si="37">H51*0.1</f>
        <v>1.2000000000000002</v>
      </c>
      <c r="J51" s="267">
        <f t="shared" ref="J51" si="38">H51*0.05</f>
        <v>0.60000000000000009</v>
      </c>
      <c r="K51" s="171">
        <f t="shared" ref="K51" si="39">SUM(H51:J51)</f>
        <v>13.799999999999999</v>
      </c>
      <c r="L51" s="266">
        <f>ROUND(H51*Inputs!$F$45+I51*Inputs!$F$46+J51*Inputs!$F$47,0)</f>
        <v>1397</v>
      </c>
      <c r="M51" s="266">
        <f t="shared" ref="M51" si="40">D51*E51*G51</f>
        <v>0</v>
      </c>
      <c r="N51" s="265">
        <v>0</v>
      </c>
      <c r="O51" s="265" t="s">
        <v>32</v>
      </c>
    </row>
    <row r="52" spans="2:17" x14ac:dyDescent="0.2">
      <c r="B52" s="196" t="s">
        <v>191</v>
      </c>
      <c r="C52" s="265">
        <v>75</v>
      </c>
      <c r="D52" s="266">
        <v>0</v>
      </c>
      <c r="E52" s="265">
        <v>3</v>
      </c>
      <c r="F52" s="265">
        <f t="shared" ref="F52:F53" si="41">C52*E52</f>
        <v>225</v>
      </c>
      <c r="G52" s="268">
        <v>0</v>
      </c>
      <c r="H52" s="267">
        <f t="shared" si="29"/>
        <v>0</v>
      </c>
      <c r="I52" s="267">
        <f t="shared" si="30"/>
        <v>0</v>
      </c>
      <c r="J52" s="267">
        <f t="shared" si="31"/>
        <v>0</v>
      </c>
      <c r="K52" s="171">
        <f t="shared" si="32"/>
        <v>0</v>
      </c>
      <c r="L52" s="266">
        <f>ROUND(H52*Inputs!$F$45+I52*Inputs!$F$46+J52*Inputs!$F$47,0)</f>
        <v>0</v>
      </c>
      <c r="M52" s="266">
        <f t="shared" si="33"/>
        <v>0</v>
      </c>
      <c r="N52" s="265">
        <v>0</v>
      </c>
      <c r="O52" s="265" t="s">
        <v>36</v>
      </c>
    </row>
    <row r="53" spans="2:17" x14ac:dyDescent="0.2">
      <c r="B53" s="193" t="s">
        <v>76</v>
      </c>
      <c r="C53" s="265">
        <v>16</v>
      </c>
      <c r="D53" s="266">
        <v>0</v>
      </c>
      <c r="E53" s="265">
        <v>1</v>
      </c>
      <c r="F53" s="265">
        <f t="shared" si="41"/>
        <v>16</v>
      </c>
      <c r="G53" s="268"/>
      <c r="H53" s="267">
        <f t="shared" si="29"/>
        <v>0</v>
      </c>
      <c r="I53" s="267">
        <f t="shared" si="30"/>
        <v>0</v>
      </c>
      <c r="J53" s="267">
        <f t="shared" si="31"/>
        <v>0</v>
      </c>
      <c r="K53" s="171">
        <f t="shared" si="32"/>
        <v>0</v>
      </c>
      <c r="L53" s="266">
        <f>ROUND(H53*Inputs!$F$45+I53*Inputs!$F$46+J53*Inputs!$F$47,0)</f>
        <v>0</v>
      </c>
      <c r="M53" s="266">
        <f t="shared" si="33"/>
        <v>0</v>
      </c>
      <c r="N53" s="265">
        <v>0</v>
      </c>
      <c r="O53" s="265"/>
    </row>
    <row r="54" spans="2:17" x14ac:dyDescent="0.2">
      <c r="B54" s="193" t="s">
        <v>77</v>
      </c>
      <c r="C54" s="265" t="s">
        <v>64</v>
      </c>
      <c r="D54" s="266"/>
      <c r="E54" s="265"/>
      <c r="F54" s="265"/>
      <c r="G54" s="265"/>
      <c r="H54" s="267"/>
      <c r="I54" s="267"/>
      <c r="J54" s="267"/>
      <c r="K54" s="267"/>
      <c r="L54" s="266"/>
      <c r="M54" s="266"/>
      <c r="N54" s="265"/>
      <c r="O54" s="265"/>
    </row>
    <row r="55" spans="2:17" ht="12" thickBot="1" x14ac:dyDescent="0.25">
      <c r="B55" s="207" t="s">
        <v>62</v>
      </c>
      <c r="C55" s="272"/>
      <c r="D55" s="272"/>
      <c r="E55" s="272"/>
      <c r="F55" s="272"/>
      <c r="G55" s="272"/>
      <c r="H55" s="273">
        <f>SUM(H46:H53)</f>
        <v>1771</v>
      </c>
      <c r="I55" s="273">
        <f>SUM(I46:I53)</f>
        <v>177.09999999999997</v>
      </c>
      <c r="J55" s="273">
        <f>SUM(J46:J53)</f>
        <v>88.549999999999983</v>
      </c>
      <c r="K55" s="273">
        <f>SUM(K46:K53)</f>
        <v>2036.6499999999999</v>
      </c>
      <c r="L55" s="274">
        <f>SUM(L46:L53)</f>
        <v>206174</v>
      </c>
      <c r="M55" s="274">
        <f>SUM(M46:M52)</f>
        <v>0</v>
      </c>
      <c r="N55" s="275">
        <f>SUM(N46:N53)</f>
        <v>0</v>
      </c>
      <c r="O55" s="272"/>
    </row>
    <row r="56" spans="2:17" s="166" customFormat="1" ht="13.5" customHeight="1" thickTop="1" x14ac:dyDescent="0.25">
      <c r="B56" s="205" t="s">
        <v>35</v>
      </c>
      <c r="C56" s="206"/>
      <c r="D56" s="206"/>
      <c r="E56" s="206"/>
      <c r="F56" s="206"/>
      <c r="G56" s="206"/>
      <c r="H56" s="248">
        <f t="shared" ref="H56:N56" si="42">H55+H40</f>
        <v>5863</v>
      </c>
      <c r="I56" s="248">
        <f t="shared" si="42"/>
        <v>586.29999999999995</v>
      </c>
      <c r="J56" s="248">
        <f t="shared" si="42"/>
        <v>293.14999999999998</v>
      </c>
      <c r="K56" s="248">
        <f t="shared" si="42"/>
        <v>6742.45</v>
      </c>
      <c r="L56" s="249">
        <f t="shared" si="42"/>
        <v>682554</v>
      </c>
      <c r="M56" s="249">
        <f t="shared" si="42"/>
        <v>1823949</v>
      </c>
      <c r="N56" s="250">
        <f t="shared" si="42"/>
        <v>666</v>
      </c>
      <c r="O56" s="206"/>
      <c r="Q56" s="167"/>
    </row>
    <row r="57" spans="2:17" ht="7.5" customHeight="1" x14ac:dyDescent="0.2">
      <c r="B57" s="198"/>
      <c r="C57" s="25"/>
      <c r="D57" s="25"/>
      <c r="E57" s="25"/>
      <c r="F57" s="25"/>
      <c r="G57" s="11"/>
      <c r="H57" s="9"/>
      <c r="I57" s="10"/>
      <c r="J57" s="10"/>
      <c r="K57" s="12"/>
      <c r="L57" s="12"/>
      <c r="M57" s="12"/>
      <c r="N57" s="25"/>
      <c r="O57" s="199"/>
    </row>
    <row r="58" spans="2:17" x14ac:dyDescent="0.2">
      <c r="B58" s="198"/>
      <c r="C58" s="25"/>
      <c r="D58" s="25"/>
      <c r="E58" s="25"/>
      <c r="F58" s="25"/>
      <c r="G58" s="9"/>
      <c r="H58" s="9"/>
      <c r="I58" s="10"/>
      <c r="J58" s="159" t="s">
        <v>57</v>
      </c>
      <c r="K58" s="159" t="s">
        <v>78</v>
      </c>
      <c r="L58" s="170" t="s">
        <v>79</v>
      </c>
      <c r="M58" s="170" t="s">
        <v>48</v>
      </c>
      <c r="N58" s="25"/>
      <c r="O58" s="199"/>
    </row>
    <row r="59" spans="2:17" x14ac:dyDescent="0.2">
      <c r="B59" s="198"/>
      <c r="C59" s="25"/>
      <c r="D59" s="25"/>
      <c r="E59" s="25"/>
      <c r="F59" s="25"/>
      <c r="G59" s="160" t="s">
        <v>80</v>
      </c>
      <c r="H59" s="161"/>
      <c r="I59" s="165"/>
      <c r="J59" s="159">
        <f>H56+I56+J56</f>
        <v>6742.45</v>
      </c>
      <c r="K59" s="129">
        <f>L56</f>
        <v>682554</v>
      </c>
      <c r="L59" s="129">
        <f>M56</f>
        <v>1823949</v>
      </c>
      <c r="M59" s="129">
        <f>L59+K59</f>
        <v>2506503</v>
      </c>
      <c r="N59" s="25"/>
      <c r="O59" s="199"/>
    </row>
    <row r="60" spans="2:17" ht="7.5" customHeight="1" x14ac:dyDescent="0.2">
      <c r="B60" s="198"/>
      <c r="C60" s="25"/>
      <c r="D60" s="25"/>
      <c r="E60" s="25"/>
      <c r="F60" s="25"/>
      <c r="G60" s="11"/>
      <c r="H60" s="9"/>
      <c r="I60" s="10"/>
      <c r="J60" s="10"/>
      <c r="K60" s="12"/>
      <c r="L60" s="12"/>
      <c r="M60" s="12"/>
      <c r="N60" s="25"/>
      <c r="O60" s="199"/>
    </row>
    <row r="61" spans="2:17" x14ac:dyDescent="0.2">
      <c r="B61" s="198"/>
      <c r="C61" s="25"/>
      <c r="D61" s="25"/>
      <c r="E61" s="25"/>
      <c r="F61" s="25"/>
      <c r="G61" s="160" t="s">
        <v>81</v>
      </c>
      <c r="H61" s="161"/>
      <c r="I61" s="162"/>
      <c r="J61" s="162"/>
      <c r="K61" s="163"/>
      <c r="L61" s="164"/>
      <c r="M61" s="129">
        <f>L7++M10+M13+M16+M19+M22</f>
        <v>10769782</v>
      </c>
      <c r="N61" s="25"/>
      <c r="O61" s="199"/>
    </row>
    <row r="62" spans="2:17" x14ac:dyDescent="0.2">
      <c r="B62" s="200"/>
      <c r="C62" s="201"/>
      <c r="D62" s="201"/>
      <c r="E62" s="201"/>
      <c r="F62" s="201"/>
      <c r="G62" s="160" t="s">
        <v>82</v>
      </c>
      <c r="H62" s="202"/>
      <c r="I62" s="202"/>
      <c r="J62" s="202"/>
      <c r="K62" s="163"/>
      <c r="L62" s="203"/>
      <c r="M62" s="129">
        <f>M56</f>
        <v>1823949</v>
      </c>
      <c r="N62" s="201"/>
      <c r="O62" s="204"/>
    </row>
    <row r="63" spans="2:17" ht="8.25" customHeight="1" x14ac:dyDescent="0.2"/>
    <row r="64" spans="2:17" x14ac:dyDescent="0.2">
      <c r="B64" s="19" t="s">
        <v>93</v>
      </c>
      <c r="L64" s="26"/>
    </row>
    <row r="65" spans="2:14" x14ac:dyDescent="0.2">
      <c r="B65" s="19" t="s">
        <v>193</v>
      </c>
    </row>
    <row r="66" spans="2:14" ht="11.25" customHeight="1" x14ac:dyDescent="0.2">
      <c r="B66" s="283" t="s">
        <v>194</v>
      </c>
      <c r="C66" s="283"/>
      <c r="D66" s="283"/>
      <c r="E66" s="283"/>
      <c r="F66" s="283"/>
      <c r="G66" s="283"/>
      <c r="H66" s="283"/>
      <c r="I66" s="283"/>
      <c r="J66" s="283"/>
      <c r="K66" s="283"/>
      <c r="L66" s="283"/>
      <c r="M66" s="283"/>
      <c r="N66" s="283"/>
    </row>
    <row r="67" spans="2:14" ht="22.5" customHeight="1" x14ac:dyDescent="0.2">
      <c r="B67" s="283" t="s">
        <v>233</v>
      </c>
      <c r="C67" s="283"/>
      <c r="D67" s="283"/>
      <c r="E67" s="283"/>
      <c r="F67" s="283"/>
      <c r="G67" s="283"/>
      <c r="H67" s="283"/>
      <c r="I67" s="283"/>
      <c r="J67" s="283"/>
      <c r="K67" s="283"/>
      <c r="L67" s="283"/>
      <c r="M67" s="283"/>
      <c r="N67" s="283"/>
    </row>
    <row r="68" spans="2:14" x14ac:dyDescent="0.2">
      <c r="B68" s="283" t="s">
        <v>196</v>
      </c>
      <c r="C68" s="283"/>
      <c r="D68" s="283"/>
      <c r="E68" s="283"/>
      <c r="F68" s="283"/>
      <c r="G68" s="283"/>
      <c r="H68" s="283"/>
      <c r="I68" s="283"/>
      <c r="J68" s="283"/>
      <c r="K68" s="283"/>
      <c r="L68" s="283"/>
      <c r="M68" s="283"/>
      <c r="N68" s="283"/>
    </row>
    <row r="69" spans="2:14" x14ac:dyDescent="0.2">
      <c r="B69" s="281" t="s">
        <v>197</v>
      </c>
      <c r="C69" s="281"/>
      <c r="D69" s="281"/>
      <c r="E69" s="281"/>
      <c r="F69" s="281"/>
      <c r="G69" s="281"/>
      <c r="H69" s="281"/>
      <c r="I69" s="281"/>
      <c r="J69" s="281"/>
      <c r="K69" s="281"/>
      <c r="L69" s="281"/>
      <c r="M69" s="281"/>
      <c r="N69" s="281"/>
    </row>
    <row r="70" spans="2:14" x14ac:dyDescent="0.2">
      <c r="B70" s="283" t="s">
        <v>198</v>
      </c>
      <c r="C70" s="283"/>
      <c r="D70" s="283"/>
      <c r="E70" s="283"/>
      <c r="F70" s="283"/>
      <c r="G70" s="283"/>
      <c r="H70" s="283"/>
      <c r="I70" s="283"/>
      <c r="J70" s="283"/>
      <c r="K70" s="283"/>
      <c r="L70" s="283"/>
      <c r="M70" s="283"/>
      <c r="N70" s="283"/>
    </row>
    <row r="72" spans="2:14" ht="11.25" customHeight="1" x14ac:dyDescent="0.2"/>
    <row r="73" spans="2:14" ht="11.25" customHeight="1" x14ac:dyDescent="0.2"/>
  </sheetData>
  <mergeCells count="6">
    <mergeCell ref="B70:N70"/>
    <mergeCell ref="B2:O2"/>
    <mergeCell ref="B68:N68"/>
    <mergeCell ref="B67:N67"/>
    <mergeCell ref="B69:N69"/>
    <mergeCell ref="B66:N66"/>
  </mergeCells>
  <printOptions horizontalCentered="1"/>
  <pageMargins left="0.5" right="0.5" top="0.5" bottom="0.5" header="0.3" footer="0.3"/>
  <pageSetup scale="86" fitToHeight="2" orientation="landscape" r:id="rId1"/>
  <rowBreaks count="1" manualBreakCount="1">
    <brk id="40"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C8FF-D52B-4645-B467-B53109D19E2F}">
  <sheetPr>
    <tabColor rgb="FF7030A0"/>
  </sheetPr>
  <dimension ref="B2:Q73"/>
  <sheetViews>
    <sheetView zoomScaleNormal="100" zoomScaleSheetLayoutView="80" workbookViewId="0">
      <pane ySplit="3" topLeftCell="A22" activePane="bottomLeft" state="frozen"/>
      <selection activeCell="Q53" sqref="Q53"/>
      <selection pane="bottomLeft" activeCell="M62" sqref="M62"/>
    </sheetView>
  </sheetViews>
  <sheetFormatPr defaultRowHeight="11.25" x14ac:dyDescent="0.2"/>
  <cols>
    <col min="1" max="1" width="2.140625" style="19" customWidth="1"/>
    <col min="2" max="2" width="32.5703125" style="19" customWidth="1"/>
    <col min="3" max="4" width="9.28515625" style="19" bestFit="1" customWidth="1"/>
    <col min="5" max="5" width="10.140625" style="19" bestFit="1" customWidth="1"/>
    <col min="6" max="6" width="9.7109375" style="19" customWidth="1"/>
    <col min="7" max="7" width="10.140625" style="19" bestFit="1" customWidth="1"/>
    <col min="8" max="8" width="7.85546875" style="19" bestFit="1" customWidth="1"/>
    <col min="9" max="9" width="8.85546875" style="19" bestFit="1" customWidth="1"/>
    <col min="10" max="10" width="9.7109375" style="19" bestFit="1" customWidth="1"/>
    <col min="11" max="11" width="8.85546875" style="19" bestFit="1" customWidth="1"/>
    <col min="12" max="12" width="9.5703125" style="19" bestFit="1" customWidth="1"/>
    <col min="13" max="13" width="9.42578125" style="19" bestFit="1" customWidth="1"/>
    <col min="14" max="14" width="8.85546875" style="19" bestFit="1" customWidth="1"/>
    <col min="15" max="15" width="4" style="19" customWidth="1"/>
    <col min="16" max="16" width="2.5703125" style="19" customWidth="1"/>
    <col min="17" max="17" width="29.140625" style="111" customWidth="1"/>
    <col min="18" max="16384" width="9.140625" style="19"/>
  </cols>
  <sheetData>
    <row r="2" spans="2:17" ht="15.75" x14ac:dyDescent="0.2">
      <c r="B2" s="282" t="s">
        <v>208</v>
      </c>
      <c r="C2" s="282"/>
      <c r="D2" s="282"/>
      <c r="E2" s="282"/>
      <c r="F2" s="282"/>
      <c r="G2" s="282"/>
      <c r="H2" s="282"/>
      <c r="I2" s="282"/>
      <c r="J2" s="282"/>
      <c r="K2" s="282"/>
      <c r="L2" s="282"/>
      <c r="M2" s="282"/>
      <c r="N2" s="282"/>
      <c r="O2" s="282"/>
    </row>
    <row r="3" spans="2:17" s="22" customFormat="1" ht="69.75" customHeight="1" x14ac:dyDescent="0.2">
      <c r="B3" s="168" t="s">
        <v>3</v>
      </c>
      <c r="C3" s="168" t="s">
        <v>4</v>
      </c>
      <c r="D3" s="168" t="s">
        <v>83</v>
      </c>
      <c r="E3" s="168" t="s">
        <v>89</v>
      </c>
      <c r="F3" s="168" t="s">
        <v>105</v>
      </c>
      <c r="G3" s="189" t="s">
        <v>90</v>
      </c>
      <c r="H3" s="190" t="s">
        <v>97</v>
      </c>
      <c r="I3" s="190" t="s">
        <v>91</v>
      </c>
      <c r="J3" s="190" t="s">
        <v>92</v>
      </c>
      <c r="K3" s="190" t="s">
        <v>111</v>
      </c>
      <c r="L3" s="168" t="s">
        <v>112</v>
      </c>
      <c r="M3" s="190" t="s">
        <v>113</v>
      </c>
      <c r="N3" s="190" t="s">
        <v>114</v>
      </c>
      <c r="O3" s="191" t="s">
        <v>5</v>
      </c>
    </row>
    <row r="4" spans="2:17" ht="10.5" customHeight="1" x14ac:dyDescent="0.2">
      <c r="B4" s="192" t="s">
        <v>63</v>
      </c>
      <c r="C4" s="269" t="s">
        <v>64</v>
      </c>
      <c r="D4" s="265"/>
      <c r="E4" s="265"/>
      <c r="F4" s="265"/>
      <c r="G4" s="265"/>
      <c r="H4" s="265"/>
      <c r="I4" s="265"/>
      <c r="J4" s="265"/>
      <c r="K4" s="265"/>
      <c r="L4" s="265"/>
      <c r="M4" s="265"/>
      <c r="N4" s="265"/>
      <c r="O4" s="265"/>
    </row>
    <row r="5" spans="2:17" ht="10.5" customHeight="1" x14ac:dyDescent="0.2">
      <c r="B5" s="192" t="s">
        <v>65</v>
      </c>
      <c r="C5" s="269" t="s">
        <v>64</v>
      </c>
      <c r="D5" s="265"/>
      <c r="E5" s="265"/>
      <c r="F5" s="265"/>
      <c r="G5" s="265"/>
      <c r="H5" s="265"/>
      <c r="I5" s="265"/>
      <c r="J5" s="265"/>
      <c r="K5" s="265"/>
      <c r="L5" s="265"/>
      <c r="M5" s="265"/>
      <c r="N5" s="265"/>
      <c r="O5" s="265"/>
    </row>
    <row r="6" spans="2:17" ht="10.5" customHeight="1" x14ac:dyDescent="0.2">
      <c r="B6" s="192" t="s">
        <v>66</v>
      </c>
      <c r="C6" s="269"/>
      <c r="D6" s="265"/>
      <c r="E6" s="265"/>
      <c r="F6" s="265"/>
      <c r="G6" s="265"/>
      <c r="H6" s="265"/>
      <c r="I6" s="265"/>
      <c r="J6" s="265"/>
      <c r="K6" s="265"/>
      <c r="L6" s="265"/>
      <c r="M6" s="265"/>
      <c r="N6" s="265"/>
      <c r="O6" s="265"/>
    </row>
    <row r="7" spans="2:17" x14ac:dyDescent="0.2">
      <c r="B7" s="193" t="s">
        <v>67</v>
      </c>
      <c r="C7" s="265">
        <v>24</v>
      </c>
      <c r="D7" s="266">
        <v>0</v>
      </c>
      <c r="E7" s="265">
        <v>1</v>
      </c>
      <c r="F7" s="265">
        <f>C7*E7</f>
        <v>24</v>
      </c>
      <c r="G7" s="268">
        <v>0</v>
      </c>
      <c r="H7" s="265">
        <f>G7*F7</f>
        <v>0</v>
      </c>
      <c r="I7" s="268">
        <f>H7*0.1</f>
        <v>0</v>
      </c>
      <c r="J7" s="268">
        <f>H7*0.05</f>
        <v>0</v>
      </c>
      <c r="K7" s="128">
        <f>SUM(H7:J7)</f>
        <v>0</v>
      </c>
      <c r="L7" s="266">
        <f>ROUND(H7*Inputs!$F$45+I7*Inputs!$F$46+J7*Inputs!$F$47,0)</f>
        <v>0</v>
      </c>
      <c r="M7" s="266">
        <f>D7*E7*G7</f>
        <v>0</v>
      </c>
      <c r="N7" s="265">
        <v>0</v>
      </c>
      <c r="O7" s="265" t="s">
        <v>36</v>
      </c>
    </row>
    <row r="8" spans="2:17" x14ac:dyDescent="0.2">
      <c r="B8" s="193" t="s">
        <v>68</v>
      </c>
      <c r="C8" s="265"/>
      <c r="D8" s="266"/>
      <c r="E8" s="265"/>
      <c r="F8" s="265"/>
      <c r="G8" s="265"/>
      <c r="H8" s="265"/>
      <c r="I8" s="268"/>
      <c r="J8" s="268"/>
      <c r="K8" s="268"/>
      <c r="L8" s="266"/>
      <c r="M8" s="266"/>
      <c r="N8" s="265"/>
      <c r="O8" s="265"/>
    </row>
    <row r="9" spans="2:17" x14ac:dyDescent="0.2">
      <c r="B9" s="196" t="s">
        <v>168</v>
      </c>
      <c r="C9" s="265"/>
      <c r="D9" s="266"/>
      <c r="E9" s="265"/>
      <c r="F9" s="265"/>
      <c r="G9" s="268"/>
      <c r="H9" s="265"/>
      <c r="I9" s="268"/>
      <c r="J9" s="268"/>
      <c r="K9" s="128"/>
      <c r="L9" s="266"/>
      <c r="M9" s="266"/>
      <c r="N9" s="265"/>
      <c r="O9" s="265" t="s">
        <v>220</v>
      </c>
    </row>
    <row r="10" spans="2:17" x14ac:dyDescent="0.2">
      <c r="B10" s="195" t="s">
        <v>100</v>
      </c>
      <c r="C10" s="265">
        <v>0</v>
      </c>
      <c r="D10" s="266">
        <f>Inputs!F27</f>
        <v>810761</v>
      </c>
      <c r="E10" s="265">
        <v>1</v>
      </c>
      <c r="F10" s="265">
        <f>C10*E10</f>
        <v>0</v>
      </c>
      <c r="G10" s="268">
        <f>Inputs!$E$7</f>
        <v>14</v>
      </c>
      <c r="H10" s="265">
        <f>G10*F10</f>
        <v>0</v>
      </c>
      <c r="I10" s="268">
        <f>H10*0.1</f>
        <v>0</v>
      </c>
      <c r="J10" s="268">
        <f>H10*0.05</f>
        <v>0</v>
      </c>
      <c r="K10" s="128">
        <f>SUM(H10:J10)</f>
        <v>0</v>
      </c>
      <c r="L10" s="266">
        <f>ROUND(H10*Inputs!$F$45+I10*Inputs!$F$46+J10*Inputs!$F$47,0)</f>
        <v>0</v>
      </c>
      <c r="M10" s="266">
        <f>D10*E10*G10</f>
        <v>11350654</v>
      </c>
      <c r="N10" s="265">
        <v>0</v>
      </c>
      <c r="O10" s="265"/>
      <c r="Q10" s="111" t="s">
        <v>213</v>
      </c>
    </row>
    <row r="11" spans="2:17" x14ac:dyDescent="0.2">
      <c r="B11" s="195" t="s">
        <v>101</v>
      </c>
      <c r="C11" s="265">
        <v>0</v>
      </c>
      <c r="D11" s="266">
        <f>Inputs!G27</f>
        <v>160133</v>
      </c>
      <c r="E11" s="265">
        <v>1</v>
      </c>
      <c r="F11" s="265">
        <f>C11*E11</f>
        <v>0</v>
      </c>
      <c r="G11" s="268">
        <f>G10+'YR2'!G11</f>
        <v>21</v>
      </c>
      <c r="H11" s="265">
        <f>G11*F11</f>
        <v>0</v>
      </c>
      <c r="I11" s="268">
        <f>H11*0.1</f>
        <v>0</v>
      </c>
      <c r="J11" s="268">
        <f>H11*0.05</f>
        <v>0</v>
      </c>
      <c r="K11" s="128">
        <f>SUM(H11:J11)</f>
        <v>0</v>
      </c>
      <c r="L11" s="266">
        <f>ROUND(H11*Inputs!$F$45+I11*Inputs!$F$46+J11*Inputs!$F$47,0)</f>
        <v>0</v>
      </c>
      <c r="M11" s="266">
        <f>D11*E11*G11</f>
        <v>3362793</v>
      </c>
      <c r="N11" s="265">
        <v>0</v>
      </c>
      <c r="O11" s="265"/>
    </row>
    <row r="12" spans="2:17" x14ac:dyDescent="0.2">
      <c r="B12" s="196" t="s">
        <v>169</v>
      </c>
      <c r="C12" s="265"/>
      <c r="D12" s="266"/>
      <c r="E12" s="265"/>
      <c r="F12" s="265"/>
      <c r="G12" s="267"/>
      <c r="H12" s="265"/>
      <c r="I12" s="268"/>
      <c r="J12" s="268"/>
      <c r="K12" s="268"/>
      <c r="L12" s="266"/>
      <c r="M12" s="266"/>
      <c r="N12" s="265"/>
      <c r="O12" s="265" t="s">
        <v>219</v>
      </c>
    </row>
    <row r="13" spans="2:17" x14ac:dyDescent="0.2">
      <c r="B13" s="195" t="s">
        <v>100</v>
      </c>
      <c r="C13" s="265">
        <v>0</v>
      </c>
      <c r="D13" s="266">
        <f>Inputs!C33</f>
        <v>63150</v>
      </c>
      <c r="E13" s="265">
        <v>1</v>
      </c>
      <c r="F13" s="265">
        <f>C13*E13</f>
        <v>0</v>
      </c>
      <c r="G13" s="267">
        <f>Inputs!$E$3</f>
        <v>134</v>
      </c>
      <c r="H13" s="265">
        <f>G13*F13</f>
        <v>0</v>
      </c>
      <c r="I13" s="268">
        <f>H13*0.1</f>
        <v>0</v>
      </c>
      <c r="J13" s="268">
        <f>H13*0.05</f>
        <v>0</v>
      </c>
      <c r="K13" s="128">
        <f>SUM(H13:J13)</f>
        <v>0</v>
      </c>
      <c r="L13" s="266">
        <f>ROUND(H13*Inputs!$F$45+I13*Inputs!$F$46+J13*Inputs!$F$47,0)</f>
        <v>0</v>
      </c>
      <c r="M13" s="266">
        <f>D13*E13*G13</f>
        <v>8462100</v>
      </c>
      <c r="N13" s="265">
        <v>0</v>
      </c>
      <c r="O13" s="265"/>
      <c r="Q13" s="111" t="s">
        <v>213</v>
      </c>
    </row>
    <row r="14" spans="2:17" x14ac:dyDescent="0.2">
      <c r="B14" s="195" t="s">
        <v>101</v>
      </c>
      <c r="C14" s="265">
        <v>0</v>
      </c>
      <c r="D14" s="266">
        <f>Inputs!D33</f>
        <v>8349</v>
      </c>
      <c r="E14" s="265">
        <v>1</v>
      </c>
      <c r="F14" s="265">
        <f>C14*E14</f>
        <v>0</v>
      </c>
      <c r="G14" s="268">
        <f>G13+'YR2'!G14</f>
        <v>201</v>
      </c>
      <c r="H14" s="265">
        <f>G14*F14</f>
        <v>0</v>
      </c>
      <c r="I14" s="268">
        <f>H14*0.1</f>
        <v>0</v>
      </c>
      <c r="J14" s="268">
        <f>H14*0.05</f>
        <v>0</v>
      </c>
      <c r="K14" s="128">
        <f>SUM(H14:J14)</f>
        <v>0</v>
      </c>
      <c r="L14" s="266">
        <f>ROUND(H14*Inputs!$F$45+I14*Inputs!$F$46+J14*Inputs!$F$47,0)</f>
        <v>0</v>
      </c>
      <c r="M14" s="266">
        <f>D14*E14*G14</f>
        <v>1678149</v>
      </c>
      <c r="N14" s="265">
        <v>0</v>
      </c>
      <c r="O14" s="265"/>
    </row>
    <row r="15" spans="2:17" x14ac:dyDescent="0.2">
      <c r="B15" s="196" t="s">
        <v>170</v>
      </c>
      <c r="C15" s="265"/>
      <c r="D15" s="266"/>
      <c r="E15" s="265"/>
      <c r="F15" s="265"/>
      <c r="G15" s="267"/>
      <c r="H15" s="265"/>
      <c r="I15" s="268"/>
      <c r="J15" s="268"/>
      <c r="K15" s="268"/>
      <c r="L15" s="266"/>
      <c r="M15" s="266"/>
      <c r="N15" s="265"/>
      <c r="O15" s="265" t="s">
        <v>219</v>
      </c>
    </row>
    <row r="16" spans="2:17" x14ac:dyDescent="0.2">
      <c r="B16" s="195" t="s">
        <v>100</v>
      </c>
      <c r="C16" s="265">
        <v>0</v>
      </c>
      <c r="D16" s="266">
        <f>Inputs!C39</f>
        <v>7379</v>
      </c>
      <c r="E16" s="265">
        <v>1</v>
      </c>
      <c r="F16" s="265">
        <f>C16*E16</f>
        <v>0</v>
      </c>
      <c r="G16" s="267">
        <f>Inputs!$E$3</f>
        <v>134</v>
      </c>
      <c r="H16" s="265">
        <f>G16*F16</f>
        <v>0</v>
      </c>
      <c r="I16" s="268">
        <f>H16*0.1</f>
        <v>0</v>
      </c>
      <c r="J16" s="268">
        <f>H16*0.05</f>
        <v>0</v>
      </c>
      <c r="K16" s="128">
        <f>SUM(H16:J16)</f>
        <v>0</v>
      </c>
      <c r="L16" s="266">
        <f>ROUND(H16*Inputs!$F$45+I16*Inputs!$F$46+J16*Inputs!$F$47,0)</f>
        <v>0</v>
      </c>
      <c r="M16" s="266">
        <f>D16*E16*G16</f>
        <v>988786</v>
      </c>
      <c r="N16" s="265">
        <v>0</v>
      </c>
      <c r="O16" s="265"/>
      <c r="Q16" s="111" t="s">
        <v>213</v>
      </c>
    </row>
    <row r="17" spans="2:17" x14ac:dyDescent="0.2">
      <c r="B17" s="195" t="s">
        <v>101</v>
      </c>
      <c r="C17" s="265">
        <v>0</v>
      </c>
      <c r="D17" s="266">
        <f>Inputs!D39</f>
        <v>1705</v>
      </c>
      <c r="E17" s="265">
        <v>1</v>
      </c>
      <c r="F17" s="265">
        <f>C17*E17</f>
        <v>0</v>
      </c>
      <c r="G17" s="268">
        <f>G16+'YR2'!G17</f>
        <v>201</v>
      </c>
      <c r="H17" s="265">
        <f>G17*F17</f>
        <v>0</v>
      </c>
      <c r="I17" s="268">
        <f>H17*0.1</f>
        <v>0</v>
      </c>
      <c r="J17" s="268">
        <f>H17*0.05</f>
        <v>0</v>
      </c>
      <c r="K17" s="128">
        <f>SUM(H17:J17)</f>
        <v>0</v>
      </c>
      <c r="L17" s="266">
        <f>ROUND(H17*Inputs!$F$45+I17*Inputs!$F$46+J17*Inputs!$F$47,0)</f>
        <v>0</v>
      </c>
      <c r="M17" s="266">
        <f>D17*E17*G17</f>
        <v>342705</v>
      </c>
      <c r="N17" s="265">
        <v>0</v>
      </c>
      <c r="O17" s="265"/>
    </row>
    <row r="18" spans="2:17" ht="22.5" x14ac:dyDescent="0.2">
      <c r="B18" s="194" t="s">
        <v>234</v>
      </c>
      <c r="C18" s="265"/>
      <c r="D18" s="266"/>
      <c r="E18" s="265"/>
      <c r="F18" s="265"/>
      <c r="G18" s="267"/>
      <c r="H18" s="265"/>
      <c r="I18" s="268"/>
      <c r="J18" s="268"/>
      <c r="K18" s="268"/>
      <c r="L18" s="266"/>
      <c r="M18" s="266"/>
      <c r="N18" s="265"/>
      <c r="O18" s="265" t="s">
        <v>221</v>
      </c>
    </row>
    <row r="19" spans="2:17" x14ac:dyDescent="0.2">
      <c r="B19" s="195" t="s">
        <v>100</v>
      </c>
      <c r="C19" s="265">
        <v>0</v>
      </c>
      <c r="D19" s="266">
        <f>Inputs!C15</f>
        <v>23200</v>
      </c>
      <c r="E19" s="265">
        <v>1</v>
      </c>
      <c r="F19" s="265">
        <f>C19*E19</f>
        <v>0</v>
      </c>
      <c r="G19" s="267">
        <v>0</v>
      </c>
      <c r="H19" s="265">
        <f>G19*F19</f>
        <v>0</v>
      </c>
      <c r="I19" s="268">
        <f>H19*0.1</f>
        <v>0</v>
      </c>
      <c r="J19" s="268">
        <f>H19*0.05</f>
        <v>0</v>
      </c>
      <c r="K19" s="128">
        <f>SUM(H19:J19)</f>
        <v>0</v>
      </c>
      <c r="L19" s="266">
        <f>ROUND(H19*Inputs!$F$45+I19*Inputs!$F$46+J19*Inputs!$F$47,0)</f>
        <v>0</v>
      </c>
      <c r="M19" s="266">
        <f>D19*E19*G19</f>
        <v>0</v>
      </c>
      <c r="N19" s="265">
        <v>0</v>
      </c>
      <c r="O19" s="265"/>
    </row>
    <row r="20" spans="2:17" x14ac:dyDescent="0.2">
      <c r="B20" s="195" t="s">
        <v>101</v>
      </c>
      <c r="C20" s="265">
        <v>0</v>
      </c>
      <c r="D20" s="266">
        <f>Inputs!C16</f>
        <v>4900</v>
      </c>
      <c r="E20" s="265">
        <v>1</v>
      </c>
      <c r="F20" s="265">
        <f>C20*E20</f>
        <v>0</v>
      </c>
      <c r="G20" s="268">
        <f>Inputs!$C$5+Inputs!$C$6</f>
        <v>6</v>
      </c>
      <c r="H20" s="265">
        <f>G20*F20</f>
        <v>0</v>
      </c>
      <c r="I20" s="268">
        <f>H20*0.1</f>
        <v>0</v>
      </c>
      <c r="J20" s="268">
        <f>H20*0.05</f>
        <v>0</v>
      </c>
      <c r="K20" s="128">
        <f>SUM(H20:J20)</f>
        <v>0</v>
      </c>
      <c r="L20" s="266">
        <f>ROUND(H20*Inputs!$F$45+I20*Inputs!$F$46+J20*Inputs!$F$47,0)</f>
        <v>0</v>
      </c>
      <c r="M20" s="266">
        <f>D20*E20*G20</f>
        <v>29400</v>
      </c>
      <c r="N20" s="265">
        <v>0</v>
      </c>
      <c r="O20" s="265"/>
    </row>
    <row r="21" spans="2:17" ht="22.5" x14ac:dyDescent="0.2">
      <c r="B21" s="194" t="s">
        <v>235</v>
      </c>
      <c r="C21" s="265"/>
      <c r="D21" s="266"/>
      <c r="E21" s="265"/>
      <c r="F21" s="265"/>
      <c r="G21" s="267"/>
      <c r="H21" s="265"/>
      <c r="I21" s="268"/>
      <c r="J21" s="268"/>
      <c r="K21" s="128"/>
      <c r="L21" s="266"/>
      <c r="M21" s="266"/>
      <c r="N21" s="265"/>
      <c r="O21" s="265" t="s">
        <v>221</v>
      </c>
    </row>
    <row r="22" spans="2:17" x14ac:dyDescent="0.2">
      <c r="B22" s="195" t="s">
        <v>177</v>
      </c>
      <c r="C22" s="265">
        <v>0</v>
      </c>
      <c r="D22" s="266">
        <f>Inputs!C17</f>
        <v>38302</v>
      </c>
      <c r="E22" s="265">
        <v>1</v>
      </c>
      <c r="F22" s="265">
        <f>C22*E22</f>
        <v>0</v>
      </c>
      <c r="G22" s="267">
        <v>0</v>
      </c>
      <c r="H22" s="265">
        <f>G22*F22</f>
        <v>0</v>
      </c>
      <c r="I22" s="268">
        <f>H22*0.1</f>
        <v>0</v>
      </c>
      <c r="J22" s="268">
        <f>H22*0.05</f>
        <v>0</v>
      </c>
      <c r="K22" s="128">
        <f>SUM(H22:J22)</f>
        <v>0</v>
      </c>
      <c r="L22" s="266">
        <f>ROUND(H22*Inputs!$F$45+I22*Inputs!$F$46+J22*Inputs!$F$47,0)</f>
        <v>0</v>
      </c>
      <c r="M22" s="266">
        <f>D22*E22*G22</f>
        <v>0</v>
      </c>
      <c r="N22" s="265">
        <v>0</v>
      </c>
      <c r="O22" s="265"/>
    </row>
    <row r="23" spans="2:17" x14ac:dyDescent="0.2">
      <c r="B23" s="195" t="s">
        <v>178</v>
      </c>
      <c r="C23" s="265">
        <v>0</v>
      </c>
      <c r="D23" s="266">
        <f>Inputs!C18</f>
        <v>19151</v>
      </c>
      <c r="E23" s="265">
        <v>1</v>
      </c>
      <c r="F23" s="265">
        <f>C23*E23</f>
        <v>0</v>
      </c>
      <c r="G23" s="267">
        <v>0</v>
      </c>
      <c r="H23" s="265">
        <f>G23*F23</f>
        <v>0</v>
      </c>
      <c r="I23" s="268">
        <f>H23*0.1</f>
        <v>0</v>
      </c>
      <c r="J23" s="268">
        <f>H23*0.05</f>
        <v>0</v>
      </c>
      <c r="K23" s="128">
        <f>SUM(H23:J23)</f>
        <v>0</v>
      </c>
      <c r="L23" s="266">
        <f>ROUND(H23*Inputs!$F$45+I23*Inputs!$F$46+J23*Inputs!$F$47,0)</f>
        <v>0</v>
      </c>
      <c r="M23" s="266">
        <f>D23*E23*G23</f>
        <v>0</v>
      </c>
      <c r="N23" s="265">
        <v>0</v>
      </c>
      <c r="O23" s="265"/>
    </row>
    <row r="24" spans="2:17" x14ac:dyDescent="0.2">
      <c r="B24" s="193" t="s">
        <v>69</v>
      </c>
      <c r="C24" s="265" t="s">
        <v>71</v>
      </c>
      <c r="D24" s="266"/>
      <c r="E24" s="265"/>
      <c r="F24" s="265"/>
      <c r="G24" s="265"/>
      <c r="H24" s="265"/>
      <c r="I24" s="268"/>
      <c r="J24" s="268"/>
      <c r="K24" s="268"/>
      <c r="L24" s="266"/>
      <c r="M24" s="266"/>
      <c r="N24" s="265"/>
      <c r="O24" s="265"/>
    </row>
    <row r="25" spans="2:17" x14ac:dyDescent="0.2">
      <c r="B25" s="193" t="s">
        <v>70</v>
      </c>
      <c r="C25" s="265" t="s">
        <v>72</v>
      </c>
      <c r="D25" s="266"/>
      <c r="E25" s="265"/>
      <c r="F25" s="265"/>
      <c r="G25" s="265"/>
      <c r="H25" s="265"/>
      <c r="I25" s="268"/>
      <c r="J25" s="268"/>
      <c r="K25" s="268"/>
      <c r="L25" s="266"/>
      <c r="M25" s="266"/>
      <c r="N25" s="265"/>
      <c r="O25" s="265"/>
    </row>
    <row r="26" spans="2:17" x14ac:dyDescent="0.2">
      <c r="B26" s="193" t="s">
        <v>73</v>
      </c>
      <c r="C26" s="265"/>
      <c r="D26" s="266"/>
      <c r="E26" s="265"/>
      <c r="F26" s="265"/>
      <c r="G26" s="265"/>
      <c r="H26" s="265"/>
      <c r="I26" s="268"/>
      <c r="J26" s="268"/>
      <c r="K26" s="268"/>
      <c r="L26" s="266"/>
      <c r="M26" s="266"/>
      <c r="N26" s="265"/>
      <c r="O26" s="265"/>
    </row>
    <row r="27" spans="2:17" x14ac:dyDescent="0.2">
      <c r="B27" s="194" t="s">
        <v>185</v>
      </c>
      <c r="C27" s="265"/>
      <c r="D27" s="266"/>
      <c r="E27" s="265"/>
      <c r="F27" s="265"/>
      <c r="G27" s="265"/>
      <c r="H27" s="265"/>
      <c r="I27" s="268"/>
      <c r="J27" s="268"/>
      <c r="K27" s="128"/>
      <c r="L27" s="266"/>
      <c r="M27" s="266"/>
      <c r="N27" s="265"/>
      <c r="O27" s="265"/>
    </row>
    <row r="28" spans="2:17" x14ac:dyDescent="0.2">
      <c r="B28" s="195" t="s">
        <v>116</v>
      </c>
      <c r="C28" s="265">
        <v>5</v>
      </c>
      <c r="D28" s="266">
        <v>0</v>
      </c>
      <c r="E28" s="265">
        <v>1</v>
      </c>
      <c r="F28" s="265">
        <f t="shared" ref="F28:F31" si="0">C28*E28</f>
        <v>5</v>
      </c>
      <c r="G28" s="268">
        <f>G10</f>
        <v>14</v>
      </c>
      <c r="H28" s="265">
        <f t="shared" ref="H28:H31" si="1">G28*F28</f>
        <v>70</v>
      </c>
      <c r="I28" s="268">
        <f t="shared" ref="I28:I31" si="2">H28*0.1</f>
        <v>7</v>
      </c>
      <c r="J28" s="268">
        <f t="shared" ref="J28:J31" si="3">H28*0.05</f>
        <v>3.5</v>
      </c>
      <c r="K28" s="128">
        <f t="shared" ref="K28:K31" si="4">SUM(H28:J28)</f>
        <v>80.5</v>
      </c>
      <c r="L28" s="266">
        <f>ROUND(H28*Inputs!$F$45+I28*Inputs!$F$46+J28*Inputs!$F$47,0)</f>
        <v>8149</v>
      </c>
      <c r="M28" s="266">
        <f t="shared" ref="M28:M31" si="5">D28*E28*G28</f>
        <v>0</v>
      </c>
      <c r="N28" s="265">
        <f t="shared" ref="N28:N31" si="6">G28*E28</f>
        <v>14</v>
      </c>
      <c r="O28" s="265" t="s">
        <v>219</v>
      </c>
      <c r="Q28" s="111" t="s">
        <v>213</v>
      </c>
    </row>
    <row r="29" spans="2:17" x14ac:dyDescent="0.2">
      <c r="B29" s="195" t="s">
        <v>117</v>
      </c>
      <c r="C29" s="265">
        <v>15</v>
      </c>
      <c r="D29" s="266">
        <v>0</v>
      </c>
      <c r="E29" s="265">
        <v>1</v>
      </c>
      <c r="F29" s="265">
        <f t="shared" si="0"/>
        <v>15</v>
      </c>
      <c r="G29" s="268">
        <f>G13</f>
        <v>134</v>
      </c>
      <c r="H29" s="265">
        <f t="shared" si="1"/>
        <v>2010</v>
      </c>
      <c r="I29" s="268">
        <f t="shared" si="2"/>
        <v>201</v>
      </c>
      <c r="J29" s="268">
        <f t="shared" si="3"/>
        <v>100.5</v>
      </c>
      <c r="K29" s="128">
        <f t="shared" si="4"/>
        <v>2311.5</v>
      </c>
      <c r="L29" s="266">
        <f>ROUND(H29*Inputs!$F$45+I29*Inputs!$F$46+J29*Inputs!$F$47,0)</f>
        <v>233998</v>
      </c>
      <c r="M29" s="266">
        <f t="shared" si="5"/>
        <v>0</v>
      </c>
      <c r="N29" s="265">
        <f t="shared" si="6"/>
        <v>134</v>
      </c>
      <c r="O29" s="265" t="s">
        <v>219</v>
      </c>
      <c r="Q29" s="111" t="s">
        <v>213</v>
      </c>
    </row>
    <row r="30" spans="2:17" ht="22.5" x14ac:dyDescent="0.2">
      <c r="B30" s="264" t="s">
        <v>236</v>
      </c>
      <c r="C30" s="265">
        <v>4</v>
      </c>
      <c r="D30" s="266">
        <v>0</v>
      </c>
      <c r="E30" s="265">
        <v>1</v>
      </c>
      <c r="F30" s="265">
        <f t="shared" si="0"/>
        <v>4</v>
      </c>
      <c r="G30" s="268">
        <f>G19</f>
        <v>0</v>
      </c>
      <c r="H30" s="265">
        <f t="shared" si="1"/>
        <v>0</v>
      </c>
      <c r="I30" s="268">
        <f t="shared" si="2"/>
        <v>0</v>
      </c>
      <c r="J30" s="268">
        <f t="shared" si="3"/>
        <v>0</v>
      </c>
      <c r="K30" s="128">
        <f t="shared" si="4"/>
        <v>0</v>
      </c>
      <c r="L30" s="266">
        <f>ROUND(H30*Inputs!$F$45+I30*Inputs!$F$46+J30*Inputs!$F$47,0)</f>
        <v>0</v>
      </c>
      <c r="M30" s="266">
        <f t="shared" si="5"/>
        <v>0</v>
      </c>
      <c r="N30" s="265">
        <f t="shared" si="6"/>
        <v>0</v>
      </c>
      <c r="O30" s="265" t="s">
        <v>32</v>
      </c>
    </row>
    <row r="31" spans="2:17" x14ac:dyDescent="0.2">
      <c r="B31" s="195" t="s">
        <v>237</v>
      </c>
      <c r="C31" s="265">
        <v>4</v>
      </c>
      <c r="D31" s="266">
        <v>0</v>
      </c>
      <c r="E31" s="265">
        <v>1</v>
      </c>
      <c r="F31" s="265">
        <f t="shared" si="0"/>
        <v>4</v>
      </c>
      <c r="G31" s="268">
        <v>0</v>
      </c>
      <c r="H31" s="265">
        <f t="shared" si="1"/>
        <v>0</v>
      </c>
      <c r="I31" s="268">
        <f t="shared" si="2"/>
        <v>0</v>
      </c>
      <c r="J31" s="268">
        <f t="shared" si="3"/>
        <v>0</v>
      </c>
      <c r="K31" s="128">
        <f t="shared" si="4"/>
        <v>0</v>
      </c>
      <c r="L31" s="266">
        <f>ROUND(H31*Inputs!$F$45+I31*Inputs!$F$46+J31*Inputs!$F$47,0)</f>
        <v>0</v>
      </c>
      <c r="M31" s="266">
        <f t="shared" si="5"/>
        <v>0</v>
      </c>
      <c r="N31" s="265">
        <f t="shared" si="6"/>
        <v>0</v>
      </c>
      <c r="O31" s="265" t="s">
        <v>32</v>
      </c>
    </row>
    <row r="32" spans="2:17" x14ac:dyDescent="0.2">
      <c r="B32" s="196" t="s">
        <v>186</v>
      </c>
      <c r="C32" s="265"/>
      <c r="D32" s="266"/>
      <c r="E32" s="265"/>
      <c r="F32" s="265"/>
      <c r="G32" s="268"/>
      <c r="H32" s="265"/>
      <c r="I32" s="268"/>
      <c r="J32" s="268"/>
      <c r="K32" s="128"/>
      <c r="L32" s="266"/>
      <c r="M32" s="266"/>
      <c r="N32" s="265"/>
      <c r="O32" s="265"/>
    </row>
    <row r="33" spans="2:17" x14ac:dyDescent="0.2">
      <c r="B33" s="195" t="s">
        <v>116</v>
      </c>
      <c r="C33" s="265">
        <v>5</v>
      </c>
      <c r="D33" s="266">
        <v>0</v>
      </c>
      <c r="E33" s="265">
        <v>2</v>
      </c>
      <c r="F33" s="265">
        <f t="shared" ref="F33:F39" si="7">C33*E33</f>
        <v>10</v>
      </c>
      <c r="G33" s="268">
        <f>G11</f>
        <v>21</v>
      </c>
      <c r="H33" s="265">
        <f t="shared" ref="H33:H39" si="8">G33*F33</f>
        <v>210</v>
      </c>
      <c r="I33" s="268">
        <f t="shared" ref="I33:I39" si="9">H33*0.1</f>
        <v>21</v>
      </c>
      <c r="J33" s="268">
        <f t="shared" ref="J33:J39" si="10">H33*0.05</f>
        <v>10.5</v>
      </c>
      <c r="K33" s="128">
        <f t="shared" ref="K33:K39" si="11">SUM(H33:J33)</f>
        <v>241.5</v>
      </c>
      <c r="L33" s="266">
        <f>ROUND(H33*Inputs!$F$45+I33*Inputs!$F$46+J33*Inputs!$F$47,0)</f>
        <v>24448</v>
      </c>
      <c r="M33" s="266">
        <f t="shared" ref="M33:M39" si="12">D33*E33*G33</f>
        <v>0</v>
      </c>
      <c r="N33" s="265">
        <f>G33*E33</f>
        <v>42</v>
      </c>
      <c r="O33" s="265" t="s">
        <v>219</v>
      </c>
      <c r="Q33" s="111" t="s">
        <v>213</v>
      </c>
    </row>
    <row r="34" spans="2:17" x14ac:dyDescent="0.2">
      <c r="B34" s="195" t="s">
        <v>117</v>
      </c>
      <c r="C34" s="265">
        <v>10</v>
      </c>
      <c r="D34" s="266">
        <v>0</v>
      </c>
      <c r="E34" s="265">
        <v>2</v>
      </c>
      <c r="F34" s="265">
        <f t="shared" si="7"/>
        <v>20</v>
      </c>
      <c r="G34" s="268">
        <f>G14</f>
        <v>201</v>
      </c>
      <c r="H34" s="265">
        <f t="shared" si="8"/>
        <v>4020</v>
      </c>
      <c r="I34" s="268">
        <f t="shared" si="9"/>
        <v>402</v>
      </c>
      <c r="J34" s="268">
        <f t="shared" si="10"/>
        <v>201</v>
      </c>
      <c r="K34" s="128">
        <f t="shared" si="11"/>
        <v>4623</v>
      </c>
      <c r="L34" s="266">
        <f>ROUND(H34*Inputs!$F$45+I34*Inputs!$F$46+J34*Inputs!$F$47,0)</f>
        <v>467996</v>
      </c>
      <c r="M34" s="266">
        <f t="shared" si="12"/>
        <v>0</v>
      </c>
      <c r="N34" s="265">
        <f t="shared" ref="N34:N39" si="13">G34*E34</f>
        <v>402</v>
      </c>
      <c r="O34" s="265" t="s">
        <v>219</v>
      </c>
      <c r="Q34" s="111" t="s">
        <v>213</v>
      </c>
    </row>
    <row r="35" spans="2:17" x14ac:dyDescent="0.2">
      <c r="B35" s="195" t="s">
        <v>181</v>
      </c>
      <c r="C35" s="265">
        <v>4</v>
      </c>
      <c r="D35" s="266">
        <v>0</v>
      </c>
      <c r="E35" s="265">
        <v>2</v>
      </c>
      <c r="F35" s="265">
        <f t="shared" si="7"/>
        <v>8</v>
      </c>
      <c r="G35" s="268">
        <f>Inputs!$C$3</f>
        <v>201</v>
      </c>
      <c r="H35" s="265">
        <f t="shared" si="8"/>
        <v>1608</v>
      </c>
      <c r="I35" s="268">
        <f t="shared" si="9"/>
        <v>160.80000000000001</v>
      </c>
      <c r="J35" s="268">
        <f t="shared" si="10"/>
        <v>80.400000000000006</v>
      </c>
      <c r="K35" s="128">
        <f t="shared" si="11"/>
        <v>1849.2</v>
      </c>
      <c r="L35" s="266">
        <f>ROUND(H35*Inputs!$F$45+I35*Inputs!$F$46+J35*Inputs!$F$47,0)</f>
        <v>187199</v>
      </c>
      <c r="M35" s="266">
        <f t="shared" si="12"/>
        <v>0</v>
      </c>
      <c r="N35" s="265">
        <f t="shared" si="13"/>
        <v>402</v>
      </c>
      <c r="O35" s="265" t="s">
        <v>219</v>
      </c>
      <c r="Q35" s="111" t="s">
        <v>213</v>
      </c>
    </row>
    <row r="36" spans="2:17" x14ac:dyDescent="0.2">
      <c r="B36" s="195" t="s">
        <v>182</v>
      </c>
      <c r="C36" s="265">
        <v>4</v>
      </c>
      <c r="D36" s="266">
        <v>0</v>
      </c>
      <c r="E36" s="265">
        <v>2</v>
      </c>
      <c r="F36" s="265">
        <f t="shared" si="7"/>
        <v>8</v>
      </c>
      <c r="G36" s="268">
        <f>Inputs!$C$3</f>
        <v>201</v>
      </c>
      <c r="H36" s="265">
        <f t="shared" si="8"/>
        <v>1608</v>
      </c>
      <c r="I36" s="268">
        <f t="shared" si="9"/>
        <v>160.80000000000001</v>
      </c>
      <c r="J36" s="268">
        <f t="shared" si="10"/>
        <v>80.400000000000006</v>
      </c>
      <c r="K36" s="128">
        <f t="shared" si="11"/>
        <v>1849.2</v>
      </c>
      <c r="L36" s="266">
        <f>ROUND(H36*Inputs!$F$45+I36*Inputs!$F$46+J36*Inputs!$F$47,0)</f>
        <v>187199</v>
      </c>
      <c r="M36" s="266">
        <f t="shared" si="12"/>
        <v>0</v>
      </c>
      <c r="N36" s="265">
        <f t="shared" si="13"/>
        <v>402</v>
      </c>
      <c r="O36" s="265" t="s">
        <v>222</v>
      </c>
      <c r="Q36" s="111" t="s">
        <v>213</v>
      </c>
    </row>
    <row r="37" spans="2:17" x14ac:dyDescent="0.2">
      <c r="B37" s="195" t="s">
        <v>137</v>
      </c>
      <c r="C37" s="265">
        <v>3</v>
      </c>
      <c r="D37" s="266">
        <v>0</v>
      </c>
      <c r="E37" s="265">
        <v>2</v>
      </c>
      <c r="F37" s="265">
        <f t="shared" si="7"/>
        <v>6</v>
      </c>
      <c r="G37" s="268">
        <f>G17</f>
        <v>201</v>
      </c>
      <c r="H37" s="265">
        <f t="shared" si="8"/>
        <v>1206</v>
      </c>
      <c r="I37" s="268">
        <f t="shared" si="9"/>
        <v>120.60000000000001</v>
      </c>
      <c r="J37" s="268">
        <f t="shared" si="10"/>
        <v>60.300000000000004</v>
      </c>
      <c r="K37" s="128">
        <f t="shared" si="11"/>
        <v>1386.8999999999999</v>
      </c>
      <c r="L37" s="266">
        <f>ROUND(H37*Inputs!$F$45+I37*Inputs!$F$46+J37*Inputs!$F$47,0)</f>
        <v>140399</v>
      </c>
      <c r="M37" s="266">
        <f t="shared" si="12"/>
        <v>0</v>
      </c>
      <c r="N37" s="265">
        <f t="shared" si="13"/>
        <v>402</v>
      </c>
      <c r="O37" s="265" t="s">
        <v>219</v>
      </c>
      <c r="Q37" s="111" t="s">
        <v>213</v>
      </c>
    </row>
    <row r="38" spans="2:17" ht="22.5" x14ac:dyDescent="0.2">
      <c r="B38" s="264" t="s">
        <v>238</v>
      </c>
      <c r="C38" s="265">
        <v>4</v>
      </c>
      <c r="D38" s="266">
        <v>0</v>
      </c>
      <c r="E38" s="265">
        <v>2</v>
      </c>
      <c r="F38" s="265">
        <f t="shared" si="7"/>
        <v>8</v>
      </c>
      <c r="G38" s="268">
        <f>G20</f>
        <v>6</v>
      </c>
      <c r="H38" s="265">
        <f t="shared" si="8"/>
        <v>48</v>
      </c>
      <c r="I38" s="268">
        <f t="shared" si="9"/>
        <v>4.8000000000000007</v>
      </c>
      <c r="J38" s="268">
        <f t="shared" si="10"/>
        <v>2.4000000000000004</v>
      </c>
      <c r="K38" s="128">
        <f t="shared" si="11"/>
        <v>55.199999999999996</v>
      </c>
      <c r="L38" s="266">
        <f>ROUND(H38*Inputs!$F$45+I38*Inputs!$F$46+J38*Inputs!$F$47,0)</f>
        <v>5588</v>
      </c>
      <c r="M38" s="266">
        <f t="shared" si="12"/>
        <v>0</v>
      </c>
      <c r="N38" s="265">
        <f t="shared" si="13"/>
        <v>12</v>
      </c>
      <c r="O38" s="265" t="s">
        <v>32</v>
      </c>
    </row>
    <row r="39" spans="2:17" x14ac:dyDescent="0.2">
      <c r="B39" s="195" t="s">
        <v>239</v>
      </c>
      <c r="C39" s="265">
        <v>4</v>
      </c>
      <c r="D39" s="266">
        <v>0</v>
      </c>
      <c r="E39" s="265">
        <v>2</v>
      </c>
      <c r="F39" s="265">
        <f t="shared" si="7"/>
        <v>8</v>
      </c>
      <c r="G39" s="268">
        <f>Inputs!$C$4</f>
        <v>8</v>
      </c>
      <c r="H39" s="265">
        <f t="shared" si="8"/>
        <v>64</v>
      </c>
      <c r="I39" s="268">
        <f t="shared" si="9"/>
        <v>6.4</v>
      </c>
      <c r="J39" s="268">
        <f t="shared" si="10"/>
        <v>3.2</v>
      </c>
      <c r="K39" s="128">
        <f t="shared" si="11"/>
        <v>73.600000000000009</v>
      </c>
      <c r="L39" s="266">
        <f>ROUND(H39*Inputs!$F$45+I39*Inputs!$F$46+J39*Inputs!$F$47,0)</f>
        <v>7451</v>
      </c>
      <c r="M39" s="266">
        <f t="shared" si="12"/>
        <v>0</v>
      </c>
      <c r="N39" s="265">
        <f t="shared" si="13"/>
        <v>16</v>
      </c>
      <c r="O39" s="265" t="s">
        <v>32</v>
      </c>
    </row>
    <row r="40" spans="2:17" x14ac:dyDescent="0.2">
      <c r="B40" s="197" t="s">
        <v>74</v>
      </c>
      <c r="C40" s="265"/>
      <c r="D40" s="266"/>
      <c r="E40" s="265"/>
      <c r="F40" s="265"/>
      <c r="G40" s="265"/>
      <c r="H40" s="270">
        <f>SUM(H7:H39)</f>
        <v>10844</v>
      </c>
      <c r="I40" s="270">
        <f>SUM(I7:I39)</f>
        <v>1084.3999999999999</v>
      </c>
      <c r="J40" s="270">
        <f>SUM(J7:J39)</f>
        <v>542.19999999999993</v>
      </c>
      <c r="K40" s="270">
        <f>SUM(K7:K39)</f>
        <v>12470.600000000002</v>
      </c>
      <c r="L40" s="271">
        <f>SUM(L7:L39)</f>
        <v>1262427</v>
      </c>
      <c r="M40" s="271">
        <f>SUM(M7:M39)-M10-M13-M16-M19-M22</f>
        <v>5413047</v>
      </c>
      <c r="N40" s="270">
        <f>SUM(N7:N39)</f>
        <v>1826</v>
      </c>
      <c r="O40" s="265"/>
    </row>
    <row r="41" spans="2:17" x14ac:dyDescent="0.2">
      <c r="B41" s="192" t="s">
        <v>59</v>
      </c>
      <c r="C41" s="265"/>
      <c r="D41" s="266"/>
      <c r="E41" s="265"/>
      <c r="F41" s="265"/>
      <c r="G41" s="265"/>
      <c r="H41" s="265"/>
      <c r="I41" s="268"/>
      <c r="J41" s="268"/>
      <c r="K41" s="268"/>
      <c r="L41" s="266"/>
      <c r="M41" s="266"/>
      <c r="N41" s="265"/>
      <c r="O41" s="265"/>
    </row>
    <row r="42" spans="2:17" x14ac:dyDescent="0.2">
      <c r="B42" s="193" t="s">
        <v>60</v>
      </c>
      <c r="C42" s="265" t="s">
        <v>102</v>
      </c>
      <c r="D42" s="266"/>
      <c r="E42" s="265"/>
      <c r="F42" s="265"/>
      <c r="G42" s="265"/>
      <c r="H42" s="265"/>
      <c r="I42" s="268"/>
      <c r="J42" s="268"/>
      <c r="K42" s="268"/>
      <c r="L42" s="266"/>
      <c r="M42" s="266"/>
      <c r="N42" s="265"/>
      <c r="O42" s="265"/>
    </row>
    <row r="43" spans="2:17" x14ac:dyDescent="0.2">
      <c r="B43" s="193" t="s">
        <v>98</v>
      </c>
      <c r="C43" s="269" t="s">
        <v>64</v>
      </c>
      <c r="D43" s="266"/>
      <c r="E43" s="265"/>
      <c r="F43" s="265"/>
      <c r="G43" s="265"/>
      <c r="H43" s="265"/>
      <c r="I43" s="268"/>
      <c r="J43" s="268"/>
      <c r="K43" s="268"/>
      <c r="L43" s="266"/>
      <c r="M43" s="266"/>
      <c r="N43" s="265"/>
      <c r="O43" s="265"/>
    </row>
    <row r="44" spans="2:17" x14ac:dyDescent="0.2">
      <c r="B44" s="193" t="s">
        <v>61</v>
      </c>
      <c r="C44" s="269" t="s">
        <v>64</v>
      </c>
      <c r="D44" s="266"/>
      <c r="E44" s="265"/>
      <c r="F44" s="265"/>
      <c r="G44" s="265"/>
      <c r="H44" s="265"/>
      <c r="I44" s="268"/>
      <c r="J44" s="268"/>
      <c r="K44" s="268"/>
      <c r="L44" s="266"/>
      <c r="M44" s="266"/>
      <c r="N44" s="265"/>
      <c r="O44" s="265"/>
    </row>
    <row r="45" spans="2:17" x14ac:dyDescent="0.2">
      <c r="B45" s="193" t="s">
        <v>75</v>
      </c>
      <c r="C45" s="265"/>
      <c r="D45" s="266"/>
      <c r="E45" s="265"/>
      <c r="F45" s="265"/>
      <c r="G45" s="265"/>
      <c r="H45" s="265"/>
      <c r="I45" s="268"/>
      <c r="J45" s="268"/>
      <c r="K45" s="268"/>
      <c r="L45" s="266"/>
      <c r="M45" s="266"/>
      <c r="N45" s="265"/>
      <c r="O45" s="265"/>
    </row>
    <row r="46" spans="2:17" x14ac:dyDescent="0.2">
      <c r="B46" s="196" t="s">
        <v>187</v>
      </c>
      <c r="C46" s="265">
        <v>0.4</v>
      </c>
      <c r="D46" s="266">
        <v>0</v>
      </c>
      <c r="E46" s="265">
        <v>365</v>
      </c>
      <c r="F46" s="265">
        <f t="shared" ref="F46:F48" si="14">C46*E46</f>
        <v>146</v>
      </c>
      <c r="G46" s="268">
        <f>G11</f>
        <v>21</v>
      </c>
      <c r="H46" s="267">
        <f t="shared" ref="H46:H53" si="15">G46*F46</f>
        <v>3066</v>
      </c>
      <c r="I46" s="267">
        <f t="shared" ref="I46:I53" si="16">H46*0.1</f>
        <v>306.60000000000002</v>
      </c>
      <c r="J46" s="267">
        <f t="shared" ref="J46:J53" si="17">H46*0.05</f>
        <v>153.30000000000001</v>
      </c>
      <c r="K46" s="171">
        <f t="shared" ref="K46:K53" si="18">SUM(H46:J46)</f>
        <v>3525.9</v>
      </c>
      <c r="L46" s="266">
        <f>ROUND(H46*Inputs!$F$45+I46*Inputs!$F$46+J46*Inputs!$F$47,0)</f>
        <v>356935</v>
      </c>
      <c r="M46" s="266">
        <f t="shared" ref="M46:M53" si="19">D46*E46*G46</f>
        <v>0</v>
      </c>
      <c r="N46" s="265">
        <v>0</v>
      </c>
      <c r="O46" s="265" t="s">
        <v>219</v>
      </c>
      <c r="Q46" s="111" t="s">
        <v>213</v>
      </c>
    </row>
    <row r="47" spans="2:17" x14ac:dyDescent="0.2">
      <c r="B47" s="196" t="s">
        <v>188</v>
      </c>
      <c r="C47" s="265">
        <v>10</v>
      </c>
      <c r="D47" s="266">
        <v>0</v>
      </c>
      <c r="E47" s="265">
        <v>1</v>
      </c>
      <c r="F47" s="265">
        <f t="shared" si="14"/>
        <v>10</v>
      </c>
      <c r="G47" s="268">
        <f>G14</f>
        <v>201</v>
      </c>
      <c r="H47" s="267">
        <f t="shared" si="15"/>
        <v>2010</v>
      </c>
      <c r="I47" s="267">
        <f t="shared" si="16"/>
        <v>201</v>
      </c>
      <c r="J47" s="267">
        <f t="shared" si="17"/>
        <v>100.5</v>
      </c>
      <c r="K47" s="171">
        <f t="shared" si="18"/>
        <v>2311.5</v>
      </c>
      <c r="L47" s="266">
        <f>ROUND(H47*Inputs!$F$45+I47*Inputs!$F$46+J47*Inputs!$F$47,0)</f>
        <v>233998</v>
      </c>
      <c r="M47" s="266">
        <f t="shared" si="19"/>
        <v>0</v>
      </c>
      <c r="N47" s="265">
        <v>0</v>
      </c>
      <c r="O47" s="265" t="s">
        <v>219</v>
      </c>
      <c r="Q47" s="111" t="s">
        <v>213</v>
      </c>
    </row>
    <row r="48" spans="2:17" x14ac:dyDescent="0.2">
      <c r="B48" s="196" t="s">
        <v>170</v>
      </c>
      <c r="C48" s="265">
        <v>0</v>
      </c>
      <c r="D48" s="266">
        <v>0</v>
      </c>
      <c r="E48" s="265">
        <v>1</v>
      </c>
      <c r="F48" s="265">
        <f t="shared" si="14"/>
        <v>0</v>
      </c>
      <c r="G48" s="268">
        <f>G17</f>
        <v>201</v>
      </c>
      <c r="H48" s="267">
        <f t="shared" si="15"/>
        <v>0</v>
      </c>
      <c r="I48" s="267">
        <f t="shared" si="16"/>
        <v>0</v>
      </c>
      <c r="J48" s="267">
        <f t="shared" si="17"/>
        <v>0</v>
      </c>
      <c r="K48" s="171">
        <f t="shared" si="18"/>
        <v>0</v>
      </c>
      <c r="L48" s="266">
        <f>ROUND(H48*Inputs!$F$45+I48*Inputs!$F$46+J48*Inputs!$F$47,0)</f>
        <v>0</v>
      </c>
      <c r="M48" s="266">
        <f t="shared" si="19"/>
        <v>0</v>
      </c>
      <c r="N48" s="265">
        <v>0</v>
      </c>
      <c r="O48" s="265" t="s">
        <v>55</v>
      </c>
      <c r="Q48" s="111" t="s">
        <v>213</v>
      </c>
    </row>
    <row r="49" spans="2:17" x14ac:dyDescent="0.2">
      <c r="B49" s="196" t="s">
        <v>189</v>
      </c>
      <c r="C49" s="265">
        <v>1</v>
      </c>
      <c r="D49" s="266">
        <v>0</v>
      </c>
      <c r="E49" s="265">
        <v>1</v>
      </c>
      <c r="F49" s="265">
        <f>C49*E49</f>
        <v>1</v>
      </c>
      <c r="G49" s="268">
        <f>Inputs!$C$3</f>
        <v>201</v>
      </c>
      <c r="H49" s="267">
        <f t="shared" si="15"/>
        <v>201</v>
      </c>
      <c r="I49" s="267">
        <f t="shared" si="16"/>
        <v>20.100000000000001</v>
      </c>
      <c r="J49" s="267">
        <f t="shared" si="17"/>
        <v>10.050000000000001</v>
      </c>
      <c r="K49" s="171">
        <f t="shared" si="18"/>
        <v>231.15</v>
      </c>
      <c r="L49" s="266">
        <f>ROUND(H49*Inputs!$F$45+I49*Inputs!$F$46+J49*Inputs!$F$47,0)</f>
        <v>23400</v>
      </c>
      <c r="M49" s="266">
        <f t="shared" si="19"/>
        <v>0</v>
      </c>
      <c r="N49" s="265">
        <v>0</v>
      </c>
      <c r="O49" s="265" t="s">
        <v>219</v>
      </c>
      <c r="Q49" s="111" t="s">
        <v>213</v>
      </c>
    </row>
    <row r="50" spans="2:17" x14ac:dyDescent="0.2">
      <c r="B50" s="196" t="s">
        <v>190</v>
      </c>
      <c r="C50" s="265">
        <v>0</v>
      </c>
      <c r="D50" s="266">
        <v>0</v>
      </c>
      <c r="E50" s="265">
        <v>1</v>
      </c>
      <c r="F50" s="265">
        <f t="shared" ref="F50:F53" si="20">C50*E50</f>
        <v>0</v>
      </c>
      <c r="G50" s="268">
        <f>Inputs!$C$3</f>
        <v>201</v>
      </c>
      <c r="H50" s="267">
        <f t="shared" si="15"/>
        <v>0</v>
      </c>
      <c r="I50" s="267">
        <f t="shared" si="16"/>
        <v>0</v>
      </c>
      <c r="J50" s="267">
        <f t="shared" si="17"/>
        <v>0</v>
      </c>
      <c r="K50" s="171">
        <f t="shared" si="18"/>
        <v>0</v>
      </c>
      <c r="L50" s="266">
        <f>ROUND(H50*Inputs!$F$45+I50*Inputs!$F$46+J50*Inputs!$F$47,0)</f>
        <v>0</v>
      </c>
      <c r="M50" s="266">
        <f t="shared" si="19"/>
        <v>0</v>
      </c>
      <c r="N50" s="265">
        <v>0</v>
      </c>
      <c r="O50" s="265" t="s">
        <v>195</v>
      </c>
    </row>
    <row r="51" spans="2:17" ht="22.5" x14ac:dyDescent="0.2">
      <c r="B51" s="194" t="s">
        <v>240</v>
      </c>
      <c r="C51" s="265">
        <v>2</v>
      </c>
      <c r="D51" s="266">
        <v>0</v>
      </c>
      <c r="E51" s="265">
        <v>1</v>
      </c>
      <c r="F51" s="265">
        <f t="shared" si="20"/>
        <v>2</v>
      </c>
      <c r="G51" s="268">
        <f>G20</f>
        <v>6</v>
      </c>
      <c r="H51" s="267">
        <f t="shared" si="15"/>
        <v>12</v>
      </c>
      <c r="I51" s="267">
        <f t="shared" si="16"/>
        <v>1.2000000000000002</v>
      </c>
      <c r="J51" s="267">
        <f t="shared" si="17"/>
        <v>0.60000000000000009</v>
      </c>
      <c r="K51" s="171">
        <f t="shared" si="18"/>
        <v>13.799999999999999</v>
      </c>
      <c r="L51" s="266">
        <f>ROUND(H51*Inputs!$F$45+I51*Inputs!$F$46+J51*Inputs!$F$47,0)</f>
        <v>1397</v>
      </c>
      <c r="M51" s="266">
        <f t="shared" si="19"/>
        <v>0</v>
      </c>
      <c r="N51" s="265">
        <v>0</v>
      </c>
      <c r="O51" s="265" t="s">
        <v>32</v>
      </c>
    </row>
    <row r="52" spans="2:17" x14ac:dyDescent="0.2">
      <c r="B52" s="196" t="s">
        <v>191</v>
      </c>
      <c r="C52" s="265">
        <v>75</v>
      </c>
      <c r="D52" s="266">
        <v>0</v>
      </c>
      <c r="E52" s="265">
        <v>3</v>
      </c>
      <c r="F52" s="265">
        <f t="shared" si="20"/>
        <v>225</v>
      </c>
      <c r="G52" s="268">
        <v>0</v>
      </c>
      <c r="H52" s="267">
        <f t="shared" si="15"/>
        <v>0</v>
      </c>
      <c r="I52" s="267">
        <f t="shared" si="16"/>
        <v>0</v>
      </c>
      <c r="J52" s="267">
        <f t="shared" si="17"/>
        <v>0</v>
      </c>
      <c r="K52" s="171">
        <f t="shared" si="18"/>
        <v>0</v>
      </c>
      <c r="L52" s="266">
        <f>ROUND(H52*Inputs!$F$45+I52*Inputs!$F$46+J52*Inputs!$F$47,0)</f>
        <v>0</v>
      </c>
      <c r="M52" s="266">
        <f t="shared" si="19"/>
        <v>0</v>
      </c>
      <c r="N52" s="265">
        <v>0</v>
      </c>
      <c r="O52" s="265" t="s">
        <v>36</v>
      </c>
    </row>
    <row r="53" spans="2:17" x14ac:dyDescent="0.2">
      <c r="B53" s="193" t="s">
        <v>76</v>
      </c>
      <c r="C53" s="265">
        <v>16</v>
      </c>
      <c r="D53" s="266">
        <v>0</v>
      </c>
      <c r="E53" s="265">
        <v>1</v>
      </c>
      <c r="F53" s="265">
        <f t="shared" si="20"/>
        <v>16</v>
      </c>
      <c r="G53" s="268"/>
      <c r="H53" s="267">
        <f t="shared" si="15"/>
        <v>0</v>
      </c>
      <c r="I53" s="267">
        <f t="shared" si="16"/>
        <v>0</v>
      </c>
      <c r="J53" s="267">
        <f t="shared" si="17"/>
        <v>0</v>
      </c>
      <c r="K53" s="171">
        <f t="shared" si="18"/>
        <v>0</v>
      </c>
      <c r="L53" s="266">
        <f>ROUND(H53*Inputs!$F$45+I53*Inputs!$F$46+J53*Inputs!$F$47,0)</f>
        <v>0</v>
      </c>
      <c r="M53" s="266">
        <f t="shared" si="19"/>
        <v>0</v>
      </c>
      <c r="N53" s="265">
        <v>0</v>
      </c>
      <c r="O53" s="265"/>
    </row>
    <row r="54" spans="2:17" x14ac:dyDescent="0.2">
      <c r="B54" s="193" t="s">
        <v>77</v>
      </c>
      <c r="C54" s="265" t="s">
        <v>64</v>
      </c>
      <c r="D54" s="266"/>
      <c r="E54" s="265"/>
      <c r="F54" s="265"/>
      <c r="G54" s="265"/>
      <c r="H54" s="267"/>
      <c r="I54" s="267"/>
      <c r="J54" s="267"/>
      <c r="K54" s="267"/>
      <c r="L54" s="266"/>
      <c r="M54" s="266"/>
      <c r="N54" s="265"/>
      <c r="O54" s="265"/>
    </row>
    <row r="55" spans="2:17" ht="12" thickBot="1" x14ac:dyDescent="0.25">
      <c r="B55" s="207" t="s">
        <v>62</v>
      </c>
      <c r="C55" s="272"/>
      <c r="D55" s="272"/>
      <c r="E55" s="272"/>
      <c r="F55" s="272"/>
      <c r="G55" s="272"/>
      <c r="H55" s="273">
        <f>SUM(H46:H53)</f>
        <v>5289</v>
      </c>
      <c r="I55" s="273">
        <f>SUM(I46:I53)</f>
        <v>528.90000000000009</v>
      </c>
      <c r="J55" s="273">
        <f>SUM(J46:J53)</f>
        <v>264.45000000000005</v>
      </c>
      <c r="K55" s="273">
        <f>SUM(K46:K53)</f>
        <v>6082.3499999999995</v>
      </c>
      <c r="L55" s="274">
        <f>SUM(L46:L53)</f>
        <v>615730</v>
      </c>
      <c r="M55" s="274">
        <f>SUM(M46:M52)</f>
        <v>0</v>
      </c>
      <c r="N55" s="275">
        <f>SUM(N46:N53)</f>
        <v>0</v>
      </c>
      <c r="O55" s="272"/>
    </row>
    <row r="56" spans="2:17" s="166" customFormat="1" ht="13.5" customHeight="1" thickTop="1" x14ac:dyDescent="0.25">
      <c r="B56" s="205" t="s">
        <v>35</v>
      </c>
      <c r="C56" s="206"/>
      <c r="D56" s="206"/>
      <c r="E56" s="206"/>
      <c r="F56" s="206"/>
      <c r="G56" s="206"/>
      <c r="H56" s="248">
        <f t="shared" ref="H56:N56" si="21">H55+H40</f>
        <v>16133</v>
      </c>
      <c r="I56" s="248">
        <f t="shared" si="21"/>
        <v>1613.3</v>
      </c>
      <c r="J56" s="248">
        <f t="shared" si="21"/>
        <v>806.65</v>
      </c>
      <c r="K56" s="248">
        <f t="shared" si="21"/>
        <v>18552.95</v>
      </c>
      <c r="L56" s="249">
        <f t="shared" si="21"/>
        <v>1878157</v>
      </c>
      <c r="M56" s="249">
        <f t="shared" si="21"/>
        <v>5413047</v>
      </c>
      <c r="N56" s="250">
        <f t="shared" si="21"/>
        <v>1826</v>
      </c>
      <c r="O56" s="206"/>
      <c r="Q56" s="167"/>
    </row>
    <row r="57" spans="2:17" ht="7.5" customHeight="1" x14ac:dyDescent="0.2">
      <c r="B57" s="198"/>
      <c r="C57" s="25"/>
      <c r="D57" s="25"/>
      <c r="E57" s="25"/>
      <c r="F57" s="25"/>
      <c r="G57" s="11"/>
      <c r="H57" s="9"/>
      <c r="I57" s="10"/>
      <c r="J57" s="10"/>
      <c r="K57" s="12"/>
      <c r="L57" s="12"/>
      <c r="M57" s="12"/>
      <c r="N57" s="25"/>
      <c r="O57" s="199"/>
    </row>
    <row r="58" spans="2:17" x14ac:dyDescent="0.2">
      <c r="B58" s="198"/>
      <c r="C58" s="25"/>
      <c r="D58" s="25"/>
      <c r="E58" s="25"/>
      <c r="F58" s="25"/>
      <c r="G58" s="9"/>
      <c r="H58" s="9"/>
      <c r="I58" s="10"/>
      <c r="J58" s="159" t="s">
        <v>57</v>
      </c>
      <c r="K58" s="159" t="s">
        <v>78</v>
      </c>
      <c r="L58" s="170" t="s">
        <v>79</v>
      </c>
      <c r="M58" s="170" t="s">
        <v>48</v>
      </c>
      <c r="N58" s="25"/>
      <c r="O58" s="199"/>
    </row>
    <row r="59" spans="2:17" x14ac:dyDescent="0.2">
      <c r="B59" s="198"/>
      <c r="C59" s="25"/>
      <c r="D59" s="25"/>
      <c r="E59" s="25"/>
      <c r="F59" s="25"/>
      <c r="G59" s="160" t="s">
        <v>80</v>
      </c>
      <c r="H59" s="161"/>
      <c r="I59" s="165"/>
      <c r="J59" s="159">
        <f>H56+I56+J56</f>
        <v>18552.95</v>
      </c>
      <c r="K59" s="129">
        <f>L56</f>
        <v>1878157</v>
      </c>
      <c r="L59" s="129">
        <f>M56</f>
        <v>5413047</v>
      </c>
      <c r="M59" s="129">
        <f>L59+K59</f>
        <v>7291204</v>
      </c>
      <c r="N59" s="25"/>
      <c r="O59" s="199"/>
    </row>
    <row r="60" spans="2:17" ht="7.5" customHeight="1" x14ac:dyDescent="0.2">
      <c r="B60" s="198"/>
      <c r="C60" s="25"/>
      <c r="D60" s="25"/>
      <c r="E60" s="25"/>
      <c r="F60" s="25"/>
      <c r="G60" s="11"/>
      <c r="H60" s="9"/>
      <c r="I60" s="10"/>
      <c r="J60" s="10"/>
      <c r="K60" s="12"/>
      <c r="L60" s="12"/>
      <c r="M60" s="12"/>
      <c r="N60" s="25"/>
      <c r="O60" s="199"/>
    </row>
    <row r="61" spans="2:17" x14ac:dyDescent="0.2">
      <c r="B61" s="198"/>
      <c r="C61" s="25"/>
      <c r="D61" s="25"/>
      <c r="E61" s="25"/>
      <c r="F61" s="25"/>
      <c r="G61" s="160" t="s">
        <v>81</v>
      </c>
      <c r="H61" s="161"/>
      <c r="I61" s="162"/>
      <c r="J61" s="162"/>
      <c r="K61" s="163"/>
      <c r="L61" s="164"/>
      <c r="M61" s="129">
        <f>L7++M10+M13+M16+M19+M22</f>
        <v>20801540</v>
      </c>
      <c r="N61" s="25"/>
      <c r="O61" s="199"/>
    </row>
    <row r="62" spans="2:17" x14ac:dyDescent="0.2">
      <c r="B62" s="200"/>
      <c r="C62" s="201"/>
      <c r="D62" s="201"/>
      <c r="E62" s="201"/>
      <c r="F62" s="201"/>
      <c r="G62" s="160" t="s">
        <v>82</v>
      </c>
      <c r="H62" s="202"/>
      <c r="I62" s="202"/>
      <c r="J62" s="202"/>
      <c r="K62" s="163"/>
      <c r="L62" s="203"/>
      <c r="M62" s="129">
        <f>M56</f>
        <v>5413047</v>
      </c>
      <c r="N62" s="201"/>
      <c r="O62" s="204"/>
    </row>
    <row r="63" spans="2:17" ht="8.25" customHeight="1" x14ac:dyDescent="0.2"/>
    <row r="64" spans="2:17" x14ac:dyDescent="0.2">
      <c r="B64" s="19" t="s">
        <v>93</v>
      </c>
      <c r="L64" s="26"/>
    </row>
    <row r="65" spans="2:14" x14ac:dyDescent="0.2">
      <c r="B65" s="19" t="s">
        <v>193</v>
      </c>
    </row>
    <row r="66" spans="2:14" ht="11.25" customHeight="1" x14ac:dyDescent="0.2">
      <c r="B66" s="283" t="s">
        <v>194</v>
      </c>
      <c r="C66" s="283"/>
      <c r="D66" s="283"/>
      <c r="E66" s="283"/>
      <c r="F66" s="283"/>
      <c r="G66" s="283"/>
      <c r="H66" s="283"/>
      <c r="I66" s="283"/>
      <c r="J66" s="283"/>
      <c r="K66" s="283"/>
      <c r="L66" s="283"/>
      <c r="M66" s="283"/>
      <c r="N66" s="283"/>
    </row>
    <row r="67" spans="2:14" ht="22.5" customHeight="1" x14ac:dyDescent="0.2">
      <c r="B67" s="283" t="s">
        <v>233</v>
      </c>
      <c r="C67" s="283"/>
      <c r="D67" s="283"/>
      <c r="E67" s="283"/>
      <c r="F67" s="283"/>
      <c r="G67" s="283"/>
      <c r="H67" s="283"/>
      <c r="I67" s="283"/>
      <c r="J67" s="283"/>
      <c r="K67" s="283"/>
      <c r="L67" s="283"/>
      <c r="M67" s="283"/>
      <c r="N67" s="283"/>
    </row>
    <row r="68" spans="2:14" x14ac:dyDescent="0.2">
      <c r="B68" s="283" t="s">
        <v>196</v>
      </c>
      <c r="C68" s="283"/>
      <c r="D68" s="283"/>
      <c r="E68" s="283"/>
      <c r="F68" s="283"/>
      <c r="G68" s="283"/>
      <c r="H68" s="283"/>
      <c r="I68" s="283"/>
      <c r="J68" s="283"/>
      <c r="K68" s="283"/>
      <c r="L68" s="283"/>
      <c r="M68" s="283"/>
      <c r="N68" s="283"/>
    </row>
    <row r="69" spans="2:14" x14ac:dyDescent="0.2">
      <c r="B69" s="281" t="s">
        <v>197</v>
      </c>
      <c r="C69" s="281"/>
      <c r="D69" s="281"/>
      <c r="E69" s="281"/>
      <c r="F69" s="281"/>
      <c r="G69" s="281"/>
      <c r="H69" s="281"/>
      <c r="I69" s="281"/>
      <c r="J69" s="281"/>
      <c r="K69" s="281"/>
      <c r="L69" s="281"/>
      <c r="M69" s="281"/>
      <c r="N69" s="281"/>
    </row>
    <row r="70" spans="2:14" x14ac:dyDescent="0.2">
      <c r="B70" s="283" t="s">
        <v>198</v>
      </c>
      <c r="C70" s="283"/>
      <c r="D70" s="283"/>
      <c r="E70" s="283"/>
      <c r="F70" s="283"/>
      <c r="G70" s="283"/>
      <c r="H70" s="283"/>
      <c r="I70" s="283"/>
      <c r="J70" s="283"/>
      <c r="K70" s="283"/>
      <c r="L70" s="283"/>
      <c r="M70" s="283"/>
      <c r="N70" s="283"/>
    </row>
    <row r="72" spans="2:14" ht="11.25" customHeight="1" x14ac:dyDescent="0.2"/>
    <row r="73" spans="2:14" ht="11.25" customHeight="1" x14ac:dyDescent="0.2"/>
  </sheetData>
  <mergeCells count="6">
    <mergeCell ref="B70:N70"/>
    <mergeCell ref="B2:O2"/>
    <mergeCell ref="B67:N67"/>
    <mergeCell ref="B68:N68"/>
    <mergeCell ref="B69:N69"/>
    <mergeCell ref="B66:N66"/>
  </mergeCells>
  <printOptions horizontalCentered="1"/>
  <pageMargins left="0.5" right="0.5" top="0.5" bottom="0.5" header="0.3" footer="0.3"/>
  <pageSetup scale="86" fitToHeight="2" orientation="landscape" r:id="rId1"/>
  <rowBreaks count="1" manualBreakCount="1">
    <brk id="40"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B1:O7"/>
  <sheetViews>
    <sheetView tabSelected="1" zoomScaleNormal="100" workbookViewId="0">
      <selection activeCell="G7" sqref="G7"/>
    </sheetView>
  </sheetViews>
  <sheetFormatPr defaultRowHeight="14.25" x14ac:dyDescent="0.2"/>
  <cols>
    <col min="1" max="1" width="3.28515625" style="29" customWidth="1"/>
    <col min="2" max="2" width="13.28515625" style="29" customWidth="1"/>
    <col min="3" max="3" width="13.42578125" style="29" customWidth="1"/>
    <col min="4" max="4" width="25.7109375" style="29" customWidth="1"/>
    <col min="5" max="5" width="12.7109375" style="29" customWidth="1"/>
    <col min="6" max="6" width="13.5703125" style="29" customWidth="1"/>
    <col min="7" max="7" width="13.28515625" style="29" customWidth="1"/>
    <col min="8" max="8" width="22.28515625" style="29" customWidth="1"/>
    <col min="9" max="9" width="13" style="29" customWidth="1"/>
    <col min="10" max="10" width="9.140625" style="29"/>
    <col min="11" max="11" width="12.85546875" style="29" customWidth="1"/>
    <col min="12" max="16384" width="9.140625" style="29"/>
  </cols>
  <sheetData>
    <row r="1" spans="2:15" ht="39.75" customHeight="1" x14ac:dyDescent="0.25">
      <c r="B1" s="284" t="s">
        <v>205</v>
      </c>
      <c r="C1" s="284"/>
      <c r="D1" s="284"/>
      <c r="E1" s="284"/>
      <c r="F1" s="284"/>
      <c r="G1" s="284"/>
      <c r="H1" s="284"/>
      <c r="I1" s="284"/>
      <c r="J1" s="28"/>
      <c r="K1" s="28"/>
      <c r="L1" s="28"/>
      <c r="M1" s="28"/>
      <c r="N1" s="28"/>
      <c r="O1" s="28"/>
    </row>
    <row r="2" spans="2:15" ht="40.5" customHeight="1" thickBot="1" x14ac:dyDescent="0.25">
      <c r="B2" s="209" t="s">
        <v>40</v>
      </c>
      <c r="C2" s="210" t="s">
        <v>41</v>
      </c>
      <c r="D2" s="210" t="s">
        <v>43</v>
      </c>
      <c r="E2" s="210" t="s">
        <v>42</v>
      </c>
      <c r="F2" s="210" t="s">
        <v>44</v>
      </c>
      <c r="G2" s="210" t="s">
        <v>45</v>
      </c>
      <c r="H2" s="210" t="s">
        <v>46</v>
      </c>
      <c r="I2" s="210" t="s">
        <v>47</v>
      </c>
    </row>
    <row r="3" spans="2:15" ht="15" thickTop="1" x14ac:dyDescent="0.2">
      <c r="B3" s="211">
        <v>1</v>
      </c>
      <c r="C3" s="2">
        <f>'YR1'!H56</f>
        <v>9615</v>
      </c>
      <c r="D3" s="2">
        <f>'YR1'!I56</f>
        <v>961.5</v>
      </c>
      <c r="E3" s="2">
        <f>'YR1'!J56</f>
        <v>480.75</v>
      </c>
      <c r="F3" s="2">
        <f>SUM(C3:E3)</f>
        <v>11057.25</v>
      </c>
      <c r="G3" s="3">
        <f>'YR1'!L56</f>
        <v>1119350</v>
      </c>
      <c r="H3" s="3">
        <f>'YR1'!M56</f>
        <v>0</v>
      </c>
      <c r="I3" s="3">
        <f>+G3+H3</f>
        <v>1119350</v>
      </c>
    </row>
    <row r="4" spans="2:15" x14ac:dyDescent="0.2">
      <c r="B4" s="212">
        <v>2</v>
      </c>
      <c r="C4" s="4">
        <f>'YR2'!H56</f>
        <v>5863</v>
      </c>
      <c r="D4" s="4">
        <f>'YR2'!I56</f>
        <v>586.29999999999995</v>
      </c>
      <c r="E4" s="4">
        <f>'YR2'!J56</f>
        <v>293.14999999999998</v>
      </c>
      <c r="F4" s="4">
        <f>SUM(C4:E4)</f>
        <v>6742.45</v>
      </c>
      <c r="G4" s="5">
        <f>'YR2'!L56</f>
        <v>682554</v>
      </c>
      <c r="H4" s="5">
        <f>'YR2'!M56</f>
        <v>1823949</v>
      </c>
      <c r="I4" s="5">
        <f>+G4+H4</f>
        <v>2506503</v>
      </c>
    </row>
    <row r="5" spans="2:15" ht="15" thickBot="1" x14ac:dyDescent="0.25">
      <c r="B5" s="209">
        <v>3</v>
      </c>
      <c r="C5" s="6">
        <f>'YR3'!H56</f>
        <v>16133</v>
      </c>
      <c r="D5" s="6">
        <f>'YR3'!I56</f>
        <v>1613.3</v>
      </c>
      <c r="E5" s="6">
        <f>'YR3'!J56</f>
        <v>806.65</v>
      </c>
      <c r="F5" s="6">
        <f>SUM(C5:E5)</f>
        <v>18552.95</v>
      </c>
      <c r="G5" s="7">
        <f>'YR3'!L56</f>
        <v>1878157</v>
      </c>
      <c r="H5" s="7">
        <f>'YR3'!M56</f>
        <v>5413047</v>
      </c>
      <c r="I5" s="7">
        <f>+G5+H5</f>
        <v>7291204</v>
      </c>
    </row>
    <row r="6" spans="2:15" ht="15" thickTop="1" x14ac:dyDescent="0.2">
      <c r="B6" s="211" t="s">
        <v>48</v>
      </c>
      <c r="C6" s="2">
        <f t="shared" ref="C6:I6" si="0">SUM(C3:C5)</f>
        <v>31611</v>
      </c>
      <c r="D6" s="2">
        <f t="shared" si="0"/>
        <v>3161.1</v>
      </c>
      <c r="E6" s="2">
        <f t="shared" si="0"/>
        <v>1580.55</v>
      </c>
      <c r="F6" s="2">
        <f>SUM(F3:F5)</f>
        <v>36352.65</v>
      </c>
      <c r="G6" s="3">
        <f t="shared" si="0"/>
        <v>3680061</v>
      </c>
      <c r="H6" s="3">
        <f t="shared" si="0"/>
        <v>7236996</v>
      </c>
      <c r="I6" s="3">
        <f t="shared" si="0"/>
        <v>10917057</v>
      </c>
    </row>
    <row r="7" spans="2:15" x14ac:dyDescent="0.2">
      <c r="B7" s="212" t="s">
        <v>49</v>
      </c>
      <c r="C7" s="4">
        <f t="shared" ref="C7:I7" si="1">AVERAGE(C3:C5)</f>
        <v>10537</v>
      </c>
      <c r="D7" s="4">
        <f t="shared" si="1"/>
        <v>1053.7</v>
      </c>
      <c r="E7" s="4">
        <f t="shared" si="1"/>
        <v>526.85</v>
      </c>
      <c r="F7" s="124">
        <f>AVERAGE(F3:F5)</f>
        <v>12117.550000000001</v>
      </c>
      <c r="G7" s="213">
        <f t="shared" si="1"/>
        <v>1226687</v>
      </c>
      <c r="H7" s="5">
        <f t="shared" si="1"/>
        <v>2412332</v>
      </c>
      <c r="I7" s="5">
        <f t="shared" si="1"/>
        <v>3639019</v>
      </c>
    </row>
  </sheetData>
  <mergeCells count="1">
    <mergeCell ref="B1:I1"/>
  </mergeCells>
  <printOptions horizontalCentered="1"/>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B2:Z55"/>
  <sheetViews>
    <sheetView zoomScaleNormal="100" workbookViewId="0">
      <selection activeCell="C32" sqref="C32"/>
    </sheetView>
  </sheetViews>
  <sheetFormatPr defaultRowHeight="14.25" x14ac:dyDescent="0.2"/>
  <cols>
    <col min="1" max="1" width="4.140625" style="29" customWidth="1"/>
    <col min="2" max="4" width="3.140625" style="13" customWidth="1"/>
    <col min="5" max="5" width="40.28515625" style="13" customWidth="1"/>
    <col min="6" max="6" width="3.28515625" style="13" customWidth="1"/>
    <col min="7" max="9" width="11.28515625" style="13" customWidth="1"/>
    <col min="10" max="10" width="11.5703125" style="13" bestFit="1" customWidth="1"/>
    <col min="11" max="11" width="10.42578125" style="13" bestFit="1" customWidth="1"/>
    <col min="12" max="12" width="10.140625" style="13" bestFit="1" customWidth="1"/>
    <col min="13" max="13" width="8.42578125" style="13" bestFit="1" customWidth="1"/>
    <col min="14" max="14" width="3.5703125" style="13" customWidth="1"/>
    <col min="15" max="15" width="3.85546875" style="29" customWidth="1"/>
    <col min="16" max="16384" width="9.140625" style="29"/>
  </cols>
  <sheetData>
    <row r="2" spans="2:14" ht="15" x14ac:dyDescent="0.25">
      <c r="B2" s="297" t="s">
        <v>209</v>
      </c>
      <c r="C2" s="297"/>
      <c r="D2" s="297"/>
      <c r="E2" s="297"/>
      <c r="F2" s="297"/>
      <c r="G2" s="297"/>
      <c r="H2" s="297"/>
      <c r="I2" s="297"/>
      <c r="J2" s="297"/>
      <c r="K2" s="297"/>
      <c r="L2" s="297"/>
      <c r="M2" s="297"/>
      <c r="N2" s="297"/>
    </row>
    <row r="3" spans="2:14" x14ac:dyDescent="0.2">
      <c r="B3" s="214"/>
      <c r="C3" s="215"/>
      <c r="D3" s="215"/>
      <c r="E3" s="215"/>
      <c r="F3" s="215"/>
      <c r="G3" s="216" t="s">
        <v>6</v>
      </c>
      <c r="H3" s="217" t="s">
        <v>7</v>
      </c>
      <c r="I3" s="218" t="s">
        <v>8</v>
      </c>
      <c r="J3" s="218" t="s">
        <v>9</v>
      </c>
      <c r="K3" s="218" t="s">
        <v>10</v>
      </c>
      <c r="L3" s="219" t="s">
        <v>11</v>
      </c>
      <c r="M3" s="219" t="s">
        <v>110</v>
      </c>
      <c r="N3" s="295" t="s">
        <v>5</v>
      </c>
    </row>
    <row r="4" spans="2:14" ht="48.75" thickBot="1" x14ac:dyDescent="0.25">
      <c r="B4" s="298" t="s">
        <v>3</v>
      </c>
      <c r="C4" s="299"/>
      <c r="D4" s="299"/>
      <c r="E4" s="299"/>
      <c r="F4" s="300"/>
      <c r="G4" s="125" t="s">
        <v>12</v>
      </c>
      <c r="H4" s="126" t="s">
        <v>107</v>
      </c>
      <c r="I4" s="127" t="s">
        <v>94</v>
      </c>
      <c r="J4" s="127" t="s">
        <v>95</v>
      </c>
      <c r="K4" s="127" t="s">
        <v>96</v>
      </c>
      <c r="L4" s="127" t="s">
        <v>108</v>
      </c>
      <c r="M4" s="127" t="s">
        <v>109</v>
      </c>
      <c r="N4" s="296"/>
    </row>
    <row r="5" spans="2:14" ht="12" customHeight="1" thickTop="1" x14ac:dyDescent="0.2">
      <c r="B5" s="220" t="s">
        <v>13</v>
      </c>
      <c r="C5" s="31" t="s">
        <v>14</v>
      </c>
      <c r="D5" s="32"/>
      <c r="E5" s="32"/>
      <c r="F5" s="33"/>
      <c r="G5" s="301" t="s">
        <v>15</v>
      </c>
      <c r="H5" s="302"/>
      <c r="I5" s="302"/>
      <c r="J5" s="302"/>
      <c r="K5" s="302"/>
      <c r="L5" s="302"/>
      <c r="M5" s="302"/>
      <c r="N5" s="303"/>
    </row>
    <row r="6" spans="2:14" ht="12" customHeight="1" x14ac:dyDescent="0.2">
      <c r="B6" s="221" t="s">
        <v>16</v>
      </c>
      <c r="C6" s="34" t="s">
        <v>17</v>
      </c>
      <c r="D6" s="34"/>
      <c r="E6" s="34"/>
      <c r="F6" s="35"/>
      <c r="G6" s="172">
        <v>45</v>
      </c>
      <c r="H6" s="131">
        <v>24</v>
      </c>
      <c r="I6" s="131">
        <f>(G6*H6)</f>
        <v>1080</v>
      </c>
      <c r="J6" s="131">
        <f>I6*0.05</f>
        <v>54</v>
      </c>
      <c r="K6" s="131">
        <f>I6*0.1</f>
        <v>108</v>
      </c>
      <c r="L6" s="131">
        <f>SUM(I6:K6)</f>
        <v>1242</v>
      </c>
      <c r="M6" s="132">
        <f>I6*Inputs!$D$54+J6*Inputs!$D$55+K6*Inputs!$D$56</f>
        <v>57672.000000000007</v>
      </c>
      <c r="N6" s="132" t="s">
        <v>36</v>
      </c>
    </row>
    <row r="7" spans="2:14" ht="12" customHeight="1" x14ac:dyDescent="0.2">
      <c r="B7" s="222" t="s">
        <v>18</v>
      </c>
      <c r="C7" s="36" t="s">
        <v>19</v>
      </c>
      <c r="D7" s="36"/>
      <c r="E7" s="36"/>
      <c r="F7" s="37"/>
      <c r="G7" s="286"/>
      <c r="H7" s="287"/>
      <c r="I7" s="287"/>
      <c r="J7" s="287"/>
      <c r="K7" s="287"/>
      <c r="L7" s="287"/>
      <c r="M7" s="287"/>
      <c r="N7" s="288"/>
    </row>
    <row r="8" spans="2:14" ht="12" customHeight="1" x14ac:dyDescent="0.2">
      <c r="B8" s="223">
        <v>0.08</v>
      </c>
      <c r="C8" s="38" t="s">
        <v>20</v>
      </c>
      <c r="D8" s="292" t="s">
        <v>21</v>
      </c>
      <c r="E8" s="293"/>
      <c r="F8" s="294"/>
      <c r="G8" s="133">
        <f>'YR1'!G22</f>
        <v>0</v>
      </c>
      <c r="H8" s="134">
        <v>16</v>
      </c>
      <c r="I8" s="135">
        <f>(G8*H8)</f>
        <v>0</v>
      </c>
      <c r="J8" s="135">
        <f>I8*0.05</f>
        <v>0</v>
      </c>
      <c r="K8" s="135">
        <f>I8*0.1</f>
        <v>0</v>
      </c>
      <c r="L8" s="131">
        <f>SUM(I8:K8)</f>
        <v>0</v>
      </c>
      <c r="M8" s="132">
        <f>I8*Inputs!$D$54+J8*Inputs!$D$55+K8*Inputs!$D$56</f>
        <v>0</v>
      </c>
      <c r="N8" s="224"/>
    </row>
    <row r="9" spans="2:14" ht="12" customHeight="1" x14ac:dyDescent="0.2">
      <c r="B9" s="225">
        <f>0.1*0.1</f>
        <v>1.0000000000000002E-2</v>
      </c>
      <c r="C9" s="39" t="s">
        <v>22</v>
      </c>
      <c r="D9" s="40" t="s">
        <v>23</v>
      </c>
      <c r="E9" s="40"/>
      <c r="F9" s="41"/>
      <c r="G9" s="173">
        <v>0</v>
      </c>
      <c r="H9" s="136">
        <v>24</v>
      </c>
      <c r="I9" s="137">
        <f>(G9*H9)</f>
        <v>0</v>
      </c>
      <c r="J9" s="137">
        <f>I9*0.05</f>
        <v>0</v>
      </c>
      <c r="K9" s="137">
        <f>I9*0.1</f>
        <v>0</v>
      </c>
      <c r="L9" s="131">
        <f>SUM(I9:K9)</f>
        <v>0</v>
      </c>
      <c r="M9" s="132">
        <f>I9*Inputs!$D$54+J9*Inputs!$D$55+K9*Inputs!$D$56</f>
        <v>0</v>
      </c>
      <c r="N9" s="224"/>
    </row>
    <row r="10" spans="2:14" ht="12" customHeight="1" x14ac:dyDescent="0.2">
      <c r="B10" s="225"/>
      <c r="C10" s="42" t="s">
        <v>24</v>
      </c>
      <c r="D10" s="31" t="s">
        <v>25</v>
      </c>
      <c r="E10" s="31"/>
      <c r="F10" s="43"/>
      <c r="G10" s="286" t="s">
        <v>15</v>
      </c>
      <c r="H10" s="287"/>
      <c r="I10" s="287"/>
      <c r="J10" s="287"/>
      <c r="K10" s="287"/>
      <c r="L10" s="287"/>
      <c r="M10" s="287"/>
      <c r="N10" s="288"/>
    </row>
    <row r="11" spans="2:14" ht="12" customHeight="1" x14ac:dyDescent="0.2">
      <c r="B11" s="223"/>
      <c r="C11" s="44" t="s">
        <v>26</v>
      </c>
      <c r="D11" s="45" t="s">
        <v>27</v>
      </c>
      <c r="E11" s="45"/>
      <c r="F11" s="46"/>
      <c r="G11" s="289" t="s">
        <v>15</v>
      </c>
      <c r="H11" s="290"/>
      <c r="I11" s="290"/>
      <c r="J11" s="290"/>
      <c r="K11" s="290"/>
      <c r="L11" s="290"/>
      <c r="M11" s="290"/>
      <c r="N11" s="291"/>
    </row>
    <row r="12" spans="2:14" ht="12" customHeight="1" x14ac:dyDescent="0.2">
      <c r="B12" s="226"/>
      <c r="C12" s="47" t="s">
        <v>28</v>
      </c>
      <c r="D12" s="36" t="s">
        <v>29</v>
      </c>
      <c r="E12" s="36"/>
      <c r="F12" s="48"/>
      <c r="G12" s="286"/>
      <c r="H12" s="287"/>
      <c r="I12" s="287"/>
      <c r="J12" s="287"/>
      <c r="K12" s="287"/>
      <c r="L12" s="287"/>
      <c r="M12" s="287"/>
      <c r="N12" s="288"/>
    </row>
    <row r="13" spans="2:14" ht="12" customHeight="1" x14ac:dyDescent="0.2">
      <c r="B13" s="227"/>
      <c r="C13" s="63"/>
      <c r="D13" s="123" t="s">
        <v>13</v>
      </c>
      <c r="E13" s="61" t="s">
        <v>141</v>
      </c>
      <c r="F13" s="64"/>
      <c r="G13" s="130"/>
      <c r="H13" s="138"/>
      <c r="I13" s="139"/>
      <c r="J13" s="139"/>
      <c r="K13" s="139"/>
      <c r="L13" s="131"/>
      <c r="M13" s="132"/>
      <c r="N13" s="224"/>
    </row>
    <row r="14" spans="2:14" ht="12" customHeight="1" x14ac:dyDescent="0.2">
      <c r="B14" s="227"/>
      <c r="C14" s="63"/>
      <c r="D14" s="123"/>
      <c r="E14" s="61" t="s">
        <v>116</v>
      </c>
      <c r="F14" s="64"/>
      <c r="G14" s="130">
        <f>'YR1'!E28*'YR1'!G28</f>
        <v>0</v>
      </c>
      <c r="H14" s="138">
        <v>2</v>
      </c>
      <c r="I14" s="139">
        <f t="shared" ref="I14:I27" si="0">(G14*H14)</f>
        <v>0</v>
      </c>
      <c r="J14" s="139">
        <f t="shared" ref="J14:J26" si="1">I14*0.05</f>
        <v>0</v>
      </c>
      <c r="K14" s="139">
        <f t="shared" ref="K14:K26" si="2">I14*0.1</f>
        <v>0</v>
      </c>
      <c r="L14" s="131">
        <f t="shared" ref="L14:L27" si="3">SUM(I14:K14)</f>
        <v>0</v>
      </c>
      <c r="M14" s="132">
        <f>I14*Inputs!$D$54+J14*Inputs!$D$55+K14*Inputs!$D$56</f>
        <v>0</v>
      </c>
      <c r="N14" s="224"/>
    </row>
    <row r="15" spans="2:14" ht="12" customHeight="1" x14ac:dyDescent="0.2">
      <c r="B15" s="227"/>
      <c r="C15" s="63"/>
      <c r="D15" s="123"/>
      <c r="E15" s="61" t="s">
        <v>117</v>
      </c>
      <c r="F15" s="64"/>
      <c r="G15" s="130">
        <f>'YR1'!E29*'YR1'!G29</f>
        <v>0</v>
      </c>
      <c r="H15" s="138">
        <v>2</v>
      </c>
      <c r="I15" s="139">
        <f t="shared" ref="I15:I17" si="4">(G15*H15)</f>
        <v>0</v>
      </c>
      <c r="J15" s="139">
        <f t="shared" ref="J15:J17" si="5">I15*0.05</f>
        <v>0</v>
      </c>
      <c r="K15" s="139">
        <f t="shared" ref="K15:K17" si="6">I15*0.1</f>
        <v>0</v>
      </c>
      <c r="L15" s="131">
        <f t="shared" ref="L15:L17" si="7">SUM(I15:K15)</f>
        <v>0</v>
      </c>
      <c r="M15" s="132">
        <f>I15*Inputs!$D$54+J15*Inputs!$D$55+K15*Inputs!$D$56</f>
        <v>0</v>
      </c>
      <c r="N15" s="224"/>
    </row>
    <row r="16" spans="2:14" ht="12" customHeight="1" x14ac:dyDescent="0.2">
      <c r="B16" s="227"/>
      <c r="C16" s="63"/>
      <c r="D16" s="123"/>
      <c r="E16" s="61" t="s">
        <v>179</v>
      </c>
      <c r="F16" s="64"/>
      <c r="G16" s="130">
        <f>'YR1'!E30*'YR1'!G30</f>
        <v>0</v>
      </c>
      <c r="H16" s="138">
        <v>2</v>
      </c>
      <c r="I16" s="139">
        <f t="shared" si="4"/>
        <v>0</v>
      </c>
      <c r="J16" s="139">
        <f t="shared" si="5"/>
        <v>0</v>
      </c>
      <c r="K16" s="139">
        <f t="shared" si="6"/>
        <v>0</v>
      </c>
      <c r="L16" s="131">
        <f t="shared" si="7"/>
        <v>0</v>
      </c>
      <c r="M16" s="132">
        <f>I16*Inputs!$D$54+J16*Inputs!$D$55+K16*Inputs!$D$56</f>
        <v>0</v>
      </c>
      <c r="N16" s="224"/>
    </row>
    <row r="17" spans="2:14" ht="12" customHeight="1" x14ac:dyDescent="0.2">
      <c r="B17" s="227"/>
      <c r="C17" s="63"/>
      <c r="D17" s="123"/>
      <c r="E17" s="61" t="s">
        <v>180</v>
      </c>
      <c r="F17" s="64"/>
      <c r="G17" s="130">
        <f>'YR1'!E31*'YR1'!G31</f>
        <v>0</v>
      </c>
      <c r="H17" s="138">
        <v>2</v>
      </c>
      <c r="I17" s="139">
        <f t="shared" si="4"/>
        <v>0</v>
      </c>
      <c r="J17" s="139">
        <f t="shared" si="5"/>
        <v>0</v>
      </c>
      <c r="K17" s="139">
        <f t="shared" si="6"/>
        <v>0</v>
      </c>
      <c r="L17" s="131">
        <f t="shared" si="7"/>
        <v>0</v>
      </c>
      <c r="M17" s="132">
        <f>I17*Inputs!$D$54+J17*Inputs!$D$55+K17*Inputs!$D$56</f>
        <v>0</v>
      </c>
      <c r="N17" s="224"/>
    </row>
    <row r="18" spans="2:14" ht="12" customHeight="1" x14ac:dyDescent="0.2">
      <c r="B18" s="227"/>
      <c r="C18" s="63"/>
      <c r="D18" s="123" t="s">
        <v>16</v>
      </c>
      <c r="E18" s="65" t="s">
        <v>192</v>
      </c>
      <c r="F18" s="64"/>
      <c r="G18" s="130"/>
      <c r="H18" s="138"/>
      <c r="I18" s="139"/>
      <c r="J18" s="139"/>
      <c r="K18" s="139"/>
      <c r="L18" s="131"/>
      <c r="M18" s="132"/>
      <c r="N18" s="224"/>
    </row>
    <row r="19" spans="2:14" ht="12" customHeight="1" x14ac:dyDescent="0.2">
      <c r="B19" s="227"/>
      <c r="C19" s="63"/>
      <c r="D19" s="123"/>
      <c r="E19" s="65" t="s">
        <v>116</v>
      </c>
      <c r="F19" s="64"/>
      <c r="G19" s="130">
        <f>'YR1'!E33*'YR1'!G33</f>
        <v>0</v>
      </c>
      <c r="H19" s="138">
        <v>2</v>
      </c>
      <c r="I19" s="139">
        <f t="shared" ref="I19:I25" si="8">(G19*H19)</f>
        <v>0</v>
      </c>
      <c r="J19" s="139">
        <f t="shared" ref="J19:J25" si="9">I19*0.05</f>
        <v>0</v>
      </c>
      <c r="K19" s="139">
        <f t="shared" ref="K19:K25" si="10">I19*0.1</f>
        <v>0</v>
      </c>
      <c r="L19" s="131">
        <f t="shared" ref="L19:L25" si="11">SUM(I19:K19)</f>
        <v>0</v>
      </c>
      <c r="M19" s="132">
        <f>I19*Inputs!$D$54+J19*Inputs!$D$55+K19*Inputs!$D$56</f>
        <v>0</v>
      </c>
      <c r="N19" s="224"/>
    </row>
    <row r="20" spans="2:14" ht="12" customHeight="1" x14ac:dyDescent="0.2">
      <c r="B20" s="227"/>
      <c r="C20" s="63"/>
      <c r="D20" s="123"/>
      <c r="E20" s="65" t="s">
        <v>117</v>
      </c>
      <c r="F20" s="64"/>
      <c r="G20" s="130">
        <f>'YR1'!E34*'YR1'!G34</f>
        <v>0</v>
      </c>
      <c r="H20" s="138">
        <v>2</v>
      </c>
      <c r="I20" s="139">
        <f t="shared" si="8"/>
        <v>0</v>
      </c>
      <c r="J20" s="139">
        <f t="shared" si="9"/>
        <v>0</v>
      </c>
      <c r="K20" s="139">
        <f t="shared" si="10"/>
        <v>0</v>
      </c>
      <c r="L20" s="131">
        <f t="shared" si="11"/>
        <v>0</v>
      </c>
      <c r="M20" s="132">
        <f>I20*Inputs!$D$54+J20*Inputs!$D$55+K20*Inputs!$D$56</f>
        <v>0</v>
      </c>
      <c r="N20" s="224"/>
    </row>
    <row r="21" spans="2:14" ht="12" customHeight="1" x14ac:dyDescent="0.2">
      <c r="B21" s="227"/>
      <c r="C21" s="63"/>
      <c r="D21" s="123"/>
      <c r="E21" s="65" t="s">
        <v>181</v>
      </c>
      <c r="F21" s="64"/>
      <c r="G21" s="130">
        <f>'YR1'!E35*'YR1'!G35</f>
        <v>0</v>
      </c>
      <c r="H21" s="138">
        <v>2</v>
      </c>
      <c r="I21" s="139">
        <f t="shared" si="8"/>
        <v>0</v>
      </c>
      <c r="J21" s="139">
        <f t="shared" si="9"/>
        <v>0</v>
      </c>
      <c r="K21" s="139">
        <f t="shared" si="10"/>
        <v>0</v>
      </c>
      <c r="L21" s="131">
        <f t="shared" si="11"/>
        <v>0</v>
      </c>
      <c r="M21" s="132">
        <f>I21*Inputs!$D$54+J21*Inputs!$D$55+K21*Inputs!$D$56</f>
        <v>0</v>
      </c>
      <c r="N21" s="224"/>
    </row>
    <row r="22" spans="2:14" ht="12" customHeight="1" x14ac:dyDescent="0.2">
      <c r="B22" s="227"/>
      <c r="C22" s="63"/>
      <c r="D22" s="123"/>
      <c r="E22" s="65" t="s">
        <v>182</v>
      </c>
      <c r="F22" s="64"/>
      <c r="G22" s="130">
        <f>'YR1'!E36*'YR1'!G36</f>
        <v>0</v>
      </c>
      <c r="H22" s="138">
        <v>2</v>
      </c>
      <c r="I22" s="139">
        <f t="shared" si="8"/>
        <v>0</v>
      </c>
      <c r="J22" s="139">
        <f t="shared" si="9"/>
        <v>0</v>
      </c>
      <c r="K22" s="139">
        <f t="shared" si="10"/>
        <v>0</v>
      </c>
      <c r="L22" s="131">
        <f t="shared" si="11"/>
        <v>0</v>
      </c>
      <c r="M22" s="132">
        <f>I22*Inputs!$D$54+J22*Inputs!$D$55+K22*Inputs!$D$56</f>
        <v>0</v>
      </c>
      <c r="N22" s="224"/>
    </row>
    <row r="23" spans="2:14" ht="12" customHeight="1" x14ac:dyDescent="0.2">
      <c r="B23" s="227"/>
      <c r="C23" s="63"/>
      <c r="D23" s="123"/>
      <c r="E23" s="65" t="s">
        <v>137</v>
      </c>
      <c r="F23" s="64"/>
      <c r="G23" s="130">
        <f>'YR1'!E37*'YR1'!G37</f>
        <v>0</v>
      </c>
      <c r="H23" s="138">
        <v>2</v>
      </c>
      <c r="I23" s="139">
        <f t="shared" si="8"/>
        <v>0</v>
      </c>
      <c r="J23" s="139">
        <f t="shared" si="9"/>
        <v>0</v>
      </c>
      <c r="K23" s="139">
        <f t="shared" si="10"/>
        <v>0</v>
      </c>
      <c r="L23" s="131">
        <f t="shared" si="11"/>
        <v>0</v>
      </c>
      <c r="M23" s="132">
        <f>I23*Inputs!$D$54+J23*Inputs!$D$55+K23*Inputs!$D$56</f>
        <v>0</v>
      </c>
      <c r="N23" s="224"/>
    </row>
    <row r="24" spans="2:14" ht="12" customHeight="1" x14ac:dyDescent="0.2">
      <c r="B24" s="227"/>
      <c r="C24" s="63"/>
      <c r="D24" s="123"/>
      <c r="E24" s="65" t="s">
        <v>183</v>
      </c>
      <c r="F24" s="64"/>
      <c r="G24" s="130">
        <f>'YR1'!E38*'YR1'!G38</f>
        <v>0</v>
      </c>
      <c r="H24" s="138">
        <v>2</v>
      </c>
      <c r="I24" s="139">
        <f t="shared" si="8"/>
        <v>0</v>
      </c>
      <c r="J24" s="139">
        <f t="shared" si="9"/>
        <v>0</v>
      </c>
      <c r="K24" s="139">
        <f t="shared" si="10"/>
        <v>0</v>
      </c>
      <c r="L24" s="131">
        <f t="shared" si="11"/>
        <v>0</v>
      </c>
      <c r="M24" s="132">
        <f>I24*Inputs!$D$54+J24*Inputs!$D$55+K24*Inputs!$D$56</f>
        <v>0</v>
      </c>
      <c r="N24" s="224"/>
    </row>
    <row r="25" spans="2:14" ht="12" customHeight="1" x14ac:dyDescent="0.2">
      <c r="B25" s="227"/>
      <c r="C25" s="63"/>
      <c r="D25" s="123"/>
      <c r="E25" s="65" t="s">
        <v>184</v>
      </c>
      <c r="F25" s="64"/>
      <c r="G25" s="130">
        <f>'YR1'!E39*'YR1'!G39</f>
        <v>0</v>
      </c>
      <c r="H25" s="138">
        <v>2</v>
      </c>
      <c r="I25" s="139">
        <f t="shared" si="8"/>
        <v>0</v>
      </c>
      <c r="J25" s="139">
        <f t="shared" si="9"/>
        <v>0</v>
      </c>
      <c r="K25" s="139">
        <f t="shared" si="10"/>
        <v>0</v>
      </c>
      <c r="L25" s="131">
        <f t="shared" si="11"/>
        <v>0</v>
      </c>
      <c r="M25" s="132">
        <f>I25*Inputs!$D$54+J25*Inputs!$D$55+K25*Inputs!$D$56</f>
        <v>0</v>
      </c>
      <c r="N25" s="224"/>
    </row>
    <row r="26" spans="2:14" ht="12" customHeight="1" x14ac:dyDescent="0.2">
      <c r="B26" s="227"/>
      <c r="C26" s="63"/>
      <c r="D26" s="123" t="s">
        <v>18</v>
      </c>
      <c r="E26" s="65" t="s">
        <v>140</v>
      </c>
      <c r="F26" s="64"/>
      <c r="G26" s="130">
        <f>'YR1'!G52</f>
        <v>21</v>
      </c>
      <c r="H26" s="138">
        <v>5</v>
      </c>
      <c r="I26" s="139">
        <f t="shared" si="0"/>
        <v>105</v>
      </c>
      <c r="J26" s="139">
        <f t="shared" si="1"/>
        <v>5.25</v>
      </c>
      <c r="K26" s="139">
        <f t="shared" si="2"/>
        <v>10.5</v>
      </c>
      <c r="L26" s="131">
        <f t="shared" si="3"/>
        <v>120.75</v>
      </c>
      <c r="M26" s="132">
        <f>I26*Inputs!$D$54+J26*Inputs!$D$55+K26*Inputs!$D$56</f>
        <v>5607.0000000000009</v>
      </c>
      <c r="N26" s="224"/>
    </row>
    <row r="27" spans="2:14" ht="12" customHeight="1" x14ac:dyDescent="0.2">
      <c r="B27" s="228"/>
      <c r="C27" s="60" t="s">
        <v>30</v>
      </c>
      <c r="D27" s="61" t="s">
        <v>31</v>
      </c>
      <c r="E27" s="61"/>
      <c r="F27" s="62"/>
      <c r="G27" s="140">
        <v>1</v>
      </c>
      <c r="H27" s="139">
        <v>10</v>
      </c>
      <c r="I27" s="139">
        <f t="shared" si="0"/>
        <v>10</v>
      </c>
      <c r="J27" s="139">
        <f t="shared" ref="J27" si="12">I27*0.05</f>
        <v>0.5</v>
      </c>
      <c r="K27" s="139">
        <f t="shared" ref="K27" si="13">I27*0.1</f>
        <v>1</v>
      </c>
      <c r="L27" s="131">
        <f t="shared" si="3"/>
        <v>11.5</v>
      </c>
      <c r="M27" s="132">
        <f>I27*Inputs!$D$54+J27*Inputs!$D$55+K27*Inputs!$D$56</f>
        <v>534.00000000000011</v>
      </c>
      <c r="N27" s="224"/>
    </row>
    <row r="28" spans="2:14" ht="12" customHeight="1" thickBot="1" x14ac:dyDescent="0.25">
      <c r="B28" s="229" t="s">
        <v>56</v>
      </c>
      <c r="C28" s="55" t="s">
        <v>33</v>
      </c>
      <c r="D28" s="56"/>
      <c r="E28" s="56"/>
      <c r="F28" s="56"/>
      <c r="G28" s="57"/>
      <c r="H28" s="49"/>
      <c r="I28" s="49"/>
      <c r="J28" s="58" t="str">
        <f>IF(G8=0,"$0",1*3.75*75+600)</f>
        <v>$0</v>
      </c>
      <c r="K28" s="59" t="s">
        <v>34</v>
      </c>
      <c r="L28" s="59"/>
      <c r="M28" s="50">
        <f>IF(ISTEXT(J28),0,G8*J28)</f>
        <v>0</v>
      </c>
      <c r="N28" s="230"/>
    </row>
    <row r="29" spans="2:14" ht="12" customHeight="1" thickTop="1" x14ac:dyDescent="0.2">
      <c r="B29" s="231"/>
      <c r="C29" s="232" t="s">
        <v>35</v>
      </c>
      <c r="D29" s="233"/>
      <c r="E29" s="233"/>
      <c r="F29" s="61"/>
      <c r="G29" s="234"/>
      <c r="H29" s="235"/>
      <c r="I29" s="236">
        <f>SUM(I6:I27)</f>
        <v>1195</v>
      </c>
      <c r="J29" s="236">
        <f>SUM(J6:J27)</f>
        <v>59.75</v>
      </c>
      <c r="K29" s="236">
        <f>SUM(K6:K27)</f>
        <v>119.5</v>
      </c>
      <c r="L29" s="236">
        <f>SUM(L6:L27)</f>
        <v>1374.25</v>
      </c>
      <c r="M29" s="237">
        <f>SUM(M6:M28)</f>
        <v>63813.000000000007</v>
      </c>
      <c r="N29" s="224"/>
    </row>
    <row r="30" spans="2:14" ht="12" customHeight="1" x14ac:dyDescent="0.2">
      <c r="B30" s="14"/>
      <c r="C30" s="14"/>
      <c r="D30" s="14"/>
      <c r="E30" s="14"/>
      <c r="F30" s="15"/>
      <c r="G30" s="15"/>
      <c r="H30" s="16"/>
      <c r="I30" s="17"/>
      <c r="J30" s="17"/>
      <c r="K30" s="17"/>
      <c r="L30" s="17"/>
      <c r="M30" s="17"/>
      <c r="N30" s="17"/>
    </row>
    <row r="31" spans="2:14" ht="12" customHeight="1" x14ac:dyDescent="0.2">
      <c r="B31" s="51" t="s">
        <v>93</v>
      </c>
      <c r="C31" s="51"/>
      <c r="D31" s="14"/>
      <c r="E31" s="14"/>
      <c r="F31" s="18"/>
      <c r="G31" s="15"/>
      <c r="H31" s="16"/>
      <c r="I31" s="17"/>
      <c r="J31" s="17"/>
      <c r="K31" s="17"/>
      <c r="L31" s="17"/>
      <c r="M31" s="17"/>
      <c r="N31" s="17"/>
    </row>
    <row r="32" spans="2:14" ht="12" customHeight="1" x14ac:dyDescent="0.2">
      <c r="B32" s="52" t="s">
        <v>36</v>
      </c>
      <c r="C32" s="27" t="s">
        <v>214</v>
      </c>
      <c r="D32" s="14"/>
      <c r="E32" s="14"/>
      <c r="F32" s="15"/>
      <c r="G32" s="15"/>
      <c r="H32" s="16"/>
      <c r="I32" s="17"/>
      <c r="J32" s="17"/>
      <c r="K32" s="17"/>
      <c r="L32" s="17"/>
      <c r="M32" s="17"/>
      <c r="N32" s="17"/>
    </row>
    <row r="33" spans="2:14" ht="12" customHeight="1" x14ac:dyDescent="0.2">
      <c r="B33" s="52"/>
      <c r="C33" s="51"/>
      <c r="D33" s="14"/>
      <c r="E33" s="14"/>
      <c r="F33" s="15"/>
      <c r="G33" s="15"/>
      <c r="H33" s="16"/>
      <c r="I33" s="17"/>
      <c r="J33" s="17"/>
      <c r="K33" s="17"/>
      <c r="L33" s="17"/>
      <c r="M33" s="17"/>
      <c r="N33" s="17"/>
    </row>
    <row r="34" spans="2:14" ht="12" customHeight="1" x14ac:dyDescent="0.2">
      <c r="B34" s="52"/>
      <c r="C34" s="51"/>
      <c r="D34" s="14"/>
      <c r="E34" s="14"/>
      <c r="F34" s="15"/>
      <c r="G34" s="15"/>
      <c r="H34" s="16"/>
      <c r="I34" s="17"/>
      <c r="J34" s="17"/>
      <c r="K34" s="17"/>
      <c r="L34" s="17"/>
      <c r="M34" s="17"/>
      <c r="N34" s="17"/>
    </row>
    <row r="35" spans="2:14" ht="12" customHeight="1" x14ac:dyDescent="0.2">
      <c r="B35" s="52"/>
      <c r="C35" s="51"/>
      <c r="D35" s="14"/>
      <c r="E35" s="14"/>
      <c r="F35" s="15"/>
      <c r="G35" s="15"/>
      <c r="H35" s="16"/>
      <c r="I35" s="17"/>
      <c r="J35" s="17"/>
      <c r="K35" s="17"/>
      <c r="L35" s="17"/>
      <c r="M35" s="17"/>
      <c r="N35" s="17"/>
    </row>
    <row r="36" spans="2:14" ht="12" customHeight="1" x14ac:dyDescent="0.2">
      <c r="B36" s="53"/>
      <c r="C36" s="54"/>
    </row>
    <row r="37" spans="2:14" x14ac:dyDescent="0.2">
      <c r="B37" s="20"/>
    </row>
    <row r="38" spans="2:14" x14ac:dyDescent="0.2">
      <c r="B38" s="20"/>
    </row>
    <row r="39" spans="2:14" x14ac:dyDescent="0.2">
      <c r="B39" s="20"/>
    </row>
    <row r="40" spans="2:14" x14ac:dyDescent="0.2">
      <c r="B40" s="20"/>
    </row>
    <row r="53" spans="23:26" x14ac:dyDescent="0.2">
      <c r="W53" s="285" t="s">
        <v>37</v>
      </c>
      <c r="X53" s="285"/>
      <c r="Y53" s="285"/>
      <c r="Z53" s="30">
        <v>0.2</v>
      </c>
    </row>
    <row r="54" spans="23:26" x14ac:dyDescent="0.2">
      <c r="W54" s="285" t="s">
        <v>38</v>
      </c>
      <c r="X54" s="285"/>
      <c r="Y54" s="285"/>
      <c r="Z54" s="30">
        <v>0.1</v>
      </c>
    </row>
    <row r="55" spans="23:26" x14ac:dyDescent="0.2">
      <c r="W55" s="285" t="s">
        <v>39</v>
      </c>
      <c r="X55" s="285"/>
      <c r="Y55" s="285"/>
      <c r="Z55" s="30">
        <v>0.1</v>
      </c>
    </row>
  </sheetData>
  <mergeCells count="12">
    <mergeCell ref="D8:F8"/>
    <mergeCell ref="N3:N4"/>
    <mergeCell ref="G12:N12"/>
    <mergeCell ref="G7:N7"/>
    <mergeCell ref="B2:N2"/>
    <mergeCell ref="B4:F4"/>
    <mergeCell ref="G5:N5"/>
    <mergeCell ref="W53:Y53"/>
    <mergeCell ref="W54:Y54"/>
    <mergeCell ref="W55:Y55"/>
    <mergeCell ref="G10:N10"/>
    <mergeCell ref="G11:N11"/>
  </mergeCells>
  <printOptions horizontalCentered="1"/>
  <pageMargins left="0.7" right="0.7" top="0.75" bottom="0.75" header="0.3" footer="0.3"/>
  <pageSetup scale="93" orientation="landscape" r:id="rId1"/>
  <ignoredErrors>
    <ignoredError sqref="B5:B8 B28" numberStoredAsText="1"/>
    <ignoredError sqref="B9" numberStoredAsText="1" unlockedFormula="1"/>
    <ignoredError sqref="M10:N12 H9:K9 G10:K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72CA-3685-4E46-9B0B-B3403CC1A71E}">
  <sheetPr>
    <tabColor rgb="FF00B050"/>
  </sheetPr>
  <dimension ref="B2:Z55"/>
  <sheetViews>
    <sheetView zoomScaleNormal="100" workbookViewId="0">
      <selection activeCell="C32" sqref="C32"/>
    </sheetView>
  </sheetViews>
  <sheetFormatPr defaultRowHeight="14.25" x14ac:dyDescent="0.2"/>
  <cols>
    <col min="1" max="1" width="4.140625" style="29" customWidth="1"/>
    <col min="2" max="4" width="3.140625" style="13" customWidth="1"/>
    <col min="5" max="5" width="40.28515625" style="13" customWidth="1"/>
    <col min="6" max="6" width="3.28515625" style="13" customWidth="1"/>
    <col min="7" max="9" width="11.28515625" style="13" customWidth="1"/>
    <col min="10" max="10" width="11.5703125" style="13" bestFit="1" customWidth="1"/>
    <col min="11" max="11" width="10.42578125" style="13" bestFit="1" customWidth="1"/>
    <col min="12" max="12" width="10.140625" style="13" bestFit="1" customWidth="1"/>
    <col min="13" max="13" width="8.42578125" style="13" bestFit="1" customWidth="1"/>
    <col min="14" max="14" width="3.5703125" style="13" customWidth="1"/>
    <col min="15" max="15" width="3.85546875" style="29" customWidth="1"/>
    <col min="16" max="16384" width="9.140625" style="29"/>
  </cols>
  <sheetData>
    <row r="2" spans="2:14" ht="15" x14ac:dyDescent="0.25">
      <c r="B2" s="297" t="s">
        <v>210</v>
      </c>
      <c r="C2" s="297"/>
      <c r="D2" s="297"/>
      <c r="E2" s="297"/>
      <c r="F2" s="297"/>
      <c r="G2" s="297"/>
      <c r="H2" s="297"/>
      <c r="I2" s="297"/>
      <c r="J2" s="297"/>
      <c r="K2" s="297"/>
      <c r="L2" s="297"/>
      <c r="M2" s="297"/>
      <c r="N2" s="297"/>
    </row>
    <row r="3" spans="2:14" x14ac:dyDescent="0.2">
      <c r="B3" s="214"/>
      <c r="C3" s="215"/>
      <c r="D3" s="215"/>
      <c r="E3" s="215"/>
      <c r="F3" s="215"/>
      <c r="G3" s="216" t="s">
        <v>6</v>
      </c>
      <c r="H3" s="217" t="s">
        <v>7</v>
      </c>
      <c r="I3" s="218" t="s">
        <v>8</v>
      </c>
      <c r="J3" s="218" t="s">
        <v>9</v>
      </c>
      <c r="K3" s="218" t="s">
        <v>10</v>
      </c>
      <c r="L3" s="219" t="s">
        <v>11</v>
      </c>
      <c r="M3" s="219" t="s">
        <v>110</v>
      </c>
      <c r="N3" s="295" t="s">
        <v>5</v>
      </c>
    </row>
    <row r="4" spans="2:14" ht="48.75" thickBot="1" x14ac:dyDescent="0.25">
      <c r="B4" s="298" t="s">
        <v>3</v>
      </c>
      <c r="C4" s="299"/>
      <c r="D4" s="299"/>
      <c r="E4" s="299"/>
      <c r="F4" s="300"/>
      <c r="G4" s="125" t="s">
        <v>12</v>
      </c>
      <c r="H4" s="126" t="s">
        <v>107</v>
      </c>
      <c r="I4" s="127" t="s">
        <v>94</v>
      </c>
      <c r="J4" s="127" t="s">
        <v>95</v>
      </c>
      <c r="K4" s="127" t="s">
        <v>96</v>
      </c>
      <c r="L4" s="127" t="s">
        <v>108</v>
      </c>
      <c r="M4" s="127" t="s">
        <v>109</v>
      </c>
      <c r="N4" s="296"/>
    </row>
    <row r="5" spans="2:14" ht="12" customHeight="1" thickTop="1" x14ac:dyDescent="0.2">
      <c r="B5" s="220" t="s">
        <v>13</v>
      </c>
      <c r="C5" s="31" t="s">
        <v>14</v>
      </c>
      <c r="D5" s="32"/>
      <c r="E5" s="32"/>
      <c r="F5" s="33"/>
      <c r="G5" s="301" t="s">
        <v>15</v>
      </c>
      <c r="H5" s="302"/>
      <c r="I5" s="302"/>
      <c r="J5" s="302"/>
      <c r="K5" s="302"/>
      <c r="L5" s="302"/>
      <c r="M5" s="302"/>
      <c r="N5" s="303"/>
    </row>
    <row r="6" spans="2:14" ht="12" customHeight="1" x14ac:dyDescent="0.2">
      <c r="B6" s="221" t="s">
        <v>16</v>
      </c>
      <c r="C6" s="34" t="s">
        <v>17</v>
      </c>
      <c r="D6" s="34"/>
      <c r="E6" s="34"/>
      <c r="F6" s="35"/>
      <c r="G6" s="172">
        <v>0</v>
      </c>
      <c r="H6" s="131">
        <v>24</v>
      </c>
      <c r="I6" s="131">
        <f>(G6*H6)</f>
        <v>0</v>
      </c>
      <c r="J6" s="131">
        <f>I6*0.05</f>
        <v>0</v>
      </c>
      <c r="K6" s="131">
        <f>I6*0.1</f>
        <v>0</v>
      </c>
      <c r="L6" s="131">
        <f>SUM(I6:K6)</f>
        <v>0</v>
      </c>
      <c r="M6" s="132">
        <f>I6*Inputs!$D$54+J6*Inputs!$D$55+K6*Inputs!$D$56</f>
        <v>0</v>
      </c>
      <c r="N6" s="132"/>
    </row>
    <row r="7" spans="2:14" ht="12" customHeight="1" x14ac:dyDescent="0.2">
      <c r="B7" s="222" t="s">
        <v>18</v>
      </c>
      <c r="C7" s="36" t="s">
        <v>19</v>
      </c>
      <c r="D7" s="36"/>
      <c r="E7" s="36"/>
      <c r="F7" s="37"/>
      <c r="G7" s="286"/>
      <c r="H7" s="287"/>
      <c r="I7" s="287"/>
      <c r="J7" s="287"/>
      <c r="K7" s="287"/>
      <c r="L7" s="287"/>
      <c r="M7" s="287"/>
      <c r="N7" s="288"/>
    </row>
    <row r="8" spans="2:14" ht="12" customHeight="1" x14ac:dyDescent="0.2">
      <c r="B8" s="223">
        <v>0.08</v>
      </c>
      <c r="C8" s="38" t="s">
        <v>20</v>
      </c>
      <c r="D8" s="292" t="s">
        <v>21</v>
      </c>
      <c r="E8" s="293"/>
      <c r="F8" s="294"/>
      <c r="G8" s="133">
        <f>'YR2'!G22</f>
        <v>6</v>
      </c>
      <c r="H8" s="134">
        <v>16</v>
      </c>
      <c r="I8" s="135">
        <f>(G8*H8)</f>
        <v>96</v>
      </c>
      <c r="J8" s="135">
        <f>I8*0.05</f>
        <v>4.8000000000000007</v>
      </c>
      <c r="K8" s="135">
        <f>I8*0.1</f>
        <v>9.6000000000000014</v>
      </c>
      <c r="L8" s="131">
        <f>SUM(I8:K8)</f>
        <v>110.4</v>
      </c>
      <c r="M8" s="132">
        <f>I8*Inputs!$D$54+J8*Inputs!$D$55+K8*Inputs!$D$56</f>
        <v>5126.4000000000005</v>
      </c>
      <c r="N8" s="224"/>
    </row>
    <row r="9" spans="2:14" ht="12" customHeight="1" x14ac:dyDescent="0.2">
      <c r="B9" s="225">
        <f>0.1*0.1</f>
        <v>1.0000000000000002E-2</v>
      </c>
      <c r="C9" s="39" t="s">
        <v>22</v>
      </c>
      <c r="D9" s="40" t="s">
        <v>23</v>
      </c>
      <c r="E9" s="40"/>
      <c r="F9" s="41"/>
      <c r="G9" s="173">
        <v>0</v>
      </c>
      <c r="H9" s="136">
        <v>24</v>
      </c>
      <c r="I9" s="137">
        <f>(G9*H9)</f>
        <v>0</v>
      </c>
      <c r="J9" s="137">
        <f>I9*0.05</f>
        <v>0</v>
      </c>
      <c r="K9" s="137">
        <f>I9*0.1</f>
        <v>0</v>
      </c>
      <c r="L9" s="131">
        <f>SUM(I9:K9)</f>
        <v>0</v>
      </c>
      <c r="M9" s="132">
        <f>I9*Inputs!$D$54+J9*Inputs!$D$55+K9*Inputs!$D$56</f>
        <v>0</v>
      </c>
      <c r="N9" s="224"/>
    </row>
    <row r="10" spans="2:14" ht="12" customHeight="1" x14ac:dyDescent="0.2">
      <c r="B10" s="225"/>
      <c r="C10" s="42" t="s">
        <v>24</v>
      </c>
      <c r="D10" s="31" t="s">
        <v>25</v>
      </c>
      <c r="E10" s="31"/>
      <c r="F10" s="43"/>
      <c r="G10" s="286" t="s">
        <v>15</v>
      </c>
      <c r="H10" s="287"/>
      <c r="I10" s="287"/>
      <c r="J10" s="287"/>
      <c r="K10" s="287"/>
      <c r="L10" s="287"/>
      <c r="M10" s="287"/>
      <c r="N10" s="288"/>
    </row>
    <row r="11" spans="2:14" ht="12" customHeight="1" x14ac:dyDescent="0.2">
      <c r="B11" s="223"/>
      <c r="C11" s="44" t="s">
        <v>26</v>
      </c>
      <c r="D11" s="45" t="s">
        <v>27</v>
      </c>
      <c r="E11" s="45"/>
      <c r="F11" s="46"/>
      <c r="G11" s="289" t="s">
        <v>15</v>
      </c>
      <c r="H11" s="290"/>
      <c r="I11" s="290"/>
      <c r="J11" s="290"/>
      <c r="K11" s="290"/>
      <c r="L11" s="290"/>
      <c r="M11" s="290"/>
      <c r="N11" s="291"/>
    </row>
    <row r="12" spans="2:14" ht="12" customHeight="1" x14ac:dyDescent="0.2">
      <c r="B12" s="226"/>
      <c r="C12" s="47" t="s">
        <v>28</v>
      </c>
      <c r="D12" s="36" t="s">
        <v>29</v>
      </c>
      <c r="E12" s="36"/>
      <c r="F12" s="48"/>
      <c r="G12" s="286"/>
      <c r="H12" s="287"/>
      <c r="I12" s="287"/>
      <c r="J12" s="287"/>
      <c r="K12" s="287"/>
      <c r="L12" s="287"/>
      <c r="M12" s="287"/>
      <c r="N12" s="288"/>
    </row>
    <row r="13" spans="2:14" ht="12" customHeight="1" x14ac:dyDescent="0.2">
      <c r="B13" s="227"/>
      <c r="C13" s="63"/>
      <c r="D13" s="123" t="s">
        <v>13</v>
      </c>
      <c r="E13" s="61" t="s">
        <v>141</v>
      </c>
      <c r="F13" s="64"/>
      <c r="G13" s="130"/>
      <c r="H13" s="138"/>
      <c r="I13" s="139"/>
      <c r="J13" s="139"/>
      <c r="K13" s="139"/>
      <c r="L13" s="131"/>
      <c r="M13" s="132"/>
      <c r="N13" s="224"/>
    </row>
    <row r="14" spans="2:14" ht="12" customHeight="1" x14ac:dyDescent="0.2">
      <c r="B14" s="227"/>
      <c r="C14" s="63"/>
      <c r="D14" s="123"/>
      <c r="E14" s="61" t="s">
        <v>116</v>
      </c>
      <c r="F14" s="64"/>
      <c r="G14" s="130">
        <f>'YR2'!E28*'YR2'!G28</f>
        <v>7</v>
      </c>
      <c r="H14" s="138">
        <v>2</v>
      </c>
      <c r="I14" s="139">
        <f t="shared" ref="I14:I27" si="0">(G14*H14)</f>
        <v>14</v>
      </c>
      <c r="J14" s="139">
        <f t="shared" ref="J14:J27" si="1">I14*0.05</f>
        <v>0.70000000000000007</v>
      </c>
      <c r="K14" s="139">
        <f t="shared" ref="K14:K27" si="2">I14*0.1</f>
        <v>1.4000000000000001</v>
      </c>
      <c r="L14" s="131">
        <f t="shared" ref="L14:L27" si="3">SUM(I14:K14)</f>
        <v>16.099999999999998</v>
      </c>
      <c r="M14" s="132">
        <f>I14*Inputs!$D$54+J14*Inputs!$D$55+K14*Inputs!$D$56</f>
        <v>747.60000000000014</v>
      </c>
      <c r="N14" s="224"/>
    </row>
    <row r="15" spans="2:14" ht="12" customHeight="1" x14ac:dyDescent="0.2">
      <c r="B15" s="227"/>
      <c r="C15" s="63"/>
      <c r="D15" s="123"/>
      <c r="E15" s="61" t="s">
        <v>117</v>
      </c>
      <c r="F15" s="64"/>
      <c r="G15" s="130">
        <f>'YR2'!E29*'YR2'!G29</f>
        <v>67</v>
      </c>
      <c r="H15" s="138">
        <v>2</v>
      </c>
      <c r="I15" s="139">
        <f t="shared" si="0"/>
        <v>134</v>
      </c>
      <c r="J15" s="139">
        <f t="shared" si="1"/>
        <v>6.7</v>
      </c>
      <c r="K15" s="139">
        <f t="shared" si="2"/>
        <v>13.4</v>
      </c>
      <c r="L15" s="131">
        <f t="shared" si="3"/>
        <v>154.1</v>
      </c>
      <c r="M15" s="132">
        <f>I15*Inputs!$D$54+J15*Inputs!$D$55+K15*Inputs!$D$56</f>
        <v>7155.6000000000013</v>
      </c>
      <c r="N15" s="224"/>
    </row>
    <row r="16" spans="2:14" ht="12" customHeight="1" x14ac:dyDescent="0.2">
      <c r="B16" s="227"/>
      <c r="C16" s="63"/>
      <c r="D16" s="123"/>
      <c r="E16" s="61" t="s">
        <v>179</v>
      </c>
      <c r="F16" s="64"/>
      <c r="G16" s="130">
        <f>'YR2'!E30*'YR2'!G30</f>
        <v>6</v>
      </c>
      <c r="H16" s="138">
        <v>2</v>
      </c>
      <c r="I16" s="139">
        <f t="shared" si="0"/>
        <v>12</v>
      </c>
      <c r="J16" s="139">
        <f t="shared" si="1"/>
        <v>0.60000000000000009</v>
      </c>
      <c r="K16" s="139">
        <f t="shared" si="2"/>
        <v>1.2000000000000002</v>
      </c>
      <c r="L16" s="131">
        <f t="shared" si="3"/>
        <v>13.8</v>
      </c>
      <c r="M16" s="132">
        <f>I16*Inputs!$D$54+J16*Inputs!$D$55+K16*Inputs!$D$56</f>
        <v>640.80000000000007</v>
      </c>
      <c r="N16" s="224"/>
    </row>
    <row r="17" spans="2:14" ht="12" customHeight="1" x14ac:dyDescent="0.2">
      <c r="B17" s="227"/>
      <c r="C17" s="63"/>
      <c r="D17" s="123"/>
      <c r="E17" s="61" t="s">
        <v>180</v>
      </c>
      <c r="F17" s="64"/>
      <c r="G17" s="130">
        <f>'YR2'!E31*'YR2'!G31</f>
        <v>8</v>
      </c>
      <c r="H17" s="138">
        <v>2</v>
      </c>
      <c r="I17" s="139">
        <f t="shared" si="0"/>
        <v>16</v>
      </c>
      <c r="J17" s="139">
        <f t="shared" si="1"/>
        <v>0.8</v>
      </c>
      <c r="K17" s="139">
        <f t="shared" si="2"/>
        <v>1.6</v>
      </c>
      <c r="L17" s="131">
        <f t="shared" si="3"/>
        <v>18.400000000000002</v>
      </c>
      <c r="M17" s="132">
        <f>I17*Inputs!$D$54+J17*Inputs!$D$55+K17*Inputs!$D$56</f>
        <v>854.40000000000009</v>
      </c>
      <c r="N17" s="224"/>
    </row>
    <row r="18" spans="2:14" ht="12" customHeight="1" x14ac:dyDescent="0.2">
      <c r="B18" s="227"/>
      <c r="C18" s="63"/>
      <c r="D18" s="123" t="s">
        <v>16</v>
      </c>
      <c r="E18" s="65" t="s">
        <v>192</v>
      </c>
      <c r="F18" s="64"/>
      <c r="G18" s="130"/>
      <c r="H18" s="138"/>
      <c r="I18" s="139"/>
      <c r="J18" s="139"/>
      <c r="K18" s="139"/>
      <c r="L18" s="131"/>
      <c r="M18" s="132"/>
      <c r="N18" s="224"/>
    </row>
    <row r="19" spans="2:14" ht="12" customHeight="1" x14ac:dyDescent="0.2">
      <c r="B19" s="227"/>
      <c r="C19" s="63"/>
      <c r="D19" s="123"/>
      <c r="E19" s="65" t="s">
        <v>116</v>
      </c>
      <c r="F19" s="64"/>
      <c r="G19" s="130">
        <f>'YR2'!E33*'YR2'!G33</f>
        <v>14</v>
      </c>
      <c r="H19" s="138">
        <v>2</v>
      </c>
      <c r="I19" s="139">
        <f t="shared" ref="I19:I25" si="4">(G19*H19)</f>
        <v>28</v>
      </c>
      <c r="J19" s="139">
        <f t="shared" ref="J19:J25" si="5">I19*0.05</f>
        <v>1.4000000000000001</v>
      </c>
      <c r="K19" s="139">
        <f t="shared" ref="K19:K25" si="6">I19*0.1</f>
        <v>2.8000000000000003</v>
      </c>
      <c r="L19" s="131">
        <f t="shared" ref="L19:L25" si="7">SUM(I19:K19)</f>
        <v>32.199999999999996</v>
      </c>
      <c r="M19" s="132">
        <f>I19*Inputs!$D$54+J19*Inputs!$D$55+K19*Inputs!$D$56</f>
        <v>1495.2000000000003</v>
      </c>
      <c r="N19" s="224"/>
    </row>
    <row r="20" spans="2:14" ht="12" customHeight="1" x14ac:dyDescent="0.2">
      <c r="B20" s="227"/>
      <c r="C20" s="63"/>
      <c r="D20" s="123"/>
      <c r="E20" s="65" t="s">
        <v>117</v>
      </c>
      <c r="F20" s="64"/>
      <c r="G20" s="130">
        <f>'YR2'!E34*'YR2'!G34</f>
        <v>134</v>
      </c>
      <c r="H20" s="138">
        <v>2</v>
      </c>
      <c r="I20" s="139">
        <f t="shared" si="4"/>
        <v>268</v>
      </c>
      <c r="J20" s="139">
        <f t="shared" si="5"/>
        <v>13.4</v>
      </c>
      <c r="K20" s="139">
        <f t="shared" si="6"/>
        <v>26.8</v>
      </c>
      <c r="L20" s="131">
        <f t="shared" si="7"/>
        <v>308.2</v>
      </c>
      <c r="M20" s="132">
        <f>I20*Inputs!$D$54+J20*Inputs!$D$55+K20*Inputs!$D$56</f>
        <v>14311.200000000003</v>
      </c>
      <c r="N20" s="224"/>
    </row>
    <row r="21" spans="2:14" ht="12" customHeight="1" x14ac:dyDescent="0.2">
      <c r="B21" s="227"/>
      <c r="C21" s="63"/>
      <c r="D21" s="123"/>
      <c r="E21" s="65" t="s">
        <v>181</v>
      </c>
      <c r="F21" s="64"/>
      <c r="G21" s="130">
        <f>'YR2'!E35*'YR2'!G35</f>
        <v>134</v>
      </c>
      <c r="H21" s="138">
        <v>2</v>
      </c>
      <c r="I21" s="139">
        <f t="shared" si="4"/>
        <v>268</v>
      </c>
      <c r="J21" s="139">
        <f t="shared" si="5"/>
        <v>13.4</v>
      </c>
      <c r="K21" s="139">
        <f t="shared" si="6"/>
        <v>26.8</v>
      </c>
      <c r="L21" s="131">
        <f t="shared" si="7"/>
        <v>308.2</v>
      </c>
      <c r="M21" s="132">
        <f>I21*Inputs!$D$54+J21*Inputs!$D$55+K21*Inputs!$D$56</f>
        <v>14311.200000000003</v>
      </c>
      <c r="N21" s="224"/>
    </row>
    <row r="22" spans="2:14" ht="12" customHeight="1" x14ac:dyDescent="0.2">
      <c r="B22" s="227"/>
      <c r="C22" s="63"/>
      <c r="D22" s="123"/>
      <c r="E22" s="65" t="s">
        <v>182</v>
      </c>
      <c r="F22" s="64"/>
      <c r="G22" s="130">
        <f>'YR2'!E36*'YR2'!G36</f>
        <v>134</v>
      </c>
      <c r="H22" s="138">
        <v>2</v>
      </c>
      <c r="I22" s="139">
        <f t="shared" si="4"/>
        <v>268</v>
      </c>
      <c r="J22" s="139">
        <f t="shared" si="5"/>
        <v>13.4</v>
      </c>
      <c r="K22" s="139">
        <f t="shared" si="6"/>
        <v>26.8</v>
      </c>
      <c r="L22" s="131">
        <f t="shared" si="7"/>
        <v>308.2</v>
      </c>
      <c r="M22" s="132">
        <f>I22*Inputs!$D$54+J22*Inputs!$D$55+K22*Inputs!$D$56</f>
        <v>14311.200000000003</v>
      </c>
      <c r="N22" s="224"/>
    </row>
    <row r="23" spans="2:14" ht="12" customHeight="1" x14ac:dyDescent="0.2">
      <c r="B23" s="227"/>
      <c r="C23" s="63"/>
      <c r="D23" s="123"/>
      <c r="E23" s="65" t="s">
        <v>137</v>
      </c>
      <c r="F23" s="64"/>
      <c r="G23" s="130">
        <f>'YR2'!E37*'YR2'!G37</f>
        <v>134</v>
      </c>
      <c r="H23" s="138">
        <v>2</v>
      </c>
      <c r="I23" s="139">
        <f t="shared" si="4"/>
        <v>268</v>
      </c>
      <c r="J23" s="139">
        <f t="shared" si="5"/>
        <v>13.4</v>
      </c>
      <c r="K23" s="139">
        <f t="shared" si="6"/>
        <v>26.8</v>
      </c>
      <c r="L23" s="131">
        <f t="shared" si="7"/>
        <v>308.2</v>
      </c>
      <c r="M23" s="132">
        <f>I23*Inputs!$D$54+J23*Inputs!$D$55+K23*Inputs!$D$56</f>
        <v>14311.200000000003</v>
      </c>
      <c r="N23" s="224"/>
    </row>
    <row r="24" spans="2:14" ht="12" customHeight="1" x14ac:dyDescent="0.2">
      <c r="B24" s="227"/>
      <c r="C24" s="63"/>
      <c r="D24" s="123"/>
      <c r="E24" s="65" t="s">
        <v>183</v>
      </c>
      <c r="F24" s="64"/>
      <c r="G24" s="130">
        <f>'YR2'!E38*'YR2'!G38</f>
        <v>12</v>
      </c>
      <c r="H24" s="138">
        <v>2</v>
      </c>
      <c r="I24" s="139">
        <f t="shared" si="4"/>
        <v>24</v>
      </c>
      <c r="J24" s="139">
        <f t="shared" si="5"/>
        <v>1.2000000000000002</v>
      </c>
      <c r="K24" s="139">
        <f t="shared" si="6"/>
        <v>2.4000000000000004</v>
      </c>
      <c r="L24" s="131">
        <f t="shared" si="7"/>
        <v>27.6</v>
      </c>
      <c r="M24" s="132">
        <f>I24*Inputs!$D$54+J24*Inputs!$D$55+K24*Inputs!$D$56</f>
        <v>1281.6000000000001</v>
      </c>
      <c r="N24" s="224"/>
    </row>
    <row r="25" spans="2:14" ht="12" customHeight="1" x14ac:dyDescent="0.2">
      <c r="B25" s="227"/>
      <c r="C25" s="63"/>
      <c r="D25" s="123"/>
      <c r="E25" s="65" t="s">
        <v>184</v>
      </c>
      <c r="F25" s="64"/>
      <c r="G25" s="130">
        <f>'YR2'!E39*'YR2'!G39</f>
        <v>16</v>
      </c>
      <c r="H25" s="138">
        <v>2</v>
      </c>
      <c r="I25" s="139">
        <f t="shared" si="4"/>
        <v>32</v>
      </c>
      <c r="J25" s="139">
        <f t="shared" si="5"/>
        <v>1.6</v>
      </c>
      <c r="K25" s="139">
        <f t="shared" si="6"/>
        <v>3.2</v>
      </c>
      <c r="L25" s="131">
        <f t="shared" si="7"/>
        <v>36.800000000000004</v>
      </c>
      <c r="M25" s="132">
        <f>I25*Inputs!$D$54+J25*Inputs!$D$55+K25*Inputs!$D$56</f>
        <v>1708.8000000000002</v>
      </c>
      <c r="N25" s="224"/>
    </row>
    <row r="26" spans="2:14" ht="12" customHeight="1" x14ac:dyDescent="0.2">
      <c r="B26" s="227"/>
      <c r="C26" s="63"/>
      <c r="D26" s="123" t="s">
        <v>18</v>
      </c>
      <c r="E26" s="65" t="s">
        <v>140</v>
      </c>
      <c r="F26" s="64"/>
      <c r="G26" s="130">
        <f>'YR2'!G52</f>
        <v>0</v>
      </c>
      <c r="H26" s="138">
        <v>5</v>
      </c>
      <c r="I26" s="139">
        <f t="shared" si="0"/>
        <v>0</v>
      </c>
      <c r="J26" s="139">
        <f t="shared" si="1"/>
        <v>0</v>
      </c>
      <c r="K26" s="139">
        <f t="shared" si="2"/>
        <v>0</v>
      </c>
      <c r="L26" s="131">
        <f t="shared" si="3"/>
        <v>0</v>
      </c>
      <c r="M26" s="132">
        <f>I26*Inputs!$D$54+J26*Inputs!$D$55+K26*Inputs!$D$56</f>
        <v>0</v>
      </c>
      <c r="N26" s="224"/>
    </row>
    <row r="27" spans="2:14" ht="12" customHeight="1" x14ac:dyDescent="0.2">
      <c r="B27" s="228"/>
      <c r="C27" s="60" t="s">
        <v>30</v>
      </c>
      <c r="D27" s="61" t="s">
        <v>31</v>
      </c>
      <c r="E27" s="61"/>
      <c r="F27" s="62"/>
      <c r="G27" s="140">
        <v>1</v>
      </c>
      <c r="H27" s="139">
        <v>10</v>
      </c>
      <c r="I27" s="139">
        <f t="shared" si="0"/>
        <v>10</v>
      </c>
      <c r="J27" s="139">
        <f t="shared" si="1"/>
        <v>0.5</v>
      </c>
      <c r="K27" s="139">
        <f t="shared" si="2"/>
        <v>1</v>
      </c>
      <c r="L27" s="131">
        <f t="shared" si="3"/>
        <v>11.5</v>
      </c>
      <c r="M27" s="132">
        <f>I27*Inputs!$D$54+J27*Inputs!$D$55+K27*Inputs!$D$56</f>
        <v>534.00000000000011</v>
      </c>
      <c r="N27" s="224"/>
    </row>
    <row r="28" spans="2:14" ht="12" customHeight="1" thickBot="1" x14ac:dyDescent="0.25">
      <c r="B28" s="229" t="s">
        <v>56</v>
      </c>
      <c r="C28" s="55" t="s">
        <v>33</v>
      </c>
      <c r="D28" s="56"/>
      <c r="E28" s="56"/>
      <c r="F28" s="56"/>
      <c r="G28" s="57"/>
      <c r="H28" s="49"/>
      <c r="I28" s="49"/>
      <c r="J28" s="58">
        <f>IF(G8=0,"$0",1*3.75*75+600)</f>
        <v>881.25</v>
      </c>
      <c r="K28" s="59" t="s">
        <v>34</v>
      </c>
      <c r="L28" s="59"/>
      <c r="M28" s="50">
        <f>IF(ISTEXT(J28),0,G8*J28)</f>
        <v>5287.5</v>
      </c>
      <c r="N28" s="230"/>
    </row>
    <row r="29" spans="2:14" ht="12" customHeight="1" thickTop="1" x14ac:dyDescent="0.2">
      <c r="B29" s="231"/>
      <c r="C29" s="232" t="s">
        <v>35</v>
      </c>
      <c r="D29" s="233"/>
      <c r="E29" s="233"/>
      <c r="F29" s="61"/>
      <c r="G29" s="234"/>
      <c r="H29" s="235"/>
      <c r="I29" s="236">
        <f>SUM(I6:I27)</f>
        <v>1438</v>
      </c>
      <c r="J29" s="236">
        <f>SUM(J6:J27)</f>
        <v>71.900000000000006</v>
      </c>
      <c r="K29" s="236">
        <f>SUM(K6:K27)</f>
        <v>143.80000000000001</v>
      </c>
      <c r="L29" s="236">
        <f>SUM(L6:L27)</f>
        <v>1653.7</v>
      </c>
      <c r="M29" s="237">
        <f>SUM(M6:M28)</f>
        <v>82076.700000000026</v>
      </c>
      <c r="N29" s="224"/>
    </row>
    <row r="30" spans="2:14" ht="12" customHeight="1" x14ac:dyDescent="0.2">
      <c r="B30" s="14"/>
      <c r="C30" s="14"/>
      <c r="D30" s="14"/>
      <c r="E30" s="14"/>
      <c r="F30" s="15"/>
      <c r="G30" s="15"/>
      <c r="H30" s="16"/>
      <c r="I30" s="17"/>
      <c r="J30" s="17"/>
      <c r="K30" s="17"/>
      <c r="L30" s="17"/>
      <c r="M30" s="17"/>
      <c r="N30" s="17"/>
    </row>
    <row r="31" spans="2:14" ht="12" customHeight="1" x14ac:dyDescent="0.2">
      <c r="B31" s="51" t="s">
        <v>93</v>
      </c>
      <c r="C31" s="51"/>
      <c r="D31" s="14"/>
      <c r="E31" s="14"/>
      <c r="F31" s="18"/>
      <c r="G31" s="15"/>
      <c r="H31" s="16"/>
      <c r="I31" s="17"/>
      <c r="J31" s="17"/>
      <c r="K31" s="17"/>
      <c r="L31" s="17"/>
      <c r="M31" s="17"/>
      <c r="N31" s="17"/>
    </row>
    <row r="32" spans="2:14" ht="12" customHeight="1" x14ac:dyDescent="0.2">
      <c r="B32" s="52" t="s">
        <v>36</v>
      </c>
      <c r="C32" s="27" t="s">
        <v>214</v>
      </c>
      <c r="D32" s="14"/>
      <c r="E32" s="14"/>
      <c r="F32" s="15"/>
      <c r="G32" s="15"/>
      <c r="H32" s="16"/>
      <c r="I32" s="17"/>
      <c r="J32" s="17"/>
      <c r="K32" s="17"/>
      <c r="L32" s="17"/>
      <c r="M32" s="17"/>
      <c r="N32" s="17"/>
    </row>
    <row r="33" spans="2:14" ht="12" customHeight="1" x14ac:dyDescent="0.2">
      <c r="B33" s="52"/>
      <c r="C33" s="51"/>
      <c r="D33" s="14"/>
      <c r="E33" s="14"/>
      <c r="F33" s="15"/>
      <c r="G33" s="15"/>
      <c r="H33" s="16"/>
      <c r="I33" s="17"/>
      <c r="J33" s="17"/>
      <c r="K33" s="17"/>
      <c r="L33" s="17"/>
      <c r="M33" s="17"/>
      <c r="N33" s="17"/>
    </row>
    <row r="34" spans="2:14" ht="12" customHeight="1" x14ac:dyDescent="0.2">
      <c r="B34" s="52"/>
      <c r="C34" s="51"/>
      <c r="D34" s="14"/>
      <c r="E34" s="14"/>
      <c r="F34" s="15"/>
      <c r="G34" s="15"/>
      <c r="H34" s="16"/>
      <c r="I34" s="17"/>
      <c r="J34" s="17"/>
      <c r="K34" s="17"/>
      <c r="L34" s="17"/>
      <c r="M34" s="17"/>
      <c r="N34" s="17"/>
    </row>
    <row r="35" spans="2:14" ht="12" customHeight="1" x14ac:dyDescent="0.2">
      <c r="B35" s="52"/>
      <c r="C35" s="51"/>
      <c r="D35" s="14"/>
      <c r="E35" s="14"/>
      <c r="F35" s="15"/>
      <c r="G35" s="15"/>
      <c r="H35" s="16"/>
      <c r="I35" s="17"/>
      <c r="J35" s="17"/>
      <c r="K35" s="17"/>
      <c r="L35" s="17"/>
      <c r="M35" s="17"/>
      <c r="N35" s="17"/>
    </row>
    <row r="36" spans="2:14" ht="12" customHeight="1" x14ac:dyDescent="0.2">
      <c r="B36" s="53"/>
      <c r="C36" s="54"/>
    </row>
    <row r="37" spans="2:14" x14ac:dyDescent="0.2">
      <c r="B37" s="20"/>
    </row>
    <row r="38" spans="2:14" x14ac:dyDescent="0.2">
      <c r="B38" s="20"/>
    </row>
    <row r="39" spans="2:14" x14ac:dyDescent="0.2">
      <c r="B39" s="20"/>
    </row>
    <row r="40" spans="2:14" x14ac:dyDescent="0.2">
      <c r="B40" s="20"/>
    </row>
    <row r="53" spans="23:26" x14ac:dyDescent="0.2">
      <c r="W53" s="285" t="s">
        <v>37</v>
      </c>
      <c r="X53" s="285"/>
      <c r="Y53" s="285"/>
      <c r="Z53" s="30">
        <v>0.2</v>
      </c>
    </row>
    <row r="54" spans="23:26" x14ac:dyDescent="0.2">
      <c r="W54" s="285" t="s">
        <v>38</v>
      </c>
      <c r="X54" s="285"/>
      <c r="Y54" s="285"/>
      <c r="Z54" s="30">
        <v>0.1</v>
      </c>
    </row>
    <row r="55" spans="23:26" x14ac:dyDescent="0.2">
      <c r="W55" s="285" t="s">
        <v>39</v>
      </c>
      <c r="X55" s="285"/>
      <c r="Y55" s="285"/>
      <c r="Z55" s="30">
        <v>0.1</v>
      </c>
    </row>
  </sheetData>
  <mergeCells count="12">
    <mergeCell ref="W55:Y55"/>
    <mergeCell ref="B2:N2"/>
    <mergeCell ref="N3:N4"/>
    <mergeCell ref="B4:F4"/>
    <mergeCell ref="G5:N5"/>
    <mergeCell ref="G7:N7"/>
    <mergeCell ref="D8:F8"/>
    <mergeCell ref="G10:N10"/>
    <mergeCell ref="G11:N11"/>
    <mergeCell ref="G12:N12"/>
    <mergeCell ref="W53:Y53"/>
    <mergeCell ref="W54:Y54"/>
  </mergeCells>
  <printOptions horizontalCentered="1"/>
  <pageMargins left="0.7" right="0.7" top="0.75" bottom="0.75" header="0.3" footer="0.3"/>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48D7-C1E5-4FB5-85B5-437A3CFD296A}">
  <sheetPr>
    <tabColor rgb="FF00B050"/>
  </sheetPr>
  <dimension ref="B2:Z55"/>
  <sheetViews>
    <sheetView zoomScaleNormal="100" workbookViewId="0">
      <selection activeCell="E34" sqref="E34"/>
    </sheetView>
  </sheetViews>
  <sheetFormatPr defaultRowHeight="14.25" x14ac:dyDescent="0.2"/>
  <cols>
    <col min="1" max="1" width="4.140625" style="29" customWidth="1"/>
    <col min="2" max="4" width="3.140625" style="13" customWidth="1"/>
    <col min="5" max="5" width="40.28515625" style="13" customWidth="1"/>
    <col min="6" max="6" width="3.28515625" style="13" customWidth="1"/>
    <col min="7" max="9" width="11.28515625" style="13" customWidth="1"/>
    <col min="10" max="10" width="11.5703125" style="13" bestFit="1" customWidth="1"/>
    <col min="11" max="11" width="10.42578125" style="13" bestFit="1" customWidth="1"/>
    <col min="12" max="12" width="10.140625" style="13" bestFit="1" customWidth="1"/>
    <col min="13" max="13" width="9.140625" style="13" customWidth="1"/>
    <col min="14" max="14" width="3.5703125" style="13" customWidth="1"/>
    <col min="15" max="15" width="3.85546875" style="29" customWidth="1"/>
    <col min="16" max="16384" width="9.140625" style="29"/>
  </cols>
  <sheetData>
    <row r="2" spans="2:14" ht="15" x14ac:dyDescent="0.25">
      <c r="B2" s="297" t="s">
        <v>211</v>
      </c>
      <c r="C2" s="297"/>
      <c r="D2" s="297"/>
      <c r="E2" s="297"/>
      <c r="F2" s="297"/>
      <c r="G2" s="297"/>
      <c r="H2" s="297"/>
      <c r="I2" s="297"/>
      <c r="J2" s="297"/>
      <c r="K2" s="297"/>
      <c r="L2" s="297"/>
      <c r="M2" s="297"/>
      <c r="N2" s="297"/>
    </row>
    <row r="3" spans="2:14" x14ac:dyDescent="0.2">
      <c r="B3" s="214"/>
      <c r="C3" s="215"/>
      <c r="D3" s="215"/>
      <c r="E3" s="215"/>
      <c r="F3" s="215"/>
      <c r="G3" s="216" t="s">
        <v>6</v>
      </c>
      <c r="H3" s="217" t="s">
        <v>7</v>
      </c>
      <c r="I3" s="218" t="s">
        <v>8</v>
      </c>
      <c r="J3" s="218" t="s">
        <v>9</v>
      </c>
      <c r="K3" s="218" t="s">
        <v>10</v>
      </c>
      <c r="L3" s="219" t="s">
        <v>11</v>
      </c>
      <c r="M3" s="219" t="s">
        <v>110</v>
      </c>
      <c r="N3" s="295" t="s">
        <v>5</v>
      </c>
    </row>
    <row r="4" spans="2:14" ht="48.75" thickBot="1" x14ac:dyDescent="0.25">
      <c r="B4" s="298" t="s">
        <v>3</v>
      </c>
      <c r="C4" s="299"/>
      <c r="D4" s="299"/>
      <c r="E4" s="299"/>
      <c r="F4" s="300"/>
      <c r="G4" s="125" t="s">
        <v>12</v>
      </c>
      <c r="H4" s="126" t="s">
        <v>107</v>
      </c>
      <c r="I4" s="127" t="s">
        <v>94</v>
      </c>
      <c r="J4" s="127" t="s">
        <v>95</v>
      </c>
      <c r="K4" s="127" t="s">
        <v>96</v>
      </c>
      <c r="L4" s="127" t="s">
        <v>108</v>
      </c>
      <c r="M4" s="127" t="s">
        <v>109</v>
      </c>
      <c r="N4" s="296"/>
    </row>
    <row r="5" spans="2:14" ht="12" customHeight="1" thickTop="1" x14ac:dyDescent="0.2">
      <c r="B5" s="220" t="s">
        <v>13</v>
      </c>
      <c r="C5" s="31" t="s">
        <v>14</v>
      </c>
      <c r="D5" s="32"/>
      <c r="E5" s="32"/>
      <c r="F5" s="33"/>
      <c r="G5" s="304" t="s">
        <v>15</v>
      </c>
      <c r="H5" s="305"/>
      <c r="I5" s="305"/>
      <c r="J5" s="305"/>
      <c r="K5" s="305"/>
      <c r="L5" s="305"/>
      <c r="M5" s="305"/>
      <c r="N5" s="306"/>
    </row>
    <row r="6" spans="2:14" ht="12" customHeight="1" x14ac:dyDescent="0.2">
      <c r="B6" s="221" t="s">
        <v>16</v>
      </c>
      <c r="C6" s="34" t="s">
        <v>17</v>
      </c>
      <c r="D6" s="34"/>
      <c r="E6" s="34"/>
      <c r="F6" s="35"/>
      <c r="G6" s="172">
        <v>0</v>
      </c>
      <c r="H6" s="131">
        <v>24</v>
      </c>
      <c r="I6" s="131">
        <f>(G6*H6)</f>
        <v>0</v>
      </c>
      <c r="J6" s="131">
        <f>I6*0.05</f>
        <v>0</v>
      </c>
      <c r="K6" s="131">
        <f>I6*0.1</f>
        <v>0</v>
      </c>
      <c r="L6" s="131">
        <f>SUM(I6:K6)</f>
        <v>0</v>
      </c>
      <c r="M6" s="132">
        <f>I6*Inputs!$D$54+J6*Inputs!$D$55+K6*Inputs!$D$56</f>
        <v>0</v>
      </c>
      <c r="N6" s="132"/>
    </row>
    <row r="7" spans="2:14" ht="12" customHeight="1" x14ac:dyDescent="0.2">
      <c r="B7" s="222" t="s">
        <v>18</v>
      </c>
      <c r="C7" s="36" t="s">
        <v>19</v>
      </c>
      <c r="D7" s="36"/>
      <c r="E7" s="36"/>
      <c r="F7" s="37"/>
      <c r="G7" s="307"/>
      <c r="H7" s="308"/>
      <c r="I7" s="308"/>
      <c r="J7" s="308"/>
      <c r="K7" s="308"/>
      <c r="L7" s="308"/>
      <c r="M7" s="308"/>
      <c r="N7" s="309"/>
    </row>
    <row r="8" spans="2:14" ht="12" customHeight="1" x14ac:dyDescent="0.2">
      <c r="B8" s="223">
        <v>0.08</v>
      </c>
      <c r="C8" s="38" t="s">
        <v>20</v>
      </c>
      <c r="D8" s="310" t="s">
        <v>21</v>
      </c>
      <c r="E8" s="310"/>
      <c r="F8" s="311"/>
      <c r="G8" s="133">
        <f>'YR3'!G22</f>
        <v>0</v>
      </c>
      <c r="H8" s="134">
        <v>16</v>
      </c>
      <c r="I8" s="135">
        <f>(G8*H8)</f>
        <v>0</v>
      </c>
      <c r="J8" s="135">
        <f>I8*0.05</f>
        <v>0</v>
      </c>
      <c r="K8" s="135">
        <f>I8*0.1</f>
        <v>0</v>
      </c>
      <c r="L8" s="131">
        <f>SUM(I8:K8)</f>
        <v>0</v>
      </c>
      <c r="M8" s="132">
        <f>I8*Inputs!$D$54+J8*Inputs!$D$55+K8*Inputs!$D$56</f>
        <v>0</v>
      </c>
      <c r="N8" s="224"/>
    </row>
    <row r="9" spans="2:14" ht="12" customHeight="1" x14ac:dyDescent="0.2">
      <c r="B9" s="225">
        <f>0.1*0.1</f>
        <v>1.0000000000000002E-2</v>
      </c>
      <c r="C9" s="39" t="s">
        <v>22</v>
      </c>
      <c r="D9" s="40" t="s">
        <v>23</v>
      </c>
      <c r="E9" s="40"/>
      <c r="F9" s="41"/>
      <c r="G9" s="252">
        <v>0</v>
      </c>
      <c r="H9" s="138">
        <v>24</v>
      </c>
      <c r="I9" s="253">
        <f>(G9*H9)</f>
        <v>0</v>
      </c>
      <c r="J9" s="253">
        <f>I9*0.05</f>
        <v>0</v>
      </c>
      <c r="K9" s="253">
        <f>I9*0.1</f>
        <v>0</v>
      </c>
      <c r="L9" s="131">
        <f>SUM(I9:K9)</f>
        <v>0</v>
      </c>
      <c r="M9" s="132">
        <f>I9*Inputs!$D$54+J9*Inputs!$D$55+K9*Inputs!$D$56</f>
        <v>0</v>
      </c>
      <c r="N9" s="224"/>
    </row>
    <row r="10" spans="2:14" ht="12" customHeight="1" x14ac:dyDescent="0.2">
      <c r="B10" s="225"/>
      <c r="C10" s="42" t="s">
        <v>24</v>
      </c>
      <c r="D10" s="31" t="s">
        <v>25</v>
      </c>
      <c r="E10" s="31"/>
      <c r="F10" s="43"/>
      <c r="G10" s="307" t="s">
        <v>15</v>
      </c>
      <c r="H10" s="308"/>
      <c r="I10" s="308"/>
      <c r="J10" s="308"/>
      <c r="K10" s="308"/>
      <c r="L10" s="308"/>
      <c r="M10" s="308"/>
      <c r="N10" s="309"/>
    </row>
    <row r="11" spans="2:14" ht="12" customHeight="1" x14ac:dyDescent="0.2">
      <c r="B11" s="223"/>
      <c r="C11" s="44" t="s">
        <v>26</v>
      </c>
      <c r="D11" s="45" t="s">
        <v>27</v>
      </c>
      <c r="E11" s="45"/>
      <c r="F11" s="46"/>
      <c r="G11" s="286" t="s">
        <v>15</v>
      </c>
      <c r="H11" s="287"/>
      <c r="I11" s="287"/>
      <c r="J11" s="287"/>
      <c r="K11" s="287"/>
      <c r="L11" s="287"/>
      <c r="M11" s="287"/>
      <c r="N11" s="288"/>
    </row>
    <row r="12" spans="2:14" ht="12" customHeight="1" x14ac:dyDescent="0.2">
      <c r="B12" s="226"/>
      <c r="C12" s="47" t="s">
        <v>28</v>
      </c>
      <c r="D12" s="36" t="s">
        <v>29</v>
      </c>
      <c r="E12" s="36"/>
      <c r="F12" s="48"/>
      <c r="G12" s="286"/>
      <c r="H12" s="287"/>
      <c r="I12" s="287"/>
      <c r="J12" s="287"/>
      <c r="K12" s="287"/>
      <c r="L12" s="287"/>
      <c r="M12" s="287"/>
      <c r="N12" s="288"/>
    </row>
    <row r="13" spans="2:14" ht="12" customHeight="1" x14ac:dyDescent="0.2">
      <c r="B13" s="227"/>
      <c r="C13" s="63"/>
      <c r="D13" s="123" t="s">
        <v>13</v>
      </c>
      <c r="E13" s="61" t="s">
        <v>141</v>
      </c>
      <c r="F13" s="64"/>
      <c r="G13" s="130"/>
      <c r="H13" s="138"/>
      <c r="I13" s="139"/>
      <c r="J13" s="139"/>
      <c r="K13" s="139"/>
      <c r="L13" s="131"/>
      <c r="M13" s="132"/>
      <c r="N13" s="224"/>
    </row>
    <row r="14" spans="2:14" ht="12" customHeight="1" x14ac:dyDescent="0.2">
      <c r="B14" s="227"/>
      <c r="C14" s="63"/>
      <c r="D14" s="123"/>
      <c r="E14" s="61" t="s">
        <v>116</v>
      </c>
      <c r="F14" s="64"/>
      <c r="G14" s="130">
        <f>'YR3'!E28*'YR3'!G28</f>
        <v>14</v>
      </c>
      <c r="H14" s="138">
        <v>2</v>
      </c>
      <c r="I14" s="139">
        <f t="shared" ref="I14:I27" si="0">(G14*H14)</f>
        <v>28</v>
      </c>
      <c r="J14" s="139">
        <f t="shared" ref="J14:J27" si="1">I14*0.05</f>
        <v>1.4000000000000001</v>
      </c>
      <c r="K14" s="139">
        <f t="shared" ref="K14:K27" si="2">I14*0.1</f>
        <v>2.8000000000000003</v>
      </c>
      <c r="L14" s="131">
        <f t="shared" ref="L14:L27" si="3">SUM(I14:K14)</f>
        <v>32.199999999999996</v>
      </c>
      <c r="M14" s="132">
        <f>I14*Inputs!$D$54+J14*Inputs!$D$55+K14*Inputs!$D$56</f>
        <v>1495.2000000000003</v>
      </c>
      <c r="N14" s="224"/>
    </row>
    <row r="15" spans="2:14" ht="12" customHeight="1" x14ac:dyDescent="0.2">
      <c r="B15" s="227"/>
      <c r="C15" s="63"/>
      <c r="D15" s="123"/>
      <c r="E15" s="61" t="s">
        <v>117</v>
      </c>
      <c r="F15" s="64"/>
      <c r="G15" s="130">
        <f>'YR3'!E29*'YR3'!G29</f>
        <v>134</v>
      </c>
      <c r="H15" s="138">
        <v>2</v>
      </c>
      <c r="I15" s="139">
        <f t="shared" si="0"/>
        <v>268</v>
      </c>
      <c r="J15" s="139">
        <f t="shared" si="1"/>
        <v>13.4</v>
      </c>
      <c r="K15" s="139">
        <f t="shared" si="2"/>
        <v>26.8</v>
      </c>
      <c r="L15" s="131">
        <f t="shared" si="3"/>
        <v>308.2</v>
      </c>
      <c r="M15" s="132">
        <f>I15*Inputs!$D$54+J15*Inputs!$D$55+K15*Inputs!$D$56</f>
        <v>14311.200000000003</v>
      </c>
      <c r="N15" s="224"/>
    </row>
    <row r="16" spans="2:14" ht="12" customHeight="1" x14ac:dyDescent="0.2">
      <c r="B16" s="227"/>
      <c r="C16" s="63"/>
      <c r="D16" s="123"/>
      <c r="E16" s="61" t="s">
        <v>179</v>
      </c>
      <c r="F16" s="64"/>
      <c r="G16" s="130">
        <f>'YR3'!E30*'YR3'!G30</f>
        <v>0</v>
      </c>
      <c r="H16" s="138">
        <v>2</v>
      </c>
      <c r="I16" s="139">
        <f t="shared" si="0"/>
        <v>0</v>
      </c>
      <c r="J16" s="139">
        <f t="shared" si="1"/>
        <v>0</v>
      </c>
      <c r="K16" s="139">
        <f t="shared" si="2"/>
        <v>0</v>
      </c>
      <c r="L16" s="131">
        <f t="shared" si="3"/>
        <v>0</v>
      </c>
      <c r="M16" s="132">
        <f>I16*Inputs!$D$54+J16*Inputs!$D$55+K16*Inputs!$D$56</f>
        <v>0</v>
      </c>
      <c r="N16" s="224"/>
    </row>
    <row r="17" spans="2:14" ht="12" customHeight="1" x14ac:dyDescent="0.2">
      <c r="B17" s="227"/>
      <c r="C17" s="63"/>
      <c r="D17" s="123"/>
      <c r="E17" s="61" t="s">
        <v>180</v>
      </c>
      <c r="F17" s="64"/>
      <c r="G17" s="130">
        <f>'YR3'!E31*'YR3'!G31</f>
        <v>0</v>
      </c>
      <c r="H17" s="138">
        <v>2</v>
      </c>
      <c r="I17" s="139">
        <f t="shared" si="0"/>
        <v>0</v>
      </c>
      <c r="J17" s="139">
        <f t="shared" si="1"/>
        <v>0</v>
      </c>
      <c r="K17" s="139">
        <f t="shared" si="2"/>
        <v>0</v>
      </c>
      <c r="L17" s="131">
        <f t="shared" si="3"/>
        <v>0</v>
      </c>
      <c r="M17" s="132">
        <f>I17*Inputs!$D$54+J17*Inputs!$D$55+K17*Inputs!$D$56</f>
        <v>0</v>
      </c>
      <c r="N17" s="224"/>
    </row>
    <row r="18" spans="2:14" ht="12" customHeight="1" x14ac:dyDescent="0.2">
      <c r="B18" s="227"/>
      <c r="C18" s="63"/>
      <c r="D18" s="123" t="s">
        <v>16</v>
      </c>
      <c r="E18" s="65" t="s">
        <v>192</v>
      </c>
      <c r="F18" s="64"/>
      <c r="G18" s="130"/>
      <c r="H18" s="138"/>
      <c r="I18" s="139"/>
      <c r="J18" s="139"/>
      <c r="K18" s="139"/>
      <c r="L18" s="131"/>
      <c r="M18" s="132"/>
      <c r="N18" s="224"/>
    </row>
    <row r="19" spans="2:14" ht="12" customHeight="1" x14ac:dyDescent="0.2">
      <c r="B19" s="227"/>
      <c r="C19" s="63"/>
      <c r="D19" s="123"/>
      <c r="E19" s="65" t="s">
        <v>116</v>
      </c>
      <c r="F19" s="64"/>
      <c r="G19" s="130">
        <f>'YR3'!E33*'YR3'!G33</f>
        <v>42</v>
      </c>
      <c r="H19" s="138">
        <v>2</v>
      </c>
      <c r="I19" s="139">
        <f t="shared" ref="I19:I25" si="4">(G19*H19)</f>
        <v>84</v>
      </c>
      <c r="J19" s="139">
        <f t="shared" ref="J19:J25" si="5">I19*0.05</f>
        <v>4.2</v>
      </c>
      <c r="K19" s="139">
        <f t="shared" ref="K19:K25" si="6">I19*0.1</f>
        <v>8.4</v>
      </c>
      <c r="L19" s="131">
        <f t="shared" ref="L19:L25" si="7">SUM(I19:K19)</f>
        <v>96.600000000000009</v>
      </c>
      <c r="M19" s="132">
        <f>I19*Inputs!$D$54+J19*Inputs!$D$55+K19*Inputs!$D$56</f>
        <v>4485.6000000000004</v>
      </c>
      <c r="N19" s="224"/>
    </row>
    <row r="20" spans="2:14" ht="12" customHeight="1" x14ac:dyDescent="0.2">
      <c r="B20" s="227"/>
      <c r="C20" s="63"/>
      <c r="D20" s="123"/>
      <c r="E20" s="65" t="s">
        <v>117</v>
      </c>
      <c r="F20" s="64"/>
      <c r="G20" s="130">
        <f>'YR3'!E34*'YR3'!G34</f>
        <v>402</v>
      </c>
      <c r="H20" s="138">
        <v>2</v>
      </c>
      <c r="I20" s="139">
        <f t="shared" si="4"/>
        <v>804</v>
      </c>
      <c r="J20" s="139">
        <f t="shared" si="5"/>
        <v>40.200000000000003</v>
      </c>
      <c r="K20" s="139">
        <f t="shared" si="6"/>
        <v>80.400000000000006</v>
      </c>
      <c r="L20" s="131">
        <f t="shared" si="7"/>
        <v>924.6</v>
      </c>
      <c r="M20" s="132">
        <f>I20*Inputs!$D$54+J20*Inputs!$D$55+K20*Inputs!$D$56</f>
        <v>42933.600000000006</v>
      </c>
      <c r="N20" s="224"/>
    </row>
    <row r="21" spans="2:14" ht="12" customHeight="1" x14ac:dyDescent="0.2">
      <c r="B21" s="227"/>
      <c r="C21" s="63"/>
      <c r="D21" s="123"/>
      <c r="E21" s="65" t="s">
        <v>181</v>
      </c>
      <c r="F21" s="64"/>
      <c r="G21" s="130">
        <f>'YR3'!E35*'YR3'!G35</f>
        <v>402</v>
      </c>
      <c r="H21" s="138">
        <v>2</v>
      </c>
      <c r="I21" s="139">
        <f t="shared" si="4"/>
        <v>804</v>
      </c>
      <c r="J21" s="139">
        <f t="shared" si="5"/>
        <v>40.200000000000003</v>
      </c>
      <c r="K21" s="139">
        <f t="shared" si="6"/>
        <v>80.400000000000006</v>
      </c>
      <c r="L21" s="131">
        <f t="shared" si="7"/>
        <v>924.6</v>
      </c>
      <c r="M21" s="132">
        <f>I21*Inputs!$D$54+J21*Inputs!$D$55+K21*Inputs!$D$56</f>
        <v>42933.600000000006</v>
      </c>
      <c r="N21" s="224"/>
    </row>
    <row r="22" spans="2:14" ht="12" customHeight="1" x14ac:dyDescent="0.2">
      <c r="B22" s="227"/>
      <c r="C22" s="63"/>
      <c r="D22" s="123"/>
      <c r="E22" s="65" t="s">
        <v>182</v>
      </c>
      <c r="F22" s="64"/>
      <c r="G22" s="130">
        <f>'YR3'!E36*'YR3'!G36</f>
        <v>402</v>
      </c>
      <c r="H22" s="138">
        <v>2</v>
      </c>
      <c r="I22" s="139">
        <f t="shared" si="4"/>
        <v>804</v>
      </c>
      <c r="J22" s="139">
        <f t="shared" si="5"/>
        <v>40.200000000000003</v>
      </c>
      <c r="K22" s="139">
        <f t="shared" si="6"/>
        <v>80.400000000000006</v>
      </c>
      <c r="L22" s="131">
        <f t="shared" si="7"/>
        <v>924.6</v>
      </c>
      <c r="M22" s="132">
        <f>I22*Inputs!$D$54+J22*Inputs!$D$55+K22*Inputs!$D$56</f>
        <v>42933.600000000006</v>
      </c>
      <c r="N22" s="224"/>
    </row>
    <row r="23" spans="2:14" ht="12" customHeight="1" x14ac:dyDescent="0.2">
      <c r="B23" s="227"/>
      <c r="C23" s="63"/>
      <c r="D23" s="123"/>
      <c r="E23" s="65" t="s">
        <v>137</v>
      </c>
      <c r="F23" s="64"/>
      <c r="G23" s="130">
        <f>'YR3'!E37*'YR3'!G37</f>
        <v>402</v>
      </c>
      <c r="H23" s="138">
        <v>2</v>
      </c>
      <c r="I23" s="139">
        <f t="shared" si="4"/>
        <v>804</v>
      </c>
      <c r="J23" s="139">
        <f t="shared" si="5"/>
        <v>40.200000000000003</v>
      </c>
      <c r="K23" s="139">
        <f t="shared" si="6"/>
        <v>80.400000000000006</v>
      </c>
      <c r="L23" s="131">
        <f t="shared" si="7"/>
        <v>924.6</v>
      </c>
      <c r="M23" s="132">
        <f>I23*Inputs!$D$54+J23*Inputs!$D$55+K23*Inputs!$D$56</f>
        <v>42933.600000000006</v>
      </c>
      <c r="N23" s="224"/>
    </row>
    <row r="24" spans="2:14" ht="12" customHeight="1" x14ac:dyDescent="0.2">
      <c r="B24" s="227"/>
      <c r="C24" s="63"/>
      <c r="D24" s="123"/>
      <c r="E24" s="65" t="s">
        <v>183</v>
      </c>
      <c r="F24" s="64"/>
      <c r="G24" s="130">
        <f>'YR3'!E38*'YR3'!G38</f>
        <v>12</v>
      </c>
      <c r="H24" s="138">
        <v>2</v>
      </c>
      <c r="I24" s="139">
        <f t="shared" si="4"/>
        <v>24</v>
      </c>
      <c r="J24" s="139">
        <f t="shared" si="5"/>
        <v>1.2000000000000002</v>
      </c>
      <c r="K24" s="139">
        <f t="shared" si="6"/>
        <v>2.4000000000000004</v>
      </c>
      <c r="L24" s="131">
        <f t="shared" si="7"/>
        <v>27.6</v>
      </c>
      <c r="M24" s="132">
        <f>I24*Inputs!$D$54+J24*Inputs!$D$55+K24*Inputs!$D$56</f>
        <v>1281.6000000000001</v>
      </c>
      <c r="N24" s="224"/>
    </row>
    <row r="25" spans="2:14" ht="12" customHeight="1" x14ac:dyDescent="0.2">
      <c r="B25" s="227"/>
      <c r="C25" s="63"/>
      <c r="D25" s="123"/>
      <c r="E25" s="65" t="s">
        <v>184</v>
      </c>
      <c r="F25" s="64"/>
      <c r="G25" s="130">
        <f>'YR3'!E39*'YR3'!G39</f>
        <v>16</v>
      </c>
      <c r="H25" s="138">
        <v>2</v>
      </c>
      <c r="I25" s="139">
        <f t="shared" si="4"/>
        <v>32</v>
      </c>
      <c r="J25" s="139">
        <f t="shared" si="5"/>
        <v>1.6</v>
      </c>
      <c r="K25" s="139">
        <f t="shared" si="6"/>
        <v>3.2</v>
      </c>
      <c r="L25" s="131">
        <f t="shared" si="7"/>
        <v>36.800000000000004</v>
      </c>
      <c r="M25" s="132">
        <f>I25*Inputs!$D$54+J25*Inputs!$D$55+K25*Inputs!$D$56</f>
        <v>1708.8000000000002</v>
      </c>
      <c r="N25" s="224"/>
    </row>
    <row r="26" spans="2:14" ht="12" customHeight="1" x14ac:dyDescent="0.2">
      <c r="B26" s="227"/>
      <c r="C26" s="63"/>
      <c r="D26" s="123" t="s">
        <v>18</v>
      </c>
      <c r="E26" s="65" t="s">
        <v>140</v>
      </c>
      <c r="F26" s="64"/>
      <c r="G26" s="130">
        <f>'YR3'!G52</f>
        <v>0</v>
      </c>
      <c r="H26" s="138">
        <v>5</v>
      </c>
      <c r="I26" s="139">
        <f t="shared" si="0"/>
        <v>0</v>
      </c>
      <c r="J26" s="139">
        <f t="shared" si="1"/>
        <v>0</v>
      </c>
      <c r="K26" s="139">
        <f t="shared" si="2"/>
        <v>0</v>
      </c>
      <c r="L26" s="131">
        <f t="shared" si="3"/>
        <v>0</v>
      </c>
      <c r="M26" s="132">
        <f>I26*Inputs!$D$54+J26*Inputs!$D$55+K26*Inputs!$D$56</f>
        <v>0</v>
      </c>
      <c r="N26" s="224"/>
    </row>
    <row r="27" spans="2:14" ht="12" customHeight="1" x14ac:dyDescent="0.2">
      <c r="B27" s="228"/>
      <c r="C27" s="60" t="s">
        <v>30</v>
      </c>
      <c r="D27" s="61" t="s">
        <v>31</v>
      </c>
      <c r="E27" s="61"/>
      <c r="F27" s="62"/>
      <c r="G27" s="140">
        <v>1</v>
      </c>
      <c r="H27" s="139">
        <v>10</v>
      </c>
      <c r="I27" s="139">
        <f t="shared" si="0"/>
        <v>10</v>
      </c>
      <c r="J27" s="139">
        <f t="shared" si="1"/>
        <v>0.5</v>
      </c>
      <c r="K27" s="139">
        <f t="shared" si="2"/>
        <v>1</v>
      </c>
      <c r="L27" s="131">
        <f t="shared" si="3"/>
        <v>11.5</v>
      </c>
      <c r="M27" s="132">
        <f>I27*Inputs!$D$54+J27*Inputs!$D$55+K27*Inputs!$D$56</f>
        <v>534.00000000000011</v>
      </c>
      <c r="N27" s="224"/>
    </row>
    <row r="28" spans="2:14" ht="12" customHeight="1" thickBot="1" x14ac:dyDescent="0.25">
      <c r="B28" s="229" t="s">
        <v>56</v>
      </c>
      <c r="C28" s="55" t="s">
        <v>33</v>
      </c>
      <c r="D28" s="56"/>
      <c r="E28" s="56"/>
      <c r="F28" s="56"/>
      <c r="G28" s="57"/>
      <c r="H28" s="49"/>
      <c r="I28" s="49"/>
      <c r="J28" s="58" t="str">
        <f>IF(G8=0,"$0",1*3.75*75+600)</f>
        <v>$0</v>
      </c>
      <c r="K28" s="59" t="s">
        <v>34</v>
      </c>
      <c r="L28" s="59"/>
      <c r="M28" s="50">
        <f>IF(ISTEXT(J28),0,G8*J28)</f>
        <v>0</v>
      </c>
      <c r="N28" s="230"/>
    </row>
    <row r="29" spans="2:14" ht="12" customHeight="1" thickTop="1" x14ac:dyDescent="0.2">
      <c r="B29" s="231"/>
      <c r="C29" s="232" t="s">
        <v>35</v>
      </c>
      <c r="D29" s="233"/>
      <c r="E29" s="233"/>
      <c r="F29" s="61"/>
      <c r="G29" s="234"/>
      <c r="H29" s="235"/>
      <c r="I29" s="236">
        <f>SUM(I6:I27)</f>
        <v>3662</v>
      </c>
      <c r="J29" s="236">
        <f>SUM(J6:J27)</f>
        <v>183.1</v>
      </c>
      <c r="K29" s="236">
        <f>SUM(K6:K27)</f>
        <v>366.2</v>
      </c>
      <c r="L29" s="236">
        <f>SUM(L6:L27)</f>
        <v>4211.3</v>
      </c>
      <c r="M29" s="237">
        <f>SUM(M6:M28)</f>
        <v>195550.80000000002</v>
      </c>
      <c r="N29" s="224"/>
    </row>
    <row r="30" spans="2:14" ht="12" customHeight="1" x14ac:dyDescent="0.2">
      <c r="B30" s="14"/>
      <c r="C30" s="14"/>
      <c r="D30" s="14"/>
      <c r="E30" s="14"/>
      <c r="F30" s="15"/>
      <c r="G30" s="15"/>
      <c r="H30" s="16"/>
      <c r="I30" s="17"/>
      <c r="J30" s="17"/>
      <c r="K30" s="17"/>
      <c r="L30" s="17"/>
      <c r="M30" s="17"/>
      <c r="N30" s="17"/>
    </row>
    <row r="31" spans="2:14" ht="12" customHeight="1" x14ac:dyDescent="0.2">
      <c r="B31" s="51" t="s">
        <v>93</v>
      </c>
      <c r="C31" s="51"/>
      <c r="D31" s="14"/>
      <c r="E31" s="14"/>
      <c r="F31" s="18"/>
      <c r="G31" s="15"/>
      <c r="H31" s="16"/>
      <c r="I31" s="17"/>
      <c r="J31" s="17"/>
      <c r="K31" s="17"/>
      <c r="L31" s="17"/>
      <c r="M31" s="17"/>
      <c r="N31" s="17"/>
    </row>
    <row r="32" spans="2:14" ht="12" customHeight="1" x14ac:dyDescent="0.2">
      <c r="B32" s="52" t="s">
        <v>36</v>
      </c>
      <c r="C32" s="27" t="s">
        <v>214</v>
      </c>
      <c r="D32" s="14"/>
      <c r="E32" s="14"/>
      <c r="F32" s="15"/>
      <c r="G32" s="15"/>
      <c r="H32" s="16"/>
      <c r="I32" s="17"/>
      <c r="J32" s="17"/>
      <c r="K32" s="17"/>
      <c r="L32" s="17"/>
      <c r="M32" s="17"/>
      <c r="N32" s="17"/>
    </row>
    <row r="33" spans="2:14" ht="12" customHeight="1" x14ac:dyDescent="0.2">
      <c r="B33" s="52"/>
      <c r="C33" s="51"/>
      <c r="D33" s="14"/>
      <c r="E33" s="14"/>
      <c r="F33" s="15"/>
      <c r="G33" s="15"/>
      <c r="H33" s="16"/>
      <c r="I33" s="17"/>
      <c r="J33" s="17"/>
      <c r="K33" s="17"/>
      <c r="L33" s="17"/>
      <c r="M33" s="17"/>
      <c r="N33" s="17"/>
    </row>
    <row r="34" spans="2:14" ht="12" customHeight="1" x14ac:dyDescent="0.2">
      <c r="B34" s="52"/>
      <c r="C34" s="51"/>
      <c r="D34" s="14"/>
      <c r="E34" s="14"/>
      <c r="F34" s="15"/>
      <c r="G34" s="15"/>
      <c r="H34" s="16"/>
      <c r="I34" s="17"/>
      <c r="J34" s="17"/>
      <c r="K34" s="17"/>
      <c r="L34" s="17"/>
      <c r="M34" s="17"/>
      <c r="N34" s="17"/>
    </row>
    <row r="35" spans="2:14" ht="12" customHeight="1" x14ac:dyDescent="0.2">
      <c r="B35" s="52"/>
      <c r="C35" s="51"/>
      <c r="D35" s="14"/>
      <c r="E35" s="14"/>
      <c r="F35" s="15"/>
      <c r="G35" s="15"/>
      <c r="H35" s="16"/>
      <c r="I35" s="17"/>
      <c r="J35" s="17"/>
      <c r="K35" s="17"/>
      <c r="L35" s="17"/>
      <c r="M35" s="17"/>
      <c r="N35" s="17"/>
    </row>
    <row r="36" spans="2:14" ht="12" customHeight="1" x14ac:dyDescent="0.2">
      <c r="B36" s="53"/>
      <c r="C36" s="54"/>
    </row>
    <row r="37" spans="2:14" x14ac:dyDescent="0.2">
      <c r="B37" s="20"/>
    </row>
    <row r="38" spans="2:14" x14ac:dyDescent="0.2">
      <c r="B38" s="20"/>
    </row>
    <row r="39" spans="2:14" x14ac:dyDescent="0.2">
      <c r="B39" s="20"/>
    </row>
    <row r="40" spans="2:14" x14ac:dyDescent="0.2">
      <c r="B40" s="20"/>
    </row>
    <row r="53" spans="23:26" x14ac:dyDescent="0.2">
      <c r="W53" s="285" t="s">
        <v>37</v>
      </c>
      <c r="X53" s="285"/>
      <c r="Y53" s="285"/>
      <c r="Z53" s="30">
        <v>0.2</v>
      </c>
    </row>
    <row r="54" spans="23:26" x14ac:dyDescent="0.2">
      <c r="W54" s="285" t="s">
        <v>38</v>
      </c>
      <c r="X54" s="285"/>
      <c r="Y54" s="285"/>
      <c r="Z54" s="30">
        <v>0.1</v>
      </c>
    </row>
    <row r="55" spans="23:26" x14ac:dyDescent="0.2">
      <c r="W55" s="285" t="s">
        <v>39</v>
      </c>
      <c r="X55" s="285"/>
      <c r="Y55" s="285"/>
      <c r="Z55" s="30">
        <v>0.1</v>
      </c>
    </row>
  </sheetData>
  <mergeCells count="12">
    <mergeCell ref="W55:Y55"/>
    <mergeCell ref="B2:N2"/>
    <mergeCell ref="N3:N4"/>
    <mergeCell ref="B4:F4"/>
    <mergeCell ref="G5:N5"/>
    <mergeCell ref="G7:N7"/>
    <mergeCell ref="D8:F8"/>
    <mergeCell ref="G10:N10"/>
    <mergeCell ref="G11:N11"/>
    <mergeCell ref="G12:N12"/>
    <mergeCell ref="W53:Y53"/>
    <mergeCell ref="W54:Y54"/>
  </mergeCells>
  <printOptions horizontalCentered="1"/>
  <pageMargins left="0.7" right="0.7" top="0.75" bottom="0.75" header="0.3" footer="0.3"/>
  <pageSetup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0EF477497AF418F3462F66D0E8D8D" ma:contentTypeVersion="10" ma:contentTypeDescription="Create a new document." ma:contentTypeScope="" ma:versionID="c74f8ec5d2579b253e45f8ef9110bbd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99864ce-69a5-4cbc-89fd-475113c33f56" xmlns:ns6="7d8dd676-26ca-4e08-b90f-b4e0026a58ac" targetNamespace="http://schemas.microsoft.com/office/2006/metadata/properties" ma:root="true" ma:fieldsID="2cb279efc0335b4f00a40a66cce57379" ns1:_="" ns2:_="" ns3:_="" ns4:_="" ns5:_="" ns6:_="">
    <xsd:import namespace="http://schemas.microsoft.com/sharepoint/v3"/>
    <xsd:import namespace="4ffa91fb-a0ff-4ac5-b2db-65c790d184a4"/>
    <xsd:import namespace="http://schemas.microsoft.com/sharepoint.v3"/>
    <xsd:import namespace="http://schemas.microsoft.com/sharepoint/v3/fields"/>
    <xsd:import namespace="c99864ce-69a5-4cbc-89fd-475113c33f56"/>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9864ce-69a5-4cbc-89fd-475113c33f56"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2019-05-07T18:00:38+00:00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B6B2CBC3-D5D8-4E01-9AFE-20B8FC677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99864ce-69a5-4cbc-89fd-475113c33f56"/>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482EF2-9618-4DF8-9634-1618BA6A55BF}">
  <ds:schemaRefs>
    <ds:schemaRef ds:uri="Microsoft.SharePoint.Taxonomy.ContentTypeSync"/>
  </ds:schemaRefs>
</ds:datastoreItem>
</file>

<file path=customXml/itemProps3.xml><?xml version="1.0" encoding="utf-8"?>
<ds:datastoreItem xmlns:ds="http://schemas.openxmlformats.org/officeDocument/2006/customXml" ds:itemID="{8639CD42-3D59-437B-ACAD-4ECDB9263DC2}">
  <ds:schemaRefs>
    <ds:schemaRef ds:uri="http://schemas.microsoft.com/sharepoint/v3/contenttype/forms"/>
  </ds:schemaRefs>
</ds:datastoreItem>
</file>

<file path=customXml/itemProps4.xml><?xml version="1.0" encoding="utf-8"?>
<ds:datastoreItem xmlns:ds="http://schemas.openxmlformats.org/officeDocument/2006/customXml" ds:itemID="{0F37305D-BA9C-4D88-A817-F79DAE342B54}">
  <ds:schemaRef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7d8dd676-26ca-4e08-b90f-b4e0026a58ac"/>
    <ds:schemaRef ds:uri="c99864ce-69a5-4cbc-89fd-475113c33f56"/>
    <ds:schemaRef ds:uri="http://schemas.microsoft.com/office/2006/documentManagement/types"/>
    <ds:schemaRef ds:uri="http://schemas.microsoft.com/sharepoint/v3/fields"/>
    <ds:schemaRef ds:uri="http://schemas.microsoft.com/sharepoint.v3"/>
    <ds:schemaRef ds:uri="4ffa91fb-a0ff-4ac5-b2db-65c790d184a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Inputs</vt:lpstr>
      <vt:lpstr>MemoTables</vt:lpstr>
      <vt:lpstr>YR1</vt:lpstr>
      <vt:lpstr>YR2</vt:lpstr>
      <vt:lpstr>YR3</vt:lpstr>
      <vt:lpstr>summary</vt:lpstr>
      <vt:lpstr>EPA_YR1</vt:lpstr>
      <vt:lpstr>EPA_YR2</vt:lpstr>
      <vt:lpstr>EPA_YR3</vt:lpstr>
      <vt:lpstr>EPA summary</vt:lpstr>
      <vt:lpstr>'EPA summary'!Print_Area</vt:lpstr>
      <vt:lpstr>EPA_YR1!Print_Area</vt:lpstr>
      <vt:lpstr>EPA_YR2!Print_Area</vt:lpstr>
      <vt:lpstr>EPA_YR3!Print_Area</vt:lpstr>
      <vt:lpstr>summary!Print_Area</vt:lpstr>
      <vt:lpstr>'YR1'!Print_Area</vt:lpstr>
      <vt:lpstr>'YR2'!Print_Area</vt:lpstr>
      <vt:lpstr>'YR3'!Print_Area</vt:lpstr>
      <vt:lpstr>'YR1'!Print_Titles</vt:lpstr>
      <vt:lpstr>'YR2'!Print_Titles</vt:lpstr>
      <vt:lpstr>'YR3'!Print_Titles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2019-12-30T21:28:39Z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0x010100D060EF477497AF418F3462F66D0E8D8D</vt:lpwstr>
  </property>
</Properties>
</file>