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nsva\office\SNAP\PDD\PDD General\PDD Contracts\ICF - Information Collection\Draft Deliverables\OMB Package\06 OMB Package Draft CPB to PRAO 09.30.2020\"/>
    </mc:Choice>
  </mc:AlternateContent>
  <bookViews>
    <workbookView xWindow="-15" yWindow="855" windowWidth="19140" windowHeight="9390" tabRatio="705" activeTab="4"/>
  </bookViews>
  <sheets>
    <sheet name="Assumptions" sheetId="4" r:id="rId1"/>
    <sheet name="Labor Rates" sheetId="5" r:id="rId2"/>
    <sheet name="Reporting and Recordkeeping" sheetId="1" r:id="rId3"/>
    <sheet name="Burden_Type Act" sheetId="3" r:id="rId4"/>
    <sheet name="Burden_Type Act and Resp" sheetId="7" r:id="rId5"/>
    <sheet name="ESRI_MAPINFO_SHEET" sheetId="6" state="veryHidden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7" l="1"/>
  <c r="I6" i="7"/>
  <c r="J7" i="7"/>
  <c r="J8" i="7"/>
  <c r="J10" i="7"/>
  <c r="J11" i="7"/>
  <c r="J5" i="7"/>
  <c r="I9" i="7" l="1"/>
  <c r="I5" i="7"/>
  <c r="I8" i="7" l="1"/>
  <c r="D6" i="5" l="1"/>
  <c r="D5" i="5"/>
  <c r="J5" i="3" l="1"/>
  <c r="E70" i="1"/>
  <c r="C9" i="7" s="1"/>
  <c r="E67" i="1"/>
  <c r="E68" i="1"/>
  <c r="N70" i="1"/>
  <c r="L6" i="3" s="1"/>
  <c r="L70" i="1"/>
  <c r="J6" i="3" s="1"/>
  <c r="J68" i="1"/>
  <c r="J67" i="1"/>
  <c r="L72" i="1" l="1"/>
  <c r="L135" i="1" s="1"/>
  <c r="J7" i="3"/>
  <c r="C6" i="3"/>
  <c r="F58" i="4" l="1"/>
  <c r="E127" i="1" s="1"/>
  <c r="G58" i="1"/>
  <c r="I58" i="1" s="1"/>
  <c r="J127" i="1" l="1"/>
  <c r="J128" i="1"/>
  <c r="G127" i="1"/>
  <c r="J58" i="1"/>
  <c r="K58" i="1" s="1"/>
  <c r="M58" i="1"/>
  <c r="O58" i="1" s="1"/>
  <c r="F58" i="1"/>
  <c r="E22" i="1" l="1"/>
  <c r="N133" i="1" l="1"/>
  <c r="E133" i="1" l="1"/>
  <c r="C6" i="7" s="1"/>
  <c r="G43" i="1"/>
  <c r="I43" i="1" s="1"/>
  <c r="G44" i="1"/>
  <c r="F32" i="4"/>
  <c r="F25" i="4"/>
  <c r="F9" i="4"/>
  <c r="F8" i="4"/>
  <c r="J120" i="1"/>
  <c r="J117" i="1"/>
  <c r="J118" i="1"/>
  <c r="J115" i="1" l="1"/>
  <c r="H115" i="1"/>
  <c r="F67" i="4"/>
  <c r="N65" i="1" l="1"/>
  <c r="N72" i="1" l="1"/>
  <c r="N135" i="1" s="1"/>
  <c r="L5" i="3"/>
  <c r="L7" i="3" s="1"/>
  <c r="F38" i="4"/>
  <c r="F49" i="4" s="1"/>
  <c r="J125" i="1" l="1"/>
  <c r="J126" i="1"/>
  <c r="G57" i="1"/>
  <c r="F57" i="1" s="1"/>
  <c r="I57" i="1" l="1"/>
  <c r="F48" i="4"/>
  <c r="F30" i="4"/>
  <c r="M57" i="1" l="1"/>
  <c r="O57" i="1" s="1"/>
  <c r="F57" i="4"/>
  <c r="E126" i="1" s="1"/>
  <c r="G126" i="1" s="1"/>
  <c r="I126" i="1" s="1"/>
  <c r="F59" i="4"/>
  <c r="E128" i="1" s="1"/>
  <c r="G128" i="1" s="1"/>
  <c r="I128" i="1" s="1"/>
  <c r="K128" i="1" l="1"/>
  <c r="M128" i="1"/>
  <c r="O128" i="1" s="1"/>
  <c r="M126" i="1"/>
  <c r="O126" i="1" s="1"/>
  <c r="K126" i="1"/>
  <c r="F66" i="4" l="1"/>
  <c r="E95" i="1" l="1"/>
  <c r="F62" i="4"/>
  <c r="G68" i="1" s="1"/>
  <c r="F43" i="4"/>
  <c r="G63" i="1" s="1"/>
  <c r="F42" i="4"/>
  <c r="F41" i="4"/>
  <c r="F52" i="4" s="1"/>
  <c r="E120" i="1" s="1"/>
  <c r="G120" i="1" s="1"/>
  <c r="I120" i="1" s="1"/>
  <c r="F40" i="4"/>
  <c r="F51" i="4" s="1"/>
  <c r="F39" i="4"/>
  <c r="F50" i="4" s="1"/>
  <c r="F31" i="4"/>
  <c r="F29" i="4"/>
  <c r="F28" i="4"/>
  <c r="F27" i="4"/>
  <c r="E117" i="1" s="1"/>
  <c r="G117" i="1" s="1"/>
  <c r="I117" i="1" s="1"/>
  <c r="F24" i="4"/>
  <c r="F22" i="4"/>
  <c r="G26" i="1"/>
  <c r="F68" i="1" l="1"/>
  <c r="I68" i="1"/>
  <c r="E118" i="1"/>
  <c r="G118" i="1" s="1"/>
  <c r="I118" i="1" s="1"/>
  <c r="M118" i="1" s="1"/>
  <c r="O118" i="1" s="1"/>
  <c r="M120" i="1"/>
  <c r="O120" i="1" s="1"/>
  <c r="K120" i="1"/>
  <c r="K117" i="1"/>
  <c r="M117" i="1"/>
  <c r="O117" i="1" s="1"/>
  <c r="G46" i="1"/>
  <c r="E115" i="1"/>
  <c r="G115" i="1" s="1"/>
  <c r="I115" i="1" s="1"/>
  <c r="F63" i="4"/>
  <c r="F64" i="4"/>
  <c r="F65" i="4"/>
  <c r="K68" i="1" l="1"/>
  <c r="M68" i="1"/>
  <c r="O68" i="1" s="1"/>
  <c r="K118" i="1"/>
  <c r="M115" i="1"/>
  <c r="O115" i="1" s="1"/>
  <c r="K115" i="1"/>
  <c r="I46" i="1"/>
  <c r="F61" i="4"/>
  <c r="G67" i="1" s="1"/>
  <c r="F53" i="4"/>
  <c r="F44" i="4"/>
  <c r="F54" i="4"/>
  <c r="F33" i="4"/>
  <c r="F26" i="4"/>
  <c r="G59" i="1" s="1"/>
  <c r="H23" i="4"/>
  <c r="H21" i="4"/>
  <c r="F67" i="1" l="1"/>
  <c r="G70" i="1"/>
  <c r="I67" i="1"/>
  <c r="F59" i="1"/>
  <c r="I59" i="1"/>
  <c r="M46" i="1"/>
  <c r="O46" i="1" s="1"/>
  <c r="F55" i="4"/>
  <c r="F45" i="4"/>
  <c r="E81" i="1"/>
  <c r="M67" i="1" l="1"/>
  <c r="K67" i="1"/>
  <c r="K70" i="1" s="1"/>
  <c r="I70" i="1"/>
  <c r="E9" i="7"/>
  <c r="E6" i="3"/>
  <c r="D6" i="3" s="1"/>
  <c r="F70" i="1"/>
  <c r="E46" i="1"/>
  <c r="F46" i="1" s="1"/>
  <c r="E65" i="1"/>
  <c r="M59" i="1"/>
  <c r="O59" i="1" s="1"/>
  <c r="G56" i="1"/>
  <c r="F56" i="4"/>
  <c r="D9" i="7" l="1"/>
  <c r="C5" i="7"/>
  <c r="C5" i="3"/>
  <c r="C7" i="3" s="1"/>
  <c r="G9" i="7"/>
  <c r="G6" i="3"/>
  <c r="H70" i="1"/>
  <c r="I6" i="3"/>
  <c r="J70" i="1"/>
  <c r="H6" i="3" s="1"/>
  <c r="M70" i="1"/>
  <c r="O67" i="1"/>
  <c r="O70" i="1" s="1"/>
  <c r="C7" i="7"/>
  <c r="E72" i="1"/>
  <c r="E135" i="1" s="1"/>
  <c r="E125" i="1"/>
  <c r="G125" i="1" s="1"/>
  <c r="I125" i="1" s="1"/>
  <c r="K125" i="1" s="1"/>
  <c r="F43" i="1"/>
  <c r="F56" i="1"/>
  <c r="I56" i="1"/>
  <c r="E131" i="1"/>
  <c r="G131" i="1" s="1"/>
  <c r="I131" i="1" s="1"/>
  <c r="E114" i="1"/>
  <c r="E113" i="1"/>
  <c r="E112" i="1"/>
  <c r="E111" i="1"/>
  <c r="E93" i="1"/>
  <c r="G27" i="1"/>
  <c r="E27" i="1"/>
  <c r="H25" i="4"/>
  <c r="E92" i="1"/>
  <c r="G34" i="1"/>
  <c r="E62" i="1"/>
  <c r="E61" i="1"/>
  <c r="E40" i="1"/>
  <c r="E55" i="1"/>
  <c r="E54" i="1"/>
  <c r="E53" i="1"/>
  <c r="E52" i="1"/>
  <c r="E51" i="1"/>
  <c r="E50" i="1"/>
  <c r="E49" i="1"/>
  <c r="E48" i="1"/>
  <c r="E39" i="1"/>
  <c r="E38" i="1"/>
  <c r="E37" i="1"/>
  <c r="E36" i="1"/>
  <c r="E35" i="1"/>
  <c r="E34" i="1"/>
  <c r="E33" i="1"/>
  <c r="E31" i="1"/>
  <c r="E29" i="1"/>
  <c r="E26" i="1"/>
  <c r="E25" i="1"/>
  <c r="E24" i="1"/>
  <c r="E23" i="1"/>
  <c r="E21" i="1"/>
  <c r="E20" i="1"/>
  <c r="E19" i="1"/>
  <c r="E18" i="1"/>
  <c r="E17" i="1"/>
  <c r="E16" i="1"/>
  <c r="E15" i="1"/>
  <c r="E14" i="1"/>
  <c r="E13" i="1"/>
  <c r="J131" i="1"/>
  <c r="I63" i="1"/>
  <c r="E63" i="1"/>
  <c r="F63" i="1" s="1"/>
  <c r="K6" i="3" l="1"/>
  <c r="M6" i="3" s="1"/>
  <c r="F6" i="3"/>
  <c r="F9" i="7"/>
  <c r="M125" i="1"/>
  <c r="O125" i="1" s="1"/>
  <c r="M56" i="1"/>
  <c r="O56" i="1" s="1"/>
  <c r="F27" i="1"/>
  <c r="I27" i="1"/>
  <c r="M27" i="1" s="1"/>
  <c r="O27" i="1" s="1"/>
  <c r="M131" i="1"/>
  <c r="O131" i="1" s="1"/>
  <c r="K131" i="1"/>
  <c r="M63" i="1"/>
  <c r="O63" i="1" s="1"/>
  <c r="J130" i="1"/>
  <c r="J109" i="1"/>
  <c r="J124" i="1"/>
  <c r="J123" i="1"/>
  <c r="J122" i="1"/>
  <c r="J121" i="1"/>
  <c r="J119" i="1"/>
  <c r="J114" i="1"/>
  <c r="J113" i="1"/>
  <c r="J112" i="1"/>
  <c r="J111" i="1"/>
  <c r="J108" i="1"/>
  <c r="J107" i="1"/>
  <c r="J106" i="1"/>
  <c r="J105" i="1"/>
  <c r="J104" i="1"/>
  <c r="J103" i="1"/>
  <c r="J102" i="1"/>
  <c r="J100" i="1"/>
  <c r="J99" i="1"/>
  <c r="J97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79" i="1"/>
  <c r="J78" i="1"/>
  <c r="J76" i="1"/>
  <c r="J53" i="1"/>
  <c r="J52" i="1"/>
  <c r="J49" i="1"/>
  <c r="J48" i="1"/>
  <c r="J43" i="1"/>
  <c r="J42" i="1"/>
  <c r="J37" i="1"/>
  <c r="J36" i="1"/>
  <c r="J33" i="1"/>
  <c r="J31" i="1"/>
  <c r="J25" i="1"/>
  <c r="J24" i="1"/>
  <c r="J21" i="1"/>
  <c r="J20" i="1"/>
  <c r="J17" i="1"/>
  <c r="J16" i="1"/>
  <c r="J13" i="1"/>
  <c r="J11" i="1"/>
  <c r="J46" i="1" l="1"/>
  <c r="K46" i="1" s="1"/>
  <c r="J57" i="1"/>
  <c r="K57" i="1" s="1"/>
  <c r="J59" i="1"/>
  <c r="K59" i="1" s="1"/>
  <c r="J56" i="1"/>
  <c r="K56" i="1" s="1"/>
  <c r="J40" i="1"/>
  <c r="J27" i="1"/>
  <c r="K27" i="1" s="1"/>
  <c r="J63" i="1"/>
  <c r="K63" i="1" s="1"/>
  <c r="J61" i="1"/>
  <c r="J8" i="1"/>
  <c r="J14" i="1"/>
  <c r="J18" i="1"/>
  <c r="J22" i="1"/>
  <c r="J26" i="1"/>
  <c r="J34" i="1"/>
  <c r="J38" i="1"/>
  <c r="J44" i="1"/>
  <c r="J50" i="1"/>
  <c r="J54" i="1"/>
  <c r="J62" i="1"/>
  <c r="J10" i="1"/>
  <c r="J15" i="1"/>
  <c r="J19" i="1"/>
  <c r="J23" i="1"/>
  <c r="J29" i="1"/>
  <c r="J35" i="1"/>
  <c r="J39" i="1"/>
  <c r="J45" i="1"/>
  <c r="J51" i="1"/>
  <c r="J55" i="1"/>
  <c r="H61" i="4" l="1"/>
  <c r="E130" i="1" l="1"/>
  <c r="G130" i="1" s="1"/>
  <c r="I130" i="1" s="1"/>
  <c r="E124" i="1"/>
  <c r="G124" i="1" s="1"/>
  <c r="I124" i="1" s="1"/>
  <c r="E109" i="1"/>
  <c r="G61" i="1"/>
  <c r="G55" i="1"/>
  <c r="I55" i="1" s="1"/>
  <c r="G40" i="1"/>
  <c r="I40" i="1" s="1"/>
  <c r="H62" i="4"/>
  <c r="H60" i="4"/>
  <c r="E121" i="1"/>
  <c r="G121" i="1" s="1"/>
  <c r="I121" i="1" s="1"/>
  <c r="E122" i="1"/>
  <c r="G122" i="1" s="1"/>
  <c r="I122" i="1" s="1"/>
  <c r="E123" i="1"/>
  <c r="G123" i="1" s="1"/>
  <c r="I123" i="1" s="1"/>
  <c r="E119" i="1"/>
  <c r="G119" i="1" s="1"/>
  <c r="I119" i="1" s="1"/>
  <c r="H34" i="4"/>
  <c r="H35" i="4"/>
  <c r="H36" i="4"/>
  <c r="H37" i="4"/>
  <c r="H38" i="4"/>
  <c r="H39" i="4"/>
  <c r="H40" i="4"/>
  <c r="H41" i="4"/>
  <c r="H42" i="4"/>
  <c r="H43" i="4"/>
  <c r="H44" i="4"/>
  <c r="H51" i="4"/>
  <c r="H53" i="4"/>
  <c r="H54" i="4"/>
  <c r="H55" i="4"/>
  <c r="H8" i="4"/>
  <c r="H9" i="4"/>
  <c r="E85" i="1"/>
  <c r="G85" i="1" s="1"/>
  <c r="I85" i="1" s="1"/>
  <c r="G11" i="1"/>
  <c r="I11" i="1" s="1"/>
  <c r="K11" i="1" s="1"/>
  <c r="E79" i="1"/>
  <c r="G79" i="1" s="1"/>
  <c r="I79" i="1" s="1"/>
  <c r="M43" i="1"/>
  <c r="G25" i="1"/>
  <c r="I25" i="1" s="1"/>
  <c r="I26" i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48" i="1"/>
  <c r="I48" i="1" s="1"/>
  <c r="I44" i="1"/>
  <c r="G45" i="1"/>
  <c r="I45" i="1" s="1"/>
  <c r="G42" i="1"/>
  <c r="G39" i="1"/>
  <c r="I39" i="1" s="1"/>
  <c r="G38" i="1"/>
  <c r="I38" i="1" s="1"/>
  <c r="G37" i="1"/>
  <c r="I37" i="1" s="1"/>
  <c r="G36" i="1"/>
  <c r="I36" i="1" s="1"/>
  <c r="G35" i="1"/>
  <c r="I35" i="1" s="1"/>
  <c r="I34" i="1"/>
  <c r="G33" i="1"/>
  <c r="I33" i="1" s="1"/>
  <c r="G31" i="1"/>
  <c r="I31" i="1" s="1"/>
  <c r="G29" i="1"/>
  <c r="I29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G8" i="1"/>
  <c r="G10" i="1"/>
  <c r="I10" i="1" s="1"/>
  <c r="K10" i="1" s="1"/>
  <c r="G114" i="1"/>
  <c r="I114" i="1" s="1"/>
  <c r="G113" i="1"/>
  <c r="I113" i="1" s="1"/>
  <c r="G112" i="1"/>
  <c r="I112" i="1" s="1"/>
  <c r="G111" i="1"/>
  <c r="I111" i="1" s="1"/>
  <c r="E103" i="1"/>
  <c r="G103" i="1" s="1"/>
  <c r="I103" i="1" s="1"/>
  <c r="E104" i="1"/>
  <c r="G104" i="1" s="1"/>
  <c r="I104" i="1" s="1"/>
  <c r="E105" i="1"/>
  <c r="G105" i="1" s="1"/>
  <c r="I105" i="1" s="1"/>
  <c r="E106" i="1"/>
  <c r="G106" i="1" s="1"/>
  <c r="I106" i="1" s="1"/>
  <c r="E107" i="1"/>
  <c r="G107" i="1" s="1"/>
  <c r="I107" i="1" s="1"/>
  <c r="E108" i="1"/>
  <c r="G108" i="1" s="1"/>
  <c r="I108" i="1" s="1"/>
  <c r="E102" i="1"/>
  <c r="G102" i="1" s="1"/>
  <c r="I102" i="1" s="1"/>
  <c r="E100" i="1"/>
  <c r="G100" i="1" s="1"/>
  <c r="I100" i="1" s="1"/>
  <c r="E26" i="4"/>
  <c r="E99" i="1"/>
  <c r="G99" i="1" s="1"/>
  <c r="I99" i="1" s="1"/>
  <c r="G95" i="1"/>
  <c r="I95" i="1" s="1"/>
  <c r="E94" i="1"/>
  <c r="G94" i="1" s="1"/>
  <c r="I94" i="1" s="1"/>
  <c r="G93" i="1"/>
  <c r="I93" i="1" s="1"/>
  <c r="G92" i="1"/>
  <c r="I92" i="1" s="1"/>
  <c r="E90" i="1"/>
  <c r="G90" i="1" s="1"/>
  <c r="I90" i="1" s="1"/>
  <c r="E89" i="1"/>
  <c r="G89" i="1" s="1"/>
  <c r="I89" i="1" s="1"/>
  <c r="E88" i="1"/>
  <c r="G88" i="1" s="1"/>
  <c r="I88" i="1" s="1"/>
  <c r="H15" i="4"/>
  <c r="H16" i="4"/>
  <c r="H17" i="4"/>
  <c r="H18" i="4"/>
  <c r="H19" i="4"/>
  <c r="H20" i="4"/>
  <c r="H22" i="4"/>
  <c r="H24" i="4"/>
  <c r="H27" i="4"/>
  <c r="H28" i="4"/>
  <c r="H29" i="4"/>
  <c r="H30" i="4"/>
  <c r="H31" i="4"/>
  <c r="H32" i="4"/>
  <c r="H33" i="4"/>
  <c r="E87" i="1"/>
  <c r="G87" i="1" s="1"/>
  <c r="I87" i="1" s="1"/>
  <c r="E97" i="1"/>
  <c r="G97" i="1" s="1"/>
  <c r="I97" i="1" s="1"/>
  <c r="E91" i="1"/>
  <c r="G91" i="1" s="1"/>
  <c r="I91" i="1" s="1"/>
  <c r="E86" i="1"/>
  <c r="G86" i="1" s="1"/>
  <c r="I86" i="1" s="1"/>
  <c r="E84" i="1"/>
  <c r="G84" i="1" s="1"/>
  <c r="I84" i="1" s="1"/>
  <c r="E83" i="1"/>
  <c r="G83" i="1" s="1"/>
  <c r="I83" i="1" s="1"/>
  <c r="E82" i="1"/>
  <c r="G82" i="1" s="1"/>
  <c r="I82" i="1" s="1"/>
  <c r="G81" i="1"/>
  <c r="I81" i="1" s="1"/>
  <c r="E78" i="1"/>
  <c r="G78" i="1" s="1"/>
  <c r="I78" i="1" s="1"/>
  <c r="E76" i="1"/>
  <c r="G62" i="1"/>
  <c r="I62" i="1" s="1"/>
  <c r="E45" i="1"/>
  <c r="E44" i="1"/>
  <c r="E11" i="1"/>
  <c r="E10" i="1"/>
  <c r="E8" i="1"/>
  <c r="H10" i="4"/>
  <c r="H11" i="4"/>
  <c r="H12" i="4"/>
  <c r="H13" i="4"/>
  <c r="H14" i="4"/>
  <c r="I42" i="1" l="1"/>
  <c r="M42" i="1" s="1"/>
  <c r="O42" i="1" s="1"/>
  <c r="F42" i="1"/>
  <c r="G65" i="1"/>
  <c r="I13" i="1"/>
  <c r="M13" i="1" s="1"/>
  <c r="O13" i="1" s="1"/>
  <c r="F13" i="1"/>
  <c r="G109" i="1"/>
  <c r="G76" i="1"/>
  <c r="M78" i="1"/>
  <c r="O78" i="1" s="1"/>
  <c r="K78" i="1"/>
  <c r="M87" i="1"/>
  <c r="O87" i="1" s="1"/>
  <c r="K87" i="1"/>
  <c r="M92" i="1"/>
  <c r="O92" i="1" s="1"/>
  <c r="K92" i="1"/>
  <c r="M108" i="1"/>
  <c r="O108" i="1" s="1"/>
  <c r="K108" i="1"/>
  <c r="M113" i="1"/>
  <c r="O113" i="1" s="1"/>
  <c r="K113" i="1"/>
  <c r="M17" i="1"/>
  <c r="O17" i="1" s="1"/>
  <c r="K17" i="1"/>
  <c r="M29" i="1"/>
  <c r="O29" i="1" s="1"/>
  <c r="K29" i="1"/>
  <c r="M39" i="1"/>
  <c r="O39" i="1" s="1"/>
  <c r="K39" i="1"/>
  <c r="M51" i="1"/>
  <c r="O51" i="1" s="1"/>
  <c r="K51" i="1"/>
  <c r="M25" i="1"/>
  <c r="O25" i="1" s="1"/>
  <c r="K25" i="1"/>
  <c r="M122" i="1"/>
  <c r="O122" i="1" s="1"/>
  <c r="K122" i="1"/>
  <c r="M124" i="1"/>
  <c r="O124" i="1" s="1"/>
  <c r="K124" i="1"/>
  <c r="M81" i="1"/>
  <c r="O81" i="1" s="1"/>
  <c r="K81" i="1"/>
  <c r="M93" i="1"/>
  <c r="O93" i="1" s="1"/>
  <c r="K93" i="1"/>
  <c r="M103" i="1"/>
  <c r="O103" i="1" s="1"/>
  <c r="K103" i="1"/>
  <c r="M14" i="1"/>
  <c r="O14" i="1" s="1"/>
  <c r="K14" i="1"/>
  <c r="M22" i="1"/>
  <c r="O22" i="1" s="1"/>
  <c r="K22" i="1"/>
  <c r="M36" i="1"/>
  <c r="O36" i="1" s="1"/>
  <c r="K36" i="1"/>
  <c r="M54" i="1"/>
  <c r="O54" i="1" s="1"/>
  <c r="K54" i="1"/>
  <c r="O43" i="1"/>
  <c r="K43" i="1"/>
  <c r="M82" i="1"/>
  <c r="O82" i="1" s="1"/>
  <c r="K82" i="1"/>
  <c r="M91" i="1"/>
  <c r="O91" i="1" s="1"/>
  <c r="K91" i="1"/>
  <c r="M89" i="1"/>
  <c r="O89" i="1" s="1"/>
  <c r="K89" i="1"/>
  <c r="M94" i="1"/>
  <c r="O94" i="1" s="1"/>
  <c r="K94" i="1"/>
  <c r="M100" i="1"/>
  <c r="O100" i="1" s="1"/>
  <c r="K100" i="1"/>
  <c r="M106" i="1"/>
  <c r="O106" i="1" s="1"/>
  <c r="K106" i="1"/>
  <c r="M111" i="1"/>
  <c r="O111" i="1" s="1"/>
  <c r="K111" i="1"/>
  <c r="M15" i="1"/>
  <c r="O15" i="1" s="1"/>
  <c r="K15" i="1"/>
  <c r="M19" i="1"/>
  <c r="O19" i="1" s="1"/>
  <c r="K19" i="1"/>
  <c r="M23" i="1"/>
  <c r="O23" i="1" s="1"/>
  <c r="K23" i="1"/>
  <c r="M33" i="1"/>
  <c r="O33" i="1" s="1"/>
  <c r="K33" i="1"/>
  <c r="M37" i="1"/>
  <c r="O37" i="1" s="1"/>
  <c r="K37" i="1"/>
  <c r="M45" i="1"/>
  <c r="O45" i="1" s="1"/>
  <c r="K45" i="1"/>
  <c r="M53" i="1"/>
  <c r="O53" i="1" s="1"/>
  <c r="K53" i="1"/>
  <c r="M49" i="1"/>
  <c r="O49" i="1" s="1"/>
  <c r="K49" i="1"/>
  <c r="M79" i="1"/>
  <c r="O79" i="1" s="1"/>
  <c r="K79" i="1"/>
  <c r="M119" i="1"/>
  <c r="O119" i="1" s="1"/>
  <c r="K119" i="1"/>
  <c r="M55" i="1"/>
  <c r="O55" i="1" s="1"/>
  <c r="K55" i="1"/>
  <c r="M130" i="1"/>
  <c r="O130" i="1" s="1"/>
  <c r="K130" i="1"/>
  <c r="M84" i="1"/>
  <c r="O84" i="1" s="1"/>
  <c r="K84" i="1"/>
  <c r="M99" i="1"/>
  <c r="O99" i="1" s="1"/>
  <c r="K99" i="1"/>
  <c r="M104" i="1"/>
  <c r="O104" i="1" s="1"/>
  <c r="K104" i="1"/>
  <c r="M21" i="1"/>
  <c r="O21" i="1" s="1"/>
  <c r="K21" i="1"/>
  <c r="M35" i="1"/>
  <c r="O35" i="1" s="1"/>
  <c r="K35" i="1"/>
  <c r="M48" i="1"/>
  <c r="O48" i="1" s="1"/>
  <c r="K48" i="1"/>
  <c r="M85" i="1"/>
  <c r="O85" i="1" s="1"/>
  <c r="K85" i="1"/>
  <c r="M86" i="1"/>
  <c r="O86" i="1" s="1"/>
  <c r="K86" i="1"/>
  <c r="M88" i="1"/>
  <c r="O88" i="1" s="1"/>
  <c r="K88" i="1"/>
  <c r="M107" i="1"/>
  <c r="O107" i="1" s="1"/>
  <c r="K107" i="1"/>
  <c r="M114" i="1"/>
  <c r="O114" i="1" s="1"/>
  <c r="K114" i="1"/>
  <c r="M18" i="1"/>
  <c r="O18" i="1" s="1"/>
  <c r="K18" i="1"/>
  <c r="M31" i="1"/>
  <c r="O31" i="1" s="1"/>
  <c r="K31" i="1"/>
  <c r="M50" i="1"/>
  <c r="O50" i="1" s="1"/>
  <c r="K50" i="1"/>
  <c r="M121" i="1"/>
  <c r="O121" i="1" s="1"/>
  <c r="K121" i="1"/>
  <c r="M40" i="1"/>
  <c r="O40" i="1" s="1"/>
  <c r="K40" i="1"/>
  <c r="M62" i="1"/>
  <c r="O62" i="1" s="1"/>
  <c r="K62" i="1"/>
  <c r="M83" i="1"/>
  <c r="O83" i="1" s="1"/>
  <c r="K83" i="1"/>
  <c r="M97" i="1"/>
  <c r="O97" i="1" s="1"/>
  <c r="K97" i="1"/>
  <c r="M90" i="1"/>
  <c r="O90" i="1" s="1"/>
  <c r="K90" i="1"/>
  <c r="M95" i="1"/>
  <c r="O95" i="1" s="1"/>
  <c r="K95" i="1"/>
  <c r="M102" i="1"/>
  <c r="O102" i="1" s="1"/>
  <c r="K102" i="1"/>
  <c r="M105" i="1"/>
  <c r="O105" i="1" s="1"/>
  <c r="K105" i="1"/>
  <c r="M112" i="1"/>
  <c r="O112" i="1" s="1"/>
  <c r="K112" i="1"/>
  <c r="M16" i="1"/>
  <c r="O16" i="1" s="1"/>
  <c r="K16" i="1"/>
  <c r="M20" i="1"/>
  <c r="O20" i="1" s="1"/>
  <c r="K20" i="1"/>
  <c r="M24" i="1"/>
  <c r="O24" i="1" s="1"/>
  <c r="K24" i="1"/>
  <c r="M34" i="1"/>
  <c r="O34" i="1" s="1"/>
  <c r="K34" i="1"/>
  <c r="M38" i="1"/>
  <c r="O38" i="1" s="1"/>
  <c r="K38" i="1"/>
  <c r="M44" i="1"/>
  <c r="O44" i="1" s="1"/>
  <c r="K44" i="1"/>
  <c r="M52" i="1"/>
  <c r="O52" i="1" s="1"/>
  <c r="K52" i="1"/>
  <c r="M26" i="1"/>
  <c r="O26" i="1" s="1"/>
  <c r="K26" i="1"/>
  <c r="M123" i="1"/>
  <c r="O123" i="1" s="1"/>
  <c r="K123" i="1"/>
  <c r="C10" i="7"/>
  <c r="C11" i="7" s="1"/>
  <c r="F61" i="1"/>
  <c r="I61" i="1"/>
  <c r="F52" i="1"/>
  <c r="F40" i="1"/>
  <c r="F55" i="1"/>
  <c r="F50" i="1"/>
  <c r="F54" i="1"/>
  <c r="F53" i="1"/>
  <c r="F49" i="1"/>
  <c r="F29" i="1"/>
  <c r="F48" i="1"/>
  <c r="F51" i="1"/>
  <c r="F34" i="1"/>
  <c r="F38" i="1"/>
  <c r="F35" i="1"/>
  <c r="F39" i="1"/>
  <c r="F45" i="1"/>
  <c r="F22" i="1"/>
  <c r="F31" i="1"/>
  <c r="F36" i="1"/>
  <c r="F44" i="1"/>
  <c r="F33" i="1"/>
  <c r="F37" i="1"/>
  <c r="F26" i="1"/>
  <c r="F25" i="1"/>
  <c r="F20" i="1"/>
  <c r="F19" i="1"/>
  <c r="F23" i="1"/>
  <c r="F17" i="1"/>
  <c r="F24" i="1"/>
  <c r="F10" i="1"/>
  <c r="F14" i="1"/>
  <c r="F11" i="1"/>
  <c r="M11" i="1" s="1"/>
  <c r="O11" i="1" s="1"/>
  <c r="F21" i="1"/>
  <c r="F18" i="1"/>
  <c r="F16" i="1"/>
  <c r="F15" i="1"/>
  <c r="F8" i="1"/>
  <c r="H26" i="4"/>
  <c r="G72" i="1" l="1"/>
  <c r="E5" i="7"/>
  <c r="K42" i="1"/>
  <c r="F65" i="1"/>
  <c r="I76" i="1"/>
  <c r="K13" i="1"/>
  <c r="I109" i="1"/>
  <c r="M61" i="1"/>
  <c r="O61" i="1" s="1"/>
  <c r="K61" i="1"/>
  <c r="D5" i="7" l="1"/>
  <c r="F72" i="1"/>
  <c r="K76" i="1"/>
  <c r="M76" i="1"/>
  <c r="O76" i="1" s="1"/>
  <c r="M109" i="1"/>
  <c r="O109" i="1" s="1"/>
  <c r="K109" i="1"/>
  <c r="H7" i="4"/>
  <c r="H6" i="4"/>
  <c r="H5" i="4"/>
  <c r="M10" i="1" l="1"/>
  <c r="O10" i="1" s="1"/>
  <c r="I8" i="1"/>
  <c r="I65" i="1" s="1"/>
  <c r="G5" i="7" l="1"/>
  <c r="I72" i="1"/>
  <c r="H65" i="1"/>
  <c r="M65" i="1"/>
  <c r="K8" i="1"/>
  <c r="K65" i="1" s="1"/>
  <c r="M8" i="1"/>
  <c r="F5" i="7" l="1"/>
  <c r="H72" i="1"/>
  <c r="K72" i="1"/>
  <c r="O65" i="1"/>
  <c r="M72" i="1"/>
  <c r="O8" i="1"/>
  <c r="O72" i="1" l="1"/>
  <c r="J72" i="1"/>
  <c r="J65" i="1"/>
  <c r="E10" i="7"/>
  <c r="D10" i="7" l="1"/>
  <c r="G10" i="7"/>
  <c r="I10" i="7" s="1"/>
  <c r="F10" i="7" l="1"/>
  <c r="I127" i="1" l="1"/>
  <c r="M127" i="1" s="1"/>
  <c r="O127" i="1" s="1"/>
  <c r="G133" i="1"/>
  <c r="E6" i="7" l="1"/>
  <c r="E7" i="7" s="1"/>
  <c r="E5" i="3"/>
  <c r="G135" i="1"/>
  <c r="F135" i="1" s="1"/>
  <c r="F133" i="1"/>
  <c r="K127" i="1"/>
  <c r="K133" i="1" s="1"/>
  <c r="I133" i="1"/>
  <c r="E7" i="3" l="1"/>
  <c r="D7" i="3" s="1"/>
  <c r="D5" i="3"/>
  <c r="E11" i="7"/>
  <c r="D11" i="7" s="1"/>
  <c r="D7" i="7"/>
  <c r="I5" i="3"/>
  <c r="I7" i="3" s="1"/>
  <c r="K135" i="1"/>
  <c r="D6" i="7"/>
  <c r="G6" i="7"/>
  <c r="G5" i="3"/>
  <c r="F5" i="3" s="1"/>
  <c r="I135" i="1"/>
  <c r="H135" i="1" s="1"/>
  <c r="J133" i="1"/>
  <c r="H5" i="3" s="1"/>
  <c r="H133" i="1"/>
  <c r="M133" i="1"/>
  <c r="M135" i="1" s="1"/>
  <c r="G7" i="7" l="1"/>
  <c r="I7" i="7" s="1"/>
  <c r="J135" i="1"/>
  <c r="G7" i="3"/>
  <c r="F7" i="3" s="1"/>
  <c r="K5" i="3"/>
  <c r="F6" i="7"/>
  <c r="F7" i="7"/>
  <c r="G11" i="7"/>
  <c r="O133" i="1"/>
  <c r="O135" i="1" s="1"/>
  <c r="H7" i="3" l="1"/>
  <c r="F11" i="7"/>
  <c r="I11" i="7"/>
  <c r="J12" i="7" s="1"/>
  <c r="M5" i="3"/>
  <c r="M7" i="3" s="1"/>
  <c r="K7" i="3"/>
</calcChain>
</file>

<file path=xl/comments1.xml><?xml version="1.0" encoding="utf-8"?>
<comments xmlns="http://schemas.openxmlformats.org/spreadsheetml/2006/main">
  <authors>
    <author>ICF</author>
    <author>Rodriguez, Maribelle</author>
    <author>Milliken, Caroline - FNS</author>
  </authors>
  <commentList>
    <comment ref="H10" authorId="0" shapeId="0">
      <text>
        <r>
          <rPr>
            <sz val="9"/>
            <color indexed="81"/>
            <rFont val="Tahoma"/>
            <family val="2"/>
          </rPr>
          <t>Increased the burden estimate from 0.5 hours (30 minutes) to 0.6346 hours (38 minutes) based on feedback received through limited consultations with State agencies.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Increased the burden estimate from 0.5 hours (30 minutes) to 0.6346 hours (38 minutes) based on feedback received through limited consultations with State agencies.</t>
        </r>
      </text>
    </comment>
    <comment ref="H13" authorId="0" shapeId="0">
      <text>
        <r>
          <rPr>
            <sz val="9"/>
            <color indexed="81"/>
            <rFont val="Tahoma"/>
            <family val="2"/>
          </rPr>
          <t xml:space="preserve">Hourly burden increased for complexity.
</t>
        </r>
      </text>
    </comment>
    <comment ref="H14" authorId="0" shapeId="0">
      <text>
        <r>
          <rPr>
            <sz val="9"/>
            <color indexed="81"/>
            <rFont val="Tahoma"/>
            <family val="2"/>
          </rPr>
          <t xml:space="preserve">Hourly burden increased for complexity.
</t>
        </r>
      </text>
    </comment>
    <comment ref="H15" authorId="0" shapeId="0">
      <text>
        <r>
          <rPr>
            <sz val="9"/>
            <color indexed="81"/>
            <rFont val="Tahoma"/>
            <family val="2"/>
          </rPr>
          <t xml:space="preserve">Hourly burden increased for complexity.
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 xml:space="preserve">Hourly burden increased for complexity.
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 xml:space="preserve">Hourly burden increased for complexity.
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 xml:space="preserve">Hourly burden increased for complexity.
</t>
        </r>
      </text>
    </comment>
    <comment ref="H19" authorId="0" shapeId="0">
      <text>
        <r>
          <rPr>
            <sz val="9"/>
            <color indexed="81"/>
            <rFont val="Tahoma"/>
            <family val="2"/>
          </rPr>
          <t xml:space="preserve">Hourly burden increased for complexity.
</t>
        </r>
      </text>
    </comment>
    <comment ref="H20" authorId="0" shapeId="0">
      <text>
        <r>
          <rPr>
            <sz val="9"/>
            <color indexed="81"/>
            <rFont val="Tahoma"/>
            <family val="2"/>
          </rPr>
          <t xml:space="preserve">Hourly burden increased for complexity.
</t>
        </r>
      </text>
    </comment>
    <comment ref="H21" authorId="0" shapeId="0">
      <text>
        <r>
          <rPr>
            <sz val="9"/>
            <color indexed="81"/>
            <rFont val="Tahoma"/>
            <family val="2"/>
          </rPr>
          <t xml:space="preserve">Hourly burden increased for complexity.
</t>
        </r>
      </text>
    </comment>
    <comment ref="H22" authorId="0" shapeId="0">
      <text>
        <r>
          <rPr>
            <sz val="9"/>
            <color indexed="81"/>
            <rFont val="Tahoma"/>
            <family val="2"/>
          </rPr>
          <t xml:space="preserve">Hourly burden increased for complexity.
</t>
        </r>
      </text>
    </comment>
    <comment ref="H23" authorId="0" shapeId="0">
      <text>
        <r>
          <rPr>
            <sz val="9"/>
            <color indexed="81"/>
            <rFont val="Tahoma"/>
            <family val="2"/>
          </rPr>
          <t xml:space="preserve">Hourly burden increased for complexity.
</t>
        </r>
      </text>
    </comment>
    <comment ref="H24" authorId="0" shapeId="0">
      <text>
        <r>
          <rPr>
            <sz val="9"/>
            <color indexed="81"/>
            <rFont val="Tahoma"/>
            <family val="2"/>
          </rPr>
          <t xml:space="preserve">Hourly burden increased for complexity.
</t>
        </r>
      </text>
    </comment>
    <comment ref="H25" authorId="0" shapeId="0">
      <text>
        <r>
          <rPr>
            <sz val="9"/>
            <color indexed="81"/>
            <rFont val="Tahoma"/>
            <family val="2"/>
          </rPr>
          <t xml:space="preserve">Hourly burden increased for complexity.
</t>
        </r>
      </text>
    </comment>
    <comment ref="H26" authorId="0" shapeId="0">
      <text>
        <r>
          <rPr>
            <sz val="9"/>
            <color indexed="81"/>
            <rFont val="Tahoma"/>
            <family val="2"/>
          </rPr>
          <t xml:space="preserve">Hourly burden increased for complexity.
</t>
        </r>
      </text>
    </comment>
    <comment ref="H27" authorId="0" shapeId="0">
      <text>
        <r>
          <rPr>
            <sz val="9"/>
            <color indexed="81"/>
            <rFont val="Tahoma"/>
            <family val="2"/>
          </rPr>
          <t>Hourly burden increased for complexity.</t>
        </r>
      </text>
    </comment>
    <comment ref="H31" authorId="1" shapeId="0">
      <text>
        <r>
          <rPr>
            <sz val="9"/>
            <color indexed="81"/>
            <rFont val="Tahoma"/>
            <family val="2"/>
          </rPr>
          <t xml:space="preserve">Increased the burden estimate from 0.334 hours (20 minutes) to 0.50 hours (30 minutes) based on feedback received through limited consultations with State agencies.
</t>
        </r>
      </text>
    </comment>
    <comment ref="H48" authorId="2" shapeId="0">
      <text>
        <r>
          <rPr>
            <sz val="9"/>
            <color indexed="81"/>
            <rFont val="Tahoma"/>
            <family val="2"/>
          </rPr>
          <t>All notices were increased to 0.0501 hours (3 minutes) for complexity and aligns with 4 decimal places required by PRAO.</t>
        </r>
      </text>
    </comment>
    <comment ref="H49" authorId="2" shapeId="0">
      <text>
        <r>
          <rPr>
            <sz val="9"/>
            <color indexed="81"/>
            <rFont val="Tahoma"/>
            <family val="2"/>
          </rPr>
          <t>All notices were increased to 0.0501 hours (3 minutes) for complexity and aligns with 4 decimal places required by PRAO.</t>
        </r>
      </text>
    </comment>
    <comment ref="H50" authorId="2" shapeId="0">
      <text>
        <r>
          <rPr>
            <sz val="9"/>
            <color indexed="81"/>
            <rFont val="Tahoma"/>
            <family val="2"/>
          </rPr>
          <t>All notices were increased to 0.0501 hours (3 minutes) for complexity and aligns with 4 decimal places required by PRAO.</t>
        </r>
      </text>
    </comment>
    <comment ref="H51" authorId="2" shapeId="0">
      <text>
        <r>
          <rPr>
            <sz val="9"/>
            <color indexed="81"/>
            <rFont val="Tahoma"/>
            <family val="2"/>
          </rPr>
          <t>All notices were increased to 0.0501 hours (3 minutes) for complexity and aligns with 4 decimal places required by PRAO.</t>
        </r>
      </text>
    </comment>
    <comment ref="H52" authorId="2" shapeId="0">
      <text>
        <r>
          <rPr>
            <sz val="9"/>
            <color indexed="81"/>
            <rFont val="Tahoma"/>
            <family val="2"/>
          </rPr>
          <t>All notices were increased to 0.0501 hours (3 minutes) for complexity and aligns with 4 decimal places required by PRAO.</t>
        </r>
      </text>
    </comment>
    <comment ref="H53" authorId="2" shapeId="0">
      <text>
        <r>
          <rPr>
            <sz val="9"/>
            <color indexed="81"/>
            <rFont val="Tahoma"/>
            <family val="2"/>
          </rPr>
          <t>All notices were increased to 0.0501 hours (3 minutes) for complexity and aligns with 4 decimal places required by PRAO.</t>
        </r>
      </text>
    </comment>
    <comment ref="H54" authorId="2" shapeId="0">
      <text>
        <r>
          <rPr>
            <sz val="9"/>
            <color indexed="81"/>
            <rFont val="Tahoma"/>
            <family val="2"/>
          </rPr>
          <t>All notices were increased to 0.0501 hours (3 minutes) for complexity and aligns with 4 decimal places required by PRAO.</t>
        </r>
      </text>
    </comment>
    <comment ref="H55" authorId="2" shapeId="0">
      <text>
        <r>
          <rPr>
            <sz val="9"/>
            <color indexed="81"/>
            <rFont val="Tahoma"/>
            <family val="2"/>
          </rPr>
          <t>All notices were increased to 0.0501 hours (3 minutes) for complexity and aligns with 4 decimal places required by PRAO.</t>
        </r>
      </text>
    </comment>
    <comment ref="H56" authorId="2" shapeId="0">
      <text>
        <r>
          <rPr>
            <sz val="9"/>
            <color indexed="81"/>
            <rFont val="Tahoma"/>
            <family val="2"/>
          </rPr>
          <t>All notices were increased to 0.0501 hours (3 minutes) for complexity and aligns with 4 decimal places required by PRAO.</t>
        </r>
      </text>
    </comment>
    <comment ref="H57" authorId="2" shapeId="0">
      <text>
        <r>
          <rPr>
            <sz val="9"/>
            <color indexed="81"/>
            <rFont val="Tahoma"/>
            <family val="2"/>
          </rPr>
          <t>All notices were increased to 0.0501 hours (3 minutes) for complexity and aligns with 4 decimal places required by PRAO.</t>
        </r>
      </text>
    </comment>
    <comment ref="H58" authorId="2" shapeId="0">
      <text>
        <r>
          <rPr>
            <sz val="9"/>
            <color indexed="81"/>
            <rFont val="Tahoma"/>
            <family val="2"/>
          </rPr>
          <t>All notices were increased to 0.0501 hours (3 minutes) for complexity and aligns with 4 decimal places required by PRAO.</t>
        </r>
      </text>
    </comment>
    <comment ref="H59" authorId="2" shapeId="0">
      <text>
        <r>
          <rPr>
            <sz val="9"/>
            <color indexed="81"/>
            <rFont val="Tahoma"/>
            <family val="2"/>
          </rPr>
          <t>All notices were increased to 0.0501 hours (3 minutes) for complexity and aligns with 4 decimal places required by PRAO.</t>
        </r>
      </text>
    </comment>
    <comment ref="H62" authorId="1" shapeId="0">
      <text>
        <r>
          <rPr>
            <sz val="9"/>
            <color indexed="81"/>
            <rFont val="Tahoma"/>
            <family val="2"/>
          </rPr>
          <t xml:space="preserve">Based on feedback received through limited consultations with State agencies.
</t>
        </r>
      </text>
    </comment>
    <comment ref="H67" authorId="0" shapeId="0">
      <text>
        <r>
          <rPr>
            <sz val="9"/>
            <color indexed="81"/>
            <rFont val="Tahoma"/>
            <family val="2"/>
          </rPr>
          <t xml:space="preserve">Changed from 0.03 to 0.0334 consistent with OMB Conversion of Minutes to Decimals  
</t>
        </r>
      </text>
    </comment>
    <comment ref="H68" authorId="1" shapeId="0">
      <text>
        <r>
          <rPr>
            <sz val="9"/>
            <color indexed="81"/>
            <rFont val="Tahoma"/>
            <family val="2"/>
          </rPr>
          <t xml:space="preserve">Increased the burden estimate from 0.0042 hours (less than 1 minute) to 0.0167 hours (1 minute) based on feedback received through limited consultations with State agencies.
</t>
        </r>
      </text>
    </comment>
    <comment ref="H78" authorId="0" shapeId="0">
      <text>
        <r>
          <rPr>
            <sz val="9"/>
            <color indexed="81"/>
            <rFont val="Tahoma"/>
            <family val="2"/>
          </rPr>
          <t>Increased the burden estimate from 0.5 hours (30 minutes) to 0.6346 hours (38 minutes) based on feedback received through limited consultations with State agencies.</t>
        </r>
      </text>
    </comment>
    <comment ref="H88" authorId="0" shapeId="0">
      <text>
        <r>
          <rPr>
            <sz val="9"/>
            <color indexed="81"/>
            <rFont val="Tahoma"/>
            <family val="2"/>
          </rPr>
          <t xml:space="preserve">Hourly burden increased for complexity.
</t>
        </r>
      </text>
    </comment>
    <comment ref="H99" authorId="1" shapeId="0">
      <text>
        <r>
          <rPr>
            <sz val="9"/>
            <color indexed="81"/>
            <rFont val="Tahoma"/>
            <family val="2"/>
          </rPr>
          <t xml:space="preserve">Increased the burden estimate from 0.334 hours (20 minutes) to 0.50 hours (30 minutes) based on feedback received through limited consultations with State agencies.
</t>
        </r>
      </text>
    </comment>
    <comment ref="H131" authorId="1" shapeId="0">
      <text>
        <r>
          <rPr>
            <sz val="9"/>
            <color indexed="81"/>
            <rFont val="Tahoma"/>
            <family val="2"/>
          </rPr>
          <t xml:space="preserve">Based on feedback received through limited consultations with State agencies.
</t>
        </r>
      </text>
    </comment>
  </commentList>
</comments>
</file>

<file path=xl/comments2.xml><?xml version="1.0" encoding="utf-8"?>
<comments xmlns="http://schemas.openxmlformats.org/spreadsheetml/2006/main">
  <authors>
    <author>ICF</author>
  </authors>
  <commentList>
    <comment ref="C7" authorId="0" shapeId="0">
      <text>
        <r>
          <rPr>
            <sz val="9"/>
            <color indexed="81"/>
            <rFont val="Tahoma"/>
            <family val="2"/>
          </rPr>
          <t xml:space="preserve">This estimate is the total number of respondents. If there are respondents that conduct both reporting and recordkeeping activities, the respondent should be counted once.
</t>
        </r>
      </text>
    </comment>
  </commentList>
</comments>
</file>

<file path=xl/sharedStrings.xml><?xml version="1.0" encoding="utf-8"?>
<sst xmlns="http://schemas.openxmlformats.org/spreadsheetml/2006/main" count="698" uniqueCount="296">
  <si>
    <t>Regulatory Section</t>
  </si>
  <si>
    <t>Burden Activity</t>
  </si>
  <si>
    <t>Number of Respondents</t>
  </si>
  <si>
    <t>Total Annual Responses</t>
  </si>
  <si>
    <t>Total Reporting Burden</t>
  </si>
  <si>
    <t>Total Recordkeeping Burden</t>
  </si>
  <si>
    <t>Responses Per Respondent</t>
  </si>
  <si>
    <t>Item</t>
  </si>
  <si>
    <t>Estimate in Currently Approved ICR</t>
  </si>
  <si>
    <t>Updated Estimate</t>
  </si>
  <si>
    <t>Difference in Estimate</t>
  </si>
  <si>
    <t>Number</t>
  </si>
  <si>
    <t>Data Source</t>
  </si>
  <si>
    <t>Yes</t>
  </si>
  <si>
    <t>State Agency Reporting</t>
  </si>
  <si>
    <t>Interview: Initial Interview (In Person)</t>
  </si>
  <si>
    <t>Verification: Income</t>
  </si>
  <si>
    <t>Verification: Identity</t>
  </si>
  <si>
    <t>Verification: Alien Eligibility</t>
  </si>
  <si>
    <t>Verification: Social Security Number</t>
  </si>
  <si>
    <t>Verification: Medical expenses (if claimed and to receive income deduction)</t>
  </si>
  <si>
    <t>Verification: Residency</t>
  </si>
  <si>
    <t>Verification: Utility expenses (if the State agency does not utilize a standard utility allowance and the applicant wishes to claim expenses)</t>
  </si>
  <si>
    <t>Verification: Hours worked (Able-bodied Adults w/out Dependents)</t>
  </si>
  <si>
    <t>Verification: Legal obligation to pay child support and actual child support payments</t>
  </si>
  <si>
    <t>Verification: Disability</t>
  </si>
  <si>
    <t>Verification: Household composition</t>
  </si>
  <si>
    <t>Verification: Questionable Information</t>
  </si>
  <si>
    <t>Verification: Newly certified households w/ dependent care</t>
  </si>
  <si>
    <t>Verification: Existing households w/ dependent care</t>
  </si>
  <si>
    <t>New application</t>
  </si>
  <si>
    <t>Recertification application</t>
  </si>
  <si>
    <t>Interview: Recertification</t>
  </si>
  <si>
    <t>Recertification: Income (if source changed or amount changed by more than $50)</t>
  </si>
  <si>
    <t>Recertification: Social Security Number (if Social Security number is new)</t>
  </si>
  <si>
    <t>Recertification: Medical expenses (unreported and reoccurring expenses that have  changed by more than $25)</t>
  </si>
  <si>
    <t>Recertification: Legal obligation to pay child support (if there were changes in obligation to pay)</t>
  </si>
  <si>
    <t>Recertification: Utility expenses (if has changed by more than $25)</t>
  </si>
  <si>
    <t>Recertification: Hours worked (Able-bodied Adults w/out Dependents)</t>
  </si>
  <si>
    <t>Recertification: Other information which has changed may be verified</t>
  </si>
  <si>
    <t>Interview: Initial Interview (Telephone)</t>
  </si>
  <si>
    <t>Monthly Reports</t>
  </si>
  <si>
    <t>Simplified or Periodic Reports</t>
  </si>
  <si>
    <t>Change Reports</t>
  </si>
  <si>
    <t>Notice of Missing or Incomplete Report</t>
  </si>
  <si>
    <t>Notice of Missed Interviews</t>
  </si>
  <si>
    <t>Notice of Expiration</t>
  </si>
  <si>
    <t xml:space="preserve">Notice of Adverse Action </t>
  </si>
  <si>
    <t>Adequate Notice</t>
  </si>
  <si>
    <t>Request for Contact</t>
  </si>
  <si>
    <t>273.2(e)(1)</t>
  </si>
  <si>
    <t>273.2(f)(1) &amp; (2)</t>
  </si>
  <si>
    <t>273.14(b)(3)</t>
  </si>
  <si>
    <t>273.2(f)(8)(i)</t>
  </si>
  <si>
    <t>Quarterly Reports</t>
  </si>
  <si>
    <t>273.12(a)(4)</t>
  </si>
  <si>
    <t xml:space="preserve">273.12(a)(5) </t>
  </si>
  <si>
    <t>273.12(a)(1)</t>
  </si>
  <si>
    <t>273.12(a)(4)(iii) &amp; 273.12(a)(5)(iii)(D)</t>
  </si>
  <si>
    <t>273.2(h)(1)(i)(D) &amp; 273.14(b)(3)(iii)</t>
  </si>
  <si>
    <t>273.14(b)(1)</t>
  </si>
  <si>
    <t>273.13(a)</t>
  </si>
  <si>
    <t xml:space="preserve">273.12(a)(4)(v) &amp; 273.13(b) </t>
  </si>
  <si>
    <t xml:space="preserve">273.12(c)(3)(i) </t>
  </si>
  <si>
    <t>Initial interview</t>
  </si>
  <si>
    <t>Initial interview travel</t>
  </si>
  <si>
    <t xml:space="preserve">Verification: Student Work Hours </t>
  </si>
  <si>
    <t>Recertification interview</t>
  </si>
  <si>
    <t>Recertification travel time</t>
  </si>
  <si>
    <t>Recertification: Legal obligation to pay child support (if there were  changes in obligation to pay)</t>
  </si>
  <si>
    <t>Monthly Report</t>
  </si>
  <si>
    <t>Quarterly Report</t>
  </si>
  <si>
    <t>Change Report</t>
  </si>
  <si>
    <t>Simplified or Periodic Report</t>
  </si>
  <si>
    <t>Notice of Adverse Action</t>
  </si>
  <si>
    <t>273.9(d)(4) and 273.10(e)(1)(i)(E)</t>
  </si>
  <si>
    <t>Interview</t>
  </si>
  <si>
    <t>Application</t>
  </si>
  <si>
    <t>Verification</t>
  </si>
  <si>
    <t>Recertification</t>
  </si>
  <si>
    <t>Reports</t>
  </si>
  <si>
    <t>Notices</t>
  </si>
  <si>
    <t>Recertification Application</t>
  </si>
  <si>
    <t>Recertification Interview</t>
  </si>
  <si>
    <t>Other</t>
  </si>
  <si>
    <t>Fleeing felon and probation or parole violators determination</t>
  </si>
  <si>
    <t>Mass change in Federal benefits procedures</t>
  </si>
  <si>
    <t>Number of initial applications</t>
  </si>
  <si>
    <t>Number of recertification applications</t>
  </si>
  <si>
    <t>Number of income recertifications</t>
  </si>
  <si>
    <t>Number of Social Security Number recertifications</t>
  </si>
  <si>
    <t>Number of medical expense recertifications</t>
  </si>
  <si>
    <t>Number of child support recertifications</t>
  </si>
  <si>
    <t>Number of utility expense recertifications</t>
  </si>
  <si>
    <t>Number of ABAWD recertifications</t>
  </si>
  <si>
    <t>Number of other information recertifications</t>
  </si>
  <si>
    <t>FNS SNAP State Options Report, 14th Edition (October 2017)</t>
  </si>
  <si>
    <t>Number of monthly reporting submissions</t>
  </si>
  <si>
    <t>Number of quarterly reporting submissions</t>
  </si>
  <si>
    <t>Number of simplified or periodic reporting submissions</t>
  </si>
  <si>
    <t>Number of change reporting submissions</t>
  </si>
  <si>
    <t>Number of Missing or Incomplete Report notices</t>
  </si>
  <si>
    <t>Number of Missed Interview notices</t>
  </si>
  <si>
    <t xml:space="preserve">Number of Expiration notices </t>
  </si>
  <si>
    <t>Number of Adequate notices</t>
  </si>
  <si>
    <t>Number of Request for Contact notices</t>
  </si>
  <si>
    <t>Case Files</t>
  </si>
  <si>
    <t>Monitoring Duplicate Participation</t>
  </si>
  <si>
    <t>Number of Missed Interview notices read by households</t>
  </si>
  <si>
    <t>Number of Adverse Action notices read by households</t>
  </si>
  <si>
    <t>Number of Adequate Notices read by households</t>
  </si>
  <si>
    <t>Number of Request for Contact notices read by households</t>
  </si>
  <si>
    <t>Number of State agencies</t>
  </si>
  <si>
    <t>Number of States using quarterly reports</t>
  </si>
  <si>
    <t>Number of States using simplified or periodic reports</t>
  </si>
  <si>
    <t>Number of States using change reports</t>
  </si>
  <si>
    <t>Number of telephone initial interviews</t>
  </si>
  <si>
    <t>No</t>
  </si>
  <si>
    <t>Local Agency Recordkeeping</t>
  </si>
  <si>
    <t>272.1(f)</t>
  </si>
  <si>
    <t>272.4(e)</t>
  </si>
  <si>
    <t>Number of medical expense verifications</t>
  </si>
  <si>
    <t>Number of utility expense verifications</t>
  </si>
  <si>
    <t>Number of ABAWD verifications</t>
  </si>
  <si>
    <t>Number of child support verifications</t>
  </si>
  <si>
    <t>Number of disabled verifications</t>
  </si>
  <si>
    <t>Number of households with questionable information verifications</t>
  </si>
  <si>
    <t>Number of newly certified households w/ dependent care verifications</t>
  </si>
  <si>
    <t>Number of existing households w/ dependent care verifications</t>
  </si>
  <si>
    <t>Number of local agencies</t>
  </si>
  <si>
    <t>Number of duplicate participation records</t>
  </si>
  <si>
    <t>FNS SNAP Forms ICR Reporting Burden Estimate (OMB Control No. 0584-0064)</t>
  </si>
  <si>
    <t>FNS SNAP Forms ICR Assumptions (OMB Control No. 0584-0064)</t>
  </si>
  <si>
    <t>Number of Option to Disqualify Custodial Parent for Failure to Cooperate notices</t>
  </si>
  <si>
    <t>Number of Failure to Report Change in Residence notices</t>
  </si>
  <si>
    <t>273.11(o)(2)</t>
  </si>
  <si>
    <t>273.14(b)</t>
  </si>
  <si>
    <t>273.11(n)(3) &amp; (4)</t>
  </si>
  <si>
    <t>273.12(e)(3)</t>
  </si>
  <si>
    <t>Number of States using telephone interviews</t>
  </si>
  <si>
    <t>Previous ICR</t>
  </si>
  <si>
    <t>State Agency Reporting Subtotal</t>
  </si>
  <si>
    <t>Number of case file records</t>
  </si>
  <si>
    <t>Total Burden for #0584-0064</t>
  </si>
  <si>
    <t>A</t>
  </si>
  <si>
    <t>B</t>
  </si>
  <si>
    <t>C</t>
  </si>
  <si>
    <t>D</t>
  </si>
  <si>
    <t>E = C x D</t>
  </si>
  <si>
    <t>F</t>
  </si>
  <si>
    <t>G = E x F</t>
  </si>
  <si>
    <t>H</t>
  </si>
  <si>
    <t>J</t>
  </si>
  <si>
    <t>Number of States using in-person interviews</t>
  </si>
  <si>
    <t>Number of in-person initial interviews</t>
  </si>
  <si>
    <t>Number of States using monthly reports</t>
  </si>
  <si>
    <t>Assumes 20% of recertification interviews will be in person and include travel time.</t>
  </si>
  <si>
    <t>Number of in-person recertification interviews</t>
  </si>
  <si>
    <t>Legend</t>
  </si>
  <si>
    <t>Local Agency Recordkeeping Subtotal</t>
  </si>
  <si>
    <t>FNS SNAP Forms ICR Total Burden Estimate (OMB Control No. 0584-0064)</t>
  </si>
  <si>
    <t>Hourly Cost to Respondent</t>
  </si>
  <si>
    <t>Cost to Respondents</t>
  </si>
  <si>
    <t>Previously Approved Burden Hours</t>
  </si>
  <si>
    <t>Responses per Respondent</t>
  </si>
  <si>
    <t>Estimated Total Hours</t>
  </si>
  <si>
    <t>Change in Burden Hours due to an Adjustment</t>
  </si>
  <si>
    <t>Change in Burden Hours due to Program Change</t>
  </si>
  <si>
    <t>Total Burden Hour Difference</t>
  </si>
  <si>
    <t>I = G x H</t>
  </si>
  <si>
    <t>L</t>
  </si>
  <si>
    <t>FNS SNAP Forms ICR Labor Rates (OMB Control No. 0584-0064)</t>
  </si>
  <si>
    <t>Type of Respondent</t>
  </si>
  <si>
    <t>Households</t>
  </si>
  <si>
    <t>State Agency</t>
  </si>
  <si>
    <t>Local Agency</t>
  </si>
  <si>
    <t>Federal minimum wage rate. Available at http://www.dol.gov/whd/minimumwage.htm.</t>
  </si>
  <si>
    <t>Change Report Form</t>
  </si>
  <si>
    <t>273.12(b)(4)</t>
  </si>
  <si>
    <t>Number of Change Report Forms</t>
  </si>
  <si>
    <t>Number of student work hour verifications</t>
  </si>
  <si>
    <t>273.5(b)(5)</t>
  </si>
  <si>
    <t>Verification: Student Work Hours</t>
  </si>
  <si>
    <t>Notice of option to disqualify custodial parent for failure to cooperate</t>
  </si>
  <si>
    <t>Number of fleeing felon and probation or parole violators determinations</t>
  </si>
  <si>
    <t>Regulatory Citation</t>
  </si>
  <si>
    <t>Multiple</t>
  </si>
  <si>
    <t>272.1(f), 272.4(e)</t>
  </si>
  <si>
    <t>NDB-FY 18, 366B</t>
  </si>
  <si>
    <t>Failure to Report Shelter Cost Change due to move notices</t>
  </si>
  <si>
    <t>Included in Currently Approved ICR</t>
  </si>
  <si>
    <t>Data Entry</t>
  </si>
  <si>
    <t>Calculation; Do Not Enter Data</t>
  </si>
  <si>
    <t>Calculation. Estimated from previous ICR using updated caseload data from the Food Program and Reporting System. Calculation uses ratio of initial cert compared to last time.</t>
  </si>
  <si>
    <t>Characteristics of Supplemental Nutrition Assistance Program Households: Fiscal Year 2018; Table B.5; Number of non-elderly individuals with disabilities</t>
  </si>
  <si>
    <t>Characteristics of Supplemental Nutrition Assistance Program Households: Fiscal Year 2018; Table A.9, Total number of child support payment</t>
  </si>
  <si>
    <t>Characteristics of Supplemental Nutrition Assistance Program Households: Fiscal Year 2018; Table A.9, Total number of medical expense</t>
  </si>
  <si>
    <t>Characteristics of Supplemental Nutrition Assistance Program Households: Fiscal Year 2018; Table A.9, Total number of excess shelter expense</t>
  </si>
  <si>
    <t>Not Applicable</t>
  </si>
  <si>
    <t>Characteristics of Supplemental Nutrition Assistance Program Households: Fiscal Year 2018; Table A.12, Total number of households</t>
  </si>
  <si>
    <t>Calculation. Estimated from previous ICR using updated caseload data from the Food Program and Reporting System. Calculation uses ratio.</t>
  </si>
  <si>
    <t>Number of households</t>
  </si>
  <si>
    <t>Characteristics of Supplemental Nutrition Assistance Program Households: Fiscal Year 2018; Table A.9, Total number of dependent cate</t>
  </si>
  <si>
    <t>Calculation</t>
  </si>
  <si>
    <t>Calculation. Applies ratio of initial and recertification applications to utility expense universe.</t>
  </si>
  <si>
    <t>ABAWDs avg 10 mos cert period, assumes 1 recert</t>
  </si>
  <si>
    <t>Calculation. Subtracts ABAWD recertification from total number of recertifications.</t>
  </si>
  <si>
    <t>Calculation. Applies ratio based on household of FY14 vs FY 18.</t>
  </si>
  <si>
    <t>Number of Adverse Action Notices (NOAAs)</t>
  </si>
  <si>
    <t>Calculation. 1/3 of NOAAs due to regulatory limitation.</t>
  </si>
  <si>
    <t>Calculation. Assumes 80% of missed interview notices are read.</t>
  </si>
  <si>
    <t>Calculation. Assumes 80% of adverse action notices are read.</t>
  </si>
  <si>
    <t>Calculation. Assumes 80% of adequate notices are read.</t>
  </si>
  <si>
    <t>Calculation. Assumes 80% of request for contact notices are read.</t>
  </si>
  <si>
    <t>Not Included in Currently Approved ICR</t>
  </si>
  <si>
    <t>Caseload from FY 16, FY 17, and FY 18 characteristics reports. Characteristics of Supplemental Nutrition Assistance Program Households: Fiscal Year 2018; Table A.29</t>
  </si>
  <si>
    <t>Calculation. Assumes this notice would impact 2% of all initial applications and recertifications.</t>
  </si>
  <si>
    <t>Calculation. Assumes this notice would impact 1% of all initial applications and recertifications.</t>
  </si>
  <si>
    <t>Number included for calculation and for number of household respondents.</t>
  </si>
  <si>
    <t>Characteristics of Supplemental Nutrition Assistance Program Households: Fiscal Year 2018; Table A.23; Total number of participants, adults age 18–49 without disabilities in childless households.</t>
  </si>
  <si>
    <t>A GAO Audit indicates 2,257,121 students received SNAP in 2016. The audit also indicates that, according to 2015-2016 National Postsecondary Student Aid Study (NPSAS) data, 60 percent of low-income students had a job while enrolled in college. GAO Audit: Food Insecurity--Better Information Could Help Eligible College Students Access Federal Food Assistance Benefits; Table 1 and Footnote 51. Available at https://www.gao.gov/assets/700/696254.pdf.</t>
  </si>
  <si>
    <t>Calculation. Estimated from number of initial applications and recertifications and number of change report forms.</t>
  </si>
  <si>
    <t xml:space="preserve">273.12(c)(3)(iii) </t>
  </si>
  <si>
    <t>Notice of Match Results</t>
  </si>
  <si>
    <t>Notice of Subject to Work Requirements</t>
  </si>
  <si>
    <t>Notice of Required Verification</t>
  </si>
  <si>
    <t>273.7(c)(1)</t>
  </si>
  <si>
    <t>273.2(c)(5)</t>
  </si>
  <si>
    <t>Number of Match Results Notices</t>
  </si>
  <si>
    <t>Number of Subject to Work Requirements Notices</t>
  </si>
  <si>
    <t>Number of Required Verification Notices</t>
  </si>
  <si>
    <t>Number of Match Results Notices read by households</t>
  </si>
  <si>
    <t>Number of Subject to Work Requirements Notices read by households</t>
  </si>
  <si>
    <t>Number of Required Verification Notices read by households</t>
  </si>
  <si>
    <t>Calculation. Assumes 80% of notice of match results are read.</t>
  </si>
  <si>
    <t>Calculation. Assumes 80% of subject to work requirements notices are read.</t>
  </si>
  <si>
    <t>Calculation. Assumes 80% of required verification notices are read.</t>
  </si>
  <si>
    <t>Calculation. Application + recertification.</t>
  </si>
  <si>
    <t>Calculation. Using Request for Contact as a proxy for this number.</t>
  </si>
  <si>
    <t>Updated based on Mathematica analysis</t>
  </si>
  <si>
    <t>273.10(g)(1)(i) &amp; (ii) &amp; (iii)</t>
  </si>
  <si>
    <t>Number of Eligibility, Denial, or Pending Status notices</t>
  </si>
  <si>
    <t>273.24(b)(7)</t>
  </si>
  <si>
    <t>Report of ABAWDs Change in Work Hours Below 20 Hours per Week</t>
  </si>
  <si>
    <t>Number reporting changes in work hours below 20 a week (ABAWDs)</t>
  </si>
  <si>
    <t xml:space="preserve">Calculation. Characteristics of Supplemental Nutrition Assistance Program Households: Fiscal Year 2018; Table A.23; Total number of participants, adults age 18–49 without disabilities in childless households multiplied by 26%, representing the number of ABAWDs who work (https://fns-prod.azureedge.net/sites/default/files/snap/nondisabled-adults.pdf). </t>
  </si>
  <si>
    <t>Number of Eligibility, Denial, or Pending Status notices read by households</t>
  </si>
  <si>
    <t>Number of Missing or Incomplete Report notices read by households</t>
  </si>
  <si>
    <t>Number of Expiration notices read by households</t>
  </si>
  <si>
    <t>Notice of Eligibility, Denial, or Pending Status</t>
  </si>
  <si>
    <t>Hourly Rate in Currently Approved ICR</t>
  </si>
  <si>
    <t>Updated Hourly Rate</t>
  </si>
  <si>
    <t>Value</t>
  </si>
  <si>
    <t>Estimated Average Hours per Response</t>
  </si>
  <si>
    <t>Requirement in Currently Approved ICR</t>
  </si>
  <si>
    <t>K = G - J</t>
  </si>
  <si>
    <t>Estimated Average Hours Per Response</t>
  </si>
  <si>
    <t>M = K + L</t>
  </si>
  <si>
    <t>K</t>
  </si>
  <si>
    <t>C = A x B</t>
  </si>
  <si>
    <t>I = E - H</t>
  </si>
  <si>
    <t>Notes</t>
  </si>
  <si>
    <t>Page 69 of FY18 characteristics report. Number of participants with work registrant status</t>
  </si>
  <si>
    <t xml:space="preserve">Calculation. Assumes this notice would impact 3.5% of all recertifications. </t>
  </si>
  <si>
    <t>Respondent</t>
  </si>
  <si>
    <t>Estimated Number of Respondent</t>
  </si>
  <si>
    <t>Responses Annually per Respondent</t>
  </si>
  <si>
    <t xml:space="preserve">Total Annual Responses </t>
  </si>
  <si>
    <t>Estimated Avgerage Number of Hours Per Response</t>
  </si>
  <si>
    <t xml:space="preserve">Estimated Total Hours </t>
  </si>
  <si>
    <t>Reporting Burden</t>
  </si>
  <si>
    <t>State/Local/Tribal Governments</t>
  </si>
  <si>
    <t> Total Estimated Reporting Burden</t>
  </si>
  <si>
    <t>Recordkeeping Burden</t>
  </si>
  <si>
    <t> Total Estimated Recordkeeping Burden</t>
  </si>
  <si>
    <t>Recertification: Failure to Report Shelter Cost Change due to move notices</t>
  </si>
  <si>
    <t>273.7(c)(2)</t>
  </si>
  <si>
    <t>Referral to E&amp;T and Notice of Requirements</t>
  </si>
  <si>
    <t>Number of Referral to E&amp;T and Notice of Requirements</t>
  </si>
  <si>
    <t>FY19 SNAP Employment and Training Annual Reports as reported by State Agencies , number of Mandatory E&amp;T Participants</t>
  </si>
  <si>
    <t xml:space="preserve">Calculation. Assumes 80% of referrals to E&amp;T and notice of requirements are read. </t>
  </si>
  <si>
    <t>TOTAL REPORTING AND RECORDKEEPING BURDEN</t>
  </si>
  <si>
    <t>TOTAL REPORTING AND RECORDKEEPING BURDEN FOR #0584-0064</t>
  </si>
  <si>
    <t>Affected Public:  State, Local, or Tribal Governments</t>
  </si>
  <si>
    <t>Individuals/Household Reporting</t>
  </si>
  <si>
    <t>Affected Public:  Individuals/Household</t>
  </si>
  <si>
    <t>Individuals/Household Reporting Subotal</t>
  </si>
  <si>
    <t>State, Local, and Tribal Government Reporting and Recordkeeping Subotal</t>
  </si>
  <si>
    <t>Bureau of Labor Statistics (BLS) Occupational Employment and Wages Statistics data from May 2019; Occupation Code 43-4061 Eligibility Interviewers, Government Programs; Median Hourly Wage Rate for State Government  = $20.75. Available at https://www.bls.gov/oes/current/naics4_999200.htm#43-0000.
Final labor rate is a fully loaded rate including fringe benefits and overhead at 33% of the BLS reported labor rate ($20.75 X 1.33 = $27.60).</t>
  </si>
  <si>
    <t>273.12(c)(4)(i)</t>
  </si>
  <si>
    <t>Hourly Wage Rates</t>
  </si>
  <si>
    <t>Total Annual Cost to Respondents</t>
  </si>
  <si>
    <r>
      <rPr>
        <sz val="11"/>
        <rFont val="Calibri"/>
        <family val="2"/>
        <scheme val="minor"/>
      </rPr>
      <t xml:space="preserve">Verification: </t>
    </r>
    <r>
      <rPr>
        <sz val="11"/>
        <color theme="1"/>
        <rFont val="Calibri"/>
        <family val="2"/>
        <scheme val="minor"/>
      </rPr>
      <t>Newly certified households w/ dependent care</t>
    </r>
  </si>
  <si>
    <r>
      <rPr>
        <sz val="11"/>
        <rFont val="Calibri"/>
        <family val="2"/>
        <scheme val="minor"/>
      </rPr>
      <t>Verification:</t>
    </r>
    <r>
      <rPr>
        <sz val="11"/>
        <color theme="1"/>
        <rFont val="Calibri"/>
        <family val="2"/>
        <scheme val="minor"/>
      </rPr>
      <t xml:space="preserve"> Existing households w/ dependent care</t>
    </r>
  </si>
  <si>
    <r>
      <rPr>
        <sz val="11"/>
        <rFont val="Calibri"/>
        <family val="2"/>
        <scheme val="minor"/>
      </rPr>
      <t>Verification:</t>
    </r>
    <r>
      <rPr>
        <sz val="11"/>
        <color theme="1"/>
        <rFont val="Calibri"/>
        <family val="2"/>
        <scheme val="minor"/>
      </rPr>
      <t xml:space="preserve"> Hours worked (Able-bodied Adults w/out Dependents)</t>
    </r>
  </si>
  <si>
    <t>Bureau of Labor Statistics (BLS) Occupational Employment and Wages Statistics data from May 2019; Occupation Code 43-4061 Eligibility Interviewers, Government Programs; Median Hourly Wage Rate for Local Government  = $22.56. Available at https://www.bls.gov/oes/current/naics4_999300.htm#43-0000.
Final labor rate is a fully loaded rate including fringe benefits and overhead at 33% of the BLS reported labor rate ($22.56 X 1.33 = $30.00).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</si>
</sst>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164" formatCode="&quot;$&quot;#,##0.00"/>
    <numFmt numFmtId="165" formatCode="#,##0.000"/>
    <numFmt numFmtId="166" formatCode="&quot;$&quot;#,##0"/>
    <numFmt numFmtId="167" formatCode="#,##0.0000"/>
    <numFmt numFmtId="168" formatCode="#,##0.000000000"/>
    <numFmt numFmtId="169" formatCode="#,##0.0000000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6" fillId="3" borderId="0" applyNumberFormat="0" applyBorder="0" applyAlignment="0" applyProtection="0"/>
    <xf numFmtId="44" fontId="15" fillId="0" borderId="0" applyFon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3" fontId="0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0" fillId="0" borderId="6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4" fontId="0" fillId="0" borderId="8" xfId="0" applyNumberFormat="1" applyFont="1" applyBorder="1" applyAlignment="1">
      <alignment horizontal="center" vertical="center" wrapText="1"/>
    </xf>
    <xf numFmtId="4" fontId="0" fillId="0" borderId="9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3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3" fontId="0" fillId="4" borderId="1" xfId="0" applyNumberForma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Font="1" applyBorder="1" applyAlignment="1">
      <alignment horizontal="center" vertical="center" wrapText="1"/>
    </xf>
    <xf numFmtId="0" fontId="0" fillId="7" borderId="1" xfId="0" applyFill="1" applyBorder="1"/>
    <xf numFmtId="0" fontId="1" fillId="7" borderId="1" xfId="0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3" fontId="0" fillId="4" borderId="8" xfId="0" applyNumberFormat="1" applyFill="1" applyBorder="1" applyAlignment="1">
      <alignment horizontal="center" vertical="center"/>
    </xf>
    <xf numFmtId="0" fontId="0" fillId="0" borderId="2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3" xfId="0" applyBorder="1"/>
    <xf numFmtId="4" fontId="1" fillId="0" borderId="28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0" fontId="0" fillId="0" borderId="29" xfId="0" applyBorder="1"/>
    <xf numFmtId="0" fontId="1" fillId="0" borderId="30" xfId="0" applyFont="1" applyBorder="1" applyAlignment="1">
      <alignment horizontal="center" vertical="center" wrapText="1"/>
    </xf>
    <xf numFmtId="4" fontId="1" fillId="0" borderId="30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 wrapText="1"/>
    </xf>
    <xf numFmtId="3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9" fillId="6" borderId="26" xfId="0" applyFont="1" applyFill="1" applyBorder="1" applyAlignment="1">
      <alignment vertical="center" wrapText="1"/>
    </xf>
    <xf numFmtId="0" fontId="0" fillId="6" borderId="8" xfId="0" applyFill="1" applyBorder="1" applyAlignment="1">
      <alignment vertical="center"/>
    </xf>
    <xf numFmtId="0" fontId="0" fillId="6" borderId="8" xfId="0" applyFill="1" applyBorder="1" applyAlignment="1">
      <alignment horizontal="left" vertical="center" wrapText="1"/>
    </xf>
    <xf numFmtId="0" fontId="0" fillId="6" borderId="8" xfId="0" applyFill="1" applyBorder="1" applyAlignment="1">
      <alignment vertical="center" wrapText="1"/>
    </xf>
    <xf numFmtId="0" fontId="0" fillId="6" borderId="14" xfId="0" applyFill="1" applyBorder="1" applyAlignment="1">
      <alignment horizontal="left" vertical="center" wrapText="1"/>
    </xf>
    <xf numFmtId="3" fontId="0" fillId="6" borderId="8" xfId="0" applyNumberFormat="1" applyFill="1" applyBorder="1" applyAlignment="1">
      <alignment horizontal="center" vertical="center"/>
    </xf>
    <xf numFmtId="0" fontId="0" fillId="6" borderId="5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33" xfId="0" applyFont="1" applyBorder="1"/>
    <xf numFmtId="3" fontId="0" fillId="0" borderId="34" xfId="0" applyNumberFormat="1" applyFont="1" applyBorder="1" applyAlignment="1">
      <alignment horizontal="center"/>
    </xf>
    <xf numFmtId="0" fontId="1" fillId="8" borderId="33" xfId="0" applyFont="1" applyFill="1" applyBorder="1"/>
    <xf numFmtId="3" fontId="1" fillId="8" borderId="34" xfId="0" applyNumberFormat="1" applyFont="1" applyFill="1" applyBorder="1" applyAlignment="1">
      <alignment horizontal="center"/>
    </xf>
    <xf numFmtId="0" fontId="1" fillId="0" borderId="35" xfId="0" applyFont="1" applyFill="1" applyBorder="1"/>
    <xf numFmtId="3" fontId="1" fillId="0" borderId="36" xfId="0" applyNumberFormat="1" applyFont="1" applyFill="1" applyBorder="1" applyAlignment="1">
      <alignment horizontal="center"/>
    </xf>
    <xf numFmtId="4" fontId="0" fillId="0" borderId="0" xfId="0" applyNumberFormat="1" applyFont="1"/>
    <xf numFmtId="3" fontId="2" fillId="0" borderId="1" xfId="0" applyNumberFormat="1" applyFont="1" applyBorder="1" applyAlignment="1">
      <alignment horizontal="center" vertical="center" wrapText="1"/>
    </xf>
    <xf numFmtId="4" fontId="0" fillId="0" borderId="34" xfId="0" applyNumberFormat="1" applyFont="1" applyBorder="1" applyAlignment="1">
      <alignment horizontal="center"/>
    </xf>
    <xf numFmtId="4" fontId="1" fillId="8" borderId="34" xfId="0" applyNumberFormat="1" applyFont="1" applyFill="1" applyBorder="1" applyAlignment="1">
      <alignment horizontal="center"/>
    </xf>
    <xf numFmtId="4" fontId="1" fillId="0" borderId="36" xfId="0" applyNumberFormat="1" applyFont="1" applyFill="1" applyBorder="1" applyAlignment="1">
      <alignment horizontal="center"/>
    </xf>
    <xf numFmtId="4" fontId="1" fillId="0" borderId="36" xfId="0" applyNumberFormat="1" applyFont="1" applyBorder="1" applyAlignment="1">
      <alignment horizontal="center"/>
    </xf>
    <xf numFmtId="0" fontId="0" fillId="0" borderId="0" xfId="0" applyFill="1" applyAlignment="1">
      <alignment vertical="center"/>
    </xf>
    <xf numFmtId="3" fontId="0" fillId="0" borderId="0" xfId="0" applyNumberFormat="1" applyAlignment="1">
      <alignment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64" fontId="0" fillId="0" borderId="0" xfId="0" applyNumberFormat="1"/>
    <xf numFmtId="167" fontId="0" fillId="0" borderId="0" xfId="0" applyNumberFormat="1" applyAlignment="1">
      <alignment wrapText="1"/>
    </xf>
    <xf numFmtId="167" fontId="1" fillId="0" borderId="21" xfId="0" applyNumberFormat="1" applyFont="1" applyBorder="1" applyAlignment="1">
      <alignment horizontal="center" vertical="center" wrapText="1"/>
    </xf>
    <xf numFmtId="167" fontId="4" fillId="0" borderId="1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0" fillId="0" borderId="8" xfId="0" applyNumberFormat="1" applyFont="1" applyBorder="1" applyAlignment="1">
      <alignment horizontal="center" vertical="center" wrapText="1"/>
    </xf>
    <xf numFmtId="0" fontId="0" fillId="9" borderId="1" xfId="0" applyFill="1" applyBorder="1"/>
    <xf numFmtId="3" fontId="14" fillId="0" borderId="0" xfId="0" applyNumberFormat="1" applyFont="1"/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4" fontId="1" fillId="0" borderId="38" xfId="0" applyNumberFormat="1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0" fontId="1" fillId="0" borderId="0" xfId="0" applyFont="1"/>
    <xf numFmtId="0" fontId="1" fillId="6" borderId="5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4" fontId="1" fillId="6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6" borderId="16" xfId="0" applyFont="1" applyFill="1" applyBorder="1" applyAlignment="1">
      <alignment horizontal="left" vertical="center" wrapText="1"/>
    </xf>
    <xf numFmtId="0" fontId="16" fillId="0" borderId="0" xfId="0" applyFont="1"/>
    <xf numFmtId="4" fontId="1" fillId="0" borderId="39" xfId="0" applyNumberFormat="1" applyFont="1" applyBorder="1" applyAlignment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1" fillId="8" borderId="40" xfId="0" applyNumberFormat="1" applyFont="1" applyFill="1" applyBorder="1" applyAlignment="1">
      <alignment horizontal="center"/>
    </xf>
    <xf numFmtId="4" fontId="1" fillId="0" borderId="41" xfId="0" applyNumberFormat="1" applyFont="1" applyBorder="1" applyAlignment="1">
      <alignment horizontal="center"/>
    </xf>
    <xf numFmtId="0" fontId="16" fillId="0" borderId="14" xfId="0" applyFont="1" applyBorder="1"/>
    <xf numFmtId="0" fontId="16" fillId="0" borderId="45" xfId="0" applyFont="1" applyBorder="1"/>
    <xf numFmtId="165" fontId="1" fillId="6" borderId="1" xfId="0" applyNumberFormat="1" applyFont="1" applyFill="1" applyBorder="1" applyAlignment="1">
      <alignment horizontal="center" vertical="center" wrapText="1"/>
    </xf>
    <xf numFmtId="168" fontId="18" fillId="0" borderId="1" xfId="0" applyNumberFormat="1" applyFont="1" applyBorder="1" applyAlignment="1">
      <alignment horizontal="center" vertical="center" wrapText="1"/>
    </xf>
    <xf numFmtId="169" fontId="18" fillId="0" borderId="1" xfId="0" applyNumberFormat="1" applyFont="1" applyBorder="1" applyAlignment="1">
      <alignment horizontal="center" vertical="center" wrapText="1"/>
    </xf>
    <xf numFmtId="44" fontId="17" fillId="0" borderId="14" xfId="7" applyFont="1" applyBorder="1"/>
    <xf numFmtId="44" fontId="17" fillId="0" borderId="45" xfId="0" applyNumberFormat="1" applyFont="1" applyBorder="1" applyAlignment="1">
      <alignment wrapText="1"/>
    </xf>
    <xf numFmtId="44" fontId="17" fillId="0" borderId="45" xfId="0" applyNumberFormat="1" applyFont="1" applyBorder="1"/>
    <xf numFmtId="44" fontId="17" fillId="0" borderId="46" xfId="0" applyNumberFormat="1" applyFont="1" applyBorder="1"/>
    <xf numFmtId="44" fontId="17" fillId="10" borderId="14" xfId="7" applyFont="1" applyFill="1" applyBorder="1"/>
    <xf numFmtId="44" fontId="17" fillId="10" borderId="45" xfId="0" applyNumberFormat="1" applyFont="1" applyFill="1" applyBorder="1"/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7" fillId="0" borderId="0" xfId="0" applyFont="1" applyBorder="1"/>
    <xf numFmtId="44" fontId="17" fillId="0" borderId="46" xfId="7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right" vertical="center" wrapText="1"/>
    </xf>
    <xf numFmtId="0" fontId="13" fillId="0" borderId="27" xfId="0" applyFont="1" applyBorder="1" applyAlignment="1">
      <alignment horizontal="righ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9" borderId="6" xfId="0" applyFont="1" applyFill="1" applyBorder="1" applyAlignment="1">
      <alignment horizontal="left" vertical="center" wrapText="1"/>
    </xf>
    <xf numFmtId="0" fontId="12" fillId="0" borderId="14" xfId="0" applyFont="1" applyBorder="1" applyAlignment="1">
      <alignment horizontal="right" vertical="center" wrapText="1"/>
    </xf>
    <xf numFmtId="0" fontId="12" fillId="0" borderId="16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4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4" fontId="4" fillId="10" borderId="47" xfId="0" applyNumberFormat="1" applyFont="1" applyFill="1" applyBorder="1"/>
    <xf numFmtId="44" fontId="0" fillId="0" borderId="0" xfId="0" applyNumberFormat="1"/>
  </cellXfs>
  <cellStyles count="8">
    <cellStyle name="Currency" xfId="7" builtinId="4"/>
    <cellStyle name="Neutral 2" xfId="6"/>
    <cellStyle name="Normal" xfId="0" builtinId="0"/>
    <cellStyle name="Normal 2" xfId="1"/>
    <cellStyle name="Normal 2 2" xfId="2"/>
    <cellStyle name="Normal 2 2 2" xfId="3"/>
    <cellStyle name="Normal 3" xfId="4"/>
    <cellStyle name="Normal 3 2" xfId="5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5D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177765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zoomScale="85" zoomScaleNormal="85" workbookViewId="0">
      <selection activeCell="D65" sqref="D65"/>
    </sheetView>
  </sheetViews>
  <sheetFormatPr defaultColWidth="8.86328125" defaultRowHeight="14.25" x14ac:dyDescent="0.45"/>
  <cols>
    <col min="1" max="1" width="14.86328125" style="19" customWidth="1"/>
    <col min="2" max="2" width="4.3984375" style="19" customWidth="1"/>
    <col min="3" max="3" width="31.1328125" style="19" bestFit="1" customWidth="1"/>
    <col min="4" max="4" width="16.265625" style="19" customWidth="1"/>
    <col min="5" max="6" width="14.59765625" style="20" customWidth="1"/>
    <col min="7" max="7" width="42.1328125" style="19" customWidth="1"/>
    <col min="8" max="8" width="14.59765625" style="20" customWidth="1"/>
    <col min="9" max="9" width="32.3984375" style="19" customWidth="1"/>
    <col min="10" max="10" width="6.59765625" style="44" customWidth="1"/>
    <col min="11" max="11" width="7.3984375" style="19" customWidth="1"/>
    <col min="12" max="12" width="35.59765625" style="19" customWidth="1"/>
    <col min="13" max="13" width="33.265625" style="19" customWidth="1"/>
    <col min="14" max="16384" width="8.86328125" style="19"/>
  </cols>
  <sheetData>
    <row r="1" spans="1:13" ht="14.65" thickBot="1" x14ac:dyDescent="0.5"/>
    <row r="2" spans="1:13" ht="30" customHeight="1" x14ac:dyDescent="0.45">
      <c r="A2" s="173" t="s">
        <v>190</v>
      </c>
      <c r="C2" s="174" t="s">
        <v>132</v>
      </c>
      <c r="D2" s="175"/>
      <c r="E2" s="175"/>
      <c r="F2" s="175"/>
      <c r="G2" s="175"/>
      <c r="H2" s="175"/>
      <c r="I2" s="176"/>
      <c r="K2" s="24" t="s">
        <v>158</v>
      </c>
      <c r="L2" s="69" t="s">
        <v>214</v>
      </c>
      <c r="M2" s="76"/>
    </row>
    <row r="3" spans="1:13" ht="25.15" customHeight="1" x14ac:dyDescent="0.45">
      <c r="A3" s="173"/>
      <c r="C3" s="177" t="s">
        <v>7</v>
      </c>
      <c r="D3" s="173" t="s">
        <v>185</v>
      </c>
      <c r="E3" s="173" t="s">
        <v>8</v>
      </c>
      <c r="F3" s="178" t="s">
        <v>9</v>
      </c>
      <c r="G3" s="178"/>
      <c r="H3" s="173" t="s">
        <v>10</v>
      </c>
      <c r="I3" s="173" t="s">
        <v>261</v>
      </c>
      <c r="J3" s="45"/>
      <c r="L3" s="64" t="s">
        <v>191</v>
      </c>
    </row>
    <row r="4" spans="1:13" ht="33.75" customHeight="1" x14ac:dyDescent="0.45">
      <c r="A4" s="173"/>
      <c r="C4" s="177"/>
      <c r="D4" s="173"/>
      <c r="E4" s="173"/>
      <c r="F4" s="85" t="s">
        <v>11</v>
      </c>
      <c r="G4" s="85" t="s">
        <v>12</v>
      </c>
      <c r="H4" s="173"/>
      <c r="I4" s="173"/>
      <c r="L4" s="82" t="s">
        <v>192</v>
      </c>
    </row>
    <row r="5" spans="1:13" x14ac:dyDescent="0.45">
      <c r="A5" s="55" t="s">
        <v>13</v>
      </c>
      <c r="C5" s="48" t="s">
        <v>112</v>
      </c>
      <c r="D5" s="50" t="s">
        <v>186</v>
      </c>
      <c r="E5" s="49">
        <v>53</v>
      </c>
      <c r="F5" s="63">
        <v>53</v>
      </c>
      <c r="G5" s="50"/>
      <c r="H5" s="49">
        <f t="shared" ref="H5:H44" si="0">F5-E5</f>
        <v>0</v>
      </c>
      <c r="I5" s="54"/>
      <c r="L5" s="124"/>
    </row>
    <row r="6" spans="1:13" ht="28.5" x14ac:dyDescent="0.45">
      <c r="A6" s="55" t="s">
        <v>13</v>
      </c>
      <c r="C6" s="60" t="s">
        <v>139</v>
      </c>
      <c r="D6" s="56" t="s">
        <v>50</v>
      </c>
      <c r="E6" s="57">
        <v>40</v>
      </c>
      <c r="F6" s="63">
        <v>40</v>
      </c>
      <c r="G6" s="61" t="s">
        <v>140</v>
      </c>
      <c r="H6" s="57">
        <f t="shared" si="0"/>
        <v>0</v>
      </c>
      <c r="I6" s="58"/>
      <c r="L6" s="124"/>
    </row>
    <row r="7" spans="1:13" ht="28.5" x14ac:dyDescent="0.45">
      <c r="A7" s="55" t="s">
        <v>13</v>
      </c>
      <c r="C7" s="60" t="s">
        <v>153</v>
      </c>
      <c r="D7" s="56" t="s">
        <v>50</v>
      </c>
      <c r="E7" s="57">
        <v>13</v>
      </c>
      <c r="F7" s="63">
        <v>13</v>
      </c>
      <c r="G7" s="61" t="s">
        <v>140</v>
      </c>
      <c r="H7" s="57">
        <f t="shared" si="0"/>
        <v>0</v>
      </c>
      <c r="I7" s="58"/>
      <c r="L7" s="124"/>
    </row>
    <row r="8" spans="1:13" ht="57" x14ac:dyDescent="0.45">
      <c r="A8" s="55" t="s">
        <v>13</v>
      </c>
      <c r="C8" s="51" t="s">
        <v>116</v>
      </c>
      <c r="D8" s="47" t="s">
        <v>50</v>
      </c>
      <c r="E8" s="49">
        <v>8459790.9433962256</v>
      </c>
      <c r="F8" s="62">
        <f>ROUND(F14*(E8/E14),0)</f>
        <v>13631850</v>
      </c>
      <c r="G8" s="53" t="s">
        <v>193</v>
      </c>
      <c r="H8" s="49">
        <f t="shared" si="0"/>
        <v>5172059.0566037744</v>
      </c>
      <c r="I8" s="53"/>
      <c r="L8" s="124"/>
    </row>
    <row r="9" spans="1:13" ht="57" x14ac:dyDescent="0.45">
      <c r="A9" s="55" t="s">
        <v>13</v>
      </c>
      <c r="C9" s="51" t="s">
        <v>154</v>
      </c>
      <c r="D9" s="47" t="s">
        <v>50</v>
      </c>
      <c r="E9" s="49">
        <v>2749432.0566037735</v>
      </c>
      <c r="F9" s="62">
        <f>ROUND(F14*(E9/E14),0)</f>
        <v>4430351</v>
      </c>
      <c r="G9" s="53" t="s">
        <v>193</v>
      </c>
      <c r="H9" s="49">
        <f t="shared" si="0"/>
        <v>1680918.9433962265</v>
      </c>
      <c r="I9" s="53"/>
    </row>
    <row r="10" spans="1:13" ht="28.5" x14ac:dyDescent="0.45">
      <c r="A10" s="55" t="s">
        <v>13</v>
      </c>
      <c r="C10" s="51" t="s">
        <v>155</v>
      </c>
      <c r="D10" s="47">
        <v>273.20999999999998</v>
      </c>
      <c r="E10" s="49">
        <v>2</v>
      </c>
      <c r="F10" s="63">
        <v>1</v>
      </c>
      <c r="G10" s="53" t="s">
        <v>96</v>
      </c>
      <c r="H10" s="49">
        <f t="shared" si="0"/>
        <v>-1</v>
      </c>
      <c r="I10" s="54"/>
    </row>
    <row r="11" spans="1:13" ht="28.5" x14ac:dyDescent="0.45">
      <c r="A11" s="55" t="s">
        <v>13</v>
      </c>
      <c r="C11" s="51" t="s">
        <v>113</v>
      </c>
      <c r="D11" s="47" t="s">
        <v>55</v>
      </c>
      <c r="E11" s="49">
        <v>1</v>
      </c>
      <c r="F11" s="63">
        <v>1</v>
      </c>
      <c r="G11" s="53" t="s">
        <v>96</v>
      </c>
      <c r="H11" s="49">
        <f t="shared" si="0"/>
        <v>0</v>
      </c>
      <c r="I11" s="54"/>
    </row>
    <row r="12" spans="1:13" ht="28.5" x14ac:dyDescent="0.45">
      <c r="A12" s="55" t="s">
        <v>13</v>
      </c>
      <c r="C12" s="51" t="s">
        <v>114</v>
      </c>
      <c r="D12" s="47" t="s">
        <v>56</v>
      </c>
      <c r="E12" s="49">
        <v>51</v>
      </c>
      <c r="F12" s="63">
        <v>51</v>
      </c>
      <c r="G12" s="53" t="s">
        <v>96</v>
      </c>
      <c r="H12" s="49">
        <f t="shared" si="0"/>
        <v>0</v>
      </c>
      <c r="I12" s="54"/>
    </row>
    <row r="13" spans="1:13" ht="28.5" x14ac:dyDescent="0.45">
      <c r="A13" s="55" t="s">
        <v>13</v>
      </c>
      <c r="C13" s="51" t="s">
        <v>115</v>
      </c>
      <c r="D13" s="47" t="s">
        <v>57</v>
      </c>
      <c r="E13" s="49">
        <v>24</v>
      </c>
      <c r="F13" s="63">
        <v>26</v>
      </c>
      <c r="G13" s="53" t="s">
        <v>96</v>
      </c>
      <c r="H13" s="49">
        <f t="shared" si="0"/>
        <v>2</v>
      </c>
      <c r="I13" s="54"/>
    </row>
    <row r="14" spans="1:13" x14ac:dyDescent="0.45">
      <c r="A14" s="55" t="s">
        <v>13</v>
      </c>
      <c r="C14" s="48" t="s">
        <v>87</v>
      </c>
      <c r="D14" s="47">
        <v>273.2</v>
      </c>
      <c r="E14" s="49">
        <v>11209223</v>
      </c>
      <c r="F14" s="63">
        <v>18062201</v>
      </c>
      <c r="G14" s="53" t="s">
        <v>188</v>
      </c>
      <c r="H14" s="49">
        <f t="shared" si="0"/>
        <v>6852978</v>
      </c>
      <c r="I14" s="53"/>
      <c r="J14" s="21"/>
    </row>
    <row r="15" spans="1:13" x14ac:dyDescent="0.45">
      <c r="A15" s="55" t="s">
        <v>13</v>
      </c>
      <c r="C15" s="51" t="s">
        <v>88</v>
      </c>
      <c r="D15" s="47" t="s">
        <v>136</v>
      </c>
      <c r="E15" s="49">
        <v>14619642</v>
      </c>
      <c r="F15" s="63">
        <v>14656751</v>
      </c>
      <c r="G15" s="53" t="s">
        <v>188</v>
      </c>
      <c r="H15" s="49">
        <f t="shared" si="0"/>
        <v>37109</v>
      </c>
      <c r="I15" s="53"/>
      <c r="J15" s="21"/>
    </row>
    <row r="16" spans="1:13" ht="42.75" x14ac:dyDescent="0.45">
      <c r="A16" s="55" t="s">
        <v>13</v>
      </c>
      <c r="C16" s="51" t="s">
        <v>121</v>
      </c>
      <c r="D16" s="47" t="s">
        <v>51</v>
      </c>
      <c r="E16" s="49">
        <v>696000.24</v>
      </c>
      <c r="F16" s="63">
        <v>1117000</v>
      </c>
      <c r="G16" s="53" t="s">
        <v>196</v>
      </c>
      <c r="H16" s="49">
        <f t="shared" si="0"/>
        <v>420999.76</v>
      </c>
      <c r="I16" s="53"/>
    </row>
    <row r="17" spans="1:10" ht="42.75" x14ac:dyDescent="0.45">
      <c r="A17" s="55" t="s">
        <v>13</v>
      </c>
      <c r="C17" s="51" t="s">
        <v>122</v>
      </c>
      <c r="D17" s="47" t="s">
        <v>51</v>
      </c>
      <c r="E17" s="49">
        <v>12959000.002</v>
      </c>
      <c r="F17" s="63">
        <v>13693000</v>
      </c>
      <c r="G17" s="53" t="s">
        <v>197</v>
      </c>
      <c r="H17" s="49">
        <f t="shared" si="0"/>
        <v>733999.99799999967</v>
      </c>
      <c r="I17" s="53"/>
    </row>
    <row r="18" spans="1:10" ht="57" x14ac:dyDescent="0.45">
      <c r="A18" s="55" t="s">
        <v>13</v>
      </c>
      <c r="C18" s="51" t="s">
        <v>123</v>
      </c>
      <c r="D18" s="47" t="s">
        <v>51</v>
      </c>
      <c r="E18" s="49">
        <v>3704192.26</v>
      </c>
      <c r="F18" s="63">
        <v>2864000</v>
      </c>
      <c r="G18" s="53" t="s">
        <v>219</v>
      </c>
      <c r="H18" s="49">
        <f t="shared" si="0"/>
        <v>-840192.25999999978</v>
      </c>
      <c r="I18" s="53"/>
    </row>
    <row r="19" spans="1:10" ht="42.75" x14ac:dyDescent="0.45">
      <c r="A19" s="55" t="s">
        <v>13</v>
      </c>
      <c r="C19" s="51" t="s">
        <v>124</v>
      </c>
      <c r="D19" s="47" t="s">
        <v>51</v>
      </c>
      <c r="E19" s="49">
        <v>364000.00008999999</v>
      </c>
      <c r="F19" s="63">
        <v>316000</v>
      </c>
      <c r="G19" s="53" t="s">
        <v>195</v>
      </c>
      <c r="H19" s="49">
        <f t="shared" si="0"/>
        <v>-48000.000089999987</v>
      </c>
      <c r="I19" s="53"/>
    </row>
    <row r="20" spans="1:10" ht="57" x14ac:dyDescent="0.45">
      <c r="A20" s="55" t="s">
        <v>13</v>
      </c>
      <c r="C20" s="51" t="s">
        <v>125</v>
      </c>
      <c r="D20" s="47" t="s">
        <v>51</v>
      </c>
      <c r="E20" s="49">
        <v>3633000.01</v>
      </c>
      <c r="F20" s="63">
        <v>4073000</v>
      </c>
      <c r="G20" s="53" t="s">
        <v>194</v>
      </c>
      <c r="H20" s="49">
        <f t="shared" si="0"/>
        <v>439999.99000000022</v>
      </c>
      <c r="I20" s="54"/>
    </row>
    <row r="21" spans="1:10" ht="42.75" x14ac:dyDescent="0.45">
      <c r="A21" s="55" t="s">
        <v>198</v>
      </c>
      <c r="C21" s="51" t="s">
        <v>201</v>
      </c>
      <c r="D21" s="47" t="s">
        <v>198</v>
      </c>
      <c r="E21" s="49">
        <v>22445000</v>
      </c>
      <c r="F21" s="63">
        <v>19699000</v>
      </c>
      <c r="G21" s="53" t="s">
        <v>199</v>
      </c>
      <c r="H21" s="49">
        <f t="shared" si="0"/>
        <v>-2746000</v>
      </c>
      <c r="I21" s="68" t="s">
        <v>218</v>
      </c>
    </row>
    <row r="22" spans="1:10" ht="42.75" x14ac:dyDescent="0.45">
      <c r="A22" s="55" t="s">
        <v>13</v>
      </c>
      <c r="C22" s="51" t="s">
        <v>126</v>
      </c>
      <c r="D22" s="47" t="s">
        <v>51</v>
      </c>
      <c r="E22" s="49">
        <v>584871.99710000004</v>
      </c>
      <c r="F22" s="62">
        <f>ROUND(F21*(E22/E21),0)</f>
        <v>513317</v>
      </c>
      <c r="G22" s="53" t="s">
        <v>200</v>
      </c>
      <c r="H22" s="49">
        <f t="shared" si="0"/>
        <v>-71554.997100000037</v>
      </c>
      <c r="I22" s="54"/>
    </row>
    <row r="23" spans="1:10" ht="42.75" x14ac:dyDescent="0.45">
      <c r="A23" s="55" t="s">
        <v>13</v>
      </c>
      <c r="C23" s="51" t="s">
        <v>128</v>
      </c>
      <c r="D23" s="47" t="s">
        <v>51</v>
      </c>
      <c r="E23" s="49">
        <v>657883.89</v>
      </c>
      <c r="F23" s="63">
        <v>658000</v>
      </c>
      <c r="G23" s="53" t="s">
        <v>202</v>
      </c>
      <c r="H23" s="49">
        <f t="shared" si="0"/>
        <v>116.10999999998603</v>
      </c>
      <c r="I23" s="53"/>
      <c r="J23" s="46"/>
    </row>
    <row r="24" spans="1:10" ht="28.5" x14ac:dyDescent="0.45">
      <c r="A24" s="55" t="s">
        <v>13</v>
      </c>
      <c r="C24" s="51" t="s">
        <v>127</v>
      </c>
      <c r="D24" s="47" t="s">
        <v>51</v>
      </c>
      <c r="E24" s="49">
        <v>504415.03499999997</v>
      </c>
      <c r="F24" s="62">
        <f>ROUND(F23*(F14/(F14+F15)),0)</f>
        <v>363243</v>
      </c>
      <c r="G24" s="53" t="s">
        <v>203</v>
      </c>
      <c r="H24" s="49">
        <f t="shared" si="0"/>
        <v>-141172.03499999997</v>
      </c>
      <c r="I24" s="53"/>
      <c r="J24" s="46"/>
    </row>
    <row r="25" spans="1:10" ht="161.65" customHeight="1" x14ac:dyDescent="0.45">
      <c r="A25" s="55" t="s">
        <v>13</v>
      </c>
      <c r="C25" s="51" t="s">
        <v>180</v>
      </c>
      <c r="D25" s="47" t="s">
        <v>51</v>
      </c>
      <c r="E25" s="49">
        <v>121688</v>
      </c>
      <c r="F25" s="63">
        <f>ROUND(2257121*0.6,0)</f>
        <v>1354273</v>
      </c>
      <c r="G25" s="53" t="s">
        <v>220</v>
      </c>
      <c r="H25" s="49">
        <f t="shared" si="0"/>
        <v>1232585</v>
      </c>
      <c r="I25" s="53"/>
      <c r="J25" s="46"/>
    </row>
    <row r="26" spans="1:10" ht="28.5" x14ac:dyDescent="0.45">
      <c r="A26" s="55" t="s">
        <v>13</v>
      </c>
      <c r="C26" s="51" t="s">
        <v>157</v>
      </c>
      <c r="D26" s="47" t="s">
        <v>51</v>
      </c>
      <c r="E26" s="49">
        <f>E15*0.2</f>
        <v>2923928.4000000004</v>
      </c>
      <c r="F26" s="62">
        <f>ROUND(F15*0.2,0)</f>
        <v>2931350</v>
      </c>
      <c r="G26" s="53" t="s">
        <v>156</v>
      </c>
      <c r="H26" s="49">
        <f t="shared" si="0"/>
        <v>7421.5999999996275</v>
      </c>
      <c r="I26" s="53"/>
      <c r="J26" s="46"/>
    </row>
    <row r="27" spans="1:10" ht="42.75" x14ac:dyDescent="0.45">
      <c r="A27" s="55" t="s">
        <v>13</v>
      </c>
      <c r="C27" s="51" t="s">
        <v>89</v>
      </c>
      <c r="D27" s="47" t="s">
        <v>51</v>
      </c>
      <c r="E27" s="49">
        <v>7309821</v>
      </c>
      <c r="F27" s="62">
        <f>ROUND((E27/E15)*F15,0)</f>
        <v>7328376</v>
      </c>
      <c r="G27" s="53" t="s">
        <v>200</v>
      </c>
      <c r="H27" s="49">
        <f t="shared" si="0"/>
        <v>18555</v>
      </c>
      <c r="I27" s="53"/>
      <c r="J27" s="46"/>
    </row>
    <row r="28" spans="1:10" ht="42.75" x14ac:dyDescent="0.45">
      <c r="A28" s="55" t="s">
        <v>13</v>
      </c>
      <c r="C28" s="51" t="s">
        <v>90</v>
      </c>
      <c r="D28" s="47" t="s">
        <v>51</v>
      </c>
      <c r="E28" s="49">
        <v>146196.42000000001</v>
      </c>
      <c r="F28" s="62">
        <f>ROUND((E28/E15)*F15,0)</f>
        <v>146568</v>
      </c>
      <c r="G28" s="53" t="s">
        <v>200</v>
      </c>
      <c r="H28" s="49">
        <f t="shared" si="0"/>
        <v>371.57999999998719</v>
      </c>
      <c r="I28" s="53"/>
      <c r="J28" s="46"/>
    </row>
    <row r="29" spans="1:10" ht="42.75" x14ac:dyDescent="0.45">
      <c r="A29" s="55" t="s">
        <v>13</v>
      </c>
      <c r="C29" s="51" t="s">
        <v>91</v>
      </c>
      <c r="D29" s="47" t="s">
        <v>51</v>
      </c>
      <c r="E29" s="49">
        <v>292392.84000000003</v>
      </c>
      <c r="F29" s="62">
        <f>ROUND((E29/E15)*F15,0)</f>
        <v>293135</v>
      </c>
      <c r="G29" s="53" t="s">
        <v>200</v>
      </c>
      <c r="H29" s="49">
        <f t="shared" si="0"/>
        <v>742.15999999997439</v>
      </c>
      <c r="I29" s="53"/>
      <c r="J29" s="46"/>
    </row>
    <row r="30" spans="1:10" ht="42.75" x14ac:dyDescent="0.45">
      <c r="A30" s="55" t="s">
        <v>13</v>
      </c>
      <c r="C30" s="51" t="s">
        <v>92</v>
      </c>
      <c r="D30" s="47" t="s">
        <v>51</v>
      </c>
      <c r="E30" s="49">
        <v>730982.10000000009</v>
      </c>
      <c r="F30" s="62">
        <f>ROUND(316000*(F15)/(F15+F14),0)</f>
        <v>141555</v>
      </c>
      <c r="G30" s="53" t="s">
        <v>200</v>
      </c>
      <c r="H30" s="49">
        <f t="shared" si="0"/>
        <v>-589427.10000000009</v>
      </c>
      <c r="I30" s="58"/>
      <c r="J30" s="46"/>
    </row>
    <row r="31" spans="1:10" ht="42.75" x14ac:dyDescent="0.45">
      <c r="A31" s="55" t="s">
        <v>13</v>
      </c>
      <c r="C31" s="51" t="s">
        <v>93</v>
      </c>
      <c r="D31" s="47" t="s">
        <v>51</v>
      </c>
      <c r="E31" s="49">
        <v>730982.10000000009</v>
      </c>
      <c r="F31" s="62">
        <f>ROUND((F17)*(F15/(F15+F14)),0)</f>
        <v>6133903</v>
      </c>
      <c r="G31" s="53" t="s">
        <v>204</v>
      </c>
      <c r="H31" s="49">
        <f t="shared" si="0"/>
        <v>5402920.9000000004</v>
      </c>
      <c r="I31" s="58"/>
      <c r="J31" s="46"/>
    </row>
    <row r="32" spans="1:10" x14ac:dyDescent="0.45">
      <c r="A32" s="55" t="s">
        <v>13</v>
      </c>
      <c r="C32" s="51" t="s">
        <v>94</v>
      </c>
      <c r="D32" s="47" t="s">
        <v>51</v>
      </c>
      <c r="E32" s="49">
        <v>7309821</v>
      </c>
      <c r="F32" s="62">
        <f>F18</f>
        <v>2864000</v>
      </c>
      <c r="G32" s="53" t="s">
        <v>205</v>
      </c>
      <c r="H32" s="49">
        <f t="shared" si="0"/>
        <v>-4445821</v>
      </c>
      <c r="I32" s="58"/>
      <c r="J32" s="46"/>
    </row>
    <row r="33" spans="1:10" ht="28.5" x14ac:dyDescent="0.45">
      <c r="A33" s="55" t="s">
        <v>13</v>
      </c>
      <c r="C33" s="51" t="s">
        <v>95</v>
      </c>
      <c r="D33" s="47" t="s">
        <v>51</v>
      </c>
      <c r="E33" s="49">
        <v>7309821</v>
      </c>
      <c r="F33" s="62">
        <f>F15-F32</f>
        <v>11792751</v>
      </c>
      <c r="G33" s="53" t="s">
        <v>206</v>
      </c>
      <c r="H33" s="49">
        <f t="shared" si="0"/>
        <v>4482930</v>
      </c>
      <c r="I33" s="58"/>
      <c r="J33" s="46"/>
    </row>
    <row r="34" spans="1:10" ht="28.5" x14ac:dyDescent="0.45">
      <c r="A34" s="55" t="s">
        <v>13</v>
      </c>
      <c r="C34" s="51" t="s">
        <v>97</v>
      </c>
      <c r="D34" s="47">
        <v>273.20999999999998</v>
      </c>
      <c r="E34" s="49">
        <v>728868</v>
      </c>
      <c r="F34" s="63">
        <v>91000</v>
      </c>
      <c r="G34" s="68" t="s">
        <v>239</v>
      </c>
      <c r="H34" s="83">
        <f t="shared" si="0"/>
        <v>-637868</v>
      </c>
      <c r="I34" s="58"/>
    </row>
    <row r="35" spans="1:10" ht="28.5" x14ac:dyDescent="0.45">
      <c r="A35" s="55" t="s">
        <v>13</v>
      </c>
      <c r="C35" s="51" t="s">
        <v>98</v>
      </c>
      <c r="D35" s="47" t="s">
        <v>55</v>
      </c>
      <c r="E35" s="49">
        <v>1733336</v>
      </c>
      <c r="F35" s="63">
        <v>19000</v>
      </c>
      <c r="G35" s="68" t="s">
        <v>239</v>
      </c>
      <c r="H35" s="83">
        <f t="shared" si="0"/>
        <v>-1714336</v>
      </c>
      <c r="I35" s="58"/>
    </row>
    <row r="36" spans="1:10" ht="28.5" x14ac:dyDescent="0.45">
      <c r="A36" s="55" t="s">
        <v>13</v>
      </c>
      <c r="C36" s="51" t="s">
        <v>99</v>
      </c>
      <c r="D36" s="47" t="s">
        <v>56</v>
      </c>
      <c r="E36" s="49">
        <v>21342555.850000001</v>
      </c>
      <c r="F36" s="63">
        <v>11624000</v>
      </c>
      <c r="G36" s="68" t="s">
        <v>239</v>
      </c>
      <c r="H36" s="83">
        <f t="shared" si="0"/>
        <v>-9718555.8500000015</v>
      </c>
      <c r="I36" s="58"/>
    </row>
    <row r="37" spans="1:10" ht="28.5" x14ac:dyDescent="0.45">
      <c r="A37" s="55" t="s">
        <v>13</v>
      </c>
      <c r="C37" s="51" t="s">
        <v>100</v>
      </c>
      <c r="D37" s="47" t="s">
        <v>57</v>
      </c>
      <c r="E37" s="49">
        <v>3235456.08</v>
      </c>
      <c r="F37" s="63">
        <v>9366000</v>
      </c>
      <c r="G37" s="68" t="s">
        <v>239</v>
      </c>
      <c r="H37" s="83">
        <f t="shared" si="0"/>
        <v>6130543.9199999999</v>
      </c>
      <c r="I37" s="58"/>
    </row>
    <row r="38" spans="1:10" ht="28.5" x14ac:dyDescent="0.45">
      <c r="A38" s="55" t="s">
        <v>13</v>
      </c>
      <c r="C38" s="51" t="s">
        <v>241</v>
      </c>
      <c r="D38" s="47" t="s">
        <v>240</v>
      </c>
      <c r="E38" s="49">
        <v>37749439.210000001</v>
      </c>
      <c r="F38" s="62">
        <f>(ROUND((E38/E21)*F21,0))*1.1</f>
        <v>36444144</v>
      </c>
      <c r="G38" s="53" t="s">
        <v>207</v>
      </c>
      <c r="H38" s="49">
        <f t="shared" si="0"/>
        <v>-1305295.2100000009</v>
      </c>
      <c r="I38" s="58"/>
      <c r="J38" s="46"/>
    </row>
    <row r="39" spans="1:10" ht="28.5" x14ac:dyDescent="0.45">
      <c r="A39" s="55" t="s">
        <v>13</v>
      </c>
      <c r="C39" s="51" t="s">
        <v>101</v>
      </c>
      <c r="D39" s="47" t="s">
        <v>58</v>
      </c>
      <c r="E39" s="49">
        <v>60942.049999999996</v>
      </c>
      <c r="F39" s="62">
        <f>ROUND((E39/$E$21)*$F$21,0)</f>
        <v>53486</v>
      </c>
      <c r="G39" s="53" t="s">
        <v>207</v>
      </c>
      <c r="H39" s="49">
        <f t="shared" si="0"/>
        <v>-7456.0499999999956</v>
      </c>
      <c r="I39" s="53"/>
      <c r="J39" s="46"/>
    </row>
    <row r="40" spans="1:10" ht="28.5" x14ac:dyDescent="0.45">
      <c r="A40" s="55" t="s">
        <v>13</v>
      </c>
      <c r="C40" s="51" t="s">
        <v>102</v>
      </c>
      <c r="D40" s="47" t="s">
        <v>59</v>
      </c>
      <c r="E40" s="49">
        <v>2359251.0099999998</v>
      </c>
      <c r="F40" s="62">
        <f>ROUND((E40/$E$21)*$F$21,0)</f>
        <v>2070612</v>
      </c>
      <c r="G40" s="53" t="s">
        <v>207</v>
      </c>
      <c r="H40" s="49">
        <f t="shared" si="0"/>
        <v>-288639.00999999978</v>
      </c>
      <c r="I40" s="53"/>
      <c r="J40" s="46"/>
    </row>
    <row r="41" spans="1:10" ht="28.5" x14ac:dyDescent="0.45">
      <c r="A41" s="55" t="s">
        <v>13</v>
      </c>
      <c r="C41" s="51" t="s">
        <v>103</v>
      </c>
      <c r="D41" s="47" t="s">
        <v>60</v>
      </c>
      <c r="E41" s="49">
        <v>22087011.18</v>
      </c>
      <c r="F41" s="62">
        <f>ROUND((E41/$E$21)*$F$21,0)</f>
        <v>19384809</v>
      </c>
      <c r="G41" s="53" t="s">
        <v>207</v>
      </c>
      <c r="H41" s="49">
        <f t="shared" si="0"/>
        <v>-2702202.1799999997</v>
      </c>
      <c r="I41" s="53"/>
      <c r="J41" s="46"/>
    </row>
    <row r="42" spans="1:10" ht="28.5" x14ac:dyDescent="0.45">
      <c r="A42" s="55" t="s">
        <v>13</v>
      </c>
      <c r="C42" s="51" t="s">
        <v>208</v>
      </c>
      <c r="D42" s="47" t="s">
        <v>61</v>
      </c>
      <c r="E42" s="49">
        <v>1655043.19</v>
      </c>
      <c r="F42" s="62">
        <f>ROUND((E42/$E$21)*$F$21,0)</f>
        <v>1452559</v>
      </c>
      <c r="G42" s="53" t="s">
        <v>207</v>
      </c>
      <c r="H42" s="49">
        <f t="shared" si="0"/>
        <v>-202484.18999999994</v>
      </c>
      <c r="I42" s="53"/>
      <c r="J42" s="46"/>
    </row>
    <row r="43" spans="1:10" ht="28.5" x14ac:dyDescent="0.45">
      <c r="A43" s="55" t="s">
        <v>13</v>
      </c>
      <c r="C43" s="51" t="s">
        <v>104</v>
      </c>
      <c r="D43" s="47" t="s">
        <v>62</v>
      </c>
      <c r="E43" s="49">
        <v>365654.94999999995</v>
      </c>
      <c r="F43" s="62">
        <f>ROUND((E43/$E$21)*$F$21,0)</f>
        <v>320919</v>
      </c>
      <c r="G43" s="53" t="s">
        <v>207</v>
      </c>
      <c r="H43" s="49">
        <f t="shared" si="0"/>
        <v>-44735.949999999953</v>
      </c>
      <c r="I43" s="53"/>
      <c r="J43" s="46"/>
    </row>
    <row r="44" spans="1:10" ht="28.5" x14ac:dyDescent="0.45">
      <c r="A44" s="55" t="s">
        <v>13</v>
      </c>
      <c r="C44" s="51" t="s">
        <v>105</v>
      </c>
      <c r="D44" s="47" t="s">
        <v>63</v>
      </c>
      <c r="E44" s="49">
        <v>1655043.19</v>
      </c>
      <c r="F44" s="62">
        <f>ROUND(F42*0.33,0)</f>
        <v>479344</v>
      </c>
      <c r="G44" s="53" t="s">
        <v>209</v>
      </c>
      <c r="H44" s="49">
        <f t="shared" si="0"/>
        <v>-1175699.19</v>
      </c>
      <c r="I44" s="53"/>
      <c r="J44" s="46"/>
    </row>
    <row r="45" spans="1:10" ht="28.5" x14ac:dyDescent="0.45">
      <c r="A45" s="66" t="s">
        <v>117</v>
      </c>
      <c r="C45" s="101" t="s">
        <v>228</v>
      </c>
      <c r="D45" s="94" t="s">
        <v>222</v>
      </c>
      <c r="E45" s="95" t="s">
        <v>198</v>
      </c>
      <c r="F45" s="62">
        <f>F44</f>
        <v>479344</v>
      </c>
      <c r="G45" s="96" t="s">
        <v>238</v>
      </c>
      <c r="H45" s="95" t="s">
        <v>198</v>
      </c>
      <c r="I45" s="96"/>
      <c r="J45" s="46"/>
    </row>
    <row r="46" spans="1:10" ht="28.5" x14ac:dyDescent="0.45">
      <c r="A46" s="66" t="s">
        <v>117</v>
      </c>
      <c r="C46" s="101" t="s">
        <v>229</v>
      </c>
      <c r="D46" s="94" t="s">
        <v>226</v>
      </c>
      <c r="E46" s="95" t="s">
        <v>198</v>
      </c>
      <c r="F46" s="63">
        <v>5224000</v>
      </c>
      <c r="G46" s="96" t="s">
        <v>262</v>
      </c>
      <c r="H46" s="95" t="s">
        <v>198</v>
      </c>
      <c r="I46" s="96"/>
      <c r="J46" s="46"/>
    </row>
    <row r="47" spans="1:10" ht="42.75" x14ac:dyDescent="0.45">
      <c r="A47" s="66" t="s">
        <v>117</v>
      </c>
      <c r="C47" s="101" t="s">
        <v>278</v>
      </c>
      <c r="D47" s="94" t="s">
        <v>276</v>
      </c>
      <c r="E47" s="95" t="s">
        <v>198</v>
      </c>
      <c r="F47" s="63">
        <v>128495</v>
      </c>
      <c r="G47" s="96" t="s">
        <v>279</v>
      </c>
      <c r="H47" s="95" t="s">
        <v>198</v>
      </c>
      <c r="I47" s="96"/>
      <c r="J47" s="46"/>
    </row>
    <row r="48" spans="1:10" ht="28.5" x14ac:dyDescent="0.45">
      <c r="A48" s="66" t="s">
        <v>117</v>
      </c>
      <c r="C48" s="101" t="s">
        <v>230</v>
      </c>
      <c r="D48" s="94" t="s">
        <v>227</v>
      </c>
      <c r="E48" s="95" t="s">
        <v>198</v>
      </c>
      <c r="F48" s="62">
        <f>F14+F15</f>
        <v>32718952</v>
      </c>
      <c r="G48" s="96" t="s">
        <v>237</v>
      </c>
      <c r="H48" s="95" t="s">
        <v>198</v>
      </c>
      <c r="I48" s="96"/>
      <c r="J48" s="46"/>
    </row>
    <row r="49" spans="1:12" ht="124.15" customHeight="1" x14ac:dyDescent="0.45">
      <c r="A49" s="66" t="s">
        <v>117</v>
      </c>
      <c r="C49" s="93" t="s">
        <v>246</v>
      </c>
      <c r="D49" s="94" t="s">
        <v>240</v>
      </c>
      <c r="E49" s="95" t="s">
        <v>198</v>
      </c>
      <c r="F49" s="62">
        <f t="shared" ref="F49:F58" si="1">ROUND(F38*0.8,0)</f>
        <v>29155315</v>
      </c>
      <c r="G49" s="96" t="s">
        <v>210</v>
      </c>
      <c r="H49" s="95" t="s">
        <v>198</v>
      </c>
      <c r="I49" s="96"/>
      <c r="J49" s="46"/>
    </row>
    <row r="50" spans="1:12" ht="115.5" customHeight="1" x14ac:dyDescent="0.45">
      <c r="A50" s="66" t="s">
        <v>117</v>
      </c>
      <c r="C50" s="93" t="s">
        <v>247</v>
      </c>
      <c r="D50" s="94" t="s">
        <v>58</v>
      </c>
      <c r="E50" s="95" t="s">
        <v>198</v>
      </c>
      <c r="F50" s="62">
        <f t="shared" si="1"/>
        <v>42789</v>
      </c>
      <c r="G50" s="96" t="s">
        <v>211</v>
      </c>
      <c r="H50" s="95" t="s">
        <v>198</v>
      </c>
      <c r="I50" s="96"/>
      <c r="J50" s="46"/>
    </row>
    <row r="51" spans="1:12" ht="28.5" x14ac:dyDescent="0.45">
      <c r="A51" s="55" t="s">
        <v>13</v>
      </c>
      <c r="C51" s="51" t="s">
        <v>108</v>
      </c>
      <c r="D51" s="47" t="s">
        <v>59</v>
      </c>
      <c r="E51" s="49">
        <v>2123326</v>
      </c>
      <c r="F51" s="62">
        <f t="shared" si="1"/>
        <v>1656490</v>
      </c>
      <c r="G51" s="53" t="s">
        <v>210</v>
      </c>
      <c r="H51" s="49">
        <f>F51-E51</f>
        <v>-466836</v>
      </c>
      <c r="I51" s="53"/>
      <c r="J51" s="46"/>
    </row>
    <row r="52" spans="1:12" ht="120" customHeight="1" x14ac:dyDescent="0.45">
      <c r="A52" s="66" t="s">
        <v>117</v>
      </c>
      <c r="C52" s="93" t="s">
        <v>248</v>
      </c>
      <c r="D52" s="94" t="s">
        <v>60</v>
      </c>
      <c r="E52" s="95" t="s">
        <v>198</v>
      </c>
      <c r="F52" s="62">
        <f t="shared" si="1"/>
        <v>15507847</v>
      </c>
      <c r="G52" s="96" t="s">
        <v>211</v>
      </c>
      <c r="H52" s="95" t="s">
        <v>198</v>
      </c>
      <c r="I52" s="96"/>
      <c r="J52" s="46"/>
    </row>
    <row r="53" spans="1:12" ht="28.5" x14ac:dyDescent="0.45">
      <c r="A53" s="55" t="s">
        <v>13</v>
      </c>
      <c r="C53" s="51" t="s">
        <v>109</v>
      </c>
      <c r="D53" s="47" t="s">
        <v>61</v>
      </c>
      <c r="E53" s="49">
        <v>82753</v>
      </c>
      <c r="F53" s="62">
        <f t="shared" si="1"/>
        <v>1162047</v>
      </c>
      <c r="G53" s="53" t="s">
        <v>211</v>
      </c>
      <c r="H53" s="49">
        <f>F53-E53</f>
        <v>1079294</v>
      </c>
      <c r="I53" s="53"/>
      <c r="J53" s="46"/>
    </row>
    <row r="54" spans="1:12" ht="28.5" x14ac:dyDescent="0.45">
      <c r="A54" s="55" t="s">
        <v>13</v>
      </c>
      <c r="C54" s="51" t="s">
        <v>110</v>
      </c>
      <c r="D54" s="47" t="s">
        <v>62</v>
      </c>
      <c r="E54" s="49">
        <v>14626</v>
      </c>
      <c r="F54" s="62">
        <f t="shared" si="1"/>
        <v>256735</v>
      </c>
      <c r="G54" s="53" t="s">
        <v>212</v>
      </c>
      <c r="H54" s="49">
        <f>F54-E54</f>
        <v>242109</v>
      </c>
      <c r="I54" s="53"/>
      <c r="J54" s="46"/>
      <c r="L54" s="65"/>
    </row>
    <row r="55" spans="1:12" ht="28.5" x14ac:dyDescent="0.45">
      <c r="A55" s="55" t="s">
        <v>13</v>
      </c>
      <c r="C55" s="51" t="s">
        <v>111</v>
      </c>
      <c r="D55" s="47" t="s">
        <v>63</v>
      </c>
      <c r="E55" s="49">
        <v>1324034</v>
      </c>
      <c r="F55" s="62">
        <f t="shared" si="1"/>
        <v>383475</v>
      </c>
      <c r="G55" s="53" t="s">
        <v>213</v>
      </c>
      <c r="H55" s="49">
        <f>F55-E55</f>
        <v>-940559</v>
      </c>
      <c r="I55" s="53"/>
      <c r="J55" s="46"/>
      <c r="L55" s="65"/>
    </row>
    <row r="56" spans="1:12" ht="28.5" x14ac:dyDescent="0.45">
      <c r="A56" s="66" t="s">
        <v>117</v>
      </c>
      <c r="C56" s="101" t="s">
        <v>231</v>
      </c>
      <c r="D56" s="94" t="s">
        <v>222</v>
      </c>
      <c r="E56" s="95" t="s">
        <v>198</v>
      </c>
      <c r="F56" s="62">
        <f t="shared" si="1"/>
        <v>383475</v>
      </c>
      <c r="G56" s="96" t="s">
        <v>234</v>
      </c>
      <c r="H56" s="95" t="s">
        <v>198</v>
      </c>
      <c r="I56" s="96"/>
      <c r="J56" s="46"/>
      <c r="L56" s="65"/>
    </row>
    <row r="57" spans="1:12" ht="42.75" x14ac:dyDescent="0.45">
      <c r="A57" s="66" t="s">
        <v>117</v>
      </c>
      <c r="C57" s="101" t="s">
        <v>232</v>
      </c>
      <c r="D57" s="94" t="s">
        <v>226</v>
      </c>
      <c r="E57" s="95" t="s">
        <v>198</v>
      </c>
      <c r="F57" s="62">
        <f t="shared" si="1"/>
        <v>4179200</v>
      </c>
      <c r="G57" s="96" t="s">
        <v>235</v>
      </c>
      <c r="H57" s="95" t="s">
        <v>198</v>
      </c>
      <c r="I57" s="96"/>
      <c r="J57" s="46"/>
      <c r="L57" s="65"/>
    </row>
    <row r="58" spans="1:12" ht="28.5" x14ac:dyDescent="0.45">
      <c r="A58" s="66" t="s">
        <v>117</v>
      </c>
      <c r="C58" s="101" t="s">
        <v>278</v>
      </c>
      <c r="D58" s="94" t="s">
        <v>276</v>
      </c>
      <c r="E58" s="95" t="s">
        <v>198</v>
      </c>
      <c r="F58" s="62">
        <f t="shared" si="1"/>
        <v>102796</v>
      </c>
      <c r="G58" s="96" t="s">
        <v>280</v>
      </c>
      <c r="H58" s="95" t="s">
        <v>198</v>
      </c>
      <c r="I58" s="96"/>
      <c r="J58" s="46"/>
      <c r="L58" s="65"/>
    </row>
    <row r="59" spans="1:12" ht="51" customHeight="1" x14ac:dyDescent="0.45">
      <c r="A59" s="66" t="s">
        <v>117</v>
      </c>
      <c r="C59" s="101" t="s">
        <v>233</v>
      </c>
      <c r="D59" s="94" t="s">
        <v>227</v>
      </c>
      <c r="E59" s="95" t="s">
        <v>198</v>
      </c>
      <c r="F59" s="62">
        <f t="shared" ref="F59" si="2">ROUND(F48*0.8,0)</f>
        <v>26175162</v>
      </c>
      <c r="G59" s="96" t="s">
        <v>236</v>
      </c>
      <c r="H59" s="95" t="s">
        <v>198</v>
      </c>
      <c r="I59" s="96"/>
      <c r="J59" s="46"/>
      <c r="L59" s="65"/>
    </row>
    <row r="60" spans="1:12" ht="191.65" customHeight="1" x14ac:dyDescent="0.45">
      <c r="A60" s="55" t="s">
        <v>13</v>
      </c>
      <c r="C60" s="51" t="s">
        <v>129</v>
      </c>
      <c r="D60" s="47" t="s">
        <v>187</v>
      </c>
      <c r="E60" s="49">
        <v>2724</v>
      </c>
      <c r="F60" s="63">
        <v>2724</v>
      </c>
      <c r="G60" s="53" t="s">
        <v>140</v>
      </c>
      <c r="H60" s="49">
        <f>F60-E60</f>
        <v>0</v>
      </c>
      <c r="I60" s="53"/>
      <c r="L60" s="65"/>
    </row>
    <row r="61" spans="1:12" ht="57" x14ac:dyDescent="0.45">
      <c r="A61" s="55" t="s">
        <v>13</v>
      </c>
      <c r="C61" s="51" t="s">
        <v>142</v>
      </c>
      <c r="D61" s="47" t="s">
        <v>119</v>
      </c>
      <c r="E61" s="49">
        <v>127192304.03999999</v>
      </c>
      <c r="F61" s="63">
        <f>43539000+41491000+39271000</f>
        <v>124301000</v>
      </c>
      <c r="G61" s="53" t="s">
        <v>215</v>
      </c>
      <c r="H61" s="49">
        <f>F61-E61</f>
        <v>-2891304.0399999917</v>
      </c>
      <c r="I61" s="58"/>
      <c r="J61" s="46"/>
    </row>
    <row r="62" spans="1:12" ht="28.5" x14ac:dyDescent="0.45">
      <c r="A62" s="55" t="s">
        <v>13</v>
      </c>
      <c r="B62" s="77"/>
      <c r="C62" s="51" t="s">
        <v>130</v>
      </c>
      <c r="D62" s="47" t="s">
        <v>120</v>
      </c>
      <c r="E62" s="49">
        <v>46576077.012000002</v>
      </c>
      <c r="F62" s="62">
        <f>ROUND((E62/$E$21)*$F$21,0)</f>
        <v>40877796</v>
      </c>
      <c r="G62" s="53" t="s">
        <v>207</v>
      </c>
      <c r="H62" s="49">
        <f>F62-E62</f>
        <v>-5698281.012000002</v>
      </c>
      <c r="I62" s="53"/>
      <c r="J62" s="46"/>
    </row>
    <row r="63" spans="1:12" ht="42.75" x14ac:dyDescent="0.45">
      <c r="A63" s="66" t="s">
        <v>117</v>
      </c>
      <c r="C63" s="103" t="s">
        <v>133</v>
      </c>
      <c r="D63" s="94" t="s">
        <v>135</v>
      </c>
      <c r="E63" s="95" t="s">
        <v>198</v>
      </c>
      <c r="F63" s="62">
        <f>ROUND((F14+F15)*0.01,0)</f>
        <v>327190</v>
      </c>
      <c r="G63" s="96" t="s">
        <v>217</v>
      </c>
      <c r="H63" s="95" t="s">
        <v>198</v>
      </c>
      <c r="I63" s="96"/>
    </row>
    <row r="64" spans="1:12" ht="28.5" x14ac:dyDescent="0.45">
      <c r="A64" s="66" t="s">
        <v>117</v>
      </c>
      <c r="C64" s="103" t="s">
        <v>134</v>
      </c>
      <c r="D64" s="94" t="s">
        <v>289</v>
      </c>
      <c r="E64" s="95" t="s">
        <v>198</v>
      </c>
      <c r="F64" s="62">
        <f>ROUND(F15*0.035,0)</f>
        <v>512986</v>
      </c>
      <c r="G64" s="96" t="s">
        <v>263</v>
      </c>
      <c r="H64" s="95" t="s">
        <v>198</v>
      </c>
      <c r="I64" s="96"/>
    </row>
    <row r="65" spans="1:10" ht="42.75" x14ac:dyDescent="0.45">
      <c r="A65" s="66" t="s">
        <v>117</v>
      </c>
      <c r="C65" s="103" t="s">
        <v>184</v>
      </c>
      <c r="D65" s="94" t="s">
        <v>137</v>
      </c>
      <c r="E65" s="95" t="s">
        <v>198</v>
      </c>
      <c r="F65" s="62">
        <f>ROUND((F14+F15)*0.02,0)</f>
        <v>654379</v>
      </c>
      <c r="G65" s="96" t="s">
        <v>216</v>
      </c>
      <c r="H65" s="95" t="s">
        <v>198</v>
      </c>
      <c r="I65" s="96"/>
    </row>
    <row r="66" spans="1:10" ht="42.75" x14ac:dyDescent="0.45">
      <c r="A66" s="66" t="s">
        <v>117</v>
      </c>
      <c r="C66" s="103" t="s">
        <v>179</v>
      </c>
      <c r="D66" s="94" t="s">
        <v>178</v>
      </c>
      <c r="E66" s="95" t="s">
        <v>198</v>
      </c>
      <c r="F66" s="62">
        <f>F14+F15+F37</f>
        <v>42084952</v>
      </c>
      <c r="G66" s="96" t="s">
        <v>221</v>
      </c>
      <c r="H66" s="95" t="s">
        <v>198</v>
      </c>
      <c r="I66" s="96"/>
    </row>
    <row r="67" spans="1:10" ht="128.65" thickBot="1" x14ac:dyDescent="0.5">
      <c r="A67" s="66" t="s">
        <v>117</v>
      </c>
      <c r="B67" s="78"/>
      <c r="C67" s="97" t="s">
        <v>244</v>
      </c>
      <c r="D67" s="98" t="s">
        <v>242</v>
      </c>
      <c r="E67" s="102" t="s">
        <v>198</v>
      </c>
      <c r="F67" s="79">
        <f>ROUND(2864000*0.26,0)</f>
        <v>744640</v>
      </c>
      <c r="G67" s="99" t="s">
        <v>245</v>
      </c>
      <c r="H67" s="102" t="s">
        <v>198</v>
      </c>
      <c r="I67" s="100"/>
      <c r="J67" s="42"/>
    </row>
  </sheetData>
  <mergeCells count="8">
    <mergeCell ref="A2:A4"/>
    <mergeCell ref="D3:D4"/>
    <mergeCell ref="C2:I2"/>
    <mergeCell ref="I3:I4"/>
    <mergeCell ref="H3:H4"/>
    <mergeCell ref="C3:C4"/>
    <mergeCell ref="E3:E4"/>
    <mergeCell ref="F3:G3"/>
  </mergeCells>
  <phoneticPr fontId="7" type="noConversion"/>
  <conditionalFormatting sqref="D63">
    <cfRule type="expression" dxfId="3" priority="5">
      <formula>$C63="No"</formula>
    </cfRule>
  </conditionalFormatting>
  <conditionalFormatting sqref="D64">
    <cfRule type="expression" dxfId="2" priority="4">
      <formula>$C64="No"</formula>
    </cfRule>
  </conditionalFormatting>
  <conditionalFormatting sqref="D65">
    <cfRule type="expression" dxfId="1" priority="3">
      <formula>$C65="No"</formula>
    </cfRule>
  </conditionalFormatting>
  <conditionalFormatting sqref="D66">
    <cfRule type="expression" dxfId="0" priority="2">
      <formula>$C66="No"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zoomScale="86" zoomScaleNormal="100" workbookViewId="0">
      <selection activeCell="E6" sqref="E6"/>
    </sheetView>
  </sheetViews>
  <sheetFormatPr defaultColWidth="8.86328125" defaultRowHeight="14.25" x14ac:dyDescent="0.45"/>
  <cols>
    <col min="1" max="1" width="3.59765625" style="19" customWidth="1"/>
    <col min="2" max="2" width="31.1328125" style="19" bestFit="1" customWidth="1"/>
    <col min="3" max="4" width="14.59765625" style="20" customWidth="1"/>
    <col min="5" max="5" width="61.3984375" style="19" customWidth="1"/>
    <col min="6" max="6" width="35.1328125" style="19" customWidth="1"/>
    <col min="7" max="7" width="17.265625" style="19" customWidth="1"/>
    <col min="8" max="8" width="29.59765625" style="19" customWidth="1"/>
    <col min="9" max="16384" width="8.86328125" style="19"/>
  </cols>
  <sheetData>
    <row r="1" spans="2:8" ht="14.65" thickBot="1" x14ac:dyDescent="0.5"/>
    <row r="2" spans="2:8" ht="30" customHeight="1" x14ac:dyDescent="0.45">
      <c r="B2" s="174" t="s">
        <v>171</v>
      </c>
      <c r="C2" s="175"/>
      <c r="D2" s="175"/>
      <c r="E2" s="175"/>
      <c r="F2" s="179" t="s">
        <v>261</v>
      </c>
      <c r="G2" s="24"/>
    </row>
    <row r="3" spans="2:8" ht="19.5" customHeight="1" x14ac:dyDescent="0.45">
      <c r="B3" s="177" t="s">
        <v>172</v>
      </c>
      <c r="C3" s="173" t="s">
        <v>250</v>
      </c>
      <c r="D3" s="178" t="s">
        <v>251</v>
      </c>
      <c r="E3" s="178"/>
      <c r="F3" s="180"/>
      <c r="H3"/>
    </row>
    <row r="4" spans="2:8" ht="30" customHeight="1" x14ac:dyDescent="0.45">
      <c r="B4" s="177"/>
      <c r="C4" s="173"/>
      <c r="D4" s="81" t="s">
        <v>252</v>
      </c>
      <c r="E4" s="81" t="s">
        <v>12</v>
      </c>
      <c r="F4" s="181"/>
      <c r="H4"/>
    </row>
    <row r="5" spans="2:8" ht="114" x14ac:dyDescent="0.45">
      <c r="B5" s="48" t="s">
        <v>174</v>
      </c>
      <c r="C5" s="36">
        <v>20.75</v>
      </c>
      <c r="D5" s="36">
        <f>ROUND(20.75*1.33, 2)</f>
        <v>27.6</v>
      </c>
      <c r="E5" s="53" t="s">
        <v>288</v>
      </c>
      <c r="F5" s="59"/>
      <c r="H5"/>
    </row>
    <row r="6" spans="2:8" ht="114" x14ac:dyDescent="0.45">
      <c r="B6" s="48" t="s">
        <v>175</v>
      </c>
      <c r="C6" s="36">
        <v>22.56</v>
      </c>
      <c r="D6" s="36">
        <f>ROUND(22.56*1.33,2)</f>
        <v>30</v>
      </c>
      <c r="E6" s="53" t="s">
        <v>295</v>
      </c>
      <c r="F6" s="59"/>
      <c r="H6"/>
    </row>
    <row r="7" spans="2:8" ht="28.9" thickBot="1" x14ac:dyDescent="0.5">
      <c r="B7" s="37" t="s">
        <v>173</v>
      </c>
      <c r="C7" s="38">
        <v>7.25</v>
      </c>
      <c r="D7" s="38">
        <v>7.25</v>
      </c>
      <c r="E7" s="67" t="s">
        <v>176</v>
      </c>
      <c r="F7" s="84"/>
      <c r="H7"/>
    </row>
    <row r="8" spans="2:8" x14ac:dyDescent="0.45">
      <c r="B8" s="21"/>
      <c r="C8" s="22"/>
      <c r="D8" s="22"/>
      <c r="E8" s="23"/>
      <c r="H8"/>
    </row>
    <row r="9" spans="2:8" x14ac:dyDescent="0.45">
      <c r="B9" s="21"/>
      <c r="C9" s="22"/>
      <c r="D9" s="22"/>
      <c r="E9"/>
      <c r="F9"/>
      <c r="G9"/>
      <c r="H9"/>
    </row>
    <row r="10" spans="2:8" x14ac:dyDescent="0.45">
      <c r="E10"/>
      <c r="F10"/>
      <c r="G10"/>
      <c r="H10"/>
    </row>
    <row r="11" spans="2:8" x14ac:dyDescent="0.45">
      <c r="E11"/>
      <c r="F11"/>
      <c r="G11"/>
      <c r="H11"/>
    </row>
    <row r="12" spans="2:8" x14ac:dyDescent="0.45">
      <c r="E12"/>
      <c r="F12"/>
      <c r="G12"/>
      <c r="H12"/>
    </row>
    <row r="13" spans="2:8" x14ac:dyDescent="0.45">
      <c r="E13"/>
      <c r="F13"/>
      <c r="G13"/>
      <c r="H13"/>
    </row>
    <row r="14" spans="2:8" x14ac:dyDescent="0.45">
      <c r="E14"/>
      <c r="F14"/>
      <c r="G14"/>
      <c r="H14"/>
    </row>
    <row r="15" spans="2:8" x14ac:dyDescent="0.45">
      <c r="E15"/>
      <c r="F15"/>
      <c r="G15"/>
      <c r="H15"/>
    </row>
    <row r="16" spans="2:8" x14ac:dyDescent="0.45">
      <c r="E16"/>
      <c r="F16"/>
      <c r="G16"/>
      <c r="H16"/>
    </row>
    <row r="17" spans="5:8" x14ac:dyDescent="0.45">
      <c r="E17"/>
      <c r="F17"/>
      <c r="G17"/>
      <c r="H17"/>
    </row>
    <row r="18" spans="5:8" x14ac:dyDescent="0.45">
      <c r="E18"/>
      <c r="F18"/>
      <c r="G18"/>
      <c r="H18"/>
    </row>
    <row r="19" spans="5:8" x14ac:dyDescent="0.45">
      <c r="E19"/>
      <c r="F19"/>
      <c r="G19"/>
      <c r="H19"/>
    </row>
    <row r="20" spans="5:8" x14ac:dyDescent="0.45">
      <c r="E20"/>
      <c r="F20"/>
      <c r="G20"/>
      <c r="H20"/>
    </row>
    <row r="21" spans="5:8" x14ac:dyDescent="0.45">
      <c r="E21"/>
      <c r="F21"/>
      <c r="G21"/>
      <c r="H21"/>
    </row>
    <row r="22" spans="5:8" x14ac:dyDescent="0.45">
      <c r="E22"/>
      <c r="F22"/>
      <c r="G22"/>
      <c r="H22"/>
    </row>
    <row r="23" spans="5:8" x14ac:dyDescent="0.45">
      <c r="E23"/>
      <c r="F23"/>
      <c r="G23"/>
      <c r="H23"/>
    </row>
    <row r="24" spans="5:8" x14ac:dyDescent="0.45">
      <c r="E24"/>
      <c r="F24"/>
      <c r="G24"/>
      <c r="H24"/>
    </row>
    <row r="25" spans="5:8" x14ac:dyDescent="0.45">
      <c r="E25"/>
      <c r="F25"/>
      <c r="G25"/>
      <c r="H25"/>
    </row>
    <row r="26" spans="5:8" x14ac:dyDescent="0.45">
      <c r="E26"/>
      <c r="F26"/>
      <c r="G26"/>
      <c r="H26"/>
    </row>
    <row r="27" spans="5:8" x14ac:dyDescent="0.45">
      <c r="E27"/>
      <c r="F27"/>
      <c r="G27"/>
      <c r="H27"/>
    </row>
    <row r="28" spans="5:8" x14ac:dyDescent="0.45">
      <c r="E28"/>
      <c r="F28"/>
      <c r="G28"/>
      <c r="H28"/>
    </row>
    <row r="29" spans="5:8" x14ac:dyDescent="0.45">
      <c r="E29"/>
      <c r="F29"/>
      <c r="G29"/>
      <c r="H29"/>
    </row>
    <row r="30" spans="5:8" x14ac:dyDescent="0.45">
      <c r="E30"/>
      <c r="F30"/>
      <c r="G30"/>
      <c r="H30"/>
    </row>
    <row r="31" spans="5:8" x14ac:dyDescent="0.45">
      <c r="E31"/>
      <c r="F31"/>
      <c r="G31"/>
      <c r="H31"/>
    </row>
    <row r="32" spans="5:8" x14ac:dyDescent="0.45">
      <c r="E32"/>
      <c r="F32"/>
      <c r="G32"/>
      <c r="H32"/>
    </row>
    <row r="33" spans="5:8" x14ac:dyDescent="0.45">
      <c r="E33"/>
      <c r="F33"/>
      <c r="G33"/>
      <c r="H33"/>
    </row>
    <row r="34" spans="5:8" x14ac:dyDescent="0.45">
      <c r="E34"/>
      <c r="F34"/>
      <c r="G34"/>
      <c r="H34"/>
    </row>
    <row r="35" spans="5:8" x14ac:dyDescent="0.45">
      <c r="E35"/>
      <c r="F35"/>
      <c r="G35"/>
      <c r="H35"/>
    </row>
    <row r="36" spans="5:8" x14ac:dyDescent="0.45">
      <c r="E36"/>
      <c r="F36"/>
      <c r="G36"/>
      <c r="H36"/>
    </row>
    <row r="37" spans="5:8" x14ac:dyDescent="0.45">
      <c r="E37"/>
      <c r="F37"/>
      <c r="G37"/>
      <c r="H37"/>
    </row>
    <row r="38" spans="5:8" x14ac:dyDescent="0.45">
      <c r="E38"/>
      <c r="F38"/>
      <c r="G38"/>
      <c r="H38"/>
    </row>
    <row r="39" spans="5:8" x14ac:dyDescent="0.45">
      <c r="E39"/>
      <c r="F39"/>
      <c r="G39"/>
      <c r="H39"/>
    </row>
    <row r="40" spans="5:8" x14ac:dyDescent="0.45">
      <c r="E40"/>
      <c r="F40"/>
      <c r="G40"/>
      <c r="H40"/>
    </row>
    <row r="41" spans="5:8" x14ac:dyDescent="0.45">
      <c r="E41"/>
      <c r="F41"/>
      <c r="G41"/>
      <c r="H41"/>
    </row>
    <row r="42" spans="5:8" x14ac:dyDescent="0.45">
      <c r="E42"/>
      <c r="F42"/>
      <c r="G42"/>
      <c r="H42"/>
    </row>
    <row r="43" spans="5:8" x14ac:dyDescent="0.45">
      <c r="E43"/>
      <c r="F43"/>
      <c r="G43"/>
      <c r="H43"/>
    </row>
    <row r="44" spans="5:8" x14ac:dyDescent="0.45">
      <c r="E44"/>
      <c r="F44"/>
      <c r="G44"/>
      <c r="H44"/>
    </row>
    <row r="45" spans="5:8" x14ac:dyDescent="0.45">
      <c r="E45"/>
      <c r="F45"/>
      <c r="G45"/>
      <c r="H45"/>
    </row>
    <row r="46" spans="5:8" x14ac:dyDescent="0.45">
      <c r="E46"/>
      <c r="F46"/>
      <c r="G46"/>
      <c r="H46"/>
    </row>
    <row r="47" spans="5:8" x14ac:dyDescent="0.45">
      <c r="E47"/>
      <c r="F47"/>
      <c r="G47"/>
      <c r="H47"/>
    </row>
    <row r="48" spans="5:8" x14ac:dyDescent="0.45">
      <c r="E48"/>
      <c r="F48"/>
      <c r="G48"/>
      <c r="H48"/>
    </row>
    <row r="49" spans="5:8" x14ac:dyDescent="0.45">
      <c r="E49"/>
      <c r="F49"/>
      <c r="G49"/>
      <c r="H49"/>
    </row>
    <row r="50" spans="5:8" x14ac:dyDescent="0.45">
      <c r="E50"/>
      <c r="F50"/>
      <c r="G50"/>
      <c r="H50"/>
    </row>
    <row r="51" spans="5:8" x14ac:dyDescent="0.45">
      <c r="E51"/>
      <c r="F51"/>
      <c r="G51"/>
      <c r="H51"/>
    </row>
    <row r="52" spans="5:8" x14ac:dyDescent="0.45">
      <c r="E52"/>
      <c r="F52"/>
      <c r="G52"/>
      <c r="H52"/>
    </row>
    <row r="53" spans="5:8" x14ac:dyDescent="0.45">
      <c r="E53"/>
      <c r="F53"/>
      <c r="G53"/>
      <c r="H53"/>
    </row>
    <row r="54" spans="5:8" x14ac:dyDescent="0.45">
      <c r="E54"/>
      <c r="F54"/>
      <c r="G54"/>
      <c r="H54"/>
    </row>
    <row r="55" spans="5:8" x14ac:dyDescent="0.45">
      <c r="E55"/>
      <c r="F55"/>
      <c r="G55"/>
      <c r="H55"/>
    </row>
    <row r="56" spans="5:8" x14ac:dyDescent="0.45">
      <c r="E56"/>
      <c r="F56"/>
      <c r="G56"/>
      <c r="H56"/>
    </row>
  </sheetData>
  <mergeCells count="5">
    <mergeCell ref="B2:E2"/>
    <mergeCell ref="B3:B4"/>
    <mergeCell ref="C3:C4"/>
    <mergeCell ref="D3:E3"/>
    <mergeCell ref="F2:F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35"/>
  <sheetViews>
    <sheetView zoomScale="46" zoomScaleNormal="85" workbookViewId="0">
      <pane ySplit="1" topLeftCell="A2" activePane="bottomLeft" state="frozen"/>
      <selection activeCell="C1" sqref="C1"/>
      <selection pane="bottomLeft" activeCell="I14" sqref="I14"/>
    </sheetView>
  </sheetViews>
  <sheetFormatPr defaultRowHeight="14.25" x14ac:dyDescent="0.45"/>
  <cols>
    <col min="1" max="1" width="13.86328125" style="42" customWidth="1"/>
    <col min="2" max="2" width="3.59765625" style="42" customWidth="1"/>
    <col min="3" max="3" width="17.1328125" style="4" customWidth="1"/>
    <col min="4" max="4" width="30.59765625" style="2" customWidth="1"/>
    <col min="5" max="5" width="18.86328125" style="1" customWidth="1"/>
    <col min="6" max="6" width="18.86328125" style="6" customWidth="1"/>
    <col min="7" max="7" width="18.86328125" style="125" customWidth="1"/>
    <col min="8" max="8" width="18.86328125" style="132" customWidth="1"/>
    <col min="9" max="15" width="18.86328125" style="6" customWidth="1"/>
    <col min="16" max="16" width="4.1328125" style="1" customWidth="1"/>
    <col min="17" max="17" width="7.3984375" customWidth="1"/>
    <col min="18" max="18" width="21.3984375" customWidth="1"/>
  </cols>
  <sheetData>
    <row r="1" spans="1:18" ht="14.65" thickBot="1" x14ac:dyDescent="0.5"/>
    <row r="2" spans="1:18" ht="30" customHeight="1" x14ac:dyDescent="0.45">
      <c r="A2" s="173" t="s">
        <v>254</v>
      </c>
      <c r="C2" s="193" t="s">
        <v>131</v>
      </c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5"/>
    </row>
    <row r="3" spans="1:18" ht="70.900000000000006" customHeight="1" x14ac:dyDescent="0.45">
      <c r="A3" s="173"/>
      <c r="C3" s="31" t="s">
        <v>0</v>
      </c>
      <c r="D3" s="32" t="s">
        <v>1</v>
      </c>
      <c r="E3" s="32" t="s">
        <v>2</v>
      </c>
      <c r="F3" s="33" t="s">
        <v>164</v>
      </c>
      <c r="G3" s="126" t="s">
        <v>3</v>
      </c>
      <c r="H3" s="133" t="s">
        <v>253</v>
      </c>
      <c r="I3" s="33" t="s">
        <v>165</v>
      </c>
      <c r="J3" s="33" t="s">
        <v>161</v>
      </c>
      <c r="K3" s="33" t="s">
        <v>162</v>
      </c>
      <c r="L3" s="33" t="s">
        <v>163</v>
      </c>
      <c r="M3" s="33" t="s">
        <v>166</v>
      </c>
      <c r="N3" s="33" t="s">
        <v>167</v>
      </c>
      <c r="O3" s="34" t="s">
        <v>168</v>
      </c>
      <c r="Q3" s="24" t="s">
        <v>158</v>
      </c>
      <c r="R3" s="69" t="s">
        <v>214</v>
      </c>
    </row>
    <row r="4" spans="1:18" s="2" customFormat="1" x14ac:dyDescent="0.45">
      <c r="A4" s="173"/>
      <c r="B4" s="42"/>
      <c r="C4" s="35" t="s">
        <v>144</v>
      </c>
      <c r="D4" s="29" t="s">
        <v>145</v>
      </c>
      <c r="E4" s="29" t="s">
        <v>146</v>
      </c>
      <c r="F4" s="30" t="s">
        <v>147</v>
      </c>
      <c r="G4" s="127" t="s">
        <v>148</v>
      </c>
      <c r="H4" s="134" t="s">
        <v>149</v>
      </c>
      <c r="I4" s="17" t="s">
        <v>150</v>
      </c>
      <c r="J4" s="17" t="s">
        <v>151</v>
      </c>
      <c r="K4" s="17" t="s">
        <v>169</v>
      </c>
      <c r="L4" s="17" t="s">
        <v>152</v>
      </c>
      <c r="M4" s="17" t="s">
        <v>255</v>
      </c>
      <c r="N4" s="17" t="s">
        <v>170</v>
      </c>
      <c r="O4" s="18" t="s">
        <v>257</v>
      </c>
      <c r="P4" s="1"/>
      <c r="R4"/>
    </row>
    <row r="5" spans="1:18" s="42" customFormat="1" ht="29.65" customHeight="1" x14ac:dyDescent="0.45">
      <c r="A5" s="137"/>
      <c r="C5" s="199" t="s">
        <v>283</v>
      </c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1"/>
      <c r="P5" s="43"/>
    </row>
    <row r="6" spans="1:18" s="2" customFormat="1" ht="24" customHeight="1" x14ac:dyDescent="0.45">
      <c r="A6" s="73"/>
      <c r="B6" s="42"/>
      <c r="C6" s="196" t="s">
        <v>14</v>
      </c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8"/>
      <c r="P6" s="1"/>
    </row>
    <row r="7" spans="1:18" s="2" customFormat="1" x14ac:dyDescent="0.45">
      <c r="A7" s="71"/>
      <c r="B7" s="42"/>
      <c r="C7" s="187" t="s">
        <v>77</v>
      </c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9"/>
      <c r="P7" s="1"/>
    </row>
    <row r="8" spans="1:18" ht="45" customHeight="1" x14ac:dyDescent="0.45">
      <c r="A8" s="55" t="s">
        <v>13</v>
      </c>
      <c r="C8" s="70">
        <v>273.2</v>
      </c>
      <c r="D8" s="3" t="s">
        <v>30</v>
      </c>
      <c r="E8" s="5">
        <f>Assumptions!F5</f>
        <v>53</v>
      </c>
      <c r="F8" s="52">
        <f>G8/E8</f>
        <v>340796.24528301886</v>
      </c>
      <c r="G8" s="5">
        <f>Assumptions!F14</f>
        <v>18062201</v>
      </c>
      <c r="H8" s="128">
        <v>0.31730000000000003</v>
      </c>
      <c r="I8" s="52">
        <f>G8*H8</f>
        <v>5731136.3773000007</v>
      </c>
      <c r="J8" s="39">
        <f>'Labor Rates'!$D$5</f>
        <v>27.6</v>
      </c>
      <c r="K8" s="39">
        <f>I8*J8</f>
        <v>158179364.01348004</v>
      </c>
      <c r="L8" s="52">
        <v>3556686.4579000003</v>
      </c>
      <c r="M8" s="52">
        <f>I8-L8</f>
        <v>2174449.9194000005</v>
      </c>
      <c r="N8" s="52">
        <v>0</v>
      </c>
      <c r="O8" s="8">
        <f>M8+N8</f>
        <v>2174449.9194000005</v>
      </c>
    </row>
    <row r="9" spans="1:18" s="2" customFormat="1" x14ac:dyDescent="0.45">
      <c r="A9" s="71"/>
      <c r="B9" s="42"/>
      <c r="C9" s="187" t="s">
        <v>76</v>
      </c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9"/>
      <c r="P9" s="1"/>
    </row>
    <row r="10" spans="1:18" ht="45" customHeight="1" x14ac:dyDescent="0.45">
      <c r="A10" s="55" t="s">
        <v>13</v>
      </c>
      <c r="C10" s="70" t="s">
        <v>50</v>
      </c>
      <c r="D10" s="3" t="s">
        <v>40</v>
      </c>
      <c r="E10" s="5">
        <f>Assumptions!F6</f>
        <v>40</v>
      </c>
      <c r="F10" s="52">
        <f>G10/E10</f>
        <v>340796.25</v>
      </c>
      <c r="G10" s="5">
        <f>Assumptions!F8</f>
        <v>13631850</v>
      </c>
      <c r="H10" s="128">
        <v>0.63460000000000005</v>
      </c>
      <c r="I10" s="52">
        <f>G10*H10</f>
        <v>8650772.0100000016</v>
      </c>
      <c r="J10" s="39">
        <f>'Labor Rates'!$D$5</f>
        <v>27.6</v>
      </c>
      <c r="K10" s="39">
        <f>I10*J10</f>
        <v>238761307.47600007</v>
      </c>
      <c r="L10" s="52">
        <v>4229815.442075788</v>
      </c>
      <c r="M10" s="52">
        <f>I10-L10</f>
        <v>4420956.5679242136</v>
      </c>
      <c r="N10" s="52">
        <v>0</v>
      </c>
      <c r="O10" s="8">
        <f>M10+N10</f>
        <v>4420956.5679242136</v>
      </c>
    </row>
    <row r="11" spans="1:18" s="2" customFormat="1" ht="45" customHeight="1" x14ac:dyDescent="0.45">
      <c r="A11" s="55" t="s">
        <v>13</v>
      </c>
      <c r="B11" s="42"/>
      <c r="C11" s="70" t="s">
        <v>50</v>
      </c>
      <c r="D11" s="3" t="s">
        <v>15</v>
      </c>
      <c r="E11" s="5">
        <f>Assumptions!F7</f>
        <v>13</v>
      </c>
      <c r="F11" s="52">
        <f>G11/E11</f>
        <v>340796.23076923075</v>
      </c>
      <c r="G11" s="5">
        <f>Assumptions!F9</f>
        <v>4430351</v>
      </c>
      <c r="H11" s="128">
        <v>0.63460000000000005</v>
      </c>
      <c r="I11" s="52">
        <f>G11*H11</f>
        <v>2811500.7446000003</v>
      </c>
      <c r="J11" s="39">
        <f>'Labor Rates'!$D$5</f>
        <v>27.6</v>
      </c>
      <c r="K11" s="39">
        <f>I11*J11</f>
        <v>77597420.550960019</v>
      </c>
      <c r="L11" s="52">
        <v>1374716.0283018867</v>
      </c>
      <c r="M11" s="52">
        <f>I11-L11</f>
        <v>1436784.7162981136</v>
      </c>
      <c r="N11" s="52">
        <v>0</v>
      </c>
      <c r="O11" s="8">
        <f>M11+N11</f>
        <v>1436784.7162981136</v>
      </c>
      <c r="P11" s="1"/>
    </row>
    <row r="12" spans="1:18" s="2" customFormat="1" x14ac:dyDescent="0.45">
      <c r="A12" s="71"/>
      <c r="B12" s="42"/>
      <c r="C12" s="187" t="s">
        <v>78</v>
      </c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9"/>
      <c r="P12" s="1"/>
    </row>
    <row r="13" spans="1:18" s="2" customFormat="1" ht="45" customHeight="1" x14ac:dyDescent="0.45">
      <c r="A13" s="55" t="s">
        <v>13</v>
      </c>
      <c r="B13" s="42"/>
      <c r="C13" s="70" t="s">
        <v>51</v>
      </c>
      <c r="D13" s="3" t="s">
        <v>16</v>
      </c>
      <c r="E13" s="5">
        <f>Assumptions!F5</f>
        <v>53</v>
      </c>
      <c r="F13" s="52">
        <f>G13/E13</f>
        <v>340796.24528301886</v>
      </c>
      <c r="G13" s="5">
        <f>Assumptions!F14</f>
        <v>18062201</v>
      </c>
      <c r="H13" s="128">
        <v>8.3500000000000005E-2</v>
      </c>
      <c r="I13" s="52">
        <f>G13*H13</f>
        <v>1508193.7835000001</v>
      </c>
      <c r="J13" s="39">
        <f>'Labor Rates'!$D$5</f>
        <v>27.6</v>
      </c>
      <c r="K13" s="39">
        <f t="shared" ref="K13:K27" si="0">I13*J13</f>
        <v>41626148.424600005</v>
      </c>
      <c r="L13" s="52">
        <v>561582.0723</v>
      </c>
      <c r="M13" s="52">
        <f>I13-L13</f>
        <v>946611.71120000014</v>
      </c>
      <c r="N13" s="52">
        <v>0</v>
      </c>
      <c r="O13" s="8">
        <f>M13+N13</f>
        <v>946611.71120000014</v>
      </c>
      <c r="P13" s="1"/>
    </row>
    <row r="14" spans="1:18" s="2" customFormat="1" ht="45" customHeight="1" x14ac:dyDescent="0.45">
      <c r="A14" s="55" t="s">
        <v>13</v>
      </c>
      <c r="B14" s="42"/>
      <c r="C14" s="70" t="s">
        <v>51</v>
      </c>
      <c r="D14" s="3" t="s">
        <v>17</v>
      </c>
      <c r="E14" s="5">
        <f>Assumptions!F5</f>
        <v>53</v>
      </c>
      <c r="F14" s="52">
        <f t="shared" ref="F14:F27" si="1">G14/E14</f>
        <v>340796.24528301886</v>
      </c>
      <c r="G14" s="5">
        <f>Assumptions!F14</f>
        <v>18062201</v>
      </c>
      <c r="H14" s="128">
        <v>8.3500000000000005E-2</v>
      </c>
      <c r="I14" s="52">
        <f t="shared" ref="I14:I59" si="2">G14*H14</f>
        <v>1508193.7835000001</v>
      </c>
      <c r="J14" s="39">
        <f>'Labor Rates'!$D$5</f>
        <v>27.6</v>
      </c>
      <c r="K14" s="39">
        <f t="shared" si="0"/>
        <v>41626148.424600005</v>
      </c>
      <c r="L14" s="52">
        <v>561582.0723</v>
      </c>
      <c r="M14" s="52">
        <f t="shared" ref="M14:M29" si="3">I14-L14</f>
        <v>946611.71120000014</v>
      </c>
      <c r="N14" s="52">
        <v>0</v>
      </c>
      <c r="O14" s="8">
        <f t="shared" ref="O14:O29" si="4">M14+N14</f>
        <v>946611.71120000014</v>
      </c>
      <c r="P14" s="1"/>
    </row>
    <row r="15" spans="1:18" s="2" customFormat="1" ht="45" customHeight="1" x14ac:dyDescent="0.45">
      <c r="A15" s="55" t="s">
        <v>13</v>
      </c>
      <c r="B15" s="42"/>
      <c r="C15" s="70" t="s">
        <v>51</v>
      </c>
      <c r="D15" s="3" t="s">
        <v>18</v>
      </c>
      <c r="E15" s="5">
        <f>Assumptions!F5</f>
        <v>53</v>
      </c>
      <c r="F15" s="52">
        <f t="shared" si="1"/>
        <v>340796.24528301886</v>
      </c>
      <c r="G15" s="5">
        <f>Assumptions!F14</f>
        <v>18062201</v>
      </c>
      <c r="H15" s="128">
        <v>8.3500000000000005E-2</v>
      </c>
      <c r="I15" s="52">
        <f t="shared" si="2"/>
        <v>1508193.7835000001</v>
      </c>
      <c r="J15" s="39">
        <f>'Labor Rates'!$D$5</f>
        <v>27.6</v>
      </c>
      <c r="K15" s="39">
        <f t="shared" si="0"/>
        <v>41626148.424600005</v>
      </c>
      <c r="L15" s="52">
        <v>561582.0723</v>
      </c>
      <c r="M15" s="52">
        <f t="shared" si="3"/>
        <v>946611.71120000014</v>
      </c>
      <c r="N15" s="52">
        <v>0</v>
      </c>
      <c r="O15" s="8">
        <f t="shared" si="4"/>
        <v>946611.71120000014</v>
      </c>
      <c r="P15" s="1"/>
    </row>
    <row r="16" spans="1:18" s="2" customFormat="1" ht="45" customHeight="1" x14ac:dyDescent="0.45">
      <c r="A16" s="55" t="s">
        <v>13</v>
      </c>
      <c r="B16" s="42"/>
      <c r="C16" s="70" t="s">
        <v>51</v>
      </c>
      <c r="D16" s="3" t="s">
        <v>19</v>
      </c>
      <c r="E16" s="5">
        <f>Assumptions!F5</f>
        <v>53</v>
      </c>
      <c r="F16" s="52">
        <f t="shared" si="1"/>
        <v>340796.24528301886</v>
      </c>
      <c r="G16" s="5">
        <f>Assumptions!F14</f>
        <v>18062201</v>
      </c>
      <c r="H16" s="128">
        <v>8.3500000000000005E-2</v>
      </c>
      <c r="I16" s="52">
        <f t="shared" si="2"/>
        <v>1508193.7835000001</v>
      </c>
      <c r="J16" s="39">
        <f>'Labor Rates'!$D$5</f>
        <v>27.6</v>
      </c>
      <c r="K16" s="39">
        <f t="shared" si="0"/>
        <v>41626148.424600005</v>
      </c>
      <c r="L16" s="52">
        <v>561582.0723</v>
      </c>
      <c r="M16" s="52">
        <f t="shared" si="3"/>
        <v>946611.71120000014</v>
      </c>
      <c r="N16" s="52">
        <v>0</v>
      </c>
      <c r="O16" s="8">
        <f t="shared" si="4"/>
        <v>946611.71120000014</v>
      </c>
      <c r="P16" s="1"/>
    </row>
    <row r="17" spans="1:16" s="2" customFormat="1" ht="45" customHeight="1" x14ac:dyDescent="0.45">
      <c r="A17" s="55" t="s">
        <v>13</v>
      </c>
      <c r="B17" s="42"/>
      <c r="C17" s="70" t="s">
        <v>51</v>
      </c>
      <c r="D17" s="3" t="s">
        <v>20</v>
      </c>
      <c r="E17" s="5">
        <f>Assumptions!F5</f>
        <v>53</v>
      </c>
      <c r="F17" s="52">
        <f t="shared" si="1"/>
        <v>21075.471698113208</v>
      </c>
      <c r="G17" s="5">
        <f>Assumptions!F16</f>
        <v>1117000</v>
      </c>
      <c r="H17" s="128">
        <v>8.3500000000000005E-2</v>
      </c>
      <c r="I17" s="52">
        <f t="shared" si="2"/>
        <v>93269.5</v>
      </c>
      <c r="J17" s="39">
        <f>'Labor Rates'!$D$5</f>
        <v>27.6</v>
      </c>
      <c r="K17" s="39">
        <f t="shared" si="0"/>
        <v>2574238.2000000002</v>
      </c>
      <c r="L17" s="52">
        <v>34869.612024000002</v>
      </c>
      <c r="M17" s="52">
        <f t="shared" si="3"/>
        <v>58399.887975999998</v>
      </c>
      <c r="N17" s="52">
        <v>0</v>
      </c>
      <c r="O17" s="8">
        <f t="shared" si="4"/>
        <v>58399.887975999998</v>
      </c>
      <c r="P17" s="1"/>
    </row>
    <row r="18" spans="1:16" s="2" customFormat="1" ht="45" customHeight="1" x14ac:dyDescent="0.45">
      <c r="A18" s="55" t="s">
        <v>13</v>
      </c>
      <c r="B18" s="42"/>
      <c r="C18" s="70" t="s">
        <v>51</v>
      </c>
      <c r="D18" s="3" t="s">
        <v>21</v>
      </c>
      <c r="E18" s="5">
        <f>Assumptions!F5</f>
        <v>53</v>
      </c>
      <c r="F18" s="52">
        <f t="shared" si="1"/>
        <v>340796.24528301886</v>
      </c>
      <c r="G18" s="5">
        <f>Assumptions!F14</f>
        <v>18062201</v>
      </c>
      <c r="H18" s="128">
        <v>8.3500000000000005E-2</v>
      </c>
      <c r="I18" s="52">
        <f t="shared" si="2"/>
        <v>1508193.7835000001</v>
      </c>
      <c r="J18" s="39">
        <f>'Labor Rates'!$D$5</f>
        <v>27.6</v>
      </c>
      <c r="K18" s="39">
        <f t="shared" si="0"/>
        <v>41626148.424600005</v>
      </c>
      <c r="L18" s="52">
        <v>561582.0723</v>
      </c>
      <c r="M18" s="52">
        <f t="shared" si="3"/>
        <v>946611.71120000014</v>
      </c>
      <c r="N18" s="52">
        <v>0</v>
      </c>
      <c r="O18" s="8">
        <f t="shared" si="4"/>
        <v>946611.71120000014</v>
      </c>
      <c r="P18" s="1"/>
    </row>
    <row r="19" spans="1:16" s="2" customFormat="1" ht="80.099999999999994" customHeight="1" x14ac:dyDescent="0.45">
      <c r="A19" s="55" t="s">
        <v>13</v>
      </c>
      <c r="B19" s="42"/>
      <c r="C19" s="70" t="s">
        <v>51</v>
      </c>
      <c r="D19" s="3" t="s">
        <v>22</v>
      </c>
      <c r="E19" s="5">
        <f>Assumptions!F5</f>
        <v>53</v>
      </c>
      <c r="F19" s="52">
        <f t="shared" si="1"/>
        <v>258358.49056603774</v>
      </c>
      <c r="G19" s="5">
        <f>Assumptions!F17</f>
        <v>13693000</v>
      </c>
      <c r="H19" s="128">
        <v>8.3500000000000005E-2</v>
      </c>
      <c r="I19" s="52">
        <f t="shared" si="2"/>
        <v>1143365.5</v>
      </c>
      <c r="J19" s="39">
        <f>'Labor Rates'!$D$5</f>
        <v>27.6</v>
      </c>
      <c r="K19" s="39">
        <f t="shared" si="0"/>
        <v>31556887.800000001</v>
      </c>
      <c r="L19" s="52">
        <v>649245.90010019997</v>
      </c>
      <c r="M19" s="52">
        <f t="shared" si="3"/>
        <v>494119.59989980003</v>
      </c>
      <c r="N19" s="52">
        <v>0</v>
      </c>
      <c r="O19" s="8">
        <f t="shared" si="4"/>
        <v>494119.59989980003</v>
      </c>
      <c r="P19" s="1"/>
    </row>
    <row r="20" spans="1:16" s="2" customFormat="1" ht="45" customHeight="1" x14ac:dyDescent="0.45">
      <c r="A20" s="55" t="s">
        <v>13</v>
      </c>
      <c r="B20" s="42"/>
      <c r="C20" s="70" t="s">
        <v>51</v>
      </c>
      <c r="D20" s="3" t="s">
        <v>23</v>
      </c>
      <c r="E20" s="5">
        <f>Assumptions!F5</f>
        <v>53</v>
      </c>
      <c r="F20" s="52">
        <f t="shared" si="1"/>
        <v>54037.735849056604</v>
      </c>
      <c r="G20" s="5">
        <f>Assumptions!F18</f>
        <v>2864000</v>
      </c>
      <c r="H20" s="128">
        <v>8.3500000000000005E-2</v>
      </c>
      <c r="I20" s="52">
        <f t="shared" si="2"/>
        <v>239144</v>
      </c>
      <c r="J20" s="39">
        <f>'Labor Rates'!$D$5</f>
        <v>27.6</v>
      </c>
      <c r="K20" s="39">
        <f t="shared" si="0"/>
        <v>6600374.4000000004</v>
      </c>
      <c r="L20" s="52">
        <v>185580.03222599998</v>
      </c>
      <c r="M20" s="52">
        <f t="shared" si="3"/>
        <v>53563.967774000019</v>
      </c>
      <c r="N20" s="52">
        <v>0</v>
      </c>
      <c r="O20" s="8">
        <f t="shared" si="4"/>
        <v>53563.967774000019</v>
      </c>
      <c r="P20" s="1"/>
    </row>
    <row r="21" spans="1:16" s="2" customFormat="1" ht="45" customHeight="1" x14ac:dyDescent="0.45">
      <c r="A21" s="55" t="s">
        <v>13</v>
      </c>
      <c r="B21" s="42"/>
      <c r="C21" s="70" t="s">
        <v>51</v>
      </c>
      <c r="D21" s="3" t="s">
        <v>24</v>
      </c>
      <c r="E21" s="5">
        <f>Assumptions!F5</f>
        <v>53</v>
      </c>
      <c r="F21" s="52">
        <f t="shared" si="1"/>
        <v>5962.2641509433961</v>
      </c>
      <c r="G21" s="5">
        <f>Assumptions!F19</f>
        <v>316000</v>
      </c>
      <c r="H21" s="128">
        <v>8.3500000000000005E-2</v>
      </c>
      <c r="I21" s="52">
        <f t="shared" si="2"/>
        <v>26386</v>
      </c>
      <c r="J21" s="39">
        <f>'Labor Rates'!$D$5</f>
        <v>27.6</v>
      </c>
      <c r="K21" s="39">
        <f t="shared" si="0"/>
        <v>728253.60000000009</v>
      </c>
      <c r="L21" s="52">
        <v>18236.400004509</v>
      </c>
      <c r="M21" s="52">
        <f t="shared" si="3"/>
        <v>8149.5999954910003</v>
      </c>
      <c r="N21" s="52">
        <v>0</v>
      </c>
      <c r="O21" s="8">
        <f t="shared" si="4"/>
        <v>8149.5999954910003</v>
      </c>
      <c r="P21" s="1"/>
    </row>
    <row r="22" spans="1:16" s="2" customFormat="1" ht="45" customHeight="1" x14ac:dyDescent="0.45">
      <c r="A22" s="55" t="s">
        <v>13</v>
      </c>
      <c r="B22" s="42"/>
      <c r="C22" s="70" t="s">
        <v>51</v>
      </c>
      <c r="D22" s="3" t="s">
        <v>25</v>
      </c>
      <c r="E22" s="5">
        <f>Assumptions!F5</f>
        <v>53</v>
      </c>
      <c r="F22" s="52">
        <f t="shared" si="1"/>
        <v>76849.056603773584</v>
      </c>
      <c r="G22" s="5">
        <f>Assumptions!F20</f>
        <v>4073000</v>
      </c>
      <c r="H22" s="128">
        <v>8.3500000000000005E-2</v>
      </c>
      <c r="I22" s="52">
        <f t="shared" si="2"/>
        <v>340095.5</v>
      </c>
      <c r="J22" s="39">
        <f>'Labor Rates'!$D$5</f>
        <v>27.6</v>
      </c>
      <c r="K22" s="39">
        <f t="shared" si="0"/>
        <v>9386635.8000000007</v>
      </c>
      <c r="L22" s="52">
        <v>182013.30050099999</v>
      </c>
      <c r="M22" s="52">
        <f t="shared" si="3"/>
        <v>158082.19949900001</v>
      </c>
      <c r="N22" s="52">
        <v>0</v>
      </c>
      <c r="O22" s="8">
        <f t="shared" si="4"/>
        <v>158082.19949900001</v>
      </c>
      <c r="P22" s="1"/>
    </row>
    <row r="23" spans="1:16" s="2" customFormat="1" ht="45" customHeight="1" x14ac:dyDescent="0.45">
      <c r="A23" s="55" t="s">
        <v>13</v>
      </c>
      <c r="B23" s="42"/>
      <c r="C23" s="70" t="s">
        <v>51</v>
      </c>
      <c r="D23" s="3" t="s">
        <v>26</v>
      </c>
      <c r="E23" s="5">
        <f>Assumptions!F5</f>
        <v>53</v>
      </c>
      <c r="F23" s="52">
        <f t="shared" si="1"/>
        <v>340796.24528301886</v>
      </c>
      <c r="G23" s="5">
        <f>Assumptions!F14</f>
        <v>18062201</v>
      </c>
      <c r="H23" s="128">
        <v>8.3500000000000005E-2</v>
      </c>
      <c r="I23" s="52">
        <f t="shared" si="2"/>
        <v>1508193.7835000001</v>
      </c>
      <c r="J23" s="39">
        <f>'Labor Rates'!$D$5</f>
        <v>27.6</v>
      </c>
      <c r="K23" s="39">
        <f t="shared" si="0"/>
        <v>41626148.424600005</v>
      </c>
      <c r="L23" s="52">
        <v>561582.0723</v>
      </c>
      <c r="M23" s="52">
        <f t="shared" si="3"/>
        <v>946611.71120000014</v>
      </c>
      <c r="N23" s="52">
        <v>0</v>
      </c>
      <c r="O23" s="8">
        <f t="shared" si="4"/>
        <v>946611.71120000014</v>
      </c>
      <c r="P23" s="1"/>
    </row>
    <row r="24" spans="1:16" s="2" customFormat="1" ht="45" customHeight="1" x14ac:dyDescent="0.45">
      <c r="A24" s="55" t="s">
        <v>13</v>
      </c>
      <c r="B24" s="42"/>
      <c r="C24" s="70" t="s">
        <v>51</v>
      </c>
      <c r="D24" s="3" t="s">
        <v>27</v>
      </c>
      <c r="E24" s="5">
        <f>Assumptions!F5</f>
        <v>53</v>
      </c>
      <c r="F24" s="52">
        <f t="shared" si="1"/>
        <v>9685.2264150943392</v>
      </c>
      <c r="G24" s="5">
        <f>Assumptions!F22</f>
        <v>513317</v>
      </c>
      <c r="H24" s="128">
        <v>0.1002</v>
      </c>
      <c r="I24" s="52">
        <f t="shared" si="2"/>
        <v>51434.363400000002</v>
      </c>
      <c r="J24" s="39">
        <f>'Labor Rates'!$D$5</f>
        <v>27.6</v>
      </c>
      <c r="K24" s="39">
        <f t="shared" si="0"/>
        <v>1419588.4298400001</v>
      </c>
      <c r="L24" s="52">
        <v>29302.087054710002</v>
      </c>
      <c r="M24" s="52">
        <f t="shared" si="3"/>
        <v>22132.27634529</v>
      </c>
      <c r="N24" s="52">
        <v>0</v>
      </c>
      <c r="O24" s="8">
        <f t="shared" si="4"/>
        <v>22132.27634529</v>
      </c>
      <c r="P24" s="1"/>
    </row>
    <row r="25" spans="1:16" s="2" customFormat="1" ht="45" customHeight="1" x14ac:dyDescent="0.45">
      <c r="A25" s="55" t="s">
        <v>13</v>
      </c>
      <c r="B25" s="42"/>
      <c r="C25" s="70" t="s">
        <v>51</v>
      </c>
      <c r="D25" s="3" t="s">
        <v>28</v>
      </c>
      <c r="E25" s="5">
        <f>Assumptions!F5</f>
        <v>53</v>
      </c>
      <c r="F25" s="52">
        <f t="shared" si="1"/>
        <v>6853.6415094339627</v>
      </c>
      <c r="G25" s="5">
        <f>Assumptions!F24</f>
        <v>363243</v>
      </c>
      <c r="H25" s="128">
        <v>8.3500000000000005E-2</v>
      </c>
      <c r="I25" s="52">
        <f t="shared" si="2"/>
        <v>30330.790500000003</v>
      </c>
      <c r="J25" s="39">
        <f>'Labor Rates'!$D$5</f>
        <v>27.6</v>
      </c>
      <c r="K25" s="39">
        <f t="shared" si="0"/>
        <v>837129.81780000008</v>
      </c>
      <c r="L25" s="52">
        <v>42034.586249999993</v>
      </c>
      <c r="M25" s="52">
        <f t="shared" si="3"/>
        <v>-11703.79574999999</v>
      </c>
      <c r="N25" s="52">
        <v>0</v>
      </c>
      <c r="O25" s="8">
        <f t="shared" si="4"/>
        <v>-11703.79574999999</v>
      </c>
      <c r="P25" s="1"/>
    </row>
    <row r="26" spans="1:16" s="2" customFormat="1" ht="45" customHeight="1" x14ac:dyDescent="0.45">
      <c r="A26" s="55" t="s">
        <v>13</v>
      </c>
      <c r="B26" s="42"/>
      <c r="C26" s="70" t="s">
        <v>51</v>
      </c>
      <c r="D26" s="3" t="s">
        <v>29</v>
      </c>
      <c r="E26" s="5">
        <f>Assumptions!F5</f>
        <v>53</v>
      </c>
      <c r="F26" s="52">
        <f t="shared" si="1"/>
        <v>12415.094339622641</v>
      </c>
      <c r="G26" s="5">
        <f>Assumptions!F23</f>
        <v>658000</v>
      </c>
      <c r="H26" s="128">
        <v>5.0099999999999999E-2</v>
      </c>
      <c r="I26" s="52">
        <f t="shared" si="2"/>
        <v>32965.799999999996</v>
      </c>
      <c r="J26" s="39">
        <f>'Labor Rates'!$D$5</f>
        <v>27.6</v>
      </c>
      <c r="K26" s="39">
        <f t="shared" si="0"/>
        <v>909856.08</v>
      </c>
      <c r="L26" s="52">
        <v>21929.463</v>
      </c>
      <c r="M26" s="52">
        <f t="shared" si="3"/>
        <v>11036.336999999996</v>
      </c>
      <c r="N26" s="52">
        <v>0</v>
      </c>
      <c r="O26" s="8">
        <f t="shared" si="4"/>
        <v>11036.336999999996</v>
      </c>
      <c r="P26" s="1"/>
    </row>
    <row r="27" spans="1:16" s="42" customFormat="1" ht="45" customHeight="1" x14ac:dyDescent="0.45">
      <c r="A27" s="55" t="s">
        <v>13</v>
      </c>
      <c r="C27" s="70" t="s">
        <v>181</v>
      </c>
      <c r="D27" s="3" t="s">
        <v>182</v>
      </c>
      <c r="E27" s="5">
        <f>Assumptions!F5</f>
        <v>53</v>
      </c>
      <c r="F27" s="52">
        <f t="shared" si="1"/>
        <v>25552.32075471698</v>
      </c>
      <c r="G27" s="5">
        <f>Assumptions!F25</f>
        <v>1354273</v>
      </c>
      <c r="H27" s="128">
        <v>0.1002</v>
      </c>
      <c r="I27" s="52">
        <f t="shared" si="2"/>
        <v>135698.15460000001</v>
      </c>
      <c r="J27" s="39">
        <f>'Labor Rates'!$D$5</f>
        <v>27.6</v>
      </c>
      <c r="K27" s="39">
        <f t="shared" si="0"/>
        <v>3745269.0669600004</v>
      </c>
      <c r="L27" s="52">
        <v>6096.57</v>
      </c>
      <c r="M27" s="52">
        <f t="shared" si="3"/>
        <v>129601.5846</v>
      </c>
      <c r="N27" s="52">
        <v>0</v>
      </c>
      <c r="O27" s="8">
        <f t="shared" si="4"/>
        <v>129601.5846</v>
      </c>
      <c r="P27" s="43"/>
    </row>
    <row r="28" spans="1:16" s="2" customFormat="1" ht="14.65" customHeight="1" x14ac:dyDescent="0.45">
      <c r="A28" s="71"/>
      <c r="B28" s="42"/>
      <c r="C28" s="187" t="s">
        <v>82</v>
      </c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9"/>
      <c r="P28" s="1"/>
    </row>
    <row r="29" spans="1:16" s="2" customFormat="1" ht="45" customHeight="1" x14ac:dyDescent="0.45">
      <c r="A29" s="55" t="s">
        <v>13</v>
      </c>
      <c r="B29" s="42"/>
      <c r="C29" s="70" t="s">
        <v>136</v>
      </c>
      <c r="D29" s="3" t="s">
        <v>31</v>
      </c>
      <c r="E29" s="5">
        <f>Assumptions!F5</f>
        <v>53</v>
      </c>
      <c r="F29" s="52">
        <f>G29/E29</f>
        <v>276542.47169811319</v>
      </c>
      <c r="G29" s="5">
        <f>Assumptions!F15</f>
        <v>14656751</v>
      </c>
      <c r="H29" s="52">
        <v>0.25</v>
      </c>
      <c r="I29" s="52">
        <f t="shared" si="2"/>
        <v>3664187.75</v>
      </c>
      <c r="J29" s="39">
        <f>'Labor Rates'!$D$5</f>
        <v>27.6</v>
      </c>
      <c r="K29" s="39">
        <f>I29*J29</f>
        <v>101131581.90000001</v>
      </c>
      <c r="L29" s="52">
        <v>3654910.5</v>
      </c>
      <c r="M29" s="52">
        <f t="shared" si="3"/>
        <v>9277.25</v>
      </c>
      <c r="N29" s="52">
        <v>0</v>
      </c>
      <c r="O29" s="8">
        <f t="shared" si="4"/>
        <v>9277.25</v>
      </c>
      <c r="P29" s="1"/>
    </row>
    <row r="30" spans="1:16" s="2" customFormat="1" ht="14.65" customHeight="1" x14ac:dyDescent="0.45">
      <c r="A30" s="71"/>
      <c r="B30" s="42"/>
      <c r="C30" s="187" t="s">
        <v>83</v>
      </c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9"/>
      <c r="P30" s="1"/>
    </row>
    <row r="31" spans="1:16" s="2" customFormat="1" ht="45" customHeight="1" x14ac:dyDescent="0.45">
      <c r="A31" s="55" t="s">
        <v>13</v>
      </c>
      <c r="B31" s="42"/>
      <c r="C31" s="70" t="s">
        <v>52</v>
      </c>
      <c r="D31" s="3" t="s">
        <v>32</v>
      </c>
      <c r="E31" s="5">
        <f>Assumptions!F5</f>
        <v>53</v>
      </c>
      <c r="F31" s="52">
        <f>G31/E31</f>
        <v>276542.47169811319</v>
      </c>
      <c r="G31" s="5">
        <f>Assumptions!F15</f>
        <v>14656751</v>
      </c>
      <c r="H31" s="52">
        <v>0.5</v>
      </c>
      <c r="I31" s="52">
        <f t="shared" si="2"/>
        <v>7328375.5</v>
      </c>
      <c r="J31" s="39">
        <f>'Labor Rates'!$D$5</f>
        <v>27.6</v>
      </c>
      <c r="K31" s="39">
        <f>I31*J31</f>
        <v>202263163.80000001</v>
      </c>
      <c r="L31" s="52">
        <v>4882960.4280000003</v>
      </c>
      <c r="M31" s="52">
        <f t="shared" ref="M31:M54" si="5">I31-L31</f>
        <v>2445415.0719999997</v>
      </c>
      <c r="N31" s="52">
        <v>0</v>
      </c>
      <c r="O31" s="8">
        <f t="shared" ref="O31:O59" si="6">M31+N31</f>
        <v>2445415.0719999997</v>
      </c>
      <c r="P31" s="1"/>
    </row>
    <row r="32" spans="1:16" s="2" customFormat="1" x14ac:dyDescent="0.45">
      <c r="A32" s="71"/>
      <c r="B32" s="42"/>
      <c r="C32" s="187" t="s">
        <v>79</v>
      </c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9"/>
      <c r="P32" s="1"/>
    </row>
    <row r="33" spans="1:16" s="2" customFormat="1" ht="45" customHeight="1" x14ac:dyDescent="0.45">
      <c r="A33" s="55" t="s">
        <v>13</v>
      </c>
      <c r="B33" s="42"/>
      <c r="C33" s="70" t="s">
        <v>53</v>
      </c>
      <c r="D33" s="3" t="s">
        <v>33</v>
      </c>
      <c r="E33" s="5">
        <f>Assumptions!F5</f>
        <v>53</v>
      </c>
      <c r="F33" s="52">
        <f>G33/E33</f>
        <v>138271.24528301886</v>
      </c>
      <c r="G33" s="5">
        <f>Assumptions!F27</f>
        <v>7328376</v>
      </c>
      <c r="H33" s="128">
        <v>0.1002</v>
      </c>
      <c r="I33" s="52">
        <f t="shared" si="2"/>
        <v>734303.27520000003</v>
      </c>
      <c r="J33" s="39">
        <f>'Labor Rates'!$D$5</f>
        <v>27.6</v>
      </c>
      <c r="K33" s="39">
        <f t="shared" ref="K33:K39" si="7">I33*J33</f>
        <v>20266770.395520002</v>
      </c>
      <c r="L33" s="52">
        <v>732444.06420000002</v>
      </c>
      <c r="M33" s="52">
        <f t="shared" si="5"/>
        <v>1859.2110000000102</v>
      </c>
      <c r="N33" s="52">
        <v>0</v>
      </c>
      <c r="O33" s="8">
        <f t="shared" si="6"/>
        <v>1859.2110000000102</v>
      </c>
      <c r="P33" s="1"/>
    </row>
    <row r="34" spans="1:16" s="2" customFormat="1" ht="45" customHeight="1" x14ac:dyDescent="0.45">
      <c r="A34" s="55" t="s">
        <v>13</v>
      </c>
      <c r="B34" s="42"/>
      <c r="C34" s="70" t="s">
        <v>53</v>
      </c>
      <c r="D34" s="3" t="s">
        <v>34</v>
      </c>
      <c r="E34" s="5">
        <f>Assumptions!F5</f>
        <v>53</v>
      </c>
      <c r="F34" s="52">
        <f t="shared" ref="F34:F39" si="8">G34/E34</f>
        <v>2765.433962264151</v>
      </c>
      <c r="G34" s="5">
        <f>Assumptions!F28</f>
        <v>146568</v>
      </c>
      <c r="H34" s="128">
        <v>0.1002</v>
      </c>
      <c r="I34" s="52">
        <f t="shared" si="2"/>
        <v>14686.113599999999</v>
      </c>
      <c r="J34" s="39">
        <f>'Labor Rates'!$D$5</f>
        <v>27.6</v>
      </c>
      <c r="K34" s="39">
        <f t="shared" si="7"/>
        <v>405336.73535999999</v>
      </c>
      <c r="L34" s="52">
        <v>14648.881284000001</v>
      </c>
      <c r="M34" s="52">
        <f t="shared" si="5"/>
        <v>37.232315999997809</v>
      </c>
      <c r="N34" s="52">
        <v>0</v>
      </c>
      <c r="O34" s="8">
        <f t="shared" si="6"/>
        <v>37.232315999997809</v>
      </c>
      <c r="P34" s="1"/>
    </row>
    <row r="35" spans="1:16" s="2" customFormat="1" ht="62.65" customHeight="1" x14ac:dyDescent="0.45">
      <c r="A35" s="55" t="s">
        <v>13</v>
      </c>
      <c r="B35" s="42"/>
      <c r="C35" s="70" t="s">
        <v>53</v>
      </c>
      <c r="D35" s="3" t="s">
        <v>35</v>
      </c>
      <c r="E35" s="5">
        <f>Assumptions!F5</f>
        <v>53</v>
      </c>
      <c r="F35" s="52">
        <f t="shared" si="8"/>
        <v>5530.8490566037735</v>
      </c>
      <c r="G35" s="5">
        <f>Assumptions!F29</f>
        <v>293135</v>
      </c>
      <c r="H35" s="128">
        <v>0.1002</v>
      </c>
      <c r="I35" s="52">
        <f t="shared" si="2"/>
        <v>29372.127</v>
      </c>
      <c r="J35" s="39">
        <f>'Labor Rates'!$D$5</f>
        <v>27.6</v>
      </c>
      <c r="K35" s="39">
        <f t="shared" si="7"/>
        <v>810670.70520000008</v>
      </c>
      <c r="L35" s="52">
        <v>29297.762568000002</v>
      </c>
      <c r="M35" s="52">
        <f t="shared" si="5"/>
        <v>74.364431999998487</v>
      </c>
      <c r="N35" s="52">
        <v>0</v>
      </c>
      <c r="O35" s="8">
        <f t="shared" si="6"/>
        <v>74.364431999998487</v>
      </c>
      <c r="P35" s="1"/>
    </row>
    <row r="36" spans="1:16" s="2" customFormat="1" ht="50.65" customHeight="1" x14ac:dyDescent="0.45">
      <c r="A36" s="55" t="s">
        <v>13</v>
      </c>
      <c r="B36" s="42"/>
      <c r="C36" s="70" t="s">
        <v>53</v>
      </c>
      <c r="D36" s="3" t="s">
        <v>36</v>
      </c>
      <c r="E36" s="5">
        <f>Assumptions!F5</f>
        <v>53</v>
      </c>
      <c r="F36" s="52">
        <f t="shared" si="8"/>
        <v>2670.8490566037735</v>
      </c>
      <c r="G36" s="5">
        <f>Assumptions!F30</f>
        <v>141555</v>
      </c>
      <c r="H36" s="128">
        <v>0.1002</v>
      </c>
      <c r="I36" s="52">
        <f t="shared" si="2"/>
        <v>14183.811</v>
      </c>
      <c r="J36" s="39">
        <f>'Labor Rates'!$D$5</f>
        <v>27.6</v>
      </c>
      <c r="K36" s="39">
        <f t="shared" si="7"/>
        <v>391473.18359999999</v>
      </c>
      <c r="L36" s="52">
        <v>73244.406420000014</v>
      </c>
      <c r="M36" s="52">
        <f t="shared" si="5"/>
        <v>-59060.595420000012</v>
      </c>
      <c r="N36" s="52">
        <v>0</v>
      </c>
      <c r="O36" s="8">
        <f t="shared" si="6"/>
        <v>-59060.595420000012</v>
      </c>
      <c r="P36" s="1"/>
    </row>
    <row r="37" spans="1:16" s="2" customFormat="1" ht="45" customHeight="1" x14ac:dyDescent="0.45">
      <c r="A37" s="55" t="s">
        <v>13</v>
      </c>
      <c r="B37" s="42"/>
      <c r="C37" s="70" t="s">
        <v>53</v>
      </c>
      <c r="D37" s="3" t="s">
        <v>37</v>
      </c>
      <c r="E37" s="5">
        <f>Assumptions!F5</f>
        <v>53</v>
      </c>
      <c r="F37" s="52">
        <f t="shared" si="8"/>
        <v>115734.01886792453</v>
      </c>
      <c r="G37" s="5">
        <f>Assumptions!F31</f>
        <v>6133903</v>
      </c>
      <c r="H37" s="128">
        <v>0.1002</v>
      </c>
      <c r="I37" s="52">
        <f t="shared" si="2"/>
        <v>614617.08059999999</v>
      </c>
      <c r="J37" s="39">
        <f>'Labor Rates'!$D$5</f>
        <v>27.6</v>
      </c>
      <c r="K37" s="39">
        <f t="shared" si="7"/>
        <v>16963431.424559999</v>
      </c>
      <c r="L37" s="52">
        <v>73244.406420000014</v>
      </c>
      <c r="M37" s="52">
        <f t="shared" si="5"/>
        <v>541372.67417999997</v>
      </c>
      <c r="N37" s="52">
        <v>0</v>
      </c>
      <c r="O37" s="8">
        <f t="shared" si="6"/>
        <v>541372.67417999997</v>
      </c>
      <c r="P37" s="1"/>
    </row>
    <row r="38" spans="1:16" s="2" customFormat="1" ht="45" customHeight="1" x14ac:dyDescent="0.45">
      <c r="A38" s="55" t="s">
        <v>13</v>
      </c>
      <c r="B38" s="42"/>
      <c r="C38" s="70" t="s">
        <v>53</v>
      </c>
      <c r="D38" s="3" t="s">
        <v>38</v>
      </c>
      <c r="E38" s="5">
        <f>Assumptions!F5</f>
        <v>53</v>
      </c>
      <c r="F38" s="52">
        <f t="shared" si="8"/>
        <v>54037.735849056604</v>
      </c>
      <c r="G38" s="5">
        <f>Assumptions!F32</f>
        <v>2864000</v>
      </c>
      <c r="H38" s="128">
        <v>0.1002</v>
      </c>
      <c r="I38" s="52">
        <f t="shared" si="2"/>
        <v>286972.79999999999</v>
      </c>
      <c r="J38" s="39">
        <f>'Labor Rates'!$D$5</f>
        <v>27.6</v>
      </c>
      <c r="K38" s="39">
        <f t="shared" si="7"/>
        <v>7920449.2800000003</v>
      </c>
      <c r="L38" s="52">
        <v>732444.06420000002</v>
      </c>
      <c r="M38" s="52">
        <f t="shared" si="5"/>
        <v>-445471.26420000003</v>
      </c>
      <c r="N38" s="52">
        <v>0</v>
      </c>
      <c r="O38" s="8">
        <f t="shared" si="6"/>
        <v>-445471.26420000003</v>
      </c>
      <c r="P38" s="1"/>
    </row>
    <row r="39" spans="1:16" s="2" customFormat="1" ht="45" customHeight="1" x14ac:dyDescent="0.45">
      <c r="A39" s="55" t="s">
        <v>13</v>
      </c>
      <c r="B39" s="42"/>
      <c r="C39" s="70" t="s">
        <v>53</v>
      </c>
      <c r="D39" s="3" t="s">
        <v>39</v>
      </c>
      <c r="E39" s="5">
        <f>Assumptions!F5</f>
        <v>53</v>
      </c>
      <c r="F39" s="52">
        <f t="shared" si="8"/>
        <v>222504.7358490566</v>
      </c>
      <c r="G39" s="5">
        <f>Assumptions!F33</f>
        <v>11792751</v>
      </c>
      <c r="H39" s="128">
        <v>0.1002</v>
      </c>
      <c r="I39" s="52">
        <f t="shared" si="2"/>
        <v>1181633.6502</v>
      </c>
      <c r="J39" s="39">
        <f>'Labor Rates'!$D$5</f>
        <v>27.6</v>
      </c>
      <c r="K39" s="39">
        <f t="shared" si="7"/>
        <v>32613088.745520003</v>
      </c>
      <c r="L39" s="52">
        <v>732444.06420000002</v>
      </c>
      <c r="M39" s="52">
        <f t="shared" si="5"/>
        <v>449189.58600000001</v>
      </c>
      <c r="N39" s="52">
        <v>0</v>
      </c>
      <c r="O39" s="8">
        <f t="shared" si="6"/>
        <v>449189.58600000001</v>
      </c>
      <c r="P39" s="1"/>
    </row>
    <row r="40" spans="1:16" s="143" customFormat="1" ht="45" customHeight="1" x14ac:dyDescent="0.45">
      <c r="A40" s="69" t="s">
        <v>117</v>
      </c>
      <c r="C40" s="144" t="s">
        <v>289</v>
      </c>
      <c r="D40" s="145" t="s">
        <v>275</v>
      </c>
      <c r="E40" s="146">
        <f>Assumptions!F5</f>
        <v>53</v>
      </c>
      <c r="F40" s="147">
        <f>G40/E40</f>
        <v>9678.9811320754725</v>
      </c>
      <c r="G40" s="146">
        <f>Assumptions!F64</f>
        <v>512986</v>
      </c>
      <c r="H40" s="148">
        <v>3.3399999999999999E-2</v>
      </c>
      <c r="I40" s="147">
        <f>G40*H40</f>
        <v>17133.732400000001</v>
      </c>
      <c r="J40" s="149">
        <f>'Labor Rates'!$D$5</f>
        <v>27.6</v>
      </c>
      <c r="K40" s="149">
        <f>I40*J40</f>
        <v>472891.01424000005</v>
      </c>
      <c r="L40" s="147">
        <v>0</v>
      </c>
      <c r="M40" s="147">
        <f>I40-L40</f>
        <v>17133.732400000001</v>
      </c>
      <c r="N40" s="147">
        <v>0</v>
      </c>
      <c r="O40" s="150">
        <f>M40+N40</f>
        <v>17133.732400000001</v>
      </c>
      <c r="P40" s="151"/>
    </row>
    <row r="41" spans="1:16" s="2" customFormat="1" x14ac:dyDescent="0.45">
      <c r="A41" s="71"/>
      <c r="B41" s="42"/>
      <c r="C41" s="187" t="s">
        <v>80</v>
      </c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9"/>
      <c r="P41" s="1"/>
    </row>
    <row r="42" spans="1:16" s="2" customFormat="1" ht="45" customHeight="1" x14ac:dyDescent="0.45">
      <c r="A42" s="55" t="s">
        <v>13</v>
      </c>
      <c r="B42" s="42"/>
      <c r="C42" s="70">
        <v>273.20999999999998</v>
      </c>
      <c r="D42" s="3" t="s">
        <v>41</v>
      </c>
      <c r="E42" s="5">
        <v>1</v>
      </c>
      <c r="F42" s="52">
        <f>G42/E42</f>
        <v>91000</v>
      </c>
      <c r="G42" s="5">
        <f>Assumptions!F34</f>
        <v>91000</v>
      </c>
      <c r="H42" s="128">
        <v>0.1169</v>
      </c>
      <c r="I42" s="52">
        <f t="shared" si="2"/>
        <v>10637.9</v>
      </c>
      <c r="J42" s="39">
        <f>'Labor Rates'!$D$5</f>
        <v>27.6</v>
      </c>
      <c r="K42" s="39">
        <f>I42*J42</f>
        <v>293606.03999999998</v>
      </c>
      <c r="L42" s="52">
        <v>85204.669200000004</v>
      </c>
      <c r="M42" s="52">
        <f t="shared" si="5"/>
        <v>-74566.76920000001</v>
      </c>
      <c r="N42" s="52">
        <v>0</v>
      </c>
      <c r="O42" s="8">
        <f t="shared" si="6"/>
        <v>-74566.76920000001</v>
      </c>
      <c r="P42" s="1"/>
    </row>
    <row r="43" spans="1:16" s="2" customFormat="1" ht="45" customHeight="1" x14ac:dyDescent="0.45">
      <c r="A43" s="55" t="s">
        <v>13</v>
      </c>
      <c r="B43" s="42"/>
      <c r="C43" s="70" t="s">
        <v>55</v>
      </c>
      <c r="D43" s="3" t="s">
        <v>54</v>
      </c>
      <c r="E43" s="5">
        <v>1</v>
      </c>
      <c r="F43" s="52">
        <f>G43/E43</f>
        <v>19000</v>
      </c>
      <c r="G43" s="5">
        <f>Assumptions!F35</f>
        <v>19000</v>
      </c>
      <c r="H43" s="128">
        <v>0.1336</v>
      </c>
      <c r="I43" s="52">
        <f>G43*H43</f>
        <v>2538.4</v>
      </c>
      <c r="J43" s="39">
        <f>'Labor Rates'!$D$5</f>
        <v>27.6</v>
      </c>
      <c r="K43" s="39">
        <f t="shared" ref="K43:K46" si="9">I43*J43</f>
        <v>70059.840000000011</v>
      </c>
      <c r="L43" s="52">
        <v>231573.68959999998</v>
      </c>
      <c r="M43" s="52">
        <f>I43-L43</f>
        <v>-229035.28959999999</v>
      </c>
      <c r="N43" s="52">
        <v>0</v>
      </c>
      <c r="O43" s="8">
        <f t="shared" si="6"/>
        <v>-229035.28959999999</v>
      </c>
      <c r="P43" s="1"/>
    </row>
    <row r="44" spans="1:16" s="2" customFormat="1" ht="45" customHeight="1" x14ac:dyDescent="0.45">
      <c r="A44" s="55" t="s">
        <v>13</v>
      </c>
      <c r="B44" s="42"/>
      <c r="C44" s="70" t="s">
        <v>56</v>
      </c>
      <c r="D44" s="3" t="s">
        <v>42</v>
      </c>
      <c r="E44" s="5">
        <f>Assumptions!F12</f>
        <v>51</v>
      </c>
      <c r="F44" s="52">
        <f t="shared" ref="F44:F46" si="10">G44/E44</f>
        <v>227921.56862745099</v>
      </c>
      <c r="G44" s="5">
        <f>Assumptions!F36</f>
        <v>11624000</v>
      </c>
      <c r="H44" s="128">
        <v>0.1837</v>
      </c>
      <c r="I44" s="52">
        <f t="shared" si="2"/>
        <v>2135328.7999999998</v>
      </c>
      <c r="J44" s="39">
        <f>'Labor Rates'!$D$5</f>
        <v>27.6</v>
      </c>
      <c r="K44" s="39">
        <f t="shared" si="9"/>
        <v>58935074.879999995</v>
      </c>
      <c r="L44" s="52">
        <v>3920627.5096450001</v>
      </c>
      <c r="M44" s="52">
        <f t="shared" si="5"/>
        <v>-1785298.7096450003</v>
      </c>
      <c r="N44" s="52">
        <v>0</v>
      </c>
      <c r="O44" s="8">
        <f t="shared" si="6"/>
        <v>-1785298.7096450003</v>
      </c>
      <c r="P44" s="1"/>
    </row>
    <row r="45" spans="1:16" s="2" customFormat="1" ht="45" customHeight="1" x14ac:dyDescent="0.45">
      <c r="A45" s="55" t="s">
        <v>13</v>
      </c>
      <c r="B45" s="42"/>
      <c r="C45" s="70" t="s">
        <v>57</v>
      </c>
      <c r="D45" s="3" t="s">
        <v>43</v>
      </c>
      <c r="E45" s="5">
        <f>Assumptions!F13</f>
        <v>26</v>
      </c>
      <c r="F45" s="52">
        <f t="shared" si="10"/>
        <v>360230.76923076925</v>
      </c>
      <c r="G45" s="5">
        <f>Assumptions!F37</f>
        <v>9366000</v>
      </c>
      <c r="H45" s="128">
        <v>0.1837</v>
      </c>
      <c r="I45" s="52">
        <f t="shared" si="2"/>
        <v>1720534.2</v>
      </c>
      <c r="J45" s="39">
        <f>'Labor Rates'!$D$5</f>
        <v>27.6</v>
      </c>
      <c r="K45" s="39">
        <f t="shared" si="9"/>
        <v>47486743.920000002</v>
      </c>
      <c r="L45" s="52">
        <v>594353.28189600003</v>
      </c>
      <c r="M45" s="52">
        <f t="shared" si="5"/>
        <v>1126180.9181039999</v>
      </c>
      <c r="N45" s="52">
        <v>0</v>
      </c>
      <c r="O45" s="8">
        <f t="shared" si="6"/>
        <v>1126180.9181039999</v>
      </c>
      <c r="P45" s="1"/>
    </row>
    <row r="46" spans="1:16" s="143" customFormat="1" ht="45" customHeight="1" x14ac:dyDescent="0.45">
      <c r="A46" s="69" t="s">
        <v>117</v>
      </c>
      <c r="C46" s="144" t="s">
        <v>242</v>
      </c>
      <c r="D46" s="145" t="s">
        <v>243</v>
      </c>
      <c r="E46" s="146">
        <f>Assumptions!F5</f>
        <v>53</v>
      </c>
      <c r="F46" s="147">
        <f t="shared" si="10"/>
        <v>14049.811320754718</v>
      </c>
      <c r="G46" s="146">
        <f>Assumptions!F67</f>
        <v>744640</v>
      </c>
      <c r="H46" s="148">
        <v>0.1837</v>
      </c>
      <c r="I46" s="147">
        <f t="shared" si="2"/>
        <v>136790.36799999999</v>
      </c>
      <c r="J46" s="149">
        <f>'Labor Rates'!$D$5</f>
        <v>27.6</v>
      </c>
      <c r="K46" s="149">
        <f t="shared" si="9"/>
        <v>3775414.1568</v>
      </c>
      <c r="L46" s="147">
        <v>0</v>
      </c>
      <c r="M46" s="147">
        <f t="shared" si="5"/>
        <v>136790.36799999999</v>
      </c>
      <c r="N46" s="147">
        <v>0</v>
      </c>
      <c r="O46" s="150">
        <f t="shared" si="6"/>
        <v>136790.36799999999</v>
      </c>
      <c r="P46" s="151"/>
    </row>
    <row r="47" spans="1:16" s="2" customFormat="1" x14ac:dyDescent="0.45">
      <c r="A47" s="71"/>
      <c r="B47" s="42"/>
      <c r="C47" s="187" t="s">
        <v>81</v>
      </c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9"/>
      <c r="P47" s="1"/>
    </row>
    <row r="48" spans="1:16" s="2" customFormat="1" ht="45" customHeight="1" x14ac:dyDescent="0.45">
      <c r="A48" s="55" t="s">
        <v>13</v>
      </c>
      <c r="B48" s="42"/>
      <c r="C48" s="70" t="s">
        <v>240</v>
      </c>
      <c r="D48" s="3" t="s">
        <v>249</v>
      </c>
      <c r="E48" s="5">
        <f>Assumptions!F5</f>
        <v>53</v>
      </c>
      <c r="F48" s="52">
        <f>G48/E48</f>
        <v>687625.35849056602</v>
      </c>
      <c r="G48" s="5">
        <f>Assumptions!F38</f>
        <v>36444144</v>
      </c>
      <c r="H48" s="128">
        <v>5.0099999999999999E-2</v>
      </c>
      <c r="I48" s="52">
        <f t="shared" si="2"/>
        <v>1825851.6143999998</v>
      </c>
      <c r="J48" s="39">
        <f>'Labor Rates'!$D$5</f>
        <v>27.6</v>
      </c>
      <c r="K48" s="39">
        <f t="shared" ref="K48:K54" si="11">I48*J48</f>
        <v>50393504.557439998</v>
      </c>
      <c r="L48" s="52">
        <v>1260831.2696140001</v>
      </c>
      <c r="M48" s="52">
        <f t="shared" si="5"/>
        <v>565020.34478599974</v>
      </c>
      <c r="N48" s="52">
        <v>0</v>
      </c>
      <c r="O48" s="8">
        <f t="shared" si="6"/>
        <v>565020.34478599974</v>
      </c>
      <c r="P48" s="1"/>
    </row>
    <row r="49" spans="1:16" s="2" customFormat="1" ht="45" customHeight="1" x14ac:dyDescent="0.45">
      <c r="A49" s="55" t="s">
        <v>13</v>
      </c>
      <c r="B49" s="42"/>
      <c r="C49" s="70" t="s">
        <v>58</v>
      </c>
      <c r="D49" s="3" t="s">
        <v>44</v>
      </c>
      <c r="E49" s="5">
        <f>Assumptions!F5</f>
        <v>53</v>
      </c>
      <c r="F49" s="52">
        <f t="shared" ref="F49:F54" si="12">G49/E49</f>
        <v>1009.1698113207547</v>
      </c>
      <c r="G49" s="5">
        <f>Assumptions!F39</f>
        <v>53486</v>
      </c>
      <c r="H49" s="128">
        <v>5.0099999999999999E-2</v>
      </c>
      <c r="I49" s="52">
        <f t="shared" si="2"/>
        <v>2679.6486</v>
      </c>
      <c r="J49" s="39">
        <f>'Labor Rates'!$D$5</f>
        <v>27.6</v>
      </c>
      <c r="K49" s="39">
        <f t="shared" si="11"/>
        <v>73958.301359999998</v>
      </c>
      <c r="L49" s="52">
        <v>2035.4644699999999</v>
      </c>
      <c r="M49" s="52">
        <f t="shared" si="5"/>
        <v>644.1841300000001</v>
      </c>
      <c r="N49" s="52">
        <v>0</v>
      </c>
      <c r="O49" s="8">
        <f t="shared" si="6"/>
        <v>644.1841300000001</v>
      </c>
      <c r="P49" s="1"/>
    </row>
    <row r="50" spans="1:16" s="2" customFormat="1" ht="45" customHeight="1" x14ac:dyDescent="0.45">
      <c r="A50" s="55" t="s">
        <v>13</v>
      </c>
      <c r="B50" s="42"/>
      <c r="C50" s="70" t="s">
        <v>59</v>
      </c>
      <c r="D50" s="3" t="s">
        <v>45</v>
      </c>
      <c r="E50" s="5">
        <f>Assumptions!F5</f>
        <v>53</v>
      </c>
      <c r="F50" s="52">
        <f t="shared" si="12"/>
        <v>39068.150943396227</v>
      </c>
      <c r="G50" s="5">
        <f>Assumptions!F40</f>
        <v>2070612</v>
      </c>
      <c r="H50" s="128">
        <v>5.0099999999999999E-2</v>
      </c>
      <c r="I50" s="52">
        <f t="shared" si="2"/>
        <v>103737.6612</v>
      </c>
      <c r="J50" s="39">
        <f>'Labor Rates'!$D$5</f>
        <v>27.6</v>
      </c>
      <c r="K50" s="39">
        <f t="shared" si="11"/>
        <v>2863159.44912</v>
      </c>
      <c r="L50" s="52">
        <v>39399.491866999997</v>
      </c>
      <c r="M50" s="52">
        <f t="shared" si="5"/>
        <v>64338.169333000005</v>
      </c>
      <c r="N50" s="52">
        <v>0</v>
      </c>
      <c r="O50" s="8">
        <f t="shared" si="6"/>
        <v>64338.169333000005</v>
      </c>
      <c r="P50" s="1"/>
    </row>
    <row r="51" spans="1:16" s="2" customFormat="1" ht="45" customHeight="1" x14ac:dyDescent="0.45">
      <c r="A51" s="55" t="s">
        <v>13</v>
      </c>
      <c r="B51" s="42"/>
      <c r="C51" s="70" t="s">
        <v>60</v>
      </c>
      <c r="D51" s="3" t="s">
        <v>46</v>
      </c>
      <c r="E51" s="5">
        <f>Assumptions!F5</f>
        <v>53</v>
      </c>
      <c r="F51" s="52">
        <f t="shared" si="12"/>
        <v>365751.11320754717</v>
      </c>
      <c r="G51" s="5">
        <f>Assumptions!F41</f>
        <v>19384809</v>
      </c>
      <c r="H51" s="128">
        <v>5.0099999999999999E-2</v>
      </c>
      <c r="I51" s="52">
        <f t="shared" si="2"/>
        <v>971178.93089999992</v>
      </c>
      <c r="J51" s="39">
        <f>'Labor Rates'!$D$5</f>
        <v>27.6</v>
      </c>
      <c r="K51" s="39">
        <f t="shared" si="11"/>
        <v>26804538.492839999</v>
      </c>
      <c r="L51" s="52">
        <v>737706.17341199995</v>
      </c>
      <c r="M51" s="52">
        <f t="shared" si="5"/>
        <v>233472.75748799997</v>
      </c>
      <c r="N51" s="52">
        <v>0</v>
      </c>
      <c r="O51" s="8">
        <f t="shared" si="6"/>
        <v>233472.75748799997</v>
      </c>
      <c r="P51" s="1"/>
    </row>
    <row r="52" spans="1:16" s="2" customFormat="1" ht="45" customHeight="1" x14ac:dyDescent="0.45">
      <c r="A52" s="55" t="s">
        <v>13</v>
      </c>
      <c r="B52" s="42"/>
      <c r="C52" s="70" t="s">
        <v>61</v>
      </c>
      <c r="D52" s="3" t="s">
        <v>47</v>
      </c>
      <c r="E52" s="5">
        <f>Assumptions!F5</f>
        <v>53</v>
      </c>
      <c r="F52" s="52">
        <f t="shared" si="12"/>
        <v>27406.773584905659</v>
      </c>
      <c r="G52" s="5">
        <f>Assumptions!F42</f>
        <v>1452559</v>
      </c>
      <c r="H52" s="128">
        <v>5.0099999999999999E-2</v>
      </c>
      <c r="I52" s="52">
        <f t="shared" si="2"/>
        <v>72773.205900000001</v>
      </c>
      <c r="J52" s="39">
        <f>'Labor Rates'!$D$5</f>
        <v>27.6</v>
      </c>
      <c r="K52" s="39">
        <f t="shared" si="11"/>
        <v>2008540.4828400002</v>
      </c>
      <c r="L52" s="52">
        <v>55278.442545999998</v>
      </c>
      <c r="M52" s="52">
        <f t="shared" si="5"/>
        <v>17494.763354000002</v>
      </c>
      <c r="N52" s="52">
        <v>0</v>
      </c>
      <c r="O52" s="8">
        <f t="shared" si="6"/>
        <v>17494.763354000002</v>
      </c>
      <c r="P52" s="1"/>
    </row>
    <row r="53" spans="1:16" s="2" customFormat="1" ht="45" customHeight="1" x14ac:dyDescent="0.45">
      <c r="A53" s="55" t="s">
        <v>13</v>
      </c>
      <c r="B53" s="42"/>
      <c r="C53" s="70" t="s">
        <v>62</v>
      </c>
      <c r="D53" s="3" t="s">
        <v>48</v>
      </c>
      <c r="E53" s="5">
        <f>Assumptions!F5</f>
        <v>53</v>
      </c>
      <c r="F53" s="52">
        <f t="shared" si="12"/>
        <v>6055.0754716981128</v>
      </c>
      <c r="G53" s="5">
        <f>Assumptions!F43</f>
        <v>320919</v>
      </c>
      <c r="H53" s="128">
        <v>5.0099999999999999E-2</v>
      </c>
      <c r="I53" s="52">
        <f t="shared" si="2"/>
        <v>16078.0419</v>
      </c>
      <c r="J53" s="39">
        <f>'Labor Rates'!$D$5</f>
        <v>27.6</v>
      </c>
      <c r="K53" s="39">
        <f t="shared" si="11"/>
        <v>443753.95644000004</v>
      </c>
      <c r="L53" s="52">
        <v>12212.875329999999</v>
      </c>
      <c r="M53" s="52">
        <f t="shared" si="5"/>
        <v>3865.1665700000012</v>
      </c>
      <c r="N53" s="52">
        <v>0</v>
      </c>
      <c r="O53" s="8">
        <f t="shared" si="6"/>
        <v>3865.1665700000012</v>
      </c>
      <c r="P53" s="1"/>
    </row>
    <row r="54" spans="1:16" s="2" customFormat="1" ht="45" customHeight="1" x14ac:dyDescent="0.45">
      <c r="A54" s="55" t="s">
        <v>13</v>
      </c>
      <c r="B54" s="42"/>
      <c r="C54" s="70" t="s">
        <v>63</v>
      </c>
      <c r="D54" s="3" t="s">
        <v>49</v>
      </c>
      <c r="E54" s="5">
        <f>Assumptions!F5</f>
        <v>53</v>
      </c>
      <c r="F54" s="52">
        <f t="shared" si="12"/>
        <v>9044.2264150943392</v>
      </c>
      <c r="G54" s="5">
        <f>Assumptions!F44</f>
        <v>479344</v>
      </c>
      <c r="H54" s="128">
        <v>5.0099999999999999E-2</v>
      </c>
      <c r="I54" s="52">
        <f t="shared" si="2"/>
        <v>24015.134399999999</v>
      </c>
      <c r="J54" s="39">
        <f>'Labor Rates'!$D$5</f>
        <v>27.6</v>
      </c>
      <c r="K54" s="39">
        <f t="shared" si="11"/>
        <v>662817.70944000001</v>
      </c>
      <c r="L54" s="52">
        <v>55278.442545999998</v>
      </c>
      <c r="M54" s="52">
        <f t="shared" si="5"/>
        <v>-31263.308145999999</v>
      </c>
      <c r="N54" s="52">
        <v>0</v>
      </c>
      <c r="O54" s="8">
        <f t="shared" si="6"/>
        <v>-31263.308145999999</v>
      </c>
      <c r="P54" s="1"/>
    </row>
    <row r="55" spans="1:16" s="143" customFormat="1" ht="45" customHeight="1" x14ac:dyDescent="0.45">
      <c r="A55" s="69" t="s">
        <v>117</v>
      </c>
      <c r="C55" s="144" t="s">
        <v>135</v>
      </c>
      <c r="D55" s="145" t="s">
        <v>183</v>
      </c>
      <c r="E55" s="146">
        <f>Assumptions!F5</f>
        <v>53</v>
      </c>
      <c r="F55" s="147">
        <f t="shared" ref="F55:F59" si="13">G55/E55</f>
        <v>6173.3962264150941</v>
      </c>
      <c r="G55" s="146">
        <f>Assumptions!F63</f>
        <v>327190</v>
      </c>
      <c r="H55" s="148">
        <v>5.0099999999999999E-2</v>
      </c>
      <c r="I55" s="147">
        <f t="shared" si="2"/>
        <v>16392.219000000001</v>
      </c>
      <c r="J55" s="149">
        <f>'Labor Rates'!$D$5</f>
        <v>27.6</v>
      </c>
      <c r="K55" s="149">
        <f t="shared" ref="K55:K59" si="14">I55*J55</f>
        <v>452425.24440000003</v>
      </c>
      <c r="L55" s="147">
        <v>0</v>
      </c>
      <c r="M55" s="147">
        <f t="shared" ref="M55:M59" si="15">I55-L55</f>
        <v>16392.219000000001</v>
      </c>
      <c r="N55" s="147">
        <v>0</v>
      </c>
      <c r="O55" s="150">
        <f t="shared" si="6"/>
        <v>16392.219000000001</v>
      </c>
      <c r="P55" s="151"/>
    </row>
    <row r="56" spans="1:16" s="143" customFormat="1" ht="45" customHeight="1" x14ac:dyDescent="0.45">
      <c r="A56" s="69" t="s">
        <v>117</v>
      </c>
      <c r="C56" s="144" t="s">
        <v>222</v>
      </c>
      <c r="D56" s="145" t="s">
        <v>223</v>
      </c>
      <c r="E56" s="146">
        <v>53</v>
      </c>
      <c r="F56" s="147">
        <f t="shared" si="13"/>
        <v>9044.2264150943392</v>
      </c>
      <c r="G56" s="146">
        <f>Assumptions!F45</f>
        <v>479344</v>
      </c>
      <c r="H56" s="148">
        <v>5.0099999999999999E-2</v>
      </c>
      <c r="I56" s="147">
        <f t="shared" si="2"/>
        <v>24015.134399999999</v>
      </c>
      <c r="J56" s="149">
        <f>'Labor Rates'!$D$5</f>
        <v>27.6</v>
      </c>
      <c r="K56" s="149">
        <f t="shared" si="14"/>
        <v>662817.70944000001</v>
      </c>
      <c r="L56" s="147">
        <v>0</v>
      </c>
      <c r="M56" s="147">
        <f t="shared" si="15"/>
        <v>24015.134399999999</v>
      </c>
      <c r="N56" s="147">
        <v>0</v>
      </c>
      <c r="O56" s="150">
        <f t="shared" si="6"/>
        <v>24015.134399999999</v>
      </c>
      <c r="P56" s="151"/>
    </row>
    <row r="57" spans="1:16" s="143" customFormat="1" ht="45" customHeight="1" x14ac:dyDescent="0.45">
      <c r="A57" s="69" t="s">
        <v>117</v>
      </c>
      <c r="C57" s="144" t="s">
        <v>226</v>
      </c>
      <c r="D57" s="145" t="s">
        <v>224</v>
      </c>
      <c r="E57" s="146">
        <v>53</v>
      </c>
      <c r="F57" s="147">
        <f t="shared" si="13"/>
        <v>98566.037735849051</v>
      </c>
      <c r="G57" s="146">
        <f>Assumptions!F46</f>
        <v>5224000</v>
      </c>
      <c r="H57" s="148">
        <v>5.0099999999999999E-2</v>
      </c>
      <c r="I57" s="147">
        <f t="shared" si="2"/>
        <v>261722.4</v>
      </c>
      <c r="J57" s="149">
        <f>'Labor Rates'!$D$5</f>
        <v>27.6</v>
      </c>
      <c r="K57" s="149">
        <f t="shared" si="14"/>
        <v>7223538.2400000002</v>
      </c>
      <c r="L57" s="147">
        <v>0</v>
      </c>
      <c r="M57" s="147">
        <f t="shared" si="15"/>
        <v>261722.4</v>
      </c>
      <c r="N57" s="147">
        <v>0</v>
      </c>
      <c r="O57" s="150">
        <f>M57+N57</f>
        <v>261722.4</v>
      </c>
      <c r="P57" s="151"/>
    </row>
    <row r="58" spans="1:16" s="143" customFormat="1" ht="45" customHeight="1" x14ac:dyDescent="0.45">
      <c r="A58" s="69" t="s">
        <v>117</v>
      </c>
      <c r="C58" s="144" t="s">
        <v>276</v>
      </c>
      <c r="D58" s="145" t="s">
        <v>277</v>
      </c>
      <c r="E58" s="146">
        <v>53</v>
      </c>
      <c r="F58" s="147">
        <f t="shared" si="13"/>
        <v>2424.433962264151</v>
      </c>
      <c r="G58" s="146">
        <f>Assumptions!F47</f>
        <v>128495</v>
      </c>
      <c r="H58" s="148">
        <v>5.0099999999999999E-2</v>
      </c>
      <c r="I58" s="147">
        <f>G58*H58</f>
        <v>6437.5995000000003</v>
      </c>
      <c r="J58" s="149">
        <f>'Labor Rates'!$D$5</f>
        <v>27.6</v>
      </c>
      <c r="K58" s="149">
        <f>I58*J58</f>
        <v>177677.74620000002</v>
      </c>
      <c r="L58" s="147">
        <v>0</v>
      </c>
      <c r="M58" s="147">
        <f t="shared" si="15"/>
        <v>6437.5995000000003</v>
      </c>
      <c r="N58" s="147">
        <v>0</v>
      </c>
      <c r="O58" s="150">
        <f>M58+N58</f>
        <v>6437.5995000000003</v>
      </c>
      <c r="P58" s="151"/>
    </row>
    <row r="59" spans="1:16" s="143" customFormat="1" ht="45" customHeight="1" x14ac:dyDescent="0.45">
      <c r="A59" s="69" t="s">
        <v>117</v>
      </c>
      <c r="C59" s="144" t="s">
        <v>227</v>
      </c>
      <c r="D59" s="145" t="s">
        <v>225</v>
      </c>
      <c r="E59" s="146">
        <v>53</v>
      </c>
      <c r="F59" s="147">
        <f t="shared" si="13"/>
        <v>617338.71698113205</v>
      </c>
      <c r="G59" s="146">
        <f>Assumptions!F48</f>
        <v>32718952</v>
      </c>
      <c r="H59" s="148">
        <v>5.0099999999999999E-2</v>
      </c>
      <c r="I59" s="147">
        <f t="shared" si="2"/>
        <v>1639219.4952</v>
      </c>
      <c r="J59" s="149">
        <f>'Labor Rates'!$D$5</f>
        <v>27.6</v>
      </c>
      <c r="K59" s="149">
        <f t="shared" si="14"/>
        <v>45242458.06752</v>
      </c>
      <c r="L59" s="147">
        <v>0</v>
      </c>
      <c r="M59" s="147">
        <f t="shared" si="15"/>
        <v>1639219.4952</v>
      </c>
      <c r="N59" s="147">
        <v>0</v>
      </c>
      <c r="O59" s="150">
        <f t="shared" si="6"/>
        <v>1639219.4952</v>
      </c>
      <c r="P59" s="151"/>
    </row>
    <row r="60" spans="1:16" s="2" customFormat="1" x14ac:dyDescent="0.45">
      <c r="A60" s="71"/>
      <c r="B60" s="42"/>
      <c r="C60" s="187" t="s">
        <v>84</v>
      </c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9"/>
      <c r="P60" s="1"/>
    </row>
    <row r="61" spans="1:16" s="143" customFormat="1" ht="45" customHeight="1" x14ac:dyDescent="0.45">
      <c r="A61" s="69" t="s">
        <v>117</v>
      </c>
      <c r="C61" s="144" t="s">
        <v>137</v>
      </c>
      <c r="D61" s="145" t="s">
        <v>85</v>
      </c>
      <c r="E61" s="146">
        <f>Assumptions!F5</f>
        <v>53</v>
      </c>
      <c r="F61" s="147">
        <f>G61/E61</f>
        <v>12346.773584905661</v>
      </c>
      <c r="G61" s="146">
        <f>Assumptions!F65</f>
        <v>654379</v>
      </c>
      <c r="H61" s="148">
        <v>5.0099999999999999E-2</v>
      </c>
      <c r="I61" s="147">
        <f>G61*H61</f>
        <v>32784.387900000002</v>
      </c>
      <c r="J61" s="149">
        <f>'Labor Rates'!$D$5</f>
        <v>27.6</v>
      </c>
      <c r="K61" s="149">
        <f t="shared" ref="K61:K63" si="16">I61*J61</f>
        <v>904849.1060400001</v>
      </c>
      <c r="L61" s="147">
        <v>0</v>
      </c>
      <c r="M61" s="147">
        <f>I61-L61</f>
        <v>32784.387900000002</v>
      </c>
      <c r="N61" s="147">
        <v>0</v>
      </c>
      <c r="O61" s="150">
        <f>M61+N61</f>
        <v>32784.387900000002</v>
      </c>
      <c r="P61" s="151"/>
    </row>
    <row r="62" spans="1:16" s="143" customFormat="1" ht="45" customHeight="1" x14ac:dyDescent="0.45">
      <c r="A62" s="69" t="s">
        <v>117</v>
      </c>
      <c r="C62" s="144" t="s">
        <v>138</v>
      </c>
      <c r="D62" s="145" t="s">
        <v>86</v>
      </c>
      <c r="E62" s="146">
        <f>Assumptions!F5</f>
        <v>53</v>
      </c>
      <c r="F62" s="147">
        <v>1</v>
      </c>
      <c r="G62" s="146">
        <f>E62*F62</f>
        <v>53</v>
      </c>
      <c r="H62" s="146">
        <v>62</v>
      </c>
      <c r="I62" s="147">
        <f t="shared" ref="I62:I63" si="17">G62*H62</f>
        <v>3286</v>
      </c>
      <c r="J62" s="149">
        <f>'Labor Rates'!$D$5</f>
        <v>27.6</v>
      </c>
      <c r="K62" s="149">
        <f t="shared" si="16"/>
        <v>90693.6</v>
      </c>
      <c r="L62" s="147">
        <v>0</v>
      </c>
      <c r="M62" s="147">
        <f t="shared" ref="M62:M63" si="18">I62-L62</f>
        <v>3286</v>
      </c>
      <c r="N62" s="147">
        <v>0</v>
      </c>
      <c r="O62" s="150">
        <f t="shared" ref="O62:O63" si="19">M62+N62</f>
        <v>3286</v>
      </c>
      <c r="P62" s="151"/>
    </row>
    <row r="63" spans="1:16" s="143" customFormat="1" ht="45" customHeight="1" x14ac:dyDescent="0.45">
      <c r="A63" s="69" t="s">
        <v>117</v>
      </c>
      <c r="C63" s="144" t="s">
        <v>178</v>
      </c>
      <c r="D63" s="145" t="s">
        <v>177</v>
      </c>
      <c r="E63" s="146">
        <f>Assumptions!F5</f>
        <v>53</v>
      </c>
      <c r="F63" s="147">
        <f t="shared" ref="F63" si="20">G63/E63</f>
        <v>794055.69811320759</v>
      </c>
      <c r="G63" s="146">
        <f>Assumptions!F66</f>
        <v>42084952</v>
      </c>
      <c r="H63" s="148">
        <v>1.67E-2</v>
      </c>
      <c r="I63" s="147">
        <f t="shared" si="17"/>
        <v>702818.69839999999</v>
      </c>
      <c r="J63" s="149">
        <f>'Labor Rates'!$D$5</f>
        <v>27.6</v>
      </c>
      <c r="K63" s="149">
        <f t="shared" si="16"/>
        <v>19397796.07584</v>
      </c>
      <c r="L63" s="147">
        <v>0</v>
      </c>
      <c r="M63" s="147">
        <f t="shared" si="18"/>
        <v>702818.69839999999</v>
      </c>
      <c r="N63" s="147">
        <v>0</v>
      </c>
      <c r="O63" s="150">
        <f t="shared" si="19"/>
        <v>702818.69839999999</v>
      </c>
      <c r="P63" s="151"/>
    </row>
    <row r="64" spans="1:16" s="2" customFormat="1" x14ac:dyDescent="0.45">
      <c r="A64" s="71"/>
      <c r="B64" s="42"/>
      <c r="C64" s="187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9"/>
      <c r="P64" s="1"/>
    </row>
    <row r="65" spans="1:18" s="2" customFormat="1" ht="45" customHeight="1" x14ac:dyDescent="0.45">
      <c r="A65" s="73"/>
      <c r="B65" s="42"/>
      <c r="C65" s="191" t="s">
        <v>141</v>
      </c>
      <c r="D65" s="192"/>
      <c r="E65" s="104">
        <f>Assumptions!F5</f>
        <v>53</v>
      </c>
      <c r="F65" s="105">
        <f>G65/E65</f>
        <v>7389511.226415094</v>
      </c>
      <c r="G65" s="104">
        <f>SUM(G8,G10:G11,G13:G27,G29,G31,G33:G40,G42:G46,G48:G59,G61:G63)</f>
        <v>391644095</v>
      </c>
      <c r="H65" s="162">
        <f>I65/G65</f>
        <v>0.13259371910382053</v>
      </c>
      <c r="I65" s="106">
        <f>SUM(I8,I10:I11,I13:I27,I29,I31,I33:I40,I42:I46,I48:I59,I61:I63)</f>
        <v>51929547.121100008</v>
      </c>
      <c r="J65" s="107">
        <f>K65/I65</f>
        <v>27.599999999999991</v>
      </c>
      <c r="K65" s="108">
        <f>SUM(K8,K10:K11,K13:K27,K29,K31,K33:K40,K42:K46,K48:K59,K61:K63)</f>
        <v>1433255500.5423598</v>
      </c>
      <c r="L65" s="104">
        <v>31621335.728454102</v>
      </c>
      <c r="M65" s="104">
        <f>I65-L65</f>
        <v>20308211.392645907</v>
      </c>
      <c r="N65" s="106">
        <f>SUM(N8,N10:N11,N13:N27,N29,N31,N33:N40,N42:N46,N48:N59,N61:N63)</f>
        <v>0</v>
      </c>
      <c r="O65" s="109">
        <f>M65+N65</f>
        <v>20308211.392645907</v>
      </c>
      <c r="P65" s="1"/>
      <c r="R65" s="131"/>
    </row>
    <row r="66" spans="1:18" s="42" customFormat="1" ht="24.6" customHeight="1" x14ac:dyDescent="0.45">
      <c r="A66" s="73"/>
      <c r="C66" s="196" t="s">
        <v>118</v>
      </c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8"/>
    </row>
    <row r="67" spans="1:18" s="42" customFormat="1" ht="45.75" customHeight="1" x14ac:dyDescent="0.45">
      <c r="A67" s="72" t="s">
        <v>13</v>
      </c>
      <c r="C67" s="70" t="s">
        <v>119</v>
      </c>
      <c r="D67" s="47" t="s">
        <v>106</v>
      </c>
      <c r="E67" s="5">
        <f>Assumptions!F60</f>
        <v>2724</v>
      </c>
      <c r="F67" s="52">
        <f>G67/E67</f>
        <v>45631.791483113069</v>
      </c>
      <c r="G67" s="52">
        <f>Assumptions!F61</f>
        <v>124301000</v>
      </c>
      <c r="H67" s="142">
        <v>3.3399999999999999E-2</v>
      </c>
      <c r="I67" s="52">
        <f>G67*H67</f>
        <v>4151653.4</v>
      </c>
      <c r="J67" s="39">
        <f>'Labor Rates'!$D$6</f>
        <v>30</v>
      </c>
      <c r="K67" s="39">
        <f>I67*J67</f>
        <v>124549602</v>
      </c>
      <c r="L67" s="52">
        <v>3815769.1211999995</v>
      </c>
      <c r="M67" s="52">
        <f>I67-L67</f>
        <v>335884.27880000044</v>
      </c>
      <c r="N67" s="52">
        <v>0</v>
      </c>
      <c r="O67" s="8">
        <f>M67+N67</f>
        <v>335884.27880000044</v>
      </c>
    </row>
    <row r="68" spans="1:18" s="42" customFormat="1" ht="45.75" customHeight="1" x14ac:dyDescent="0.45">
      <c r="A68" s="72" t="s">
        <v>13</v>
      </c>
      <c r="C68" s="70" t="s">
        <v>120</v>
      </c>
      <c r="D68" s="47" t="s">
        <v>107</v>
      </c>
      <c r="E68" s="5">
        <f>Assumptions!F60</f>
        <v>2724</v>
      </c>
      <c r="F68" s="52">
        <f>G68/E68</f>
        <v>15006.533039647577</v>
      </c>
      <c r="G68" s="52">
        <f>Assumptions!F62</f>
        <v>40877796</v>
      </c>
      <c r="H68" s="129">
        <v>1.67E-2</v>
      </c>
      <c r="I68" s="52">
        <f>G68*H68</f>
        <v>682659.19319999998</v>
      </c>
      <c r="J68" s="39">
        <f>'Labor Rates'!$D$6</f>
        <v>30</v>
      </c>
      <c r="K68" s="39">
        <f t="shared" ref="K68" si="21">I68*J68</f>
        <v>20479775.796</v>
      </c>
      <c r="L68" s="52">
        <v>194066.67704281994</v>
      </c>
      <c r="M68" s="52">
        <f>I68-L68</f>
        <v>488592.51615718007</v>
      </c>
      <c r="N68" s="52">
        <v>0</v>
      </c>
      <c r="O68" s="8">
        <f>M68+N68</f>
        <v>488592.51615718007</v>
      </c>
    </row>
    <row r="69" spans="1:18" s="42" customFormat="1" x14ac:dyDescent="0.45">
      <c r="A69" s="71"/>
      <c r="C69" s="187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9"/>
      <c r="P69" s="43"/>
    </row>
    <row r="70" spans="1:18" s="42" customFormat="1" ht="45.75" customHeight="1" x14ac:dyDescent="0.45">
      <c r="A70" s="73"/>
      <c r="C70" s="202" t="s">
        <v>159</v>
      </c>
      <c r="D70" s="203"/>
      <c r="E70" s="119">
        <f>Assumptions!F60</f>
        <v>2724</v>
      </c>
      <c r="F70" s="161">
        <f>G70/E70</f>
        <v>60638.324522760646</v>
      </c>
      <c r="G70" s="105">
        <f>SUM(G67:G68)</f>
        <v>165178796</v>
      </c>
      <c r="H70" s="135">
        <f>I70/G70</f>
        <v>2.9267149962759142E-2</v>
      </c>
      <c r="I70" s="105">
        <f>SUM(I67:I68)</f>
        <v>4834312.5932</v>
      </c>
      <c r="J70" s="107">
        <f>K70/I70</f>
        <v>30</v>
      </c>
      <c r="K70" s="107">
        <f>SUM(K67:K68)</f>
        <v>145029377.796</v>
      </c>
      <c r="L70" s="105">
        <f>SUM(L67:L68)</f>
        <v>4009835.7982428195</v>
      </c>
      <c r="M70" s="105">
        <f>SUM(M67:M68)</f>
        <v>824476.79495718051</v>
      </c>
      <c r="N70" s="105">
        <f>SUM(N67:N68)</f>
        <v>0</v>
      </c>
      <c r="O70" s="110">
        <f>SUM(O67:O68)</f>
        <v>824476.79495718051</v>
      </c>
    </row>
    <row r="71" spans="1:18" s="42" customFormat="1" x14ac:dyDescent="0.45">
      <c r="A71" s="74"/>
      <c r="C71" s="25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7"/>
    </row>
    <row r="72" spans="1:18" s="42" customFormat="1" ht="45" customHeight="1" thickBot="1" x14ac:dyDescent="0.5">
      <c r="A72" s="73"/>
      <c r="C72" s="182" t="s">
        <v>287</v>
      </c>
      <c r="D72" s="183"/>
      <c r="E72" s="9">
        <f>E65+E70</f>
        <v>2777</v>
      </c>
      <c r="F72" s="10">
        <f>G72/E72</f>
        <v>200512.38422758374</v>
      </c>
      <c r="G72" s="10">
        <f>G65+G70</f>
        <v>556822891</v>
      </c>
      <c r="H72" s="10">
        <f>I72/G72</f>
        <v>0.10194239610436563</v>
      </c>
      <c r="I72" s="136">
        <f>I65+I70</f>
        <v>56763859.714300007</v>
      </c>
      <c r="J72" s="40">
        <f>K72/I72</f>
        <v>27.804396781368919</v>
      </c>
      <c r="K72" s="40">
        <f>K65+K70</f>
        <v>1578284878.3383598</v>
      </c>
      <c r="L72" s="10">
        <f>L65+L70</f>
        <v>35631171.52669692</v>
      </c>
      <c r="M72" s="10">
        <f>M65+M70</f>
        <v>21132688.187603086</v>
      </c>
      <c r="N72" s="10">
        <f>N65+N70</f>
        <v>0</v>
      </c>
      <c r="O72" s="11">
        <f>O65+O70</f>
        <v>21132688.187603086</v>
      </c>
    </row>
    <row r="73" spans="1:18" s="42" customFormat="1" ht="29.65" customHeight="1" x14ac:dyDescent="0.45">
      <c r="A73" s="137"/>
      <c r="C73" s="199" t="s">
        <v>285</v>
      </c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1"/>
      <c r="P73" s="43"/>
    </row>
    <row r="74" spans="1:18" s="42" customFormat="1" ht="24" customHeight="1" x14ac:dyDescent="0.45">
      <c r="A74" s="73"/>
      <c r="C74" s="196" t="s">
        <v>284</v>
      </c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8"/>
      <c r="P74" s="43"/>
    </row>
    <row r="75" spans="1:18" s="2" customFormat="1" x14ac:dyDescent="0.45">
      <c r="A75" s="71"/>
      <c r="B75" s="42"/>
      <c r="C75" s="187" t="s">
        <v>77</v>
      </c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9"/>
      <c r="P75" s="1"/>
    </row>
    <row r="76" spans="1:18" s="2" customFormat="1" ht="45" customHeight="1" x14ac:dyDescent="0.45">
      <c r="A76" s="55" t="s">
        <v>13</v>
      </c>
      <c r="B76" s="42"/>
      <c r="C76" s="70">
        <v>273.2</v>
      </c>
      <c r="D76" s="3" t="s">
        <v>30</v>
      </c>
      <c r="E76" s="5">
        <f>Assumptions!F14</f>
        <v>18062201</v>
      </c>
      <c r="F76" s="52">
        <v>1</v>
      </c>
      <c r="G76" s="5">
        <f>E76*F76</f>
        <v>18062201</v>
      </c>
      <c r="H76" s="128">
        <v>0.31730000000000003</v>
      </c>
      <c r="I76" s="52">
        <f>G76*H76</f>
        <v>5731136.3773000007</v>
      </c>
      <c r="J76" s="39">
        <f>'Labor Rates'!$D$7</f>
        <v>7.25</v>
      </c>
      <c r="K76" s="39">
        <f>I76*J76</f>
        <v>41550738.735425003</v>
      </c>
      <c r="L76" s="52">
        <v>3556686.4579000003</v>
      </c>
      <c r="M76" s="52">
        <f t="shared" ref="M76" si="22">I76-L76</f>
        <v>2174449.9194000005</v>
      </c>
      <c r="N76" s="52">
        <v>0</v>
      </c>
      <c r="O76" s="8">
        <f t="shared" ref="O76:O128" si="23">M76+N76</f>
        <v>2174449.9194000005</v>
      </c>
      <c r="P76" s="1"/>
    </row>
    <row r="77" spans="1:18" s="2" customFormat="1" x14ac:dyDescent="0.45">
      <c r="A77" s="71"/>
      <c r="B77" s="42"/>
      <c r="C77" s="187" t="s">
        <v>76</v>
      </c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9"/>
      <c r="P77" s="1"/>
    </row>
    <row r="78" spans="1:18" s="2" customFormat="1" ht="45" customHeight="1" x14ac:dyDescent="0.45">
      <c r="A78" s="55" t="s">
        <v>13</v>
      </c>
      <c r="B78" s="42"/>
      <c r="C78" s="70" t="s">
        <v>50</v>
      </c>
      <c r="D78" s="3" t="s">
        <v>64</v>
      </c>
      <c r="E78" s="5">
        <f>Assumptions!F14</f>
        <v>18062201</v>
      </c>
      <c r="F78" s="52">
        <v>1</v>
      </c>
      <c r="G78" s="5">
        <f>E78*F78</f>
        <v>18062201</v>
      </c>
      <c r="H78" s="128">
        <v>0.63460000000000005</v>
      </c>
      <c r="I78" s="52">
        <f>G78*H78</f>
        <v>11462272.754600001</v>
      </c>
      <c r="J78" s="39">
        <f>'Labor Rates'!$D$7</f>
        <v>7.25</v>
      </c>
      <c r="K78" s="39">
        <f t="shared" ref="K78:K79" si="24">I78*J78</f>
        <v>83101477.470850006</v>
      </c>
      <c r="L78" s="52">
        <v>5604611.5</v>
      </c>
      <c r="M78" s="52">
        <f t="shared" ref="M78:M128" si="25">I78-L78</f>
        <v>5857661.2546000015</v>
      </c>
      <c r="N78" s="52">
        <v>0</v>
      </c>
      <c r="O78" s="8">
        <f t="shared" si="23"/>
        <v>5857661.2546000015</v>
      </c>
      <c r="P78" s="1"/>
    </row>
    <row r="79" spans="1:18" s="2" customFormat="1" ht="45" customHeight="1" x14ac:dyDescent="0.45">
      <c r="A79" s="55" t="s">
        <v>13</v>
      </c>
      <c r="B79" s="42"/>
      <c r="C79" s="70" t="s">
        <v>50</v>
      </c>
      <c r="D79" s="3" t="s">
        <v>65</v>
      </c>
      <c r="E79" s="5">
        <f>Assumptions!F9</f>
        <v>4430351</v>
      </c>
      <c r="F79" s="52">
        <v>1</v>
      </c>
      <c r="G79" s="5">
        <f>E79*F79</f>
        <v>4430351</v>
      </c>
      <c r="H79" s="5">
        <v>2</v>
      </c>
      <c r="I79" s="52">
        <f>G79*H79</f>
        <v>8860702</v>
      </c>
      <c r="J79" s="39">
        <f>'Labor Rates'!$D$7</f>
        <v>7.25</v>
      </c>
      <c r="K79" s="39">
        <f t="shared" si="24"/>
        <v>64240089.5</v>
      </c>
      <c r="L79" s="52">
        <v>4483689.2</v>
      </c>
      <c r="M79" s="52">
        <f t="shared" si="25"/>
        <v>4377012.8</v>
      </c>
      <c r="N79" s="52">
        <v>0</v>
      </c>
      <c r="O79" s="8">
        <f t="shared" si="23"/>
        <v>4377012.8</v>
      </c>
      <c r="P79" s="1"/>
    </row>
    <row r="80" spans="1:18" s="2" customFormat="1" x14ac:dyDescent="0.45">
      <c r="A80" s="71"/>
      <c r="B80" s="42"/>
      <c r="C80" s="187" t="s">
        <v>78</v>
      </c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9"/>
      <c r="P80" s="1"/>
    </row>
    <row r="81" spans="1:16" s="2" customFormat="1" ht="45" customHeight="1" x14ac:dyDescent="0.45">
      <c r="A81" s="55" t="s">
        <v>13</v>
      </c>
      <c r="B81" s="42"/>
      <c r="C81" s="70" t="s">
        <v>51</v>
      </c>
      <c r="D81" s="3" t="s">
        <v>16</v>
      </c>
      <c r="E81" s="5">
        <f>Assumptions!F14</f>
        <v>18062201</v>
      </c>
      <c r="F81" s="52">
        <v>1</v>
      </c>
      <c r="G81" s="5">
        <f>E81*F81</f>
        <v>18062201</v>
      </c>
      <c r="H81" s="128">
        <v>6.6799999999999998E-2</v>
      </c>
      <c r="I81" s="52">
        <f>G81*H81</f>
        <v>1206555.0267999999</v>
      </c>
      <c r="J81" s="39">
        <f>'Labor Rates'!$D$7</f>
        <v>7.25</v>
      </c>
      <c r="K81" s="39">
        <f t="shared" ref="K81:K95" si="26">I81*J81</f>
        <v>8747523.9442999996</v>
      </c>
      <c r="L81" s="52">
        <v>748776.09640000004</v>
      </c>
      <c r="M81" s="52">
        <f t="shared" si="25"/>
        <v>457778.93039999984</v>
      </c>
      <c r="N81" s="52">
        <v>0</v>
      </c>
      <c r="O81" s="8">
        <f t="shared" si="23"/>
        <v>457778.93039999984</v>
      </c>
      <c r="P81" s="1"/>
    </row>
    <row r="82" spans="1:16" s="2" customFormat="1" ht="45" customHeight="1" x14ac:dyDescent="0.45">
      <c r="A82" s="55" t="s">
        <v>13</v>
      </c>
      <c r="B82" s="42"/>
      <c r="C82" s="70" t="s">
        <v>51</v>
      </c>
      <c r="D82" s="3" t="s">
        <v>17</v>
      </c>
      <c r="E82" s="5">
        <f>Assumptions!F14</f>
        <v>18062201</v>
      </c>
      <c r="F82" s="52">
        <v>1</v>
      </c>
      <c r="G82" s="5">
        <f t="shared" ref="G82:G95" si="27">E82*F82</f>
        <v>18062201</v>
      </c>
      <c r="H82" s="128">
        <v>6.6799999999999998E-2</v>
      </c>
      <c r="I82" s="52">
        <f t="shared" ref="I82:I108" si="28">G82*H82</f>
        <v>1206555.0267999999</v>
      </c>
      <c r="J82" s="39">
        <f>'Labor Rates'!$D$7</f>
        <v>7.25</v>
      </c>
      <c r="K82" s="39">
        <f t="shared" si="26"/>
        <v>8747523.9442999996</v>
      </c>
      <c r="L82" s="52">
        <v>748776.09640000004</v>
      </c>
      <c r="M82" s="52">
        <f t="shared" si="25"/>
        <v>457778.93039999984</v>
      </c>
      <c r="N82" s="52">
        <v>0</v>
      </c>
      <c r="O82" s="8">
        <f t="shared" si="23"/>
        <v>457778.93039999984</v>
      </c>
      <c r="P82" s="1"/>
    </row>
    <row r="83" spans="1:16" s="2" customFormat="1" ht="45" customHeight="1" x14ac:dyDescent="0.45">
      <c r="A83" s="55" t="s">
        <v>13</v>
      </c>
      <c r="B83" s="42"/>
      <c r="C83" s="70" t="s">
        <v>51</v>
      </c>
      <c r="D83" s="3" t="s">
        <v>18</v>
      </c>
      <c r="E83" s="5">
        <f>Assumptions!F14</f>
        <v>18062201</v>
      </c>
      <c r="F83" s="52">
        <v>1</v>
      </c>
      <c r="G83" s="5">
        <f t="shared" si="27"/>
        <v>18062201</v>
      </c>
      <c r="H83" s="128">
        <v>6.6799999999999998E-2</v>
      </c>
      <c r="I83" s="52">
        <f t="shared" si="28"/>
        <v>1206555.0267999999</v>
      </c>
      <c r="J83" s="39">
        <f>'Labor Rates'!$D$7</f>
        <v>7.25</v>
      </c>
      <c r="K83" s="39">
        <f t="shared" si="26"/>
        <v>8747523.9442999996</v>
      </c>
      <c r="L83" s="52">
        <v>748776.09640000004</v>
      </c>
      <c r="M83" s="52">
        <f t="shared" si="25"/>
        <v>457778.93039999984</v>
      </c>
      <c r="N83" s="52">
        <v>0</v>
      </c>
      <c r="O83" s="8">
        <f t="shared" si="23"/>
        <v>457778.93039999984</v>
      </c>
      <c r="P83" s="1"/>
    </row>
    <row r="84" spans="1:16" s="2" customFormat="1" ht="45" customHeight="1" x14ac:dyDescent="0.45">
      <c r="A84" s="55" t="s">
        <v>13</v>
      </c>
      <c r="B84" s="42"/>
      <c r="C84" s="70" t="s">
        <v>51</v>
      </c>
      <c r="D84" s="3" t="s">
        <v>19</v>
      </c>
      <c r="E84" s="5">
        <f>Assumptions!F14</f>
        <v>18062201</v>
      </c>
      <c r="F84" s="52">
        <v>1</v>
      </c>
      <c r="G84" s="5">
        <f t="shared" si="27"/>
        <v>18062201</v>
      </c>
      <c r="H84" s="128">
        <v>6.6799999999999998E-2</v>
      </c>
      <c r="I84" s="52">
        <f t="shared" si="28"/>
        <v>1206555.0267999999</v>
      </c>
      <c r="J84" s="39">
        <f>'Labor Rates'!$D$7</f>
        <v>7.25</v>
      </c>
      <c r="K84" s="39">
        <f t="shared" si="26"/>
        <v>8747523.9442999996</v>
      </c>
      <c r="L84" s="52">
        <v>748776.09640000004</v>
      </c>
      <c r="M84" s="52">
        <f t="shared" si="25"/>
        <v>457778.93039999984</v>
      </c>
      <c r="N84" s="52">
        <v>0</v>
      </c>
      <c r="O84" s="8">
        <f t="shared" si="23"/>
        <v>457778.93039999984</v>
      </c>
      <c r="P84" s="1"/>
    </row>
    <row r="85" spans="1:16" s="2" customFormat="1" ht="45" customHeight="1" x14ac:dyDescent="0.45">
      <c r="A85" s="55" t="s">
        <v>13</v>
      </c>
      <c r="B85" s="42"/>
      <c r="C85" s="70" t="s">
        <v>51</v>
      </c>
      <c r="D85" s="3" t="s">
        <v>20</v>
      </c>
      <c r="E85" s="5">
        <f>Assumptions!F16</f>
        <v>1117000</v>
      </c>
      <c r="F85" s="52">
        <v>1</v>
      </c>
      <c r="G85" s="5">
        <f t="shared" si="27"/>
        <v>1117000</v>
      </c>
      <c r="H85" s="128">
        <v>6.6799999999999998E-2</v>
      </c>
      <c r="I85" s="52">
        <f t="shared" si="28"/>
        <v>74615.599999999991</v>
      </c>
      <c r="J85" s="39">
        <f>'Labor Rates'!$D$7</f>
        <v>7.25</v>
      </c>
      <c r="K85" s="39">
        <f t="shared" si="26"/>
        <v>540963.1</v>
      </c>
      <c r="L85" s="52">
        <v>46492.799999999996</v>
      </c>
      <c r="M85" s="52">
        <f t="shared" si="25"/>
        <v>28122.799999999996</v>
      </c>
      <c r="N85" s="52">
        <v>0</v>
      </c>
      <c r="O85" s="8">
        <f t="shared" si="23"/>
        <v>28122.799999999996</v>
      </c>
      <c r="P85" s="1"/>
    </row>
    <row r="86" spans="1:16" s="2" customFormat="1" ht="45" customHeight="1" x14ac:dyDescent="0.45">
      <c r="A86" s="55" t="s">
        <v>13</v>
      </c>
      <c r="B86" s="42"/>
      <c r="C86" s="70" t="s">
        <v>51</v>
      </c>
      <c r="D86" s="3" t="s">
        <v>21</v>
      </c>
      <c r="E86" s="5">
        <f>Assumptions!F14</f>
        <v>18062201</v>
      </c>
      <c r="F86" s="52">
        <v>1</v>
      </c>
      <c r="G86" s="5">
        <f t="shared" si="27"/>
        <v>18062201</v>
      </c>
      <c r="H86" s="128">
        <v>6.6799999999999998E-2</v>
      </c>
      <c r="I86" s="52">
        <f t="shared" si="28"/>
        <v>1206555.0267999999</v>
      </c>
      <c r="J86" s="39">
        <f>'Labor Rates'!$D$7</f>
        <v>7.25</v>
      </c>
      <c r="K86" s="39">
        <f t="shared" si="26"/>
        <v>8747523.9442999996</v>
      </c>
      <c r="L86" s="52">
        <v>748776.09640000004</v>
      </c>
      <c r="M86" s="52">
        <f t="shared" si="25"/>
        <v>457778.93039999984</v>
      </c>
      <c r="N86" s="52">
        <v>0</v>
      </c>
      <c r="O86" s="8">
        <f t="shared" si="23"/>
        <v>457778.93039999984</v>
      </c>
      <c r="P86" s="1"/>
    </row>
    <row r="87" spans="1:16" s="2" customFormat="1" ht="71.25" customHeight="1" x14ac:dyDescent="0.45">
      <c r="A87" s="55" t="s">
        <v>13</v>
      </c>
      <c r="B87" s="42"/>
      <c r="C87" s="70" t="s">
        <v>51</v>
      </c>
      <c r="D87" s="3" t="s">
        <v>22</v>
      </c>
      <c r="E87" s="5">
        <f>Assumptions!F17</f>
        <v>13693000</v>
      </c>
      <c r="F87" s="52">
        <v>1</v>
      </c>
      <c r="G87" s="5">
        <f t="shared" si="27"/>
        <v>13693000</v>
      </c>
      <c r="H87" s="128">
        <v>6.6799999999999998E-2</v>
      </c>
      <c r="I87" s="52">
        <f t="shared" si="28"/>
        <v>914692.4</v>
      </c>
      <c r="J87" s="39">
        <f>'Labor Rates'!$D$7</f>
        <v>7.25</v>
      </c>
      <c r="K87" s="39">
        <f t="shared" si="26"/>
        <v>6631519.9000000004</v>
      </c>
      <c r="L87" s="52">
        <v>865661.2</v>
      </c>
      <c r="M87" s="52">
        <f t="shared" si="25"/>
        <v>49031.20000000007</v>
      </c>
      <c r="N87" s="52">
        <v>0</v>
      </c>
      <c r="O87" s="8">
        <f t="shared" si="23"/>
        <v>49031.20000000007</v>
      </c>
      <c r="P87" s="1"/>
    </row>
    <row r="88" spans="1:16" s="2" customFormat="1" ht="45" customHeight="1" x14ac:dyDescent="0.45">
      <c r="A88" s="55" t="s">
        <v>13</v>
      </c>
      <c r="B88" s="42"/>
      <c r="C88" s="70" t="s">
        <v>51</v>
      </c>
      <c r="D88" s="3" t="s">
        <v>294</v>
      </c>
      <c r="E88" s="5">
        <f>Assumptions!F18</f>
        <v>2864000</v>
      </c>
      <c r="F88" s="52">
        <v>1</v>
      </c>
      <c r="G88" s="5">
        <f t="shared" si="27"/>
        <v>2864000</v>
      </c>
      <c r="H88" s="128">
        <v>0.1002</v>
      </c>
      <c r="I88" s="52">
        <f t="shared" si="28"/>
        <v>286972.79999999999</v>
      </c>
      <c r="J88" s="39">
        <f>'Labor Rates'!$D$7</f>
        <v>7.25</v>
      </c>
      <c r="K88" s="39">
        <f t="shared" si="26"/>
        <v>2080552.7999999998</v>
      </c>
      <c r="L88" s="52">
        <v>247440.02559999999</v>
      </c>
      <c r="M88" s="52">
        <f t="shared" si="25"/>
        <v>39532.774399999995</v>
      </c>
      <c r="N88" s="52">
        <v>0</v>
      </c>
      <c r="O88" s="8">
        <f t="shared" si="23"/>
        <v>39532.774399999995</v>
      </c>
      <c r="P88" s="1"/>
    </row>
    <row r="89" spans="1:16" s="2" customFormat="1" ht="45" customHeight="1" x14ac:dyDescent="0.45">
      <c r="A89" s="55" t="s">
        <v>13</v>
      </c>
      <c r="B89" s="42"/>
      <c r="C89" s="70" t="s">
        <v>51</v>
      </c>
      <c r="D89" s="3" t="s">
        <v>24</v>
      </c>
      <c r="E89" s="5">
        <f>Assumptions!F19</f>
        <v>316000</v>
      </c>
      <c r="F89" s="52">
        <v>1</v>
      </c>
      <c r="G89" s="5">
        <f t="shared" si="27"/>
        <v>316000</v>
      </c>
      <c r="H89" s="128">
        <v>6.6799999999999998E-2</v>
      </c>
      <c r="I89" s="52">
        <f t="shared" si="28"/>
        <v>21108.799999999999</v>
      </c>
      <c r="J89" s="39">
        <f>'Labor Rates'!$D$7</f>
        <v>7.25</v>
      </c>
      <c r="K89" s="39">
        <f t="shared" si="26"/>
        <v>153038.79999999999</v>
      </c>
      <c r="L89" s="52">
        <v>24315.200000000001</v>
      </c>
      <c r="M89" s="52">
        <f t="shared" si="25"/>
        <v>-3206.4000000000015</v>
      </c>
      <c r="N89" s="52">
        <v>0</v>
      </c>
      <c r="O89" s="8">
        <f t="shared" si="23"/>
        <v>-3206.4000000000015</v>
      </c>
      <c r="P89" s="1"/>
    </row>
    <row r="90" spans="1:16" s="2" customFormat="1" ht="45" customHeight="1" x14ac:dyDescent="0.45">
      <c r="A90" s="55" t="s">
        <v>13</v>
      </c>
      <c r="B90" s="42"/>
      <c r="C90" s="70" t="s">
        <v>51</v>
      </c>
      <c r="D90" s="3" t="s">
        <v>25</v>
      </c>
      <c r="E90" s="5">
        <f>Assumptions!F20</f>
        <v>4073000</v>
      </c>
      <c r="F90" s="52">
        <v>1</v>
      </c>
      <c r="G90" s="5">
        <f t="shared" si="27"/>
        <v>4073000</v>
      </c>
      <c r="H90" s="128">
        <v>6.6799999999999998E-2</v>
      </c>
      <c r="I90" s="52">
        <f t="shared" si="28"/>
        <v>272076.39999999997</v>
      </c>
      <c r="J90" s="39">
        <f>'Labor Rates'!$D$7</f>
        <v>7.25</v>
      </c>
      <c r="K90" s="39">
        <f t="shared" si="26"/>
        <v>1972553.8999999997</v>
      </c>
      <c r="L90" s="52">
        <v>242684.4</v>
      </c>
      <c r="M90" s="52">
        <f t="shared" si="25"/>
        <v>29391.999999999971</v>
      </c>
      <c r="N90" s="52">
        <v>0</v>
      </c>
      <c r="O90" s="8">
        <f t="shared" si="23"/>
        <v>29391.999999999971</v>
      </c>
      <c r="P90" s="1"/>
    </row>
    <row r="91" spans="1:16" s="2" customFormat="1" ht="45" customHeight="1" x14ac:dyDescent="0.45">
      <c r="A91" s="55" t="s">
        <v>13</v>
      </c>
      <c r="B91" s="42"/>
      <c r="C91" s="70" t="s">
        <v>51</v>
      </c>
      <c r="D91" s="3" t="s">
        <v>26</v>
      </c>
      <c r="E91" s="5">
        <f>Assumptions!F14</f>
        <v>18062201</v>
      </c>
      <c r="F91" s="52">
        <v>1</v>
      </c>
      <c r="G91" s="5">
        <f t="shared" si="27"/>
        <v>18062201</v>
      </c>
      <c r="H91" s="128">
        <v>6.6799999999999998E-2</v>
      </c>
      <c r="I91" s="52">
        <f t="shared" si="28"/>
        <v>1206555.0267999999</v>
      </c>
      <c r="J91" s="39">
        <f>'Labor Rates'!$D$7</f>
        <v>7.25</v>
      </c>
      <c r="K91" s="39">
        <f t="shared" si="26"/>
        <v>8747523.9442999996</v>
      </c>
      <c r="L91" s="52">
        <v>748776.09640000004</v>
      </c>
      <c r="M91" s="52">
        <f t="shared" si="25"/>
        <v>457778.93039999984</v>
      </c>
      <c r="N91" s="52">
        <v>0</v>
      </c>
      <c r="O91" s="8">
        <f t="shared" si="23"/>
        <v>457778.93039999984</v>
      </c>
      <c r="P91" s="1"/>
    </row>
    <row r="92" spans="1:16" s="2" customFormat="1" ht="45" customHeight="1" x14ac:dyDescent="0.45">
      <c r="A92" s="55" t="s">
        <v>13</v>
      </c>
      <c r="B92" s="42"/>
      <c r="C92" s="70" t="s">
        <v>51</v>
      </c>
      <c r="D92" s="3" t="s">
        <v>27</v>
      </c>
      <c r="E92" s="5">
        <f>Assumptions!F22</f>
        <v>513317</v>
      </c>
      <c r="F92" s="52">
        <v>1</v>
      </c>
      <c r="G92" s="5">
        <f t="shared" si="27"/>
        <v>513317</v>
      </c>
      <c r="H92" s="128">
        <v>6.6799999999999998E-2</v>
      </c>
      <c r="I92" s="52">
        <f t="shared" si="28"/>
        <v>34289.575599999996</v>
      </c>
      <c r="J92" s="39">
        <f>'Labor Rates'!$D$7</f>
        <v>7.25</v>
      </c>
      <c r="K92" s="39">
        <f t="shared" si="26"/>
        <v>248599.42309999999</v>
      </c>
      <c r="L92" s="52">
        <v>39069.4496</v>
      </c>
      <c r="M92" s="52">
        <f t="shared" si="25"/>
        <v>-4779.8740000000034</v>
      </c>
      <c r="N92" s="52">
        <v>0</v>
      </c>
      <c r="O92" s="8">
        <f t="shared" si="23"/>
        <v>-4779.8740000000034</v>
      </c>
      <c r="P92" s="1"/>
    </row>
    <row r="93" spans="1:16" s="2" customFormat="1" ht="45" customHeight="1" x14ac:dyDescent="0.45">
      <c r="A93" s="55" t="s">
        <v>13</v>
      </c>
      <c r="B93" s="42"/>
      <c r="C93" s="70" t="s">
        <v>51</v>
      </c>
      <c r="D93" s="3" t="s">
        <v>66</v>
      </c>
      <c r="E93" s="5">
        <f>Assumptions!F25</f>
        <v>1354273</v>
      </c>
      <c r="F93" s="52">
        <v>1</v>
      </c>
      <c r="G93" s="5">
        <f t="shared" si="27"/>
        <v>1354273</v>
      </c>
      <c r="H93" s="128">
        <v>6.6799999999999998E-2</v>
      </c>
      <c r="I93" s="52">
        <f t="shared" si="28"/>
        <v>90465.436399999991</v>
      </c>
      <c r="J93" s="39">
        <f>'Labor Rates'!$D$7</f>
        <v>7.25</v>
      </c>
      <c r="K93" s="39">
        <f t="shared" si="26"/>
        <v>655874.41389999993</v>
      </c>
      <c r="L93" s="52">
        <v>8128.7583999999997</v>
      </c>
      <c r="M93" s="52">
        <f t="shared" si="25"/>
        <v>82336.677999999985</v>
      </c>
      <c r="N93" s="52">
        <v>0</v>
      </c>
      <c r="O93" s="8">
        <f t="shared" si="23"/>
        <v>82336.677999999985</v>
      </c>
      <c r="P93" s="1"/>
    </row>
    <row r="94" spans="1:16" s="2" customFormat="1" ht="45" customHeight="1" x14ac:dyDescent="0.45">
      <c r="A94" s="55" t="s">
        <v>13</v>
      </c>
      <c r="B94" s="42"/>
      <c r="C94" s="70" t="s">
        <v>75</v>
      </c>
      <c r="D94" s="3" t="s">
        <v>292</v>
      </c>
      <c r="E94" s="5">
        <f>Assumptions!F24</f>
        <v>363243</v>
      </c>
      <c r="F94" s="52">
        <v>1</v>
      </c>
      <c r="G94" s="5">
        <f t="shared" si="27"/>
        <v>363243</v>
      </c>
      <c r="H94" s="128">
        <v>8.3500000000000005E-2</v>
      </c>
      <c r="I94" s="52">
        <f t="shared" si="28"/>
        <v>30330.790500000003</v>
      </c>
      <c r="J94" s="39">
        <f>'Labor Rates'!$D$7</f>
        <v>7.25</v>
      </c>
      <c r="K94" s="39">
        <f t="shared" si="26"/>
        <v>219898.23112500002</v>
      </c>
      <c r="L94" s="52">
        <v>42118.6554225</v>
      </c>
      <c r="M94" s="52">
        <f t="shared" si="25"/>
        <v>-11787.864922499997</v>
      </c>
      <c r="N94" s="52">
        <v>0</v>
      </c>
      <c r="O94" s="8">
        <f t="shared" si="23"/>
        <v>-11787.864922499997</v>
      </c>
      <c r="P94" s="1"/>
    </row>
    <row r="95" spans="1:16" s="2" customFormat="1" ht="45" customHeight="1" x14ac:dyDescent="0.45">
      <c r="A95" s="55" t="s">
        <v>13</v>
      </c>
      <c r="B95" s="42"/>
      <c r="C95" s="70" t="s">
        <v>75</v>
      </c>
      <c r="D95" s="3" t="s">
        <v>293</v>
      </c>
      <c r="E95" s="5">
        <f>Assumptions!F23</f>
        <v>658000</v>
      </c>
      <c r="F95" s="52">
        <v>1</v>
      </c>
      <c r="G95" s="5">
        <f t="shared" si="27"/>
        <v>658000</v>
      </c>
      <c r="H95" s="128">
        <v>3.3399999999999999E-2</v>
      </c>
      <c r="I95" s="52">
        <f t="shared" si="28"/>
        <v>21977.200000000001</v>
      </c>
      <c r="J95" s="39">
        <f>'Labor Rates'!$D$7</f>
        <v>7.25</v>
      </c>
      <c r="K95" s="39">
        <f t="shared" si="26"/>
        <v>159334.70000000001</v>
      </c>
      <c r="L95" s="52">
        <v>21973.321926000001</v>
      </c>
      <c r="M95" s="52">
        <f t="shared" si="25"/>
        <v>3.878074000000197</v>
      </c>
      <c r="N95" s="52">
        <v>0</v>
      </c>
      <c r="O95" s="8">
        <f t="shared" si="23"/>
        <v>3.878074000000197</v>
      </c>
      <c r="P95" s="1"/>
    </row>
    <row r="96" spans="1:16" s="2" customFormat="1" ht="14.65" customHeight="1" x14ac:dyDescent="0.45">
      <c r="A96" s="71"/>
      <c r="B96" s="42"/>
      <c r="C96" s="187" t="s">
        <v>82</v>
      </c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9"/>
      <c r="P96" s="1"/>
    </row>
    <row r="97" spans="1:16" s="2" customFormat="1" ht="45" customHeight="1" x14ac:dyDescent="0.45">
      <c r="A97" s="55" t="s">
        <v>13</v>
      </c>
      <c r="B97" s="42"/>
      <c r="C97" s="70">
        <v>273.14</v>
      </c>
      <c r="D97" s="3" t="s">
        <v>31</v>
      </c>
      <c r="E97" s="5">
        <f>Assumptions!F15</f>
        <v>14656751</v>
      </c>
      <c r="F97" s="52">
        <v>1</v>
      </c>
      <c r="G97" s="5">
        <f>E97*F97</f>
        <v>14656751</v>
      </c>
      <c r="H97" s="52">
        <v>0.25</v>
      </c>
      <c r="I97" s="52">
        <f t="shared" si="28"/>
        <v>3664187.75</v>
      </c>
      <c r="J97" s="39">
        <f>'Labor Rates'!$D$7</f>
        <v>7.25</v>
      </c>
      <c r="K97" s="39">
        <f>I97*J97</f>
        <v>26565361.1875</v>
      </c>
      <c r="L97" s="52">
        <v>3654910.5</v>
      </c>
      <c r="M97" s="52">
        <f t="shared" si="25"/>
        <v>9277.25</v>
      </c>
      <c r="N97" s="52">
        <v>0</v>
      </c>
      <c r="O97" s="8">
        <f t="shared" si="23"/>
        <v>9277.25</v>
      </c>
      <c r="P97" s="1"/>
    </row>
    <row r="98" spans="1:16" s="2" customFormat="1" ht="14.65" customHeight="1" x14ac:dyDescent="0.45">
      <c r="A98" s="71"/>
      <c r="B98" s="42"/>
      <c r="C98" s="187" t="s">
        <v>83</v>
      </c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9"/>
      <c r="P98" s="1"/>
    </row>
    <row r="99" spans="1:16" s="2" customFormat="1" ht="45" customHeight="1" x14ac:dyDescent="0.45">
      <c r="A99" s="55" t="s">
        <v>13</v>
      </c>
      <c r="B99" s="42"/>
      <c r="C99" s="70" t="s">
        <v>52</v>
      </c>
      <c r="D99" s="3" t="s">
        <v>67</v>
      </c>
      <c r="E99" s="5">
        <f>Assumptions!F15</f>
        <v>14656751</v>
      </c>
      <c r="F99" s="52">
        <v>1</v>
      </c>
      <c r="G99" s="5">
        <f>E99*F99</f>
        <v>14656751</v>
      </c>
      <c r="H99" s="52">
        <v>0.5</v>
      </c>
      <c r="I99" s="52">
        <f t="shared" si="28"/>
        <v>7328375.5</v>
      </c>
      <c r="J99" s="39">
        <f>'Labor Rates'!$D$7</f>
        <v>7.25</v>
      </c>
      <c r="K99" s="39">
        <f t="shared" ref="K99:K100" si="29">I99*J99</f>
        <v>53130722.375</v>
      </c>
      <c r="L99" s="52">
        <v>4882960.4280000003</v>
      </c>
      <c r="M99" s="52">
        <f t="shared" si="25"/>
        <v>2445415.0719999997</v>
      </c>
      <c r="N99" s="52">
        <v>0</v>
      </c>
      <c r="O99" s="8">
        <f t="shared" si="23"/>
        <v>2445415.0719999997</v>
      </c>
      <c r="P99" s="1"/>
    </row>
    <row r="100" spans="1:16" s="2" customFormat="1" ht="45" customHeight="1" x14ac:dyDescent="0.45">
      <c r="A100" s="55" t="s">
        <v>13</v>
      </c>
      <c r="B100" s="42"/>
      <c r="C100" s="70" t="s">
        <v>52</v>
      </c>
      <c r="D100" s="3" t="s">
        <v>68</v>
      </c>
      <c r="E100" s="5">
        <f>Assumptions!F26</f>
        <v>2931350</v>
      </c>
      <c r="F100" s="52">
        <v>1</v>
      </c>
      <c r="G100" s="5">
        <f>E100*F100</f>
        <v>2931350</v>
      </c>
      <c r="H100" s="5">
        <v>2</v>
      </c>
      <c r="I100" s="52">
        <f t="shared" si="28"/>
        <v>5862700</v>
      </c>
      <c r="J100" s="39">
        <f>'Labor Rates'!$D$7</f>
        <v>7.25</v>
      </c>
      <c r="K100" s="39">
        <f t="shared" si="29"/>
        <v>42504575</v>
      </c>
      <c r="L100" s="52">
        <v>5847856.8000000007</v>
      </c>
      <c r="M100" s="52">
        <f t="shared" si="25"/>
        <v>14843.199999999255</v>
      </c>
      <c r="N100" s="52">
        <v>0</v>
      </c>
      <c r="O100" s="8">
        <f t="shared" si="23"/>
        <v>14843.199999999255</v>
      </c>
      <c r="P100" s="1"/>
    </row>
    <row r="101" spans="1:16" s="2" customFormat="1" x14ac:dyDescent="0.45">
      <c r="A101" s="71"/>
      <c r="B101" s="42"/>
      <c r="C101" s="187" t="s">
        <v>79</v>
      </c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9"/>
      <c r="P101" s="1"/>
    </row>
    <row r="102" spans="1:16" s="2" customFormat="1" ht="45" customHeight="1" x14ac:dyDescent="0.45">
      <c r="A102" s="55" t="s">
        <v>13</v>
      </c>
      <c r="B102" s="42"/>
      <c r="C102" s="70" t="s">
        <v>53</v>
      </c>
      <c r="D102" s="3" t="s">
        <v>33</v>
      </c>
      <c r="E102" s="5">
        <f>Assumptions!F27</f>
        <v>7328376</v>
      </c>
      <c r="F102" s="52">
        <v>1</v>
      </c>
      <c r="G102" s="5">
        <f>E102*F102</f>
        <v>7328376</v>
      </c>
      <c r="H102" s="128">
        <v>0.1002</v>
      </c>
      <c r="I102" s="52">
        <f t="shared" si="28"/>
        <v>734303.27520000003</v>
      </c>
      <c r="J102" s="39">
        <f>'Labor Rates'!$D$7</f>
        <v>7.25</v>
      </c>
      <c r="K102" s="39">
        <f t="shared" ref="K102:K108" si="30">I102*J102</f>
        <v>5323698.7452000007</v>
      </c>
      <c r="L102" s="52">
        <v>732444.06420000002</v>
      </c>
      <c r="M102" s="52">
        <f t="shared" si="25"/>
        <v>1859.2110000000102</v>
      </c>
      <c r="N102" s="52">
        <v>0</v>
      </c>
      <c r="O102" s="8">
        <f t="shared" si="23"/>
        <v>1859.2110000000102</v>
      </c>
      <c r="P102" s="1"/>
    </row>
    <row r="103" spans="1:16" s="2" customFormat="1" ht="45" customHeight="1" x14ac:dyDescent="0.45">
      <c r="A103" s="55" t="s">
        <v>13</v>
      </c>
      <c r="B103" s="42"/>
      <c r="C103" s="70" t="s">
        <v>53</v>
      </c>
      <c r="D103" s="3" t="s">
        <v>34</v>
      </c>
      <c r="E103" s="5">
        <f>Assumptions!F28</f>
        <v>146568</v>
      </c>
      <c r="F103" s="52">
        <v>1</v>
      </c>
      <c r="G103" s="5">
        <f t="shared" ref="G103:G108" si="31">E103*F103</f>
        <v>146568</v>
      </c>
      <c r="H103" s="128">
        <v>0.1002</v>
      </c>
      <c r="I103" s="52">
        <f t="shared" si="28"/>
        <v>14686.113599999999</v>
      </c>
      <c r="J103" s="39">
        <f>'Labor Rates'!$D$7</f>
        <v>7.25</v>
      </c>
      <c r="K103" s="39">
        <f t="shared" si="30"/>
        <v>106474.32359999999</v>
      </c>
      <c r="L103" s="52">
        <v>14648.881284000001</v>
      </c>
      <c r="M103" s="52">
        <f t="shared" si="25"/>
        <v>37.232315999997809</v>
      </c>
      <c r="N103" s="52">
        <v>0</v>
      </c>
      <c r="O103" s="8">
        <f t="shared" si="23"/>
        <v>37.232315999997809</v>
      </c>
      <c r="P103" s="1"/>
    </row>
    <row r="104" spans="1:16" s="2" customFormat="1" ht="63" customHeight="1" x14ac:dyDescent="0.45">
      <c r="A104" s="55" t="s">
        <v>13</v>
      </c>
      <c r="B104" s="42"/>
      <c r="C104" s="70" t="s">
        <v>53</v>
      </c>
      <c r="D104" s="3" t="s">
        <v>35</v>
      </c>
      <c r="E104" s="5">
        <f>Assumptions!F29</f>
        <v>293135</v>
      </c>
      <c r="F104" s="52">
        <v>1</v>
      </c>
      <c r="G104" s="5">
        <f t="shared" si="31"/>
        <v>293135</v>
      </c>
      <c r="H104" s="128">
        <v>0.1002</v>
      </c>
      <c r="I104" s="52">
        <f t="shared" si="28"/>
        <v>29372.127</v>
      </c>
      <c r="J104" s="39">
        <f>'Labor Rates'!$D$7</f>
        <v>7.25</v>
      </c>
      <c r="K104" s="39">
        <f t="shared" si="30"/>
        <v>212947.92074999999</v>
      </c>
      <c r="L104" s="52">
        <v>29297.762568000002</v>
      </c>
      <c r="M104" s="52">
        <f t="shared" si="25"/>
        <v>74.364431999998487</v>
      </c>
      <c r="N104" s="52">
        <v>0</v>
      </c>
      <c r="O104" s="8">
        <f t="shared" si="23"/>
        <v>74.364431999998487</v>
      </c>
      <c r="P104" s="1"/>
    </row>
    <row r="105" spans="1:16" s="2" customFormat="1" ht="45" customHeight="1" x14ac:dyDescent="0.45">
      <c r="A105" s="55" t="s">
        <v>13</v>
      </c>
      <c r="B105" s="42"/>
      <c r="C105" s="70" t="s">
        <v>53</v>
      </c>
      <c r="D105" s="3" t="s">
        <v>69</v>
      </c>
      <c r="E105" s="5">
        <f>Assumptions!F30</f>
        <v>141555</v>
      </c>
      <c r="F105" s="52">
        <v>1</v>
      </c>
      <c r="G105" s="5">
        <f t="shared" si="31"/>
        <v>141555</v>
      </c>
      <c r="H105" s="128">
        <v>0.1002</v>
      </c>
      <c r="I105" s="52">
        <f t="shared" si="28"/>
        <v>14183.811</v>
      </c>
      <c r="J105" s="39">
        <f>'Labor Rates'!$D$7</f>
        <v>7.25</v>
      </c>
      <c r="K105" s="39">
        <f t="shared" si="30"/>
        <v>102832.62974999999</v>
      </c>
      <c r="L105" s="52">
        <v>73244.406420000014</v>
      </c>
      <c r="M105" s="52">
        <f t="shared" si="25"/>
        <v>-59060.595420000012</v>
      </c>
      <c r="N105" s="52">
        <v>0</v>
      </c>
      <c r="O105" s="8">
        <f t="shared" si="23"/>
        <v>-59060.595420000012</v>
      </c>
      <c r="P105" s="1"/>
    </row>
    <row r="106" spans="1:16" s="2" customFormat="1" ht="45" customHeight="1" x14ac:dyDescent="0.45">
      <c r="A106" s="55" t="s">
        <v>13</v>
      </c>
      <c r="B106" s="42"/>
      <c r="C106" s="70" t="s">
        <v>53</v>
      </c>
      <c r="D106" s="3" t="s">
        <v>37</v>
      </c>
      <c r="E106" s="5">
        <f>Assumptions!F31</f>
        <v>6133903</v>
      </c>
      <c r="F106" s="52">
        <v>1</v>
      </c>
      <c r="G106" s="5">
        <f t="shared" si="31"/>
        <v>6133903</v>
      </c>
      <c r="H106" s="128">
        <v>0.1002</v>
      </c>
      <c r="I106" s="52">
        <f t="shared" si="28"/>
        <v>614617.08059999999</v>
      </c>
      <c r="J106" s="39">
        <f>'Labor Rates'!$D$7</f>
        <v>7.25</v>
      </c>
      <c r="K106" s="39">
        <f t="shared" si="30"/>
        <v>4455973.8343500001</v>
      </c>
      <c r="L106" s="52">
        <v>73244.406420000014</v>
      </c>
      <c r="M106" s="52">
        <f t="shared" si="25"/>
        <v>541372.67417999997</v>
      </c>
      <c r="N106" s="52">
        <v>0</v>
      </c>
      <c r="O106" s="8">
        <f t="shared" si="23"/>
        <v>541372.67417999997</v>
      </c>
      <c r="P106" s="1"/>
    </row>
    <row r="107" spans="1:16" s="2" customFormat="1" ht="45" customHeight="1" x14ac:dyDescent="0.45">
      <c r="A107" s="55" t="s">
        <v>13</v>
      </c>
      <c r="B107" s="42"/>
      <c r="C107" s="70" t="s">
        <v>53</v>
      </c>
      <c r="D107" s="3" t="s">
        <v>38</v>
      </c>
      <c r="E107" s="5">
        <f>Assumptions!F32</f>
        <v>2864000</v>
      </c>
      <c r="F107" s="52">
        <v>1</v>
      </c>
      <c r="G107" s="5">
        <f t="shared" si="31"/>
        <v>2864000</v>
      </c>
      <c r="H107" s="128">
        <v>0.1002</v>
      </c>
      <c r="I107" s="52">
        <f t="shared" si="28"/>
        <v>286972.79999999999</v>
      </c>
      <c r="J107" s="39">
        <f>'Labor Rates'!$D$7</f>
        <v>7.25</v>
      </c>
      <c r="K107" s="39">
        <f t="shared" si="30"/>
        <v>2080552.7999999998</v>
      </c>
      <c r="L107" s="52">
        <v>732444.06420000002</v>
      </c>
      <c r="M107" s="52">
        <f t="shared" si="25"/>
        <v>-445471.26420000003</v>
      </c>
      <c r="N107" s="52">
        <v>0</v>
      </c>
      <c r="O107" s="8">
        <f t="shared" si="23"/>
        <v>-445471.26420000003</v>
      </c>
      <c r="P107" s="1"/>
    </row>
    <row r="108" spans="1:16" s="2" customFormat="1" ht="45" customHeight="1" x14ac:dyDescent="0.45">
      <c r="A108" s="55" t="s">
        <v>13</v>
      </c>
      <c r="B108" s="42"/>
      <c r="C108" s="70" t="s">
        <v>53</v>
      </c>
      <c r="D108" s="3" t="s">
        <v>39</v>
      </c>
      <c r="E108" s="5">
        <f>Assumptions!F33</f>
        <v>11792751</v>
      </c>
      <c r="F108" s="52">
        <v>1</v>
      </c>
      <c r="G108" s="5">
        <f t="shared" si="31"/>
        <v>11792751</v>
      </c>
      <c r="H108" s="128">
        <v>0.1002</v>
      </c>
      <c r="I108" s="52">
        <f t="shared" si="28"/>
        <v>1181633.6502</v>
      </c>
      <c r="J108" s="39">
        <f>'Labor Rates'!$D$7</f>
        <v>7.25</v>
      </c>
      <c r="K108" s="39">
        <f t="shared" si="30"/>
        <v>8566843.9639500007</v>
      </c>
      <c r="L108" s="52">
        <v>732444.06420000002</v>
      </c>
      <c r="M108" s="52">
        <f t="shared" si="25"/>
        <v>449189.58600000001</v>
      </c>
      <c r="N108" s="52">
        <v>0</v>
      </c>
      <c r="O108" s="8">
        <f t="shared" si="23"/>
        <v>449189.58600000001</v>
      </c>
      <c r="P108" s="1"/>
    </row>
    <row r="109" spans="1:16" s="143" customFormat="1" ht="45" customHeight="1" x14ac:dyDescent="0.45">
      <c r="A109" s="69" t="s">
        <v>117</v>
      </c>
      <c r="C109" s="144" t="s">
        <v>289</v>
      </c>
      <c r="D109" s="145" t="s">
        <v>189</v>
      </c>
      <c r="E109" s="146">
        <f>Assumptions!F64</f>
        <v>512986</v>
      </c>
      <c r="F109" s="147">
        <v>1</v>
      </c>
      <c r="G109" s="146">
        <f>E109*F109</f>
        <v>512986</v>
      </c>
      <c r="H109" s="148">
        <v>1.67E-2</v>
      </c>
      <c r="I109" s="147">
        <f>G109*H109</f>
        <v>8566.8662000000004</v>
      </c>
      <c r="J109" s="149">
        <f>'Labor Rates'!$D$7</f>
        <v>7.25</v>
      </c>
      <c r="K109" s="149">
        <f>I109*J109</f>
        <v>62109.779950000004</v>
      </c>
      <c r="L109" s="147">
        <v>0</v>
      </c>
      <c r="M109" s="147">
        <f>I109-L109</f>
        <v>8566.8662000000004</v>
      </c>
      <c r="N109" s="147">
        <v>0</v>
      </c>
      <c r="O109" s="150">
        <f>M109+N109</f>
        <v>8566.8662000000004</v>
      </c>
      <c r="P109" s="151"/>
    </row>
    <row r="110" spans="1:16" s="2" customFormat="1" x14ac:dyDescent="0.45">
      <c r="A110" s="71"/>
      <c r="B110" s="42"/>
      <c r="C110" s="187" t="s">
        <v>80</v>
      </c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9"/>
      <c r="P110" s="1"/>
    </row>
    <row r="111" spans="1:16" s="2" customFormat="1" ht="45" customHeight="1" x14ac:dyDescent="0.45">
      <c r="A111" s="55" t="s">
        <v>13</v>
      </c>
      <c r="B111" s="42"/>
      <c r="C111" s="70">
        <v>273.20999999999998</v>
      </c>
      <c r="D111" s="3" t="s">
        <v>70</v>
      </c>
      <c r="E111" s="5">
        <f>Assumptions!F34</f>
        <v>91000</v>
      </c>
      <c r="F111" s="52">
        <v>11</v>
      </c>
      <c r="G111" s="5">
        <f>E111*F111</f>
        <v>1001000</v>
      </c>
      <c r="H111" s="128">
        <v>0.1169</v>
      </c>
      <c r="I111" s="52">
        <f>G111*H111</f>
        <v>117016.90000000001</v>
      </c>
      <c r="J111" s="39">
        <f>'Labor Rates'!$D$7</f>
        <v>7.25</v>
      </c>
      <c r="K111" s="39">
        <f t="shared" ref="K111:K115" si="32">I111*J111</f>
        <v>848372.52500000002</v>
      </c>
      <c r="L111" s="52">
        <v>937251.36120000004</v>
      </c>
      <c r="M111" s="52">
        <f t="shared" si="25"/>
        <v>-820234.46120000002</v>
      </c>
      <c r="N111" s="52">
        <v>0</v>
      </c>
      <c r="O111" s="8">
        <f t="shared" si="23"/>
        <v>-820234.46120000002</v>
      </c>
      <c r="P111" s="1"/>
    </row>
    <row r="112" spans="1:16" s="2" customFormat="1" ht="45" customHeight="1" x14ac:dyDescent="0.45">
      <c r="A112" s="55" t="s">
        <v>13</v>
      </c>
      <c r="B112" s="42"/>
      <c r="C112" s="70" t="s">
        <v>55</v>
      </c>
      <c r="D112" s="3" t="s">
        <v>71</v>
      </c>
      <c r="E112" s="5">
        <f>Assumptions!F35</f>
        <v>19000</v>
      </c>
      <c r="F112" s="52">
        <v>3</v>
      </c>
      <c r="G112" s="5">
        <f t="shared" ref="G112:G115" si="33">E112*F112</f>
        <v>57000</v>
      </c>
      <c r="H112" s="128">
        <v>0.1336</v>
      </c>
      <c r="I112" s="52">
        <f t="shared" ref="I112:I115" si="34">G112*H112</f>
        <v>7615.2</v>
      </c>
      <c r="J112" s="39">
        <f>'Labor Rates'!$D$7</f>
        <v>7.25</v>
      </c>
      <c r="K112" s="39">
        <f t="shared" si="32"/>
        <v>55210.2</v>
      </c>
      <c r="L112" s="52">
        <v>694721.06880000001</v>
      </c>
      <c r="M112" s="52">
        <f t="shared" si="25"/>
        <v>-687105.86880000005</v>
      </c>
      <c r="N112" s="52">
        <v>0</v>
      </c>
      <c r="O112" s="8">
        <f t="shared" si="23"/>
        <v>-687105.86880000005</v>
      </c>
      <c r="P112" s="1"/>
    </row>
    <row r="113" spans="1:17" s="2" customFormat="1" ht="45" customHeight="1" x14ac:dyDescent="0.45">
      <c r="A113" s="55" t="s">
        <v>13</v>
      </c>
      <c r="B113" s="42"/>
      <c r="C113" s="70" t="s">
        <v>56</v>
      </c>
      <c r="D113" s="3" t="s">
        <v>73</v>
      </c>
      <c r="E113" s="5">
        <f>Assumptions!F36</f>
        <v>11624000</v>
      </c>
      <c r="F113" s="28">
        <v>1.0660688168127872</v>
      </c>
      <c r="G113" s="5">
        <f t="shared" si="33"/>
        <v>12391983.926631838</v>
      </c>
      <c r="H113" s="28">
        <v>0.16700000000000001</v>
      </c>
      <c r="I113" s="52">
        <f t="shared" si="34"/>
        <v>2069461.3157475172</v>
      </c>
      <c r="J113" s="39">
        <f>'Labor Rates'!$D$7</f>
        <v>7.25</v>
      </c>
      <c r="K113" s="39">
        <f t="shared" si="32"/>
        <v>15003594.5391695</v>
      </c>
      <c r="L113" s="52">
        <v>3356208.352</v>
      </c>
      <c r="M113" s="52">
        <f t="shared" si="25"/>
        <v>-1286747.0362524828</v>
      </c>
      <c r="N113" s="52">
        <v>0</v>
      </c>
      <c r="O113" s="8">
        <f t="shared" si="23"/>
        <v>-1286747.0362524828</v>
      </c>
      <c r="P113" s="1"/>
    </row>
    <row r="114" spans="1:17" s="2" customFormat="1" ht="45" customHeight="1" x14ac:dyDescent="0.45">
      <c r="A114" s="55" t="s">
        <v>13</v>
      </c>
      <c r="B114" s="42"/>
      <c r="C114" s="70" t="s">
        <v>57</v>
      </c>
      <c r="D114" s="3" t="s">
        <v>72</v>
      </c>
      <c r="E114" s="5">
        <f>Assumptions!F37</f>
        <v>9366000</v>
      </c>
      <c r="F114" s="52">
        <v>1</v>
      </c>
      <c r="G114" s="5">
        <f t="shared" si="33"/>
        <v>9366000</v>
      </c>
      <c r="H114" s="28">
        <v>0.16700000000000001</v>
      </c>
      <c r="I114" s="52">
        <f t="shared" si="34"/>
        <v>1564122</v>
      </c>
      <c r="J114" s="39">
        <f>'Labor Rates'!$D$7</f>
        <v>7.25</v>
      </c>
      <c r="K114" s="39">
        <f t="shared" si="32"/>
        <v>11339884.5</v>
      </c>
      <c r="L114" s="52">
        <v>540321.152</v>
      </c>
      <c r="M114" s="52">
        <f t="shared" si="25"/>
        <v>1023800.848</v>
      </c>
      <c r="N114" s="52">
        <v>0</v>
      </c>
      <c r="O114" s="8">
        <f t="shared" si="23"/>
        <v>1023800.848</v>
      </c>
      <c r="P114" s="1"/>
    </row>
    <row r="115" spans="1:17" s="143" customFormat="1" ht="45" customHeight="1" x14ac:dyDescent="0.45">
      <c r="A115" s="69" t="s">
        <v>117</v>
      </c>
      <c r="C115" s="144" t="s">
        <v>242</v>
      </c>
      <c r="D115" s="145" t="s">
        <v>243</v>
      </c>
      <c r="E115" s="146">
        <f>Assumptions!F67</f>
        <v>744640</v>
      </c>
      <c r="F115" s="147">
        <v>1</v>
      </c>
      <c r="G115" s="146">
        <f t="shared" si="33"/>
        <v>744640</v>
      </c>
      <c r="H115" s="160">
        <f>H114</f>
        <v>0.16700000000000001</v>
      </c>
      <c r="I115" s="147">
        <f t="shared" si="34"/>
        <v>124354.88</v>
      </c>
      <c r="J115" s="149">
        <f>'Labor Rates'!$D$7</f>
        <v>7.25</v>
      </c>
      <c r="K115" s="149">
        <f t="shared" si="32"/>
        <v>901572.88</v>
      </c>
      <c r="L115" s="147">
        <v>0</v>
      </c>
      <c r="M115" s="147">
        <f t="shared" si="25"/>
        <v>124354.88</v>
      </c>
      <c r="N115" s="147">
        <v>0</v>
      </c>
      <c r="O115" s="150">
        <f t="shared" si="23"/>
        <v>124354.88</v>
      </c>
      <c r="P115" s="151"/>
    </row>
    <row r="116" spans="1:17" s="2" customFormat="1" x14ac:dyDescent="0.45">
      <c r="A116" s="71"/>
      <c r="B116" s="42"/>
      <c r="C116" s="190" t="s">
        <v>81</v>
      </c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9"/>
      <c r="P116" s="1"/>
    </row>
    <row r="117" spans="1:17" s="143" customFormat="1" ht="45" customHeight="1" x14ac:dyDescent="0.45">
      <c r="A117" s="69" t="s">
        <v>117</v>
      </c>
      <c r="C117" s="144" t="s">
        <v>240</v>
      </c>
      <c r="D117" s="152" t="s">
        <v>249</v>
      </c>
      <c r="E117" s="146">
        <f>Assumptions!F49</f>
        <v>29155315</v>
      </c>
      <c r="F117" s="147">
        <v>1</v>
      </c>
      <c r="G117" s="146">
        <f t="shared" ref="G117:G120" si="35">E117*F117</f>
        <v>29155315</v>
      </c>
      <c r="H117" s="148">
        <v>8.3500000000000005E-2</v>
      </c>
      <c r="I117" s="147">
        <f t="shared" ref="I117:I118" si="36">G117*H117</f>
        <v>2434468.8025000002</v>
      </c>
      <c r="J117" s="149">
        <f>'Labor Rates'!$D$7</f>
        <v>7.25</v>
      </c>
      <c r="K117" s="149">
        <f t="shared" ref="K117:K123" si="37">I117*J117</f>
        <v>17649898.818125002</v>
      </c>
      <c r="L117" s="147">
        <v>0</v>
      </c>
      <c r="M117" s="147">
        <f t="shared" si="25"/>
        <v>2434468.8025000002</v>
      </c>
      <c r="N117" s="147">
        <v>0</v>
      </c>
      <c r="O117" s="150">
        <f t="shared" si="23"/>
        <v>2434468.8025000002</v>
      </c>
      <c r="P117" s="151"/>
    </row>
    <row r="118" spans="1:17" s="143" customFormat="1" ht="28.5" x14ac:dyDescent="0.45">
      <c r="A118" s="69" t="s">
        <v>117</v>
      </c>
      <c r="C118" s="144" t="s">
        <v>58</v>
      </c>
      <c r="D118" s="152" t="s">
        <v>44</v>
      </c>
      <c r="E118" s="146">
        <f>Assumptions!F50</f>
        <v>42789</v>
      </c>
      <c r="F118" s="147">
        <v>1</v>
      </c>
      <c r="G118" s="146">
        <f t="shared" si="35"/>
        <v>42789</v>
      </c>
      <c r="H118" s="148">
        <v>8.3500000000000005E-2</v>
      </c>
      <c r="I118" s="147">
        <f t="shared" si="36"/>
        <v>3572.8815000000004</v>
      </c>
      <c r="J118" s="149">
        <f>'Labor Rates'!$D$7</f>
        <v>7.25</v>
      </c>
      <c r="K118" s="149">
        <f t="shared" si="37"/>
        <v>25903.390875000005</v>
      </c>
      <c r="L118" s="147">
        <v>0</v>
      </c>
      <c r="M118" s="147">
        <f t="shared" si="25"/>
        <v>3572.8815000000004</v>
      </c>
      <c r="N118" s="147">
        <v>0</v>
      </c>
      <c r="O118" s="150">
        <f t="shared" si="23"/>
        <v>3572.8815000000004</v>
      </c>
      <c r="P118" s="151"/>
    </row>
    <row r="119" spans="1:17" s="2" customFormat="1" ht="45" customHeight="1" x14ac:dyDescent="0.45">
      <c r="A119" s="55" t="s">
        <v>13</v>
      </c>
      <c r="B119" s="42"/>
      <c r="C119" s="80" t="s">
        <v>59</v>
      </c>
      <c r="D119" s="3" t="s">
        <v>45</v>
      </c>
      <c r="E119" s="5">
        <f>Assumptions!F51</f>
        <v>1656490</v>
      </c>
      <c r="F119" s="52">
        <v>1</v>
      </c>
      <c r="G119" s="5">
        <f>E119*F119</f>
        <v>1656490</v>
      </c>
      <c r="H119" s="129">
        <v>8.3500000000000005E-2</v>
      </c>
      <c r="I119" s="52">
        <f>G119*H119</f>
        <v>138316.91500000001</v>
      </c>
      <c r="J119" s="39">
        <f>'Labor Rates'!$D$7</f>
        <v>7.25</v>
      </c>
      <c r="K119" s="39">
        <f t="shared" si="37"/>
        <v>1002797.63375</v>
      </c>
      <c r="L119" s="52">
        <v>35459.544199999997</v>
      </c>
      <c r="M119" s="52">
        <f t="shared" si="25"/>
        <v>102857.3708</v>
      </c>
      <c r="N119" s="52">
        <v>0</v>
      </c>
      <c r="O119" s="8">
        <f t="shared" si="23"/>
        <v>102857.3708</v>
      </c>
      <c r="P119" s="1"/>
    </row>
    <row r="120" spans="1:17" s="143" customFormat="1" ht="45" customHeight="1" x14ac:dyDescent="0.45">
      <c r="A120" s="69" t="s">
        <v>117</v>
      </c>
      <c r="C120" s="144" t="s">
        <v>60</v>
      </c>
      <c r="D120" s="145" t="s">
        <v>46</v>
      </c>
      <c r="E120" s="146">
        <f>Assumptions!F52</f>
        <v>15507847</v>
      </c>
      <c r="F120" s="147">
        <v>1</v>
      </c>
      <c r="G120" s="146">
        <f t="shared" si="35"/>
        <v>15507847</v>
      </c>
      <c r="H120" s="148">
        <v>8.3500000000000005E-2</v>
      </c>
      <c r="I120" s="147">
        <f>G120*H120</f>
        <v>1294905.2245</v>
      </c>
      <c r="J120" s="149">
        <f>'Labor Rates'!$D$7</f>
        <v>7.25</v>
      </c>
      <c r="K120" s="149">
        <f t="shared" si="37"/>
        <v>9388062.8776249997</v>
      </c>
      <c r="L120" s="147">
        <v>0</v>
      </c>
      <c r="M120" s="147">
        <f t="shared" si="25"/>
        <v>1294905.2245</v>
      </c>
      <c r="N120" s="147">
        <v>0</v>
      </c>
      <c r="O120" s="150">
        <f t="shared" si="23"/>
        <v>1294905.2245</v>
      </c>
      <c r="P120" s="151"/>
    </row>
    <row r="121" spans="1:17" s="2" customFormat="1" ht="45" customHeight="1" x14ac:dyDescent="0.45">
      <c r="A121" s="55" t="s">
        <v>13</v>
      </c>
      <c r="B121" s="42"/>
      <c r="C121" s="70" t="s">
        <v>61</v>
      </c>
      <c r="D121" s="3" t="s">
        <v>74</v>
      </c>
      <c r="E121" s="5">
        <f>Assumptions!F53</f>
        <v>1162047</v>
      </c>
      <c r="F121" s="52">
        <v>1</v>
      </c>
      <c r="G121" s="5">
        <f t="shared" ref="G121:G128" si="38">E121*F121</f>
        <v>1162047</v>
      </c>
      <c r="H121" s="129">
        <v>8.3500000000000005E-2</v>
      </c>
      <c r="I121" s="52">
        <f t="shared" ref="I121:I128" si="39">G121*H121</f>
        <v>97030.924500000008</v>
      </c>
      <c r="J121" s="39">
        <f>'Labor Rates'!$D$7</f>
        <v>7.25</v>
      </c>
      <c r="K121" s="39">
        <f t="shared" si="37"/>
        <v>703474.20262500003</v>
      </c>
      <c r="L121" s="52">
        <v>1381.9750999999999</v>
      </c>
      <c r="M121" s="52">
        <f t="shared" si="25"/>
        <v>95648.949400000012</v>
      </c>
      <c r="N121" s="52">
        <v>0</v>
      </c>
      <c r="O121" s="8">
        <f t="shared" si="23"/>
        <v>95648.949400000012</v>
      </c>
      <c r="P121" s="1"/>
      <c r="Q121" s="42"/>
    </row>
    <row r="122" spans="1:17" s="2" customFormat="1" ht="45" customHeight="1" x14ac:dyDescent="0.45">
      <c r="A122" s="55" t="s">
        <v>13</v>
      </c>
      <c r="B122" s="42"/>
      <c r="C122" s="70" t="s">
        <v>62</v>
      </c>
      <c r="D122" s="3" t="s">
        <v>48</v>
      </c>
      <c r="E122" s="5">
        <f>Assumptions!F54</f>
        <v>256735</v>
      </c>
      <c r="F122" s="52">
        <v>1</v>
      </c>
      <c r="G122" s="5">
        <f t="shared" si="38"/>
        <v>256735</v>
      </c>
      <c r="H122" s="129">
        <v>8.3500000000000005E-2</v>
      </c>
      <c r="I122" s="52">
        <f t="shared" si="39"/>
        <v>21437.372500000001</v>
      </c>
      <c r="J122" s="39">
        <f>'Labor Rates'!$D$7</f>
        <v>7.25</v>
      </c>
      <c r="K122" s="39">
        <f t="shared" si="37"/>
        <v>155420.950625</v>
      </c>
      <c r="L122" s="52">
        <v>244.2542</v>
      </c>
      <c r="M122" s="52">
        <f t="shared" si="25"/>
        <v>21193.118300000002</v>
      </c>
      <c r="N122" s="52">
        <v>0</v>
      </c>
      <c r="O122" s="8">
        <f t="shared" si="23"/>
        <v>21193.118300000002</v>
      </c>
      <c r="P122" s="1"/>
    </row>
    <row r="123" spans="1:17" s="2" customFormat="1" ht="45" customHeight="1" x14ac:dyDescent="0.45">
      <c r="A123" s="55" t="s">
        <v>13</v>
      </c>
      <c r="B123" s="42"/>
      <c r="C123" s="70" t="s">
        <v>63</v>
      </c>
      <c r="D123" s="3" t="s">
        <v>49</v>
      </c>
      <c r="E123" s="5">
        <f>Assumptions!F55</f>
        <v>383475</v>
      </c>
      <c r="F123" s="52">
        <v>1</v>
      </c>
      <c r="G123" s="5">
        <f t="shared" si="38"/>
        <v>383475</v>
      </c>
      <c r="H123" s="129">
        <v>8.3500000000000005E-2</v>
      </c>
      <c r="I123" s="52">
        <f t="shared" si="39"/>
        <v>32020.162500000002</v>
      </c>
      <c r="J123" s="39">
        <f>'Labor Rates'!$D$7</f>
        <v>7.25</v>
      </c>
      <c r="K123" s="39">
        <f t="shared" si="37"/>
        <v>232146.17812500001</v>
      </c>
      <c r="L123" s="52">
        <v>44222.7356</v>
      </c>
      <c r="M123" s="52">
        <f t="shared" si="25"/>
        <v>-12202.573099999998</v>
      </c>
      <c r="N123" s="52">
        <v>0</v>
      </c>
      <c r="O123" s="8">
        <f t="shared" si="23"/>
        <v>-12202.573099999998</v>
      </c>
      <c r="P123" s="1"/>
    </row>
    <row r="124" spans="1:17" s="143" customFormat="1" ht="45" customHeight="1" x14ac:dyDescent="0.45">
      <c r="A124" s="69" t="s">
        <v>117</v>
      </c>
      <c r="C124" s="144" t="s">
        <v>135</v>
      </c>
      <c r="D124" s="145" t="s">
        <v>183</v>
      </c>
      <c r="E124" s="146">
        <f>Assumptions!F63</f>
        <v>327190</v>
      </c>
      <c r="F124" s="147">
        <v>1</v>
      </c>
      <c r="G124" s="146">
        <f t="shared" si="38"/>
        <v>327190</v>
      </c>
      <c r="H124" s="148">
        <v>8.3500000000000005E-2</v>
      </c>
      <c r="I124" s="147">
        <f t="shared" si="39"/>
        <v>27320.365000000002</v>
      </c>
      <c r="J124" s="149">
        <f>'Labor Rates'!$D$7</f>
        <v>7.25</v>
      </c>
      <c r="K124" s="149">
        <f t="shared" ref="K124:K128" si="40">I124*J124</f>
        <v>198072.64625000002</v>
      </c>
      <c r="L124" s="147">
        <v>0</v>
      </c>
      <c r="M124" s="147">
        <f t="shared" si="25"/>
        <v>27320.365000000002</v>
      </c>
      <c r="N124" s="147">
        <v>0</v>
      </c>
      <c r="O124" s="150">
        <f t="shared" si="23"/>
        <v>27320.365000000002</v>
      </c>
      <c r="P124" s="151"/>
    </row>
    <row r="125" spans="1:17" s="143" customFormat="1" ht="45" customHeight="1" x14ac:dyDescent="0.45">
      <c r="A125" s="69" t="s">
        <v>117</v>
      </c>
      <c r="C125" s="144" t="s">
        <v>222</v>
      </c>
      <c r="D125" s="145" t="s">
        <v>223</v>
      </c>
      <c r="E125" s="146">
        <f>Assumptions!F56</f>
        <v>383475</v>
      </c>
      <c r="F125" s="147">
        <v>1</v>
      </c>
      <c r="G125" s="146">
        <f t="shared" si="38"/>
        <v>383475</v>
      </c>
      <c r="H125" s="148">
        <v>8.3500000000000005E-2</v>
      </c>
      <c r="I125" s="147">
        <f t="shared" si="39"/>
        <v>32020.162500000002</v>
      </c>
      <c r="J125" s="149">
        <f>'Labor Rates'!$D$7</f>
        <v>7.25</v>
      </c>
      <c r="K125" s="149">
        <f t="shared" si="40"/>
        <v>232146.17812500001</v>
      </c>
      <c r="L125" s="147">
        <v>0</v>
      </c>
      <c r="M125" s="147">
        <f t="shared" si="25"/>
        <v>32020.162500000002</v>
      </c>
      <c r="N125" s="147">
        <v>0</v>
      </c>
      <c r="O125" s="150">
        <f t="shared" si="23"/>
        <v>32020.162500000002</v>
      </c>
      <c r="P125" s="151"/>
    </row>
    <row r="126" spans="1:17" s="143" customFormat="1" ht="45" customHeight="1" x14ac:dyDescent="0.45">
      <c r="A126" s="69" t="s">
        <v>117</v>
      </c>
      <c r="C126" s="144" t="s">
        <v>226</v>
      </c>
      <c r="D126" s="145" t="s">
        <v>224</v>
      </c>
      <c r="E126" s="146">
        <f>Assumptions!F57</f>
        <v>4179200</v>
      </c>
      <c r="F126" s="147">
        <v>1</v>
      </c>
      <c r="G126" s="146">
        <f t="shared" si="38"/>
        <v>4179200</v>
      </c>
      <c r="H126" s="148">
        <v>8.3500000000000005E-2</v>
      </c>
      <c r="I126" s="147">
        <f t="shared" si="39"/>
        <v>348963.2</v>
      </c>
      <c r="J126" s="149">
        <f>'Labor Rates'!$D$7</f>
        <v>7.25</v>
      </c>
      <c r="K126" s="149">
        <f t="shared" si="40"/>
        <v>2529983.2000000002</v>
      </c>
      <c r="L126" s="147">
        <v>0</v>
      </c>
      <c r="M126" s="147">
        <f t="shared" si="25"/>
        <v>348963.2</v>
      </c>
      <c r="N126" s="147">
        <v>0</v>
      </c>
      <c r="O126" s="150">
        <f t="shared" si="23"/>
        <v>348963.2</v>
      </c>
      <c r="P126" s="151"/>
    </row>
    <row r="127" spans="1:17" s="143" customFormat="1" ht="45" customHeight="1" x14ac:dyDescent="0.45">
      <c r="A127" s="69" t="s">
        <v>117</v>
      </c>
      <c r="C127" s="144" t="s">
        <v>276</v>
      </c>
      <c r="D127" s="145" t="s">
        <v>277</v>
      </c>
      <c r="E127" s="146">
        <f>Assumptions!F58</f>
        <v>102796</v>
      </c>
      <c r="F127" s="147">
        <v>1</v>
      </c>
      <c r="G127" s="146">
        <f t="shared" si="38"/>
        <v>102796</v>
      </c>
      <c r="H127" s="148">
        <v>8.3500000000000005E-2</v>
      </c>
      <c r="I127" s="147">
        <f t="shared" si="39"/>
        <v>8583.4660000000003</v>
      </c>
      <c r="J127" s="149">
        <f>'Labor Rates'!$D$7</f>
        <v>7.25</v>
      </c>
      <c r="K127" s="149">
        <f t="shared" si="40"/>
        <v>62230.128500000006</v>
      </c>
      <c r="L127" s="147">
        <v>0</v>
      </c>
      <c r="M127" s="147">
        <f t="shared" si="25"/>
        <v>8583.4660000000003</v>
      </c>
      <c r="N127" s="147">
        <v>0</v>
      </c>
      <c r="O127" s="150">
        <f>M127+N127</f>
        <v>8583.4660000000003</v>
      </c>
      <c r="P127" s="151"/>
    </row>
    <row r="128" spans="1:17" s="143" customFormat="1" ht="45" customHeight="1" x14ac:dyDescent="0.45">
      <c r="A128" s="69" t="s">
        <v>117</v>
      </c>
      <c r="C128" s="144" t="s">
        <v>227</v>
      </c>
      <c r="D128" s="145" t="s">
        <v>225</v>
      </c>
      <c r="E128" s="146">
        <f>Assumptions!F59</f>
        <v>26175162</v>
      </c>
      <c r="F128" s="147">
        <v>1</v>
      </c>
      <c r="G128" s="146">
        <f t="shared" si="38"/>
        <v>26175162</v>
      </c>
      <c r="H128" s="148">
        <v>8.3500000000000005E-2</v>
      </c>
      <c r="I128" s="147">
        <f t="shared" si="39"/>
        <v>2185626.0270000002</v>
      </c>
      <c r="J128" s="149">
        <f>'Labor Rates'!$D$7</f>
        <v>7.25</v>
      </c>
      <c r="K128" s="149">
        <f t="shared" si="40"/>
        <v>15845788.695750002</v>
      </c>
      <c r="L128" s="147">
        <v>0</v>
      </c>
      <c r="M128" s="147">
        <f t="shared" si="25"/>
        <v>2185626.0270000002</v>
      </c>
      <c r="N128" s="147">
        <v>0</v>
      </c>
      <c r="O128" s="150">
        <f t="shared" si="23"/>
        <v>2185626.0270000002</v>
      </c>
      <c r="P128" s="151"/>
    </row>
    <row r="129" spans="1:16" s="2" customFormat="1" x14ac:dyDescent="0.45">
      <c r="A129" s="71"/>
      <c r="B129" s="42"/>
      <c r="C129" s="187" t="s">
        <v>84</v>
      </c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9"/>
      <c r="P129" s="1"/>
    </row>
    <row r="130" spans="1:16" s="143" customFormat="1" ht="45" customHeight="1" x14ac:dyDescent="0.45">
      <c r="A130" s="69" t="s">
        <v>117</v>
      </c>
      <c r="C130" s="144" t="s">
        <v>137</v>
      </c>
      <c r="D130" s="145" t="s">
        <v>85</v>
      </c>
      <c r="E130" s="146">
        <f>Assumptions!F65</f>
        <v>654379</v>
      </c>
      <c r="F130" s="147">
        <v>1</v>
      </c>
      <c r="G130" s="146">
        <f>E130*F130</f>
        <v>654379</v>
      </c>
      <c r="H130" s="148">
        <v>5.0099999999999999E-2</v>
      </c>
      <c r="I130" s="147">
        <f>G130*H130</f>
        <v>32784.387900000002</v>
      </c>
      <c r="J130" s="149">
        <f>'Labor Rates'!$D$7</f>
        <v>7.25</v>
      </c>
      <c r="K130" s="149">
        <f t="shared" ref="K130:K131" si="41">I130*J130</f>
        <v>237686.812275</v>
      </c>
      <c r="L130" s="147">
        <v>0</v>
      </c>
      <c r="M130" s="147">
        <f>I130-L130</f>
        <v>32784.387900000002</v>
      </c>
      <c r="N130" s="147">
        <v>0</v>
      </c>
      <c r="O130" s="150">
        <f>M130+N130</f>
        <v>32784.387900000002</v>
      </c>
      <c r="P130" s="151"/>
    </row>
    <row r="131" spans="1:16" s="143" customFormat="1" ht="45" customHeight="1" x14ac:dyDescent="0.45">
      <c r="A131" s="69" t="s">
        <v>117</v>
      </c>
      <c r="C131" s="144" t="s">
        <v>178</v>
      </c>
      <c r="D131" s="145" t="s">
        <v>177</v>
      </c>
      <c r="E131" s="146">
        <f>Assumptions!F66</f>
        <v>42084952</v>
      </c>
      <c r="F131" s="147">
        <v>1</v>
      </c>
      <c r="G131" s="146">
        <f>E131*F131</f>
        <v>42084952</v>
      </c>
      <c r="H131" s="147">
        <v>0.05</v>
      </c>
      <c r="I131" s="147">
        <f>G131*H131</f>
        <v>2104247.6</v>
      </c>
      <c r="J131" s="149">
        <f>'Labor Rates'!$D$7</f>
        <v>7.25</v>
      </c>
      <c r="K131" s="149">
        <f t="shared" si="41"/>
        <v>15255795.100000001</v>
      </c>
      <c r="L131" s="147">
        <v>0</v>
      </c>
      <c r="M131" s="147">
        <f>I131-L131</f>
        <v>2104247.6</v>
      </c>
      <c r="N131" s="147">
        <v>0</v>
      </c>
      <c r="O131" s="150">
        <f>M131+N131</f>
        <v>2104247.6</v>
      </c>
      <c r="P131" s="151"/>
    </row>
    <row r="132" spans="1:16" s="2" customFormat="1" x14ac:dyDescent="0.45">
      <c r="A132" s="71"/>
      <c r="B132" s="42"/>
      <c r="C132" s="187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9"/>
      <c r="P132" s="1"/>
    </row>
    <row r="133" spans="1:16" s="2" customFormat="1" ht="45" customHeight="1" thickBot="1" x14ac:dyDescent="0.5">
      <c r="A133" s="73"/>
      <c r="B133" s="42"/>
      <c r="C133" s="182" t="s">
        <v>286</v>
      </c>
      <c r="D133" s="183"/>
      <c r="E133" s="104">
        <f>Assumptions!F21</f>
        <v>19699000</v>
      </c>
      <c r="F133" s="162">
        <f>G133/E133</f>
        <v>19.339580381066643</v>
      </c>
      <c r="G133" s="119">
        <f>SUM(G76,G78:G79,G81:G95,G97,G99:G100,G102:G109,G111:G115,G117:G128,G130:G131)</f>
        <v>380970393.92663181</v>
      </c>
      <c r="H133" s="135">
        <f>I133/G133</f>
        <v>0.17697815402719219</v>
      </c>
      <c r="I133" s="105">
        <f>SUM(I76,I78:I79,I81:I95,I97,I99:I100,I102:I109,I111:I115,I117:I128,I130:I131)</f>
        <v>67423437.056147531</v>
      </c>
      <c r="J133" s="107">
        <f>K133/I133</f>
        <v>7.2499999999999982</v>
      </c>
      <c r="K133" s="107">
        <f>SUM(K76,K78:K79,K81:K95,K97,K99:K100,K102:K109,K111:K115,K117:K128,K130:K131)</f>
        <v>488819918.6570695</v>
      </c>
      <c r="L133" s="105">
        <v>42058833.367640503</v>
      </c>
      <c r="M133" s="105">
        <f>I133-L133</f>
        <v>25364603.688507028</v>
      </c>
      <c r="N133" s="105">
        <f>SUM(N76,N78:N79,N81:N95,N97,N99:N100,N102:N109,N111:N115,N117:N128,N130:N131)</f>
        <v>0</v>
      </c>
      <c r="O133" s="110">
        <f>M133+N133</f>
        <v>25364603.688507028</v>
      </c>
      <c r="P133" s="1"/>
    </row>
    <row r="134" spans="1:16" s="2" customFormat="1" x14ac:dyDescent="0.45">
      <c r="A134" s="73"/>
      <c r="B134" s="42"/>
      <c r="C134" s="184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6"/>
      <c r="P134" s="1"/>
    </row>
    <row r="135" spans="1:16" ht="45.75" customHeight="1" thickBot="1" x14ac:dyDescent="0.5">
      <c r="A135" s="73"/>
      <c r="C135" s="182" t="s">
        <v>281</v>
      </c>
      <c r="D135" s="183"/>
      <c r="E135" s="9">
        <f>E72+E133</f>
        <v>19701777</v>
      </c>
      <c r="F135" s="10">
        <f>G135/E135</f>
        <v>47.599426433799948</v>
      </c>
      <c r="G135" s="9">
        <f>G72+G133</f>
        <v>937793284.92663181</v>
      </c>
      <c r="H135" s="136">
        <f>I135/G135</f>
        <v>0.13242502240796417</v>
      </c>
      <c r="I135" s="9">
        <f>I72+I133</f>
        <v>124187296.77044754</v>
      </c>
      <c r="J135" s="40">
        <f>K135/I135</f>
        <v>16.645058317167042</v>
      </c>
      <c r="K135" s="40">
        <f>K72+K133</f>
        <v>2067104796.9954293</v>
      </c>
      <c r="L135" s="9">
        <f>L72+L133</f>
        <v>77690004.894337416</v>
      </c>
      <c r="M135" s="9">
        <f>M72+M133</f>
        <v>46497291.876110114</v>
      </c>
      <c r="N135" s="10">
        <f>N72+N133</f>
        <v>0</v>
      </c>
      <c r="O135" s="11">
        <f>O72+O133</f>
        <v>46497291.876110114</v>
      </c>
      <c r="P135"/>
    </row>
  </sheetData>
  <mergeCells count="34">
    <mergeCell ref="C75:O75"/>
    <mergeCell ref="C77:O77"/>
    <mergeCell ref="C41:O41"/>
    <mergeCell ref="C47:O47"/>
    <mergeCell ref="C60:O60"/>
    <mergeCell ref="C73:O73"/>
    <mergeCell ref="C69:O69"/>
    <mergeCell ref="C74:O74"/>
    <mergeCell ref="C66:O66"/>
    <mergeCell ref="C70:D70"/>
    <mergeCell ref="C72:D72"/>
    <mergeCell ref="A2:A4"/>
    <mergeCell ref="C64:O64"/>
    <mergeCell ref="C65:D65"/>
    <mergeCell ref="C2:O2"/>
    <mergeCell ref="C6:O6"/>
    <mergeCell ref="C7:O7"/>
    <mergeCell ref="C9:O9"/>
    <mergeCell ref="C12:O12"/>
    <mergeCell ref="C5:O5"/>
    <mergeCell ref="C28:O28"/>
    <mergeCell ref="C32:O32"/>
    <mergeCell ref="C30:O30"/>
    <mergeCell ref="C133:D133"/>
    <mergeCell ref="C135:D135"/>
    <mergeCell ref="C134:O134"/>
    <mergeCell ref="C80:O80"/>
    <mergeCell ref="C96:O96"/>
    <mergeCell ref="C98:O98"/>
    <mergeCell ref="C101:O101"/>
    <mergeCell ref="C110:O110"/>
    <mergeCell ref="C116:O116"/>
    <mergeCell ref="C129:O129"/>
    <mergeCell ref="C132:O132"/>
  </mergeCells>
  <pageMargins left="0.7" right="0.7" top="0.75" bottom="0.75" header="0.3" footer="0.3"/>
  <pageSetup orientation="portrait" horizontalDpi="1200" verticalDpi="1200" r:id="rId1"/>
  <ignoredErrors>
    <ignoredError sqref="J8 J10:J11 G133:J133 J130:J131 J13:J27 J29 J31 J33:J40 J42:J46 J76 J78:J79 J61:J63 J59 J128 J111:J115 J102:J109 J99:J100 J97 J81:J95 I65 G65 J48:J57 J117:J126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14"/>
  <sheetViews>
    <sheetView zoomScale="96" zoomScaleNormal="120" workbookViewId="0">
      <selection activeCell="C7" sqref="C7"/>
    </sheetView>
  </sheetViews>
  <sheetFormatPr defaultRowHeight="14.25" x14ac:dyDescent="0.45"/>
  <cols>
    <col min="1" max="1" width="3.59765625" customWidth="1"/>
    <col min="2" max="2" width="26.59765625" bestFit="1" customWidth="1"/>
    <col min="3" max="3" width="14.59765625" customWidth="1"/>
    <col min="4" max="4" width="13.59765625" customWidth="1"/>
    <col min="5" max="5" width="15.73046875" customWidth="1"/>
    <col min="6" max="6" width="13.59765625" customWidth="1"/>
    <col min="7" max="7" width="15.86328125" customWidth="1"/>
    <col min="8" max="8" width="13.59765625" style="2" customWidth="1"/>
    <col min="9" max="9" width="18.73046875" style="2" customWidth="1"/>
    <col min="10" max="10" width="16.1328125" customWidth="1"/>
    <col min="11" max="11" width="16" customWidth="1"/>
    <col min="12" max="12" width="13.59765625" customWidth="1"/>
    <col min="13" max="13" width="16.1328125" customWidth="1"/>
  </cols>
  <sheetData>
    <row r="1" spans="2:13" ht="14.65" thickBot="1" x14ac:dyDescent="0.5"/>
    <row r="2" spans="2:13" s="2" customFormat="1" ht="30" customHeight="1" thickBot="1" x14ac:dyDescent="0.5">
      <c r="B2" s="204" t="s">
        <v>160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6"/>
    </row>
    <row r="3" spans="2:13" ht="57" x14ac:dyDescent="0.45">
      <c r="B3" s="89"/>
      <c r="C3" s="90" t="s">
        <v>2</v>
      </c>
      <c r="D3" s="90" t="s">
        <v>6</v>
      </c>
      <c r="E3" s="90" t="s">
        <v>3</v>
      </c>
      <c r="F3" s="90" t="s">
        <v>256</v>
      </c>
      <c r="G3" s="90" t="s">
        <v>165</v>
      </c>
      <c r="H3" s="91" t="s">
        <v>161</v>
      </c>
      <c r="I3" s="91" t="s">
        <v>162</v>
      </c>
      <c r="J3" s="91" t="s">
        <v>163</v>
      </c>
      <c r="K3" s="91" t="s">
        <v>166</v>
      </c>
      <c r="L3" s="91" t="s">
        <v>167</v>
      </c>
      <c r="M3" s="92" t="s">
        <v>168</v>
      </c>
    </row>
    <row r="4" spans="2:13" s="42" customFormat="1" x14ac:dyDescent="0.45">
      <c r="B4" s="86"/>
      <c r="C4" s="29" t="s">
        <v>144</v>
      </c>
      <c r="D4" s="29" t="s">
        <v>145</v>
      </c>
      <c r="E4" s="29" t="s">
        <v>259</v>
      </c>
      <c r="F4" s="29" t="s">
        <v>147</v>
      </c>
      <c r="G4" s="29" t="s">
        <v>148</v>
      </c>
      <c r="H4" s="87" t="s">
        <v>149</v>
      </c>
      <c r="I4" s="87" t="s">
        <v>150</v>
      </c>
      <c r="J4" s="87" t="s">
        <v>151</v>
      </c>
      <c r="K4" s="87" t="s">
        <v>260</v>
      </c>
      <c r="L4" s="87" t="s">
        <v>152</v>
      </c>
      <c r="M4" s="88" t="s">
        <v>258</v>
      </c>
    </row>
    <row r="5" spans="2:13" ht="45" customHeight="1" x14ac:dyDescent="0.45">
      <c r="B5" s="130" t="s">
        <v>4</v>
      </c>
      <c r="C5" s="49">
        <f>'Reporting and Recordkeeping'!E65+'Reporting and Recordkeeping'!E133</f>
        <v>19699053</v>
      </c>
      <c r="D5" s="12">
        <f>E5/C5</f>
        <v>39.220894980415139</v>
      </c>
      <c r="E5" s="12">
        <f>'Reporting and Recordkeeping'!G65+'Reporting and Recordkeeping'!G133</f>
        <v>772614488.92663181</v>
      </c>
      <c r="F5" s="12">
        <f>G5/E5</f>
        <v>0.15447935016473838</v>
      </c>
      <c r="G5" s="12">
        <f>'Reporting and Recordkeeping'!I65+'Reporting and Recordkeeping'!I133</f>
        <v>119352984.17724754</v>
      </c>
      <c r="H5" s="36">
        <f>'Reporting and Recordkeeping'!J65+'Reporting and Recordkeeping'!J133</f>
        <v>34.849999999999987</v>
      </c>
      <c r="I5" s="36">
        <f>'Reporting and Recordkeeping'!K65+'Reporting and Recordkeeping'!K133</f>
        <v>1922075419.1994293</v>
      </c>
      <c r="J5" s="12">
        <f>'Reporting and Recordkeeping'!L65+'Reporting and Recordkeeping'!L133</f>
        <v>73680169.096094608</v>
      </c>
      <c r="K5" s="12">
        <f>G5-J5</f>
        <v>45672815.081152931</v>
      </c>
      <c r="L5" s="12">
        <f>'Reporting and Recordkeeping'!N65+'Reporting and Recordkeeping'!N133</f>
        <v>0</v>
      </c>
      <c r="M5" s="16">
        <f>K5</f>
        <v>45672815.081152931</v>
      </c>
    </row>
    <row r="6" spans="2:13" ht="45" customHeight="1" x14ac:dyDescent="0.45">
      <c r="B6" s="130" t="s">
        <v>5</v>
      </c>
      <c r="C6" s="49">
        <f>'Reporting and Recordkeeping'!E70</f>
        <v>2724</v>
      </c>
      <c r="D6" s="12">
        <f>E6/C6</f>
        <v>60638.324522760646</v>
      </c>
      <c r="E6" s="12">
        <f>'Reporting and Recordkeeping'!G70</f>
        <v>165178796</v>
      </c>
      <c r="F6" s="12">
        <f>G6/E6</f>
        <v>2.9267149962759142E-2</v>
      </c>
      <c r="G6" s="12">
        <f>'Reporting and Recordkeeping'!I70</f>
        <v>4834312.5932</v>
      </c>
      <c r="H6" s="36">
        <f>'Reporting and Recordkeeping'!J70</f>
        <v>30</v>
      </c>
      <c r="I6" s="36">
        <f>'Reporting and Recordkeeping'!K70</f>
        <v>145029377.796</v>
      </c>
      <c r="J6" s="12">
        <f>'Reporting and Recordkeeping'!L70</f>
        <v>4009835.7982428195</v>
      </c>
      <c r="K6" s="12">
        <f>G6-J6</f>
        <v>824476.79495718051</v>
      </c>
      <c r="L6" s="12">
        <f>'Reporting and Recordkeeping'!N70</f>
        <v>0</v>
      </c>
      <c r="M6" s="16">
        <f>K6</f>
        <v>824476.79495718051</v>
      </c>
    </row>
    <row r="7" spans="2:13" ht="45" customHeight="1" thickBot="1" x14ac:dyDescent="0.5">
      <c r="B7" s="13" t="s">
        <v>143</v>
      </c>
      <c r="C7" s="75">
        <f>C5+C6</f>
        <v>19701777</v>
      </c>
      <c r="D7" s="14">
        <f>E7/C7</f>
        <v>47.599426433799948</v>
      </c>
      <c r="E7" s="14">
        <f>E5+E6</f>
        <v>937793284.92663181</v>
      </c>
      <c r="F7" s="14">
        <f>G7/E7</f>
        <v>0.13242502240796417</v>
      </c>
      <c r="G7" s="14">
        <f>G5+G6</f>
        <v>124187296.77044754</v>
      </c>
      <c r="H7" s="41">
        <f>I7/G7</f>
        <v>16.645058317167042</v>
      </c>
      <c r="I7" s="41">
        <f>I5+I6</f>
        <v>2067104796.9954293</v>
      </c>
      <c r="J7" s="14">
        <f t="shared" ref="J7:M7" si="0">J5+J6</f>
        <v>77690004.894337431</v>
      </c>
      <c r="K7" s="14">
        <f t="shared" si="0"/>
        <v>46497291.876110114</v>
      </c>
      <c r="L7" s="14">
        <f t="shared" si="0"/>
        <v>0</v>
      </c>
      <c r="M7" s="15">
        <f t="shared" si="0"/>
        <v>46497291.876110114</v>
      </c>
    </row>
    <row r="10" spans="2:13" ht="15.4" x14ac:dyDescent="0.45">
      <c r="E10" s="138"/>
      <c r="G10" s="138"/>
      <c r="K10" s="7"/>
    </row>
    <row r="11" spans="2:13" x14ac:dyDescent="0.45">
      <c r="G11" s="7"/>
      <c r="K11" s="7"/>
    </row>
    <row r="13" spans="2:13" x14ac:dyDescent="0.45">
      <c r="E13" s="7"/>
      <c r="G13" s="7"/>
      <c r="J13" s="7"/>
      <c r="K13" s="42"/>
    </row>
    <row r="14" spans="2:13" x14ac:dyDescent="0.45">
      <c r="J14" s="7"/>
      <c r="K14" s="42"/>
    </row>
  </sheetData>
  <mergeCells count="1">
    <mergeCell ref="B2:M2"/>
  </mergeCells>
  <pageMargins left="0.7" right="0.7" top="0.75" bottom="0.75" header="0.3" footer="0.3"/>
  <pageSetup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E1" zoomScale="68" zoomScaleNormal="115" workbookViewId="0">
      <selection activeCell="I14" sqref="I14"/>
    </sheetView>
  </sheetViews>
  <sheetFormatPr defaultRowHeight="14.25" x14ac:dyDescent="0.45"/>
  <cols>
    <col min="1" max="1" width="8.73046875" style="111" customWidth="1"/>
    <col min="2" max="2" width="60.86328125" style="111" customWidth="1"/>
    <col min="3" max="3" width="14.3984375" style="111" customWidth="1"/>
    <col min="4" max="4" width="17.1328125" style="118" customWidth="1"/>
    <col min="5" max="5" width="19.265625" style="118" customWidth="1"/>
    <col min="6" max="6" width="16.59765625" style="118" customWidth="1"/>
    <col min="7" max="7" width="18.1328125" style="118" customWidth="1"/>
    <col min="9" max="9" width="19.265625" bestFit="1" customWidth="1"/>
    <col min="10" max="10" width="16.9296875" bestFit="1" customWidth="1"/>
  </cols>
  <sheetData>
    <row r="1" spans="2:10" x14ac:dyDescent="0.45">
      <c r="H1" s="153"/>
      <c r="I1" s="153"/>
    </row>
    <row r="2" spans="2:10" ht="29.65" customHeight="1" thickBot="1" x14ac:dyDescent="0.5">
      <c r="B2" s="209" t="s">
        <v>160</v>
      </c>
      <c r="C2" s="210"/>
      <c r="D2" s="210"/>
      <c r="E2" s="210"/>
      <c r="F2" s="210"/>
      <c r="G2" s="210"/>
      <c r="H2" s="210"/>
      <c r="I2" s="210"/>
    </row>
    <row r="3" spans="2:10" ht="57" x14ac:dyDescent="0.45">
      <c r="B3" s="139" t="s">
        <v>264</v>
      </c>
      <c r="C3" s="140" t="s">
        <v>265</v>
      </c>
      <c r="D3" s="141" t="s">
        <v>266</v>
      </c>
      <c r="E3" s="141" t="s">
        <v>267</v>
      </c>
      <c r="F3" s="141" t="s">
        <v>268</v>
      </c>
      <c r="G3" s="154" t="s">
        <v>269</v>
      </c>
      <c r="H3" s="169" t="s">
        <v>290</v>
      </c>
      <c r="I3" s="170" t="s">
        <v>291</v>
      </c>
    </row>
    <row r="4" spans="2:10" x14ac:dyDescent="0.45">
      <c r="B4" s="207" t="s">
        <v>270</v>
      </c>
      <c r="C4" s="208"/>
      <c r="D4" s="208"/>
      <c r="E4" s="208"/>
      <c r="F4" s="208"/>
      <c r="G4" s="208"/>
      <c r="H4" s="158"/>
      <c r="I4" s="159"/>
    </row>
    <row r="5" spans="2:10" x14ac:dyDescent="0.45">
      <c r="B5" s="112" t="s">
        <v>271</v>
      </c>
      <c r="C5" s="113">
        <f>'Reporting and Recordkeeping'!E65</f>
        <v>53</v>
      </c>
      <c r="D5" s="120">
        <f>'Reporting and Recordkeeping'!F65</f>
        <v>7389511.226415094</v>
      </c>
      <c r="E5" s="120">
        <f>'Reporting and Recordkeeping'!G65</f>
        <v>391644095</v>
      </c>
      <c r="F5" s="120">
        <f>'Reporting and Recordkeeping'!H65</f>
        <v>0.13259371910382053</v>
      </c>
      <c r="G5" s="155">
        <f>'Reporting and Recordkeeping'!I65</f>
        <v>51929547.121100008</v>
      </c>
      <c r="H5" s="163">
        <v>27.6</v>
      </c>
      <c r="I5" s="164">
        <f>SUM(G5*H5)/2</f>
        <v>716627750.27118015</v>
      </c>
      <c r="J5" s="212">
        <f>I5*2</f>
        <v>1433255500.5423603</v>
      </c>
    </row>
    <row r="6" spans="2:10" x14ac:dyDescent="0.45">
      <c r="B6" s="112" t="s">
        <v>173</v>
      </c>
      <c r="C6" s="113">
        <f>'Reporting and Recordkeeping'!E133</f>
        <v>19699000</v>
      </c>
      <c r="D6" s="120">
        <f>'Reporting and Recordkeeping'!F133</f>
        <v>19.339580381066643</v>
      </c>
      <c r="E6" s="120">
        <f>'Reporting and Recordkeeping'!G133</f>
        <v>380970393.92663181</v>
      </c>
      <c r="F6" s="120">
        <f>'Reporting and Recordkeeping'!H133</f>
        <v>0.17697815402719219</v>
      </c>
      <c r="G6" s="155">
        <f>'Reporting and Recordkeeping'!I133</f>
        <v>67423437.056147531</v>
      </c>
      <c r="H6" s="163">
        <v>7.25</v>
      </c>
      <c r="I6" s="165">
        <f>SUM(G6*H6)</f>
        <v>488819918.65706962</v>
      </c>
      <c r="J6" s="212"/>
    </row>
    <row r="7" spans="2:10" x14ac:dyDescent="0.45">
      <c r="B7" s="114" t="s">
        <v>272</v>
      </c>
      <c r="C7" s="115">
        <f>SUM(C5:C6)</f>
        <v>19699053</v>
      </c>
      <c r="D7" s="121">
        <f>E7/C7</f>
        <v>39.220894980415139</v>
      </c>
      <c r="E7" s="121">
        <f>SUM(E5:E6)</f>
        <v>772614488.92663181</v>
      </c>
      <c r="F7" s="121">
        <f>G7/E7</f>
        <v>0.15447935016473838</v>
      </c>
      <c r="G7" s="156">
        <f>SUM(G5:G6)</f>
        <v>119352984.17724754</v>
      </c>
      <c r="H7" s="167"/>
      <c r="I7" s="168">
        <f t="shared" ref="I7:I11" si="0">SUM(G7*H7)</f>
        <v>0</v>
      </c>
      <c r="J7" s="212">
        <f t="shared" ref="J6:J12" si="1">I7*2</f>
        <v>0</v>
      </c>
    </row>
    <row r="8" spans="2:10" x14ac:dyDescent="0.45">
      <c r="B8" s="207" t="s">
        <v>273</v>
      </c>
      <c r="C8" s="208"/>
      <c r="D8" s="208"/>
      <c r="E8" s="208"/>
      <c r="F8" s="208"/>
      <c r="G8" s="208"/>
      <c r="H8" s="163"/>
      <c r="I8" s="165">
        <f t="shared" si="0"/>
        <v>0</v>
      </c>
      <c r="J8" s="212">
        <f t="shared" si="1"/>
        <v>0</v>
      </c>
    </row>
    <row r="9" spans="2:10" x14ac:dyDescent="0.45">
      <c r="B9" s="112" t="s">
        <v>271</v>
      </c>
      <c r="C9" s="113">
        <f>'Reporting and Recordkeeping'!E70</f>
        <v>2724</v>
      </c>
      <c r="D9" s="120">
        <f>'Reporting and Recordkeeping'!F70</f>
        <v>60638.324522760646</v>
      </c>
      <c r="E9" s="120">
        <f>'Reporting and Recordkeeping'!G70</f>
        <v>165178796</v>
      </c>
      <c r="F9" s="120">
        <f>'Reporting and Recordkeeping'!H70</f>
        <v>2.9267149962759142E-2</v>
      </c>
      <c r="G9" s="155">
        <f>'Reporting and Recordkeeping'!I70</f>
        <v>4834312.5932</v>
      </c>
      <c r="H9" s="163">
        <v>30</v>
      </c>
      <c r="I9" s="165">
        <f>SUM(G9*H9)</f>
        <v>145029377.796</v>
      </c>
      <c r="J9" s="212"/>
    </row>
    <row r="10" spans="2:10" x14ac:dyDescent="0.45">
      <c r="B10" s="114" t="s">
        <v>274</v>
      </c>
      <c r="C10" s="115">
        <f>C9</f>
        <v>2724</v>
      </c>
      <c r="D10" s="121">
        <f>D9</f>
        <v>60638.324522760646</v>
      </c>
      <c r="E10" s="121">
        <f>E9</f>
        <v>165178796</v>
      </c>
      <c r="F10" s="121">
        <f>F9</f>
        <v>2.9267149962759142E-2</v>
      </c>
      <c r="G10" s="156">
        <f>G9</f>
        <v>4834312.5932</v>
      </c>
      <c r="H10" s="167"/>
      <c r="I10" s="168">
        <f t="shared" si="0"/>
        <v>0</v>
      </c>
      <c r="J10" s="212">
        <f t="shared" si="1"/>
        <v>0</v>
      </c>
    </row>
    <row r="11" spans="2:10" ht="14.65" thickBot="1" x14ac:dyDescent="0.5">
      <c r="B11" s="116" t="s">
        <v>282</v>
      </c>
      <c r="C11" s="117">
        <f>C7+C10</f>
        <v>19701777</v>
      </c>
      <c r="D11" s="122">
        <f>E11/C11</f>
        <v>47.599426433799948</v>
      </c>
      <c r="E11" s="123">
        <f>E7+E10</f>
        <v>937793284.92663181</v>
      </c>
      <c r="F11" s="123">
        <f>G11/E11</f>
        <v>0.13242502240796417</v>
      </c>
      <c r="G11" s="157">
        <f>G7+G10</f>
        <v>124187296.77044754</v>
      </c>
      <c r="H11" s="172"/>
      <c r="I11" s="166">
        <f t="shared" si="0"/>
        <v>0</v>
      </c>
      <c r="J11" s="212">
        <f t="shared" si="1"/>
        <v>0</v>
      </c>
    </row>
    <row r="12" spans="2:10" ht="14.65" thickBot="1" x14ac:dyDescent="0.5">
      <c r="H12" s="171"/>
      <c r="I12" s="211">
        <f>SUM(I5:I11)</f>
        <v>1350477046.7242498</v>
      </c>
      <c r="J12" s="212">
        <f t="shared" si="1"/>
        <v>2700954093.4484997</v>
      </c>
    </row>
    <row r="14" spans="2:10" x14ac:dyDescent="0.45">
      <c r="E14"/>
      <c r="F14"/>
      <c r="G14"/>
    </row>
    <row r="15" spans="2:10" x14ac:dyDescent="0.45">
      <c r="E15"/>
      <c r="F15"/>
      <c r="G15"/>
    </row>
    <row r="16" spans="2:10" x14ac:dyDescent="0.45">
      <c r="E16"/>
      <c r="F16"/>
      <c r="G16"/>
    </row>
    <row r="17" spans="5:7" x14ac:dyDescent="0.45">
      <c r="E17"/>
      <c r="F17"/>
      <c r="G17"/>
    </row>
    <row r="18" spans="5:7" x14ac:dyDescent="0.45">
      <c r="E18"/>
      <c r="F18"/>
      <c r="G18"/>
    </row>
    <row r="19" spans="5:7" x14ac:dyDescent="0.45">
      <c r="E19"/>
      <c r="F19"/>
      <c r="G19"/>
    </row>
    <row r="20" spans="5:7" x14ac:dyDescent="0.45">
      <c r="E20"/>
      <c r="F20"/>
      <c r="G20"/>
    </row>
    <row r="21" spans="5:7" x14ac:dyDescent="0.45">
      <c r="E21"/>
      <c r="F21"/>
      <c r="G21"/>
    </row>
    <row r="22" spans="5:7" x14ac:dyDescent="0.45">
      <c r="E22"/>
      <c r="F22"/>
      <c r="G22"/>
    </row>
  </sheetData>
  <mergeCells count="3">
    <mergeCell ref="B4:G4"/>
    <mergeCell ref="B8:G8"/>
    <mergeCell ref="B2:I2"/>
  </mergeCells>
  <pageMargins left="0.7" right="0.7" top="0.75" bottom="0.75" header="0.3" footer="0.3"/>
  <pageSetup orientation="portrait" horizontalDpi="1200" verticalDpi="1200" r:id="rId1"/>
  <ignoredErrors>
    <ignoredError sqref="E11:F11 D7 F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C5B3252E77414AAF0D9253FB9C35B1" ma:contentTypeVersion="6" ma:contentTypeDescription="Create a new document." ma:contentTypeScope="" ma:versionID="398dcec7d1460cd7390caf00be5197aa">
  <xsd:schema xmlns:xsd="http://www.w3.org/2001/XMLSchema" xmlns:xs="http://www.w3.org/2001/XMLSchema" xmlns:p="http://schemas.microsoft.com/office/2006/metadata/properties" xmlns:ns3="e4a72bca-fcae-4fad-97a5-89c621fc9b89" targetNamespace="http://schemas.microsoft.com/office/2006/metadata/properties" ma:root="true" ma:fieldsID="76b72d8e883fff8fda456bde4d51d17c" ns3:_="">
    <xsd:import namespace="e4a72bca-fcae-4fad-97a5-89c621fc9b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72bca-fcae-4fad-97a5-89c621fc9b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6047FA-B695-4899-BCE9-413ACE9AD1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0462AF-E1A6-4B60-8F13-01AC5EFA3A87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e4a72bca-fcae-4fad-97a5-89c621fc9b89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B0A8A97-9B95-46FD-8A55-0A70493D76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72bca-fcae-4fad-97a5-89c621fc9b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Assumptions</vt:lpstr>
      <vt:lpstr>Labor Rates</vt:lpstr>
      <vt:lpstr>Reporting and Recordkeeping</vt:lpstr>
      <vt:lpstr>Burden_Type Act</vt:lpstr>
      <vt:lpstr>Burden_Type Act and Resp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McGlinn, William</dc:creator>
  <cp:lastModifiedBy>Milliken, Caroline - FNS</cp:lastModifiedBy>
  <dcterms:created xsi:type="dcterms:W3CDTF">2019-08-09T14:45:58Z</dcterms:created>
  <dcterms:modified xsi:type="dcterms:W3CDTF">2020-10-02T23:53:16Z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0x01010009C5B3252E77414AAF0D9253FB9C35B1</vt:lpwstr>
  </property>
  <property fmtid="{D5CDD505-2E9C-101B-9397-08002B2CF9AE}" pid="3" name="_dlc_DocIdItemGuid">
    <vt:lpwstr>e7388e48-2de8-4354-8cfc-e9484d407572</vt:lpwstr>
  </property>
  <property fmtid="{D5CDD505-2E9C-101B-9397-08002B2CF9AE}" pid="4" name="_dlc_DocId">
    <vt:lpwstr>VER3ZRMQVMMH-1271368775-21</vt:lpwstr>
  </property>
  <property fmtid="{D5CDD505-2E9C-101B-9397-08002B2CF9AE}" pid="5" name="_dlc_DocIdUrl">
    <vt:lpwstr>https://fncspro.usda.net/programs/snap/pdd/cpb/_layouts/15/DocIdRedir.aspx?ID=VER3ZRMQVMMH-1271368775-21, VER3ZRMQVMMH-1271368775-21</vt:lpwstr>
  </property>
  <property fmtid="{D5CDD505-2E9C-101B-9397-08002B2CF9AE}" pid="6" name="ESRI_WORKBOOK_ID">
    <vt:lpwstr>9210f3b56bcb498b829fa7849712bed0</vt:lpwstr>
  </property>
</Properties>
</file>