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DE0EFA7D-3A00-49EC-A6EE-EFEC3A3B57C6}" xr6:coauthVersionLast="41" xr6:coauthVersionMax="41" xr10:uidLastSave="{00000000-0000-0000-0000-000000000000}"/>
  <bookViews>
    <workbookView xWindow="-120" yWindow="-120" windowWidth="15600" windowHeight="11160" xr2:uid="{00000000-000D-0000-FFFF-FFFF00000000}"/>
  </bookViews>
  <sheets>
    <sheet name="Table 1" sheetId="1" r:id="rId1"/>
    <sheet name="Table 2" sheetId="2" r:id="rId2"/>
    <sheet name="O&amp;M"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8" i="1" l="1"/>
  <c r="T5" i="3" l="1"/>
  <c r="N49" i="1"/>
  <c r="N51" i="1"/>
  <c r="N57" i="1"/>
  <c r="N42" i="1"/>
  <c r="N41" i="1" l="1"/>
  <c r="N59" i="1"/>
  <c r="F29" i="1" l="1"/>
  <c r="N36" i="1"/>
  <c r="U5" i="3" l="1"/>
  <c r="R6" i="3"/>
  <c r="R7" i="3"/>
  <c r="R5" i="3"/>
  <c r="C6" i="3"/>
  <c r="C7" i="3"/>
  <c r="C5" i="3"/>
  <c r="F38" i="1"/>
  <c r="F36" i="1"/>
  <c r="F32" i="1"/>
  <c r="F27" i="1"/>
  <c r="F26" i="1"/>
  <c r="F21" i="1"/>
  <c r="F20" i="1"/>
  <c r="F19" i="1"/>
  <c r="F9" i="1"/>
  <c r="U8" i="3" l="1"/>
  <c r="W8" i="3" s="1"/>
  <c r="R8" i="3"/>
  <c r="N61" i="1"/>
  <c r="F31" i="1" s="1"/>
  <c r="J15" i="3" s="1"/>
  <c r="M15" i="3" s="1"/>
  <c r="N60" i="1"/>
  <c r="N55" i="1"/>
  <c r="J43" i="1" l="1"/>
  <c r="N56" i="1"/>
  <c r="N62" i="1"/>
  <c r="F28" i="1" s="1"/>
  <c r="F15" i="2" s="1"/>
  <c r="S37" i="1"/>
  <c r="D6" i="3" l="1"/>
  <c r="F10" i="1"/>
  <c r="S40" i="1"/>
  <c r="R39" i="1"/>
  <c r="Q38" i="1"/>
  <c r="R38" i="1" s="1"/>
  <c r="Q37" i="1"/>
  <c r="R37" i="1" s="1"/>
  <c r="E10" i="1"/>
  <c r="G10" i="1" s="1"/>
  <c r="J14" i="3"/>
  <c r="D7" i="3" l="1"/>
  <c r="D5" i="3"/>
  <c r="R40" i="1"/>
  <c r="I10" i="1"/>
  <c r="H10" i="1"/>
  <c r="J10" i="1" l="1"/>
  <c r="D31" i="1"/>
  <c r="D32" i="1" s="1"/>
  <c r="L14" i="3"/>
  <c r="M14" i="3" s="1"/>
  <c r="E7" i="3"/>
  <c r="G7" i="3" s="1"/>
  <c r="E6" i="3"/>
  <c r="G6" i="3" s="1"/>
  <c r="E5" i="3"/>
  <c r="G5" i="3" s="1"/>
  <c r="N22" i="1"/>
  <c r="N28" i="1"/>
  <c r="W24" i="1"/>
  <c r="E14" i="2"/>
  <c r="E6" i="2"/>
  <c r="E12" i="2"/>
  <c r="E11" i="2"/>
  <c r="E10" i="2"/>
  <c r="E16" i="2"/>
  <c r="E15" i="2"/>
  <c r="E13" i="2"/>
  <c r="E8" i="2"/>
  <c r="E7" i="2"/>
  <c r="X6" i="1"/>
  <c r="X7" i="1" s="1"/>
  <c r="X9" i="1" s="1"/>
  <c r="X11" i="1" s="1"/>
  <c r="X12" i="1" s="1"/>
  <c r="X13" i="1" s="1"/>
  <c r="X14" i="1" s="1"/>
  <c r="X15" i="1" s="1"/>
  <c r="X16" i="1" s="1"/>
  <c r="X17" i="1" s="1"/>
  <c r="N12" i="1"/>
  <c r="F13" i="2" s="1"/>
  <c r="N11" i="1"/>
  <c r="Q14" i="1" s="1"/>
  <c r="F15" i="1"/>
  <c r="F14" i="1"/>
  <c r="F12" i="1"/>
  <c r="V24" i="1"/>
  <c r="V25" i="1" s="1"/>
  <c r="V26" i="1" s="1"/>
  <c r="V27" i="1" s="1"/>
  <c r="V28" i="1" s="1"/>
  <c r="V29" i="1" s="1"/>
  <c r="V30" i="1" s="1"/>
  <c r="F16" i="2" l="1"/>
  <c r="G16" i="2" s="1"/>
  <c r="H16" i="2" s="1"/>
  <c r="W25" i="1"/>
  <c r="W26" i="1" s="1"/>
  <c r="J12" i="3"/>
  <c r="M12" i="3" s="1"/>
  <c r="G13" i="2"/>
  <c r="H13" i="2" s="1"/>
  <c r="X18" i="1"/>
  <c r="N16" i="1"/>
  <c r="N17" i="1"/>
  <c r="E31" i="1"/>
  <c r="I13" i="2" l="1"/>
  <c r="J13" i="2" s="1"/>
  <c r="I16" i="2"/>
  <c r="J16" i="2" s="1"/>
  <c r="W27" i="1"/>
  <c r="G31" i="1"/>
  <c r="E29" i="1"/>
  <c r="G29" i="1" s="1"/>
  <c r="E26" i="1"/>
  <c r="G26" i="1" s="1"/>
  <c r="F23" i="1"/>
  <c r="E23" i="1"/>
  <c r="F25" i="1"/>
  <c r="E14" i="1"/>
  <c r="G14" i="1" s="1"/>
  <c r="E13" i="1"/>
  <c r="G13" i="1" s="1"/>
  <c r="E12" i="1"/>
  <c r="G12" i="1" s="1"/>
  <c r="E15" i="1"/>
  <c r="G15" i="1" s="1"/>
  <c r="E38" i="1"/>
  <c r="E36" i="1"/>
  <c r="E21" i="1"/>
  <c r="E20" i="1"/>
  <c r="E19" i="1"/>
  <c r="E24" i="1"/>
  <c r="E16" i="1"/>
  <c r="E28" i="1"/>
  <c r="G36" i="1" l="1"/>
  <c r="G20" i="1"/>
  <c r="I20" i="1" s="1"/>
  <c r="J7" i="3"/>
  <c r="M7" i="3" s="1"/>
  <c r="F8" i="2"/>
  <c r="G8" i="2" s="1"/>
  <c r="J5" i="3"/>
  <c r="M5" i="3" s="1"/>
  <c r="F6" i="2"/>
  <c r="G6" i="2" s="1"/>
  <c r="J11" i="3"/>
  <c r="M11" i="3" s="1"/>
  <c r="F12" i="2"/>
  <c r="G12" i="2" s="1"/>
  <c r="J6" i="3"/>
  <c r="M6" i="3" s="1"/>
  <c r="F7" i="2"/>
  <c r="G7" i="2" s="1"/>
  <c r="J9" i="3"/>
  <c r="M9" i="3" s="1"/>
  <c r="F10" i="2"/>
  <c r="G10" i="2" s="1"/>
  <c r="W28" i="1"/>
  <c r="J13" i="3"/>
  <c r="M13" i="3" s="1"/>
  <c r="F14" i="2"/>
  <c r="G14" i="2" s="1"/>
  <c r="G19" i="1"/>
  <c r="H19" i="1" s="1"/>
  <c r="H26" i="1"/>
  <c r="I26" i="1"/>
  <c r="G23" i="1"/>
  <c r="H14" i="1"/>
  <c r="I14" i="1"/>
  <c r="H13" i="1"/>
  <c r="I13" i="1"/>
  <c r="I12" i="1"/>
  <c r="H12" i="1"/>
  <c r="I15" i="1"/>
  <c r="H15" i="1"/>
  <c r="G21" i="1"/>
  <c r="G38" i="1"/>
  <c r="I38" i="1" s="1"/>
  <c r="H29" i="1"/>
  <c r="I29" i="1"/>
  <c r="H31" i="1"/>
  <c r="I31" i="1"/>
  <c r="E27" i="1"/>
  <c r="G27" i="1" s="1"/>
  <c r="E25" i="1"/>
  <c r="G25" i="1" s="1"/>
  <c r="E9" i="1"/>
  <c r="G9" i="1" s="1"/>
  <c r="F8" i="3"/>
  <c r="I36" i="1" l="1"/>
  <c r="J36" i="1" s="1"/>
  <c r="H36" i="1"/>
  <c r="H20" i="1"/>
  <c r="J20" i="1" s="1"/>
  <c r="I19" i="1"/>
  <c r="J19" i="1" s="1"/>
  <c r="I14" i="2"/>
  <c r="H14" i="2"/>
  <c r="I10" i="2"/>
  <c r="H10" i="2"/>
  <c r="H12" i="2"/>
  <c r="I12" i="2"/>
  <c r="H8" i="2"/>
  <c r="I8" i="2"/>
  <c r="W29" i="1"/>
  <c r="I7" i="2"/>
  <c r="H7" i="2"/>
  <c r="H6" i="2"/>
  <c r="J6" i="2" s="1"/>
  <c r="I6" i="2"/>
  <c r="J13" i="1"/>
  <c r="J26" i="1"/>
  <c r="H27" i="1"/>
  <c r="I27" i="1"/>
  <c r="H25" i="1"/>
  <c r="I25" i="1"/>
  <c r="H23" i="1"/>
  <c r="I23" i="1"/>
  <c r="J15" i="1"/>
  <c r="J12" i="1"/>
  <c r="J14" i="1"/>
  <c r="I21" i="1"/>
  <c r="H21" i="1"/>
  <c r="H9" i="1"/>
  <c r="J9" i="1" s="1"/>
  <c r="I9" i="1"/>
  <c r="H38" i="1"/>
  <c r="J38" i="1" s="1"/>
  <c r="J31" i="1"/>
  <c r="J29" i="1"/>
  <c r="E40" i="1"/>
  <c r="E39" i="1"/>
  <c r="E32" i="1"/>
  <c r="G32" i="1" s="1"/>
  <c r="C8" i="3"/>
  <c r="J14" i="2" l="1"/>
  <c r="J8" i="2"/>
  <c r="J25" i="1"/>
  <c r="J12" i="2"/>
  <c r="J7" i="2"/>
  <c r="W30" i="1"/>
  <c r="N20" i="1"/>
  <c r="J10" i="2"/>
  <c r="J23" i="1"/>
  <c r="J27" i="1"/>
  <c r="J21" i="1"/>
  <c r="I32" i="1"/>
  <c r="H32" i="1"/>
  <c r="F39" i="1" l="1"/>
  <c r="F40" i="1"/>
  <c r="G40" i="1" s="1"/>
  <c r="H40" i="1" s="1"/>
  <c r="F16" i="1"/>
  <c r="F24" i="1"/>
  <c r="D8" i="3"/>
  <c r="G39" i="1"/>
  <c r="G16" i="1"/>
  <c r="J32" i="1"/>
  <c r="I40" i="1" l="1"/>
  <c r="J40" i="1" s="1"/>
  <c r="G15" i="2"/>
  <c r="G28" i="1"/>
  <c r="F11" i="2"/>
  <c r="G11" i="2" s="1"/>
  <c r="J10" i="3"/>
  <c r="M10" i="3" s="1"/>
  <c r="M16" i="3" s="1"/>
  <c r="G24" i="1"/>
  <c r="H16" i="1"/>
  <c r="I16" i="1"/>
  <c r="I39" i="1"/>
  <c r="G41" i="1" s="1"/>
  <c r="H39" i="1"/>
  <c r="J39" i="1" l="1"/>
  <c r="J41" i="1" s="1"/>
  <c r="J16" i="1"/>
  <c r="H24" i="1"/>
  <c r="I24" i="1"/>
  <c r="I28" i="1"/>
  <c r="H28" i="1"/>
  <c r="H11" i="2"/>
  <c r="I11" i="2"/>
  <c r="I15" i="2"/>
  <c r="G17" i="2" s="1"/>
  <c r="H15" i="2"/>
  <c r="E8" i="3"/>
  <c r="G8" i="3" s="1"/>
  <c r="G33" i="1" l="1"/>
  <c r="G42" i="1" s="1"/>
  <c r="L66" i="1" s="1"/>
  <c r="J28" i="1"/>
  <c r="J11" i="2"/>
  <c r="J15" i="2"/>
  <c r="J24" i="1"/>
  <c r="J33" i="1" s="1"/>
  <c r="J42" i="1" s="1"/>
  <c r="J44" i="1" s="1"/>
  <c r="J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ERG, EV</author>
  </authors>
  <commentList>
    <comment ref="Q11" authorId="0" shapeId="0" xr:uid="{00000000-0006-0000-0100-000003000000}">
      <text>
        <r>
          <rPr>
            <b/>
            <sz val="9"/>
            <color indexed="81"/>
            <rFont val="Tahoma"/>
            <family val="2"/>
          </rPr>
          <t>ERG, EV:</t>
        </r>
        <r>
          <rPr>
            <sz val="9"/>
            <color indexed="81"/>
            <rFont val="Tahoma"/>
            <family val="2"/>
          </rPr>
          <t xml:space="preserve">
Basis: see ICR 1975.04 (p. 9)</t>
        </r>
      </text>
    </comment>
    <comment ref="N16" authorId="0" shapeId="0" xr:uid="{00000000-0006-0000-0100-000004000000}">
      <text>
        <r>
          <rPr>
            <b/>
            <sz val="9"/>
            <color indexed="81"/>
            <rFont val="Tahoma"/>
            <family val="2"/>
          </rPr>
          <t>ERG, EV:</t>
        </r>
        <r>
          <rPr>
            <sz val="9"/>
            <color indexed="81"/>
            <rFont val="Tahoma"/>
            <family val="2"/>
          </rPr>
          <t xml:space="preserve">
Basis: sum of new sources from 2005 to 2013 plus existing sources from 2005.</t>
        </r>
      </text>
    </comment>
    <comment ref="N17" authorId="0" shapeId="0" xr:uid="{00000000-0006-0000-0100-000005000000}">
      <text>
        <r>
          <rPr>
            <b/>
            <sz val="9"/>
            <color indexed="81"/>
            <rFont val="Tahoma"/>
            <family val="2"/>
          </rPr>
          <t>ERG, EV:</t>
        </r>
        <r>
          <rPr>
            <sz val="9"/>
            <color indexed="81"/>
            <rFont val="Tahoma"/>
            <family val="2"/>
          </rPr>
          <t xml:space="preserve">
Basis: 350 new sources in 2008, 360 new sources in 2009, 370 new sources in 2010, etc., until ICR midpoint (i.e., 2014) (see ICR, p. 21).</t>
        </r>
      </text>
    </comment>
    <comment ref="N20" authorId="0" shapeId="0" xr:uid="{00000000-0006-0000-0100-000006000000}">
      <text>
        <r>
          <rPr>
            <b/>
            <sz val="9"/>
            <color indexed="81"/>
            <rFont val="Tahoma"/>
            <family val="2"/>
          </rPr>
          <t>ERG, EV:</t>
        </r>
        <r>
          <rPr>
            <sz val="9"/>
            <color indexed="81"/>
            <rFont val="Tahoma"/>
            <family val="2"/>
          </rPr>
          <t xml:space="preserve">
Basis: sum of new sources from 2008 to 2013 (see ICR, p. 21).</t>
        </r>
      </text>
    </comment>
    <comment ref="M33" authorId="0" shapeId="0" xr:uid="{00000000-0006-0000-0100-000007000000}">
      <text>
        <r>
          <rPr>
            <b/>
            <sz val="9"/>
            <color indexed="81"/>
            <rFont val="Tahoma"/>
            <family val="2"/>
          </rPr>
          <t>ERG, EV:</t>
        </r>
        <r>
          <rPr>
            <sz val="9"/>
            <color indexed="81"/>
            <rFont val="Tahoma"/>
            <family val="2"/>
          </rPr>
          <t xml:space="preserve">
Link: 
www.federalregister.gov/articles/2013/01/30/2013-01288/national-emission-standards-for-hazardous-air-pollutants-for-reciprocating-internal-combustion#h-14</t>
        </r>
      </text>
    </comment>
  </commentList>
</comments>
</file>

<file path=xl/sharedStrings.xml><?xml version="1.0" encoding="utf-8"?>
<sst xmlns="http://schemas.openxmlformats.org/spreadsheetml/2006/main" count="280" uniqueCount="215">
  <si>
    <t>Burden Item</t>
  </si>
  <si>
    <t>1. Applications</t>
  </si>
  <si>
    <t>N/A</t>
  </si>
  <si>
    <t xml:space="preserve"> </t>
  </si>
  <si>
    <t>2. Surveys and Studies</t>
  </si>
  <si>
    <t>3. Reporting Requirements</t>
  </si>
  <si>
    <t>Included in 3D</t>
  </si>
  <si>
    <t>4. Recordkeeping Requirements</t>
  </si>
  <si>
    <t>Included in 3A</t>
  </si>
  <si>
    <t>A</t>
  </si>
  <si>
    <t>B</t>
  </si>
  <si>
    <t>C</t>
  </si>
  <si>
    <t>D</t>
  </si>
  <si>
    <t>E</t>
  </si>
  <si>
    <t>F</t>
  </si>
  <si>
    <t>G</t>
  </si>
  <si>
    <t>H</t>
  </si>
  <si>
    <t>Technical person-hours per occurrence</t>
  </si>
  <si>
    <t>No. of occurrences per respondent per year</t>
  </si>
  <si>
    <t>Technical 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</si>
  <si>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</si>
  <si>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</si>
  <si>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</si>
  <si>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</si>
  <si>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t>Recordkeeping Subtotal</t>
  </si>
  <si>
    <t>Reporting Subtotal</t>
  </si>
  <si>
    <t xml:space="preserve">Report review </t>
  </si>
  <si>
    <t>Number of Respondents</t>
  </si>
  <si>
    <t>Respondents That Submit Reports</t>
  </si>
  <si>
    <t>Respondents That Do Not Submit Any Reports</t>
  </si>
  <si>
    <t>Total Annual Responses</t>
  </si>
  <si>
    <t>Year</t>
  </si>
  <si>
    <t>(D)
Number of Existing Respondents That Are Also New Respondents</t>
  </si>
  <si>
    <t>(E)
Number of Respondents (E=A+B+C-D)</t>
  </si>
  <si>
    <t>(A)
Information Collection Activity</t>
  </si>
  <si>
    <t xml:space="preserve">(B)
Average Number of Respondents  </t>
  </si>
  <si>
    <t>(C)
Number of Responses</t>
  </si>
  <si>
    <t>(D)
Number of Existing Respondents That Keep Records But Do Not Submit Reports</t>
  </si>
  <si>
    <t>Notification of construction/reconstruction</t>
  </si>
  <si>
    <t>Average</t>
  </si>
  <si>
    <t>Notification of actual startup</t>
  </si>
  <si>
    <t>Total</t>
  </si>
  <si>
    <t>Table 1: Annual Respondent Burden and Cost – NESHAP for Stationary Reciprocating Internal Combustion Engines (40 CFR Part 63, Subpart ZZZZ) (Renewal)</t>
  </si>
  <si>
    <t>Notification of anticipated startup</t>
  </si>
  <si>
    <t>Notification of performance test</t>
  </si>
  <si>
    <t>Initial notification of compliance</t>
  </si>
  <si>
    <t>Semiannual compliance report</t>
  </si>
  <si>
    <t>Existing</t>
  </si>
  <si>
    <t>New</t>
  </si>
  <si>
    <t>Affected Sources Estimates</t>
  </si>
  <si>
    <t>4-SRB - 4-Stroke Rich Burn</t>
  </si>
  <si>
    <t xml:space="preserve">  "Reporting"</t>
  </si>
  <si>
    <t xml:space="preserve">  "Monitoring"</t>
  </si>
  <si>
    <t xml:space="preserve">  "Recordkeeping"</t>
  </si>
  <si>
    <t xml:space="preserve">  Utilities</t>
  </si>
  <si>
    <t xml:space="preserve">  Curtailment Service Providers</t>
  </si>
  <si>
    <t>New Sources</t>
  </si>
  <si>
    <t>Existing Sources (see ICR, p. 22)</t>
  </si>
  <si>
    <t>Existing Sources (see 78 FR 6674)</t>
  </si>
  <si>
    <t>Existing Sources (see ICR, p. 23)</t>
  </si>
  <si>
    <t xml:space="preserve">  "Semiannual Reporters"</t>
  </si>
  <si>
    <t xml:space="preserve">  "Annual Reporters"</t>
  </si>
  <si>
    <t>No capital/startup or O&amp;M costs.</t>
  </si>
  <si>
    <t>Covers CI RICE</t>
  </si>
  <si>
    <t>Covers SI RICE</t>
  </si>
  <si>
    <t>Covers Emergency RICE</t>
  </si>
  <si>
    <t>--</t>
  </si>
  <si>
    <t>Existing Sources (see ICR, p. 21)</t>
  </si>
  <si>
    <t>Supporting Calculations for 1975.05</t>
  </si>
  <si>
    <t>Capital/Startup</t>
  </si>
  <si>
    <t>O&amp;M</t>
  </si>
  <si>
    <t>Portable CO Monitor</t>
  </si>
  <si>
    <t>Press. &amp; Temp. Monitor</t>
  </si>
  <si>
    <t>New Sources, Non-Exempt (see ICR, p. 1)</t>
  </si>
  <si>
    <t>New Sources, Exempt (see ICR, p. 1)</t>
  </si>
  <si>
    <t>Existing Sources (see ICR, p. 10)</t>
  </si>
  <si>
    <t>Supporting Calculations for 1975.04</t>
  </si>
  <si>
    <t>New (Non-Exempt)</t>
  </si>
  <si>
    <t>New (Exempt)</t>
  </si>
  <si>
    <t>Press. &amp; Temp. (Small)</t>
  </si>
  <si>
    <t>Press. &amp; Temp. (Large)</t>
  </si>
  <si>
    <t>No. Sources</t>
  </si>
  <si>
    <t>Device</t>
  </si>
  <si>
    <t>CO monitor</t>
  </si>
  <si>
    <t>Notification of Construction/Reconstruction</t>
  </si>
  <si>
    <t>Notification of Anticipated Startup</t>
  </si>
  <si>
    <t>Notification of Actual Startup</t>
  </si>
  <si>
    <t>Notification of Performance Test</t>
  </si>
  <si>
    <t>Initial Notification for Exempt RICE</t>
  </si>
  <si>
    <t>Initial Notification of Compliance</t>
  </si>
  <si>
    <t xml:space="preserve">   </t>
  </si>
  <si>
    <t xml:space="preserve">     Quarterly</t>
  </si>
  <si>
    <t xml:space="preserve">     Semiannually</t>
  </si>
  <si>
    <t xml:space="preserve">     Annually</t>
  </si>
  <si>
    <t>Initial notification for exempt RICE</t>
  </si>
  <si>
    <t>Annual compliance report</t>
  </si>
  <si>
    <t xml:space="preserve">Projection of industry growth for 2008, 009, and 2010 based on 1975.05 SS. </t>
  </si>
  <si>
    <t xml:space="preserve">The SS for 1975.04 estimates 874 new sources per year, of which 105 sources are exempt but have initial notification requirement. </t>
  </si>
  <si>
    <t>(E)
Total Annual Responses
E=(BxC)+D</t>
  </si>
  <si>
    <t>hr/response</t>
  </si>
  <si>
    <t>Table 2: Average Annual EPA Burden and Cost – NESHAP for Stationary Reciprocating Internal Combustion Engines (40 CFR Part 63, Subpart ZZZZ) (Renewal)</t>
  </si>
  <si>
    <t>New Sources, Area (see ICR, p. 21)</t>
  </si>
  <si>
    <t>Covers all sources</t>
  </si>
  <si>
    <t>Major - non-exempt</t>
  </si>
  <si>
    <t>Major - exempt</t>
  </si>
  <si>
    <t>Area</t>
  </si>
  <si>
    <t>Existing Sources</t>
  </si>
  <si>
    <t>Major</t>
  </si>
  <si>
    <t>CI engines</t>
  </si>
  <si>
    <t>SI engines</t>
  </si>
  <si>
    <t>Utilities</t>
  </si>
  <si>
    <t>*only 60,654 submit semiannual reports</t>
  </si>
  <si>
    <t xml:space="preserve">Sources that submit semiannual reports </t>
  </si>
  <si>
    <t>1975.10</t>
  </si>
  <si>
    <t>New sources</t>
  </si>
  <si>
    <t>Existing sources</t>
  </si>
  <si>
    <t>Sources with initial notification requirements (non-exempt only)</t>
  </si>
  <si>
    <t>Existing sources that only keep records</t>
  </si>
  <si>
    <t>CPMS - small</t>
  </si>
  <si>
    <t>CPMS - large</t>
  </si>
  <si>
    <t>TOTAL</t>
  </si>
  <si>
    <t>Technical</t>
  </si>
  <si>
    <t>Management</t>
  </si>
  <si>
    <t>Clerical</t>
  </si>
  <si>
    <t>2019 Labor Rates</t>
  </si>
  <si>
    <t>Assumptions:</t>
  </si>
  <si>
    <t>Labor Rates</t>
  </si>
  <si>
    <t xml:space="preserve">Assumptions: </t>
  </si>
  <si>
    <r>
      <t xml:space="preserve">Total cost per year ($) </t>
    </r>
    <r>
      <rPr>
        <b/>
        <vertAlign val="superscript"/>
        <sz val="10"/>
        <rFont val="Times New Roman"/>
        <family val="1"/>
      </rPr>
      <t>b</t>
    </r>
  </si>
  <si>
    <r>
      <t xml:space="preserve">TOTAL (rounded) </t>
    </r>
    <r>
      <rPr>
        <b/>
        <vertAlign val="superscript"/>
        <sz val="10"/>
        <color theme="1"/>
        <rFont val="Times New Roman"/>
        <family val="1"/>
      </rPr>
      <t>e</t>
    </r>
  </si>
  <si>
    <r>
      <t xml:space="preserve">Annual Compliance Report </t>
    </r>
    <r>
      <rPr>
        <vertAlign val="superscript"/>
        <sz val="10"/>
        <rFont val="Times New Roman"/>
        <family val="1"/>
      </rPr>
      <t>d</t>
    </r>
  </si>
  <si>
    <r>
      <t xml:space="preserve">Semiannual Compliance Report </t>
    </r>
    <r>
      <rPr>
        <vertAlign val="superscript"/>
        <sz val="10"/>
        <rFont val="Times New Roman"/>
        <family val="1"/>
      </rPr>
      <t>c</t>
    </r>
  </si>
  <si>
    <t>Quarterly</t>
  </si>
  <si>
    <t>Semiannually</t>
  </si>
  <si>
    <t>Annually</t>
  </si>
  <si>
    <t>A. Familiarize with rule requirement</t>
  </si>
  <si>
    <r>
      <t xml:space="preserve">B. Required Activities </t>
    </r>
    <r>
      <rPr>
        <vertAlign val="superscript"/>
        <sz val="10"/>
        <rFont val="Times New Roman"/>
        <family val="1"/>
      </rPr>
      <t>c</t>
    </r>
  </si>
  <si>
    <t>C. Gather Existing Information</t>
  </si>
  <si>
    <t>D. Write Report</t>
  </si>
  <si>
    <r>
      <t xml:space="preserve">B. Train Personnel </t>
    </r>
    <r>
      <rPr>
        <vertAlign val="superscript"/>
        <sz val="10"/>
        <rFont val="Times New Roman"/>
        <family val="1"/>
      </rPr>
      <t>d</t>
    </r>
  </si>
  <si>
    <r>
      <t xml:space="preserve">C. Continuous Monitoring </t>
    </r>
    <r>
      <rPr>
        <vertAlign val="superscript"/>
        <sz val="10"/>
        <rFont val="Times New Roman"/>
        <family val="1"/>
      </rPr>
      <t>h</t>
    </r>
  </si>
  <si>
    <t>D. Record Information</t>
  </si>
  <si>
    <t>Pressure and Temperature</t>
  </si>
  <si>
    <t>4-SRB &gt;5,000 HP (once per year)</t>
  </si>
  <si>
    <r>
      <t xml:space="preserve">4-SRB </t>
    </r>
    <r>
      <rPr>
        <sz val="10"/>
        <rFont val="Arial"/>
        <family val="2"/>
      </rPr>
      <t>≥</t>
    </r>
    <r>
      <rPr>
        <sz val="10"/>
        <rFont val="Times New Roman"/>
        <family val="1"/>
      </rPr>
      <t>5,000 HP (once per year)</t>
    </r>
  </si>
  <si>
    <t>Quarterly Performance Test (Facilities with Multiple RICE)</t>
  </si>
  <si>
    <t>Quarterly Performance Test (Facilities with One RICE)</t>
  </si>
  <si>
    <t>Semiannual Performance Test</t>
  </si>
  <si>
    <t>Anually</t>
  </si>
  <si>
    <r>
      <t xml:space="preserve">Notification of Construction/Reconstruction </t>
    </r>
    <r>
      <rPr>
        <vertAlign val="superscript"/>
        <sz val="10"/>
        <rFont val="Times New Roman"/>
        <family val="1"/>
      </rPr>
      <t>d</t>
    </r>
  </si>
  <si>
    <r>
      <t xml:space="preserve">Notification of Anticipated Startup </t>
    </r>
    <r>
      <rPr>
        <vertAlign val="superscript"/>
        <sz val="10"/>
        <rFont val="Times New Roman"/>
        <family val="1"/>
      </rPr>
      <t>d</t>
    </r>
  </si>
  <si>
    <r>
      <t xml:space="preserve">Notification of Actual Startup </t>
    </r>
    <r>
      <rPr>
        <vertAlign val="superscript"/>
        <sz val="10"/>
        <rFont val="Times New Roman"/>
        <family val="1"/>
      </rPr>
      <t>d</t>
    </r>
  </si>
  <si>
    <r>
      <t xml:space="preserve">Notification of Performance Test </t>
    </r>
    <r>
      <rPr>
        <vertAlign val="superscript"/>
        <sz val="10"/>
        <rFont val="Times New Roman"/>
        <family val="1"/>
      </rPr>
      <t>c</t>
    </r>
  </si>
  <si>
    <r>
      <t xml:space="preserve">Initial Notification of Compliance </t>
    </r>
    <r>
      <rPr>
        <vertAlign val="superscript"/>
        <sz val="10"/>
        <rFont val="Times New Roman"/>
        <family val="1"/>
      </rPr>
      <t>d</t>
    </r>
  </si>
  <si>
    <r>
      <t xml:space="preserve">Semiannual Compliance Report </t>
    </r>
    <r>
      <rPr>
        <vertAlign val="superscript"/>
        <sz val="10"/>
        <rFont val="Times New Roman"/>
        <family val="1"/>
      </rPr>
      <t>e</t>
    </r>
  </si>
  <si>
    <r>
      <t xml:space="preserve">Annual Compliance Report </t>
    </r>
    <r>
      <rPr>
        <vertAlign val="superscript"/>
        <sz val="10"/>
        <rFont val="Times New Roman"/>
        <family val="1"/>
      </rPr>
      <t>f</t>
    </r>
  </si>
  <si>
    <r>
      <t xml:space="preserve">Annual Compliance Report (Emergency RICE) </t>
    </r>
    <r>
      <rPr>
        <vertAlign val="superscript"/>
        <sz val="10"/>
        <rFont val="Times New Roman"/>
        <family val="1"/>
      </rPr>
      <t xml:space="preserve">g </t>
    </r>
  </si>
  <si>
    <t>Curtailment Service Providers</t>
  </si>
  <si>
    <t>1975.11</t>
  </si>
  <si>
    <t>Capital/Startup vs. Operation and Maintenance (O&amp;M) Costs</t>
  </si>
  <si>
    <t>(A)</t>
  </si>
  <si>
    <t>Continuous Monitoring Device</t>
  </si>
  <si>
    <t>(B)</t>
  </si>
  <si>
    <t>Capital/Startup Cost for One Respondent</t>
  </si>
  <si>
    <t>(C)</t>
  </si>
  <si>
    <t>(D)</t>
  </si>
  <si>
    <t>Total Capital/Startup Cost,  (B X C)</t>
  </si>
  <si>
    <t>(E)</t>
  </si>
  <si>
    <t>Annual O&amp;M Costs for One Respondent</t>
  </si>
  <si>
    <t>(F)</t>
  </si>
  <si>
    <t>(G)</t>
  </si>
  <si>
    <r>
      <t xml:space="preserve">Number of New Respondents </t>
    </r>
    <r>
      <rPr>
        <vertAlign val="superscript"/>
        <sz val="10"/>
        <color rgb="FF000000"/>
        <rFont val="Times New Roman"/>
        <family val="1"/>
      </rPr>
      <t>a</t>
    </r>
  </si>
  <si>
    <r>
      <t xml:space="preserve">Number of Respondents  with O&amp;M </t>
    </r>
    <r>
      <rPr>
        <vertAlign val="superscript"/>
        <sz val="10"/>
        <color rgb="FF000000"/>
        <rFont val="Times New Roman"/>
        <family val="1"/>
      </rPr>
      <t>b</t>
    </r>
  </si>
  <si>
    <t>Total O&amp;M, 
(E X F)</t>
  </si>
  <si>
    <r>
      <t xml:space="preserve">CO monitors </t>
    </r>
    <r>
      <rPr>
        <vertAlign val="superscript"/>
        <sz val="10"/>
        <color theme="1"/>
        <rFont val="Times New Roman"/>
        <family val="1"/>
      </rPr>
      <t>c</t>
    </r>
  </si>
  <si>
    <r>
      <t xml:space="preserve">CPMS - small </t>
    </r>
    <r>
      <rPr>
        <vertAlign val="superscript"/>
        <sz val="10"/>
        <color theme="1"/>
        <rFont val="Times New Roman"/>
        <family val="1"/>
      </rPr>
      <t>d</t>
    </r>
  </si>
  <si>
    <r>
      <t xml:space="preserve">CPMS - large </t>
    </r>
    <r>
      <rPr>
        <vertAlign val="superscript"/>
        <sz val="10"/>
        <color theme="1"/>
        <rFont val="Times New Roman"/>
        <family val="1"/>
      </rPr>
      <t>d, e</t>
    </r>
  </si>
  <si>
    <r>
      <t xml:space="preserve">Total </t>
    </r>
    <r>
      <rPr>
        <vertAlign val="superscript"/>
        <sz val="10"/>
        <color theme="1"/>
        <rFont val="Times New Roman"/>
        <family val="1"/>
      </rPr>
      <t>f</t>
    </r>
  </si>
  <si>
    <t>*pulled from 1975.10</t>
  </si>
  <si>
    <t>*includes new sources which are exempt but have an initial notification requirement (105 per year or 315 over 3 years).</t>
  </si>
  <si>
    <t xml:space="preserve">Existing respondents include 16,025 major source stationary RICE (&gt;500 hp), 4,710 area source stationary RICE, 86,649 CI engines, 45,633 SI engines, and 446 utilities. </t>
  </si>
  <si>
    <t xml:space="preserve">*New respondents include 769 major source non-exempt stationary RICE (&gt;500 hp), 105 major source exempt stationary RICE (&gt;500 hp), and 410 area source stationary RICE. </t>
  </si>
  <si>
    <t>*Adds existing (cellN43) to new major (non-exempt) (cellN37)*3 years</t>
  </si>
  <si>
    <t>*Adds existing (cellN44) to new area (cellN39)*3 years</t>
  </si>
  <si>
    <t>*pulled from 1975.10 - note only 60,654 submit semiannual reports, remaing 25,995 submit annual reports</t>
  </si>
  <si>
    <r>
      <t xml:space="preserve">Total cost per year </t>
    </r>
    <r>
      <rPr>
        <b/>
        <vertAlign val="superscript"/>
        <sz val="10"/>
        <rFont val="Times New Roman"/>
        <family val="1"/>
      </rPr>
      <t>b</t>
    </r>
    <r>
      <rPr>
        <b/>
        <sz val="10"/>
        <rFont val="Times New Roman"/>
        <family val="1"/>
      </rPr>
      <t xml:space="preserve"> ($)</t>
    </r>
  </si>
  <si>
    <r>
      <t xml:space="preserve">TOTAL LABOR BURDEN AND COSTS (rounded) </t>
    </r>
    <r>
      <rPr>
        <b/>
        <vertAlign val="superscript"/>
        <sz val="10"/>
        <rFont val="Times New Roman"/>
        <family val="1"/>
      </rPr>
      <t>i</t>
    </r>
  </si>
  <si>
    <r>
      <t xml:space="preserve">TOTAL CAPITAL AND O&amp;M COST (rounded) </t>
    </r>
    <r>
      <rPr>
        <b/>
        <vertAlign val="superscript"/>
        <sz val="10"/>
        <rFont val="Times New Roman"/>
        <family val="1"/>
      </rPr>
      <t>i</t>
    </r>
  </si>
  <si>
    <r>
      <t xml:space="preserve">GRAND TOTAL (rounded) </t>
    </r>
    <r>
      <rPr>
        <b/>
        <vertAlign val="superscript"/>
        <sz val="10"/>
        <rFont val="Times New Roman"/>
        <family val="1"/>
      </rPr>
      <t>i</t>
    </r>
  </si>
  <si>
    <r>
      <rPr>
        <vertAlign val="superscript"/>
        <sz val="10"/>
        <rFont val="Times New Roman"/>
        <family val="1"/>
      </rPr>
      <t>c</t>
    </r>
    <r>
      <rPr>
        <sz val="10"/>
        <rFont val="Times New Roman"/>
        <family val="1"/>
      </rPr>
      <t xml:space="preserve">  The estimated number of sources for these activities was obtained from EPA ICR Number 1975.04. </t>
    </r>
  </si>
  <si>
    <r>
      <rPr>
        <vertAlign val="superscript"/>
        <sz val="10"/>
        <rFont val="Times New Roman"/>
        <family val="1"/>
      </rPr>
      <t>e</t>
    </r>
    <r>
      <rPr>
        <sz val="10"/>
        <rFont val="Times New Roman"/>
        <family val="1"/>
      </rPr>
      <t xml:space="preserve">  We assume 127,022 existing sources have to write semiannual reports. This estimate includes 16,025 existing major source stationary RICE (&gt;500 hp), 4,710 existing area sources, 60,654 existing CI engines, and 45,633 existing SI engines.  </t>
    </r>
  </si>
  <si>
    <r>
      <rPr>
        <vertAlign val="superscript"/>
        <sz val="10"/>
        <rFont val="Times New Roman"/>
        <family val="1"/>
      </rPr>
      <t xml:space="preserve">f </t>
    </r>
    <r>
      <rPr>
        <sz val="10"/>
        <rFont val="Times New Roman"/>
        <family val="1"/>
      </rPr>
      <t xml:space="preserve"> We assume 25,995 existing CI engines have to complete annual reports. This estimate is based on EPA ICR Number 1975.07. </t>
    </r>
  </si>
  <si>
    <r>
      <rPr>
        <vertAlign val="superscript"/>
        <sz val="10"/>
        <rFont val="Times New Roman"/>
        <family val="1"/>
      </rPr>
      <t>g</t>
    </r>
    <r>
      <rPr>
        <sz val="10"/>
        <rFont val="Times New Roman"/>
        <family val="1"/>
      </rPr>
      <t xml:space="preserve">  We assume 446 local utilities and 16 hours per annual report, and 70 curtailment service providers with 1,000 hours per report.  This estimate is based on the January 2013 Final Rule amendment.  Reporting requirements for emergencies RICE will begin in 2016 which is the final year covered in this ICR. Therefore, we assume an average annual occurrence of 0.33 (once every three years) for this ICR. </t>
    </r>
  </si>
  <si>
    <r>
      <rPr>
        <vertAlign val="superscript"/>
        <sz val="10"/>
        <rFont val="Times New Roman"/>
        <family val="1"/>
      </rPr>
      <t>h</t>
    </r>
    <r>
      <rPr>
        <sz val="10"/>
        <rFont val="Times New Roman"/>
        <family val="1"/>
      </rPr>
      <t xml:space="preserve">  These estimates were obtained from EPA ICR Number 1975.04, 1975.05, 1975.07 and 1975.08. </t>
    </r>
  </si>
  <si>
    <r>
      <rPr>
        <vertAlign val="superscript"/>
        <sz val="10"/>
        <rFont val="Times New Roman"/>
        <family val="1"/>
      </rPr>
      <t>i</t>
    </r>
    <r>
      <rPr>
        <sz val="10"/>
        <rFont val="Times New Roman"/>
        <family val="1"/>
      </rPr>
      <t xml:space="preserve">  Totals have been rounded to 3 significant figures. Figures may not add exactly due to rounding. </t>
    </r>
  </si>
  <si>
    <r>
      <rPr>
        <vertAlign val="superscript"/>
        <sz val="10"/>
        <rFont val="Times New Roman"/>
        <family val="1"/>
      </rPr>
      <t>a</t>
    </r>
    <r>
      <rPr>
        <sz val="10"/>
        <rFont val="Times New Roman"/>
        <family val="1"/>
      </rPr>
      <t xml:space="preserve">  We estimate an average of 153,463 existing respondents and 1,284 new respondents will be subject to the standard per year over the three-year period of this ICR. The number of existing respondents include 16,025 major source stationary RICE (&gt;500 hp), 4,710 area source stationary RICE, 86,649 CI engines, 45,633 SI engines, and 446 utilities.  The number of new respondents includes 769 non-exempt major stationary RICE (&gt;500 hp), 105 exempt major stationary RICE (&gt;500 hp), and 410 area sources. </t>
    </r>
  </si>
  <si>
    <r>
      <rPr>
        <vertAlign val="superscript"/>
        <sz val="10"/>
        <rFont val="Times New Roman"/>
        <family val="1"/>
      </rPr>
      <t>b</t>
    </r>
    <r>
      <rPr>
        <sz val="10"/>
        <rFont val="Times New Roman"/>
        <family val="1"/>
      </rPr>
      <t xml:space="preserve">  This ICR uses the following labor rates: $141.06 per hour for Executive, Administrative, and Managerial labor; $120.27 per hour for Technical labor, and $58.67 per hour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</si>
  <si>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rPr>
        <vertAlign val="superscript"/>
        <sz val="10"/>
        <rFont val="Times New Roman"/>
        <family val="1"/>
      </rPr>
      <t>d</t>
    </r>
    <r>
      <rPr>
        <sz val="10"/>
        <rFont val="Times New Roman"/>
        <family val="1"/>
      </rPr>
      <t xml:space="preserve">  We assume all non-exempt new sources have to complete these activities (1,284 new sources - 105 major exempt new sources = 1,179 sources). </t>
    </r>
  </si>
  <si>
    <r>
      <rPr>
        <vertAlign val="superscript"/>
        <sz val="10"/>
        <color theme="1"/>
        <rFont val="Times New Roman"/>
        <family val="1"/>
      </rPr>
      <t>e</t>
    </r>
    <r>
      <rPr>
        <sz val="10"/>
        <color theme="1"/>
        <rFont val="Times New Roman"/>
        <family val="1"/>
      </rPr>
      <t xml:space="preserve">  Totals have been rounded to 3 significant figures. Figures may not add exactly due to rounding. </t>
    </r>
  </si>
  <si>
    <r>
      <rPr>
        <vertAlign val="superscript"/>
        <sz val="10"/>
        <color theme="1"/>
        <rFont val="Times New Roman"/>
        <family val="1"/>
      </rPr>
      <t>d</t>
    </r>
    <r>
      <rPr>
        <sz val="10"/>
        <color theme="1"/>
        <rFont val="Times New Roman"/>
        <family val="1"/>
      </rPr>
      <t xml:space="preserve">  We assume 25,995 existing CI engines, 446 local utilities, and 70 curtailment service providers have to complete annual reports. This estimate is based on EPA ICR Number 1975.07 and the January 2013 Final Rule amendment. </t>
    </r>
  </si>
  <si>
    <r>
      <rPr>
        <vertAlign val="superscript"/>
        <sz val="10"/>
        <color theme="1"/>
        <rFont val="Times New Roman"/>
        <family val="1"/>
      </rPr>
      <t>c</t>
    </r>
    <r>
      <rPr>
        <sz val="10"/>
        <color theme="1"/>
        <rFont val="Times New Roman"/>
        <family val="1"/>
      </rPr>
      <t xml:space="preserve">  We assume 127,022 existing sources have to write semiannual reports. This estimate includes 16,025 existing major source stationary RICE (&gt;500 hp), 4,710 existing area sources, 60,654 existing CI engines, and 45,633 existing SI engines. </t>
    </r>
  </si>
  <si>
    <r>
      <rPr>
        <vertAlign val="superscript"/>
        <sz val="10"/>
        <rFont val="Times New Roman"/>
        <family val="1"/>
      </rPr>
      <t>b</t>
    </r>
    <r>
      <rPr>
        <sz val="10"/>
        <rFont val="Times New Roman"/>
        <family val="1"/>
      </rPr>
      <t xml:space="preserve">  This ICR uses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r>
  </si>
  <si>
    <r>
      <rPr>
        <vertAlign val="superscript"/>
        <sz val="10"/>
        <rFont val="Times New Roman"/>
        <family val="1"/>
      </rPr>
      <t xml:space="preserve">a </t>
    </r>
    <r>
      <rPr>
        <sz val="10"/>
        <rFont val="Times New Roman"/>
        <family val="1"/>
      </rPr>
      <t xml:space="preserve"> We estimate an average of 153,463 existing respondents and 1,284 new respondents will be subject to the standard per year over the three-year period of this ICR. The number of existing respondents include 16,025 major source stationary RICE (&gt;500 hp), 4,710 area source stationary RICE, 86,649 CI engines, 45,633 SI engines, and 446 utilities.  The number of new respondents includes 769 non-exempt major stationary RICE (&gt;500 hp), 105 exempt major stationary RICE (&gt;500 hp), and 410 area sources. </t>
    </r>
  </si>
  <si>
    <r>
      <t>(A)
Number of New Respondents</t>
    </r>
    <r>
      <rPr>
        <vertAlign val="superscript"/>
        <sz val="10"/>
        <rFont val="Times New Roman"/>
        <family val="1"/>
      </rPr>
      <t>a</t>
    </r>
  </si>
  <si>
    <r>
      <t>(B)
Number of Existing Respondents</t>
    </r>
    <r>
      <rPr>
        <vertAlign val="superscript"/>
        <sz val="10"/>
        <rFont val="Times New Roman"/>
        <family val="1"/>
      </rPr>
      <t>b</t>
    </r>
  </si>
  <si>
    <r>
      <t>(C)
Number of Existing  Respondents that keep records but do not submit reports</t>
    </r>
    <r>
      <rPr>
        <vertAlign val="superscript"/>
        <sz val="10"/>
        <rFont val="Times New Roman"/>
        <family val="1"/>
      </rPr>
      <t>c</t>
    </r>
  </si>
  <si>
    <r>
      <rPr>
        <vertAlign val="superscript"/>
        <sz val="9"/>
        <rFont val="Times New Roman"/>
        <family val="1"/>
      </rPr>
      <t>b</t>
    </r>
    <r>
      <rPr>
        <sz val="9"/>
        <rFont val="Times New Roman"/>
        <family val="1"/>
      </rPr>
      <t xml:space="preserve">  Existing respondents include 16,025 major source stationary RICE (&gt;500 hp), 4,710 area source stationary RICE, 86,649 CI engines, 45,633 SI engines, and 446 utilities (153,463 respondents total).  </t>
    </r>
  </si>
  <si>
    <r>
      <rPr>
        <vertAlign val="superscript"/>
        <sz val="9"/>
        <rFont val="Times New Roman"/>
        <family val="1"/>
      </rPr>
      <t>c</t>
    </r>
    <r>
      <rPr>
        <sz val="9"/>
        <rFont val="Times New Roman"/>
        <family val="1"/>
      </rPr>
      <t xml:space="preserve">  Existing respondents that do not submit reports include 738,896 CI engines and 16,534 SI engines (738,896 + 16,534 = 755,430). </t>
    </r>
  </si>
  <si>
    <r>
      <rPr>
        <vertAlign val="superscript"/>
        <sz val="9"/>
        <rFont val="Times New Roman"/>
        <family val="1"/>
      </rPr>
      <t>a</t>
    </r>
    <r>
      <rPr>
        <sz val="9"/>
        <rFont val="Times New Roman"/>
        <family val="1"/>
      </rPr>
      <t xml:space="preserve">  New respondents include 769 major source non-exempt stationary RICE (&gt;500 hp), 105 major source exempt stationary RICE (&gt;500 hp), and 410 area source stationary RICE (1,284 respondents total). The 105 major source exempt stationary RICE submit an initial notification but do not submit reports. </t>
    </r>
  </si>
  <si>
    <r>
      <rPr>
        <vertAlign val="superscript"/>
        <sz val="10"/>
        <rFont val="Times New Roman"/>
        <family val="1"/>
      </rPr>
      <t xml:space="preserve">a </t>
    </r>
    <r>
      <rPr>
        <sz val="10"/>
        <rFont val="Times New Roman"/>
        <family val="1"/>
      </rPr>
      <t xml:space="preserve"> We estimate there 769 (non-exempt) new major source stationary RICE greater than 500 hp and 410 new area source stationary RICE per year.  We assume all non-exempt new sources will incur capital costs.  (769 + 410 = 1,179 sources) There are an additional 105 exempt new major stationary RICE sources. </t>
    </r>
  </si>
  <si>
    <r>
      <rPr>
        <vertAlign val="superscript"/>
        <sz val="10"/>
        <rFont val="Times New Roman"/>
        <family val="1"/>
      </rPr>
      <t>b</t>
    </r>
    <r>
      <rPr>
        <sz val="10"/>
        <rFont val="Times New Roman"/>
        <family val="1"/>
      </rPr>
      <t xml:space="preserve">  We estimate an average of 16,025 existing major source stationary RICE greater than 500 hp and 4,710 existing area source stationary RICE per year will have O&amp;M costs over the three-year period of this ICR. (16,025 + 4,710 = 20,735 sources)</t>
    </r>
  </si>
  <si>
    <r>
      <rPr>
        <vertAlign val="superscript"/>
        <sz val="10"/>
        <rFont val="Times New Roman"/>
        <family val="1"/>
      </rPr>
      <t xml:space="preserve">c </t>
    </r>
    <r>
      <rPr>
        <sz val="10"/>
        <rFont val="Times New Roman"/>
        <family val="1"/>
      </rPr>
      <t xml:space="preserve"> Each facility can purchase one portable CO monitor and use it for several stationary RICE.</t>
    </r>
  </si>
  <si>
    <r>
      <rPr>
        <vertAlign val="superscript"/>
        <sz val="10"/>
        <rFont val="Times New Roman"/>
        <family val="1"/>
      </rPr>
      <t>d</t>
    </r>
    <r>
      <rPr>
        <sz val="10"/>
        <rFont val="Times New Roman"/>
        <family val="1"/>
      </rPr>
      <t xml:space="preserve">  CPMS – continuous parameter monitoring system for temperature monitoring and monthly pressure drop measurement.</t>
    </r>
  </si>
  <si>
    <r>
      <rPr>
        <vertAlign val="superscript"/>
        <sz val="10"/>
        <rFont val="Times New Roman"/>
        <family val="1"/>
      </rPr>
      <t>f</t>
    </r>
    <r>
      <rPr>
        <sz val="10"/>
        <rFont val="Times New Roman"/>
        <family val="1"/>
      </rPr>
      <t xml:space="preserve">  Totals have been rounded to 3 significant figures. Figures may not add exactly due to rounding.</t>
    </r>
  </si>
  <si>
    <r>
      <rPr>
        <vertAlign val="superscript"/>
        <sz val="10"/>
        <rFont val="Times New Roman"/>
        <family val="1"/>
      </rPr>
      <t>e</t>
    </r>
    <r>
      <rPr>
        <sz val="10"/>
        <rFont val="Times New Roman"/>
        <family val="1"/>
      </rPr>
      <t xml:space="preserve">  We assume that only 366 of the 769 new (non-exempt) major source stationary RICE (&gt;500 hp) have to additionally purchase large CPMS.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</si>
</sst>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00"/>
    <numFmt numFmtId="165" formatCode="#,##0.0"/>
    <numFmt numFmtId="166" formatCode="&quot;$&quot;#,##0"/>
    <numFmt numFmtId="167" formatCode="0.0"/>
  </numFmts>
  <fonts count="25" x14ac:knownFonts="1">
    <font>
      <sz val="10"/>
      <color theme="1"/>
      <name val="Arial"/>
      <family val="2"/>
    </font>
    <font>
      <sz val="10"/>
      <color theme="1"/>
      <name val="Times New Roman"/>
      <family val="1"/>
    </font>
    <font>
      <b/>
      <sz val="12"/>
      <color theme="1"/>
      <name val="Times New Roman"/>
      <family val="1"/>
    </font>
    <font>
      <sz val="10"/>
      <name val="Times New Roman"/>
      <family val="1"/>
    </font>
    <font>
      <b/>
      <sz val="10"/>
      <color theme="1"/>
      <name val="Times New Roman"/>
      <family val="1"/>
    </font>
    <font>
      <b/>
      <sz val="10"/>
      <name val="Times New Roman"/>
      <family val="1"/>
    </font>
    <font>
      <b/>
      <vertAlign val="superscript"/>
      <sz val="10"/>
      <name val="Times New Roman"/>
      <family val="1"/>
    </font>
    <font>
      <sz val="10"/>
      <color indexed="8"/>
      <name val="Times New Roman"/>
      <family val="1"/>
    </font>
    <font>
      <vertAlign val="superscript"/>
      <sz val="10"/>
      <name val="Times New Roman"/>
      <family val="1"/>
    </font>
    <font>
      <sz val="9"/>
      <color indexed="81"/>
      <name val="Tahoma"/>
      <family val="2"/>
    </font>
    <font>
      <b/>
      <sz val="9"/>
      <color indexed="81"/>
      <name val="Tahoma"/>
      <family val="2"/>
    </font>
    <font>
      <sz val="10"/>
      <name val="Arial"/>
      <family val="2"/>
    </font>
    <font>
      <b/>
      <sz val="12"/>
      <name val="Times New Roman"/>
      <family val="1"/>
    </font>
    <font>
      <u/>
      <sz val="10"/>
      <name val="Times New Roman"/>
      <family val="1"/>
    </font>
    <font>
      <b/>
      <i/>
      <sz val="10"/>
      <name val="Times New Roman"/>
      <family val="1"/>
    </font>
    <font>
      <b/>
      <vertAlign val="superscript"/>
      <sz val="10"/>
      <color theme="1"/>
      <name val="Times New Roman"/>
      <family val="1"/>
    </font>
    <font>
      <sz val="10"/>
      <color rgb="FF000000"/>
      <name val="Times New Roman"/>
      <family val="1"/>
    </font>
    <font>
      <vertAlign val="superscript"/>
      <sz val="10"/>
      <color rgb="FF000000"/>
      <name val="Times New Roman"/>
      <family val="1"/>
    </font>
    <font>
      <vertAlign val="superscript"/>
      <sz val="10"/>
      <color theme="1"/>
      <name val="Times New Roman"/>
      <family val="1"/>
    </font>
    <font>
      <b/>
      <sz val="10"/>
      <color rgb="FF000000"/>
      <name val="Times New Roman"/>
      <family val="1"/>
    </font>
    <font>
      <sz val="10"/>
      <color rgb="FFFF0000"/>
      <name val="Times New Roman"/>
      <family val="1"/>
    </font>
    <font>
      <sz val="9"/>
      <color rgb="FFFF0000"/>
      <name val="Times New Roman"/>
      <family val="1"/>
    </font>
    <font>
      <b/>
      <sz val="10"/>
      <color rgb="FFFF0000"/>
      <name val="Times New Roman"/>
      <family val="1"/>
    </font>
    <font>
      <sz val="9"/>
      <name val="Times New Roman"/>
      <family val="1"/>
    </font>
    <font>
      <vertAlign val="superscript"/>
      <sz val="9"/>
      <name val="Times New Roman"/>
      <family val="1"/>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3">
    <xf numFmtId="0" fontId="0" fillId="0" borderId="0" xfId="0"/>
    <xf numFmtId="0" fontId="1" fillId="0" borderId="0" xfId="0" applyFont="1" applyFill="1"/>
    <xf numFmtId="0" fontId="3" fillId="0" borderId="0" xfId="0" applyNumberFormat="1" applyFont="1" applyFill="1" applyAlignment="1"/>
    <xf numFmtId="0" fontId="5" fillId="0" borderId="1" xfId="0" applyNumberFormat="1" applyFont="1" applyFill="1" applyBorder="1" applyAlignment="1">
      <alignment horizontal="center"/>
    </xf>
    <xf numFmtId="0" fontId="3" fillId="0" borderId="0" xfId="0" applyNumberFormat="1" applyFont="1" applyAlignment="1"/>
    <xf numFmtId="0" fontId="3" fillId="0" borderId="0" xfId="0" applyFont="1" applyAlignment="1"/>
    <xf numFmtId="0" fontId="3" fillId="0" borderId="0" xfId="0" applyNumberFormat="1" applyFont="1" applyFill="1" applyAlignment="1">
      <alignment wrapText="1"/>
    </xf>
    <xf numFmtId="0" fontId="5" fillId="0" borderId="1" xfId="0" applyNumberFormat="1" applyFont="1" applyFill="1" applyBorder="1" applyAlignment="1">
      <alignment horizontal="center" wrapText="1"/>
    </xf>
    <xf numFmtId="0" fontId="3" fillId="0" borderId="0" xfId="0" applyNumberFormat="1" applyFont="1" applyAlignment="1">
      <alignment wrapText="1"/>
    </xf>
    <xf numFmtId="0" fontId="1" fillId="0" borderId="1" xfId="0" applyFont="1" applyFill="1" applyBorder="1" applyAlignment="1">
      <alignment horizontal="center" vertical="top" wrapText="1"/>
    </xf>
    <xf numFmtId="0" fontId="4" fillId="0" borderId="1" xfId="0" applyFont="1" applyFill="1" applyBorder="1" applyAlignment="1">
      <alignment wrapText="1"/>
    </xf>
    <xf numFmtId="0" fontId="1" fillId="0" borderId="1" xfId="0" applyFont="1" applyFill="1" applyBorder="1" applyAlignment="1">
      <alignment vertical="top" wrapText="1"/>
    </xf>
    <xf numFmtId="0" fontId="3" fillId="0" borderId="0" xfId="0" applyFont="1"/>
    <xf numFmtId="0" fontId="3" fillId="0" borderId="0" xfId="0" applyFont="1" applyFill="1"/>
    <xf numFmtId="4" fontId="5" fillId="0" borderId="1" xfId="0" applyNumberFormat="1" applyFont="1" applyFill="1" applyBorder="1" applyAlignment="1">
      <alignment horizontal="center"/>
    </xf>
    <xf numFmtId="4" fontId="5" fillId="0" borderId="1" xfId="0" applyNumberFormat="1" applyFont="1" applyFill="1" applyBorder="1" applyAlignment="1">
      <alignment horizontal="center" wrapText="1"/>
    </xf>
    <xf numFmtId="4" fontId="3" fillId="0" borderId="0" xfId="0" applyNumberFormat="1" applyFont="1"/>
    <xf numFmtId="4" fontId="3" fillId="0" borderId="0" xfId="0" applyNumberFormat="1" applyFont="1" applyFill="1"/>
    <xf numFmtId="3" fontId="3" fillId="0" borderId="0" xfId="0" applyNumberFormat="1" applyFont="1" applyFill="1"/>
    <xf numFmtId="0" fontId="2" fillId="0" borderId="0" xfId="0" applyFont="1" applyFill="1" applyAlignment="1"/>
    <xf numFmtId="0" fontId="5" fillId="0" borderId="1" xfId="0" applyNumberFormat="1" applyFont="1" applyFill="1" applyBorder="1" applyAlignment="1">
      <alignment horizontal="center" vertical="center"/>
    </xf>
    <xf numFmtId="0" fontId="7" fillId="0" borderId="0" xfId="0" applyFont="1" applyFill="1" applyBorder="1" applyAlignment="1">
      <alignment horizontal="center"/>
    </xf>
    <xf numFmtId="0" fontId="3" fillId="0" borderId="0" xfId="0" applyNumberFormat="1" applyFont="1" applyFill="1" applyBorder="1" applyAlignment="1"/>
    <xf numFmtId="0" fontId="1" fillId="0" borderId="1" xfId="0" applyFont="1" applyFill="1" applyBorder="1" applyAlignment="1">
      <alignment horizontal="right" vertical="top" wrapText="1"/>
    </xf>
    <xf numFmtId="0" fontId="1" fillId="0" borderId="1" xfId="0" applyFont="1" applyFill="1" applyBorder="1" applyAlignment="1">
      <alignment wrapText="1"/>
    </xf>
    <xf numFmtId="0" fontId="5" fillId="0" borderId="1" xfId="0" applyNumberFormat="1" applyFont="1" applyFill="1" applyBorder="1" applyAlignment="1">
      <alignment horizontal="center" wrapText="1"/>
    </xf>
    <xf numFmtId="0" fontId="3" fillId="0" borderId="1" xfId="0" applyFont="1" applyBorder="1" applyAlignment="1">
      <alignment horizontal="center" vertical="top" wrapText="1"/>
    </xf>
    <xf numFmtId="0" fontId="1" fillId="0" borderId="0" xfId="0" applyFont="1" applyAlignment="1">
      <alignment horizontal="right"/>
    </xf>
    <xf numFmtId="3" fontId="3" fillId="0" borderId="5" xfId="0" applyNumberFormat="1" applyFont="1" applyFill="1" applyBorder="1" applyAlignment="1">
      <alignment horizontal="right" vertical="top" wrapText="1"/>
    </xf>
    <xf numFmtId="0" fontId="1" fillId="0" borderId="0" xfId="0" quotePrefix="1" applyFont="1" applyAlignment="1">
      <alignment horizontal="left"/>
    </xf>
    <xf numFmtId="0" fontId="3" fillId="0" borderId="1" xfId="0" applyFont="1" applyBorder="1"/>
    <xf numFmtId="0" fontId="3" fillId="0" borderId="1" xfId="0" applyFont="1" applyBorder="1" applyAlignment="1"/>
    <xf numFmtId="164" fontId="3" fillId="0" borderId="1" xfId="0" applyNumberFormat="1" applyFont="1" applyBorder="1" applyAlignment="1"/>
    <xf numFmtId="0" fontId="3" fillId="0" borderId="1" xfId="0" applyFont="1" applyBorder="1" applyAlignment="1">
      <alignment horizontal="center"/>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5" fillId="0" borderId="1" xfId="0" applyFont="1" applyFill="1" applyBorder="1" applyAlignment="1">
      <alignment wrapText="1"/>
    </xf>
    <xf numFmtId="0" fontId="12" fillId="0" borderId="0" xfId="0" applyFont="1" applyFill="1"/>
    <xf numFmtId="0" fontId="5" fillId="0" borderId="0" xfId="0" applyFont="1"/>
    <xf numFmtId="3" fontId="3" fillId="0" borderId="1" xfId="0" applyNumberFormat="1" applyFont="1" applyBorder="1" applyAlignment="1">
      <alignment horizontal="right"/>
    </xf>
    <xf numFmtId="3" fontId="3" fillId="0" borderId="1" xfId="0" quotePrefix="1" applyNumberFormat="1" applyFont="1" applyBorder="1" applyAlignment="1">
      <alignment horizontal="right"/>
    </xf>
    <xf numFmtId="0" fontId="5" fillId="0" borderId="6" xfId="0" applyFont="1" applyBorder="1"/>
    <xf numFmtId="0" fontId="3" fillId="0" borderId="7" xfId="0" applyFont="1" applyBorder="1"/>
    <xf numFmtId="3" fontId="3" fillId="0" borderId="7" xfId="0" applyNumberFormat="1" applyFont="1" applyBorder="1"/>
    <xf numFmtId="0" fontId="13" fillId="0" borderId="7" xfId="0" applyFont="1" applyBorder="1" applyAlignment="1">
      <alignment horizontal="center"/>
    </xf>
    <xf numFmtId="0" fontId="13" fillId="0" borderId="8" xfId="0" applyFont="1" applyBorder="1" applyAlignment="1">
      <alignment horizontal="center"/>
    </xf>
    <xf numFmtId="0" fontId="3" fillId="0" borderId="5" xfId="0" applyFont="1" applyBorder="1"/>
    <xf numFmtId="0" fontId="3" fillId="0" borderId="0" xfId="0" applyFont="1" applyBorder="1"/>
    <xf numFmtId="3" fontId="3" fillId="0" borderId="0" xfId="0" applyNumberFormat="1" applyFont="1" applyBorder="1"/>
    <xf numFmtId="166" fontId="3" fillId="0" borderId="0" xfId="0" applyNumberFormat="1" applyFont="1" applyBorder="1"/>
    <xf numFmtId="166" fontId="3" fillId="0" borderId="9" xfId="0" quotePrefix="1" applyNumberFormat="1" applyFont="1" applyBorder="1"/>
    <xf numFmtId="166" fontId="3" fillId="0" borderId="0" xfId="0" quotePrefix="1" applyNumberFormat="1" applyFont="1" applyBorder="1"/>
    <xf numFmtId="166" fontId="3" fillId="0" borderId="9" xfId="0" applyNumberFormat="1" applyFont="1" applyBorder="1"/>
    <xf numFmtId="0" fontId="3" fillId="0" borderId="10" xfId="0" applyFont="1" applyBorder="1"/>
    <xf numFmtId="0" fontId="3" fillId="0" borderId="11" xfId="0" applyFont="1" applyBorder="1"/>
    <xf numFmtId="3" fontId="3" fillId="0" borderId="11" xfId="0" applyNumberFormat="1" applyFont="1" applyBorder="1"/>
    <xf numFmtId="0" fontId="3" fillId="0" borderId="9" xfId="0" applyFont="1" applyBorder="1"/>
    <xf numFmtId="0" fontId="13" fillId="0" borderId="0" xfId="0" applyFont="1" applyAlignment="1">
      <alignment horizontal="center"/>
    </xf>
    <xf numFmtId="0" fontId="3" fillId="2" borderId="1" xfId="0" applyFont="1" applyFill="1" applyBorder="1" applyAlignment="1">
      <alignment horizontal="center"/>
    </xf>
    <xf numFmtId="3" fontId="3" fillId="2" borderId="1" xfId="0" applyNumberFormat="1" applyFont="1" applyFill="1" applyBorder="1" applyAlignment="1">
      <alignment horizontal="right"/>
    </xf>
    <xf numFmtId="0" fontId="3" fillId="2" borderId="1" xfId="0" applyFont="1" applyFill="1" applyBorder="1"/>
    <xf numFmtId="166" fontId="3" fillId="0" borderId="11" xfId="0" applyNumberFormat="1" applyFont="1" applyBorder="1"/>
    <xf numFmtId="166" fontId="3" fillId="0" borderId="12" xfId="0" applyNumberFormat="1" applyFont="1" applyBorder="1"/>
    <xf numFmtId="0" fontId="3" fillId="0" borderId="7" xfId="0" applyFont="1" applyBorder="1" applyAlignment="1"/>
    <xf numFmtId="0" fontId="3" fillId="0" borderId="8" xfId="0" applyFont="1" applyBorder="1" applyAlignment="1"/>
    <xf numFmtId="0" fontId="3" fillId="0" borderId="0" xfId="0" applyFont="1" applyBorder="1" applyAlignment="1">
      <alignment horizontal="center"/>
    </xf>
    <xf numFmtId="0" fontId="3" fillId="0" borderId="12" xfId="0" applyFont="1" applyBorder="1"/>
    <xf numFmtId="6" fontId="3" fillId="0" borderId="0" xfId="0" applyNumberFormat="1" applyFont="1"/>
    <xf numFmtId="0" fontId="3" fillId="0" borderId="0" xfId="0" quotePrefix="1" applyFont="1"/>
    <xf numFmtId="2" fontId="3" fillId="0" borderId="1" xfId="0" applyNumberFormat="1" applyFont="1" applyBorder="1" applyAlignment="1">
      <alignment horizontal="center"/>
    </xf>
    <xf numFmtId="4" fontId="3" fillId="0" borderId="1" xfId="0" applyNumberFormat="1" applyFont="1" applyBorder="1" applyAlignment="1">
      <alignment horizontal="center"/>
    </xf>
    <xf numFmtId="3" fontId="3" fillId="0" borderId="1" xfId="0" applyNumberFormat="1" applyFont="1" applyBorder="1" applyAlignment="1">
      <alignment horizontal="center"/>
    </xf>
    <xf numFmtId="165" fontId="3" fillId="0" borderId="1" xfId="0" applyNumberFormat="1" applyFont="1" applyBorder="1" applyAlignment="1">
      <alignment horizontal="center"/>
    </xf>
    <xf numFmtId="1" fontId="3" fillId="0" borderId="1" xfId="0" applyNumberFormat="1" applyFont="1" applyBorder="1" applyAlignment="1">
      <alignment horizontal="center"/>
    </xf>
    <xf numFmtId="3" fontId="3" fillId="0" borderId="1" xfId="0" applyNumberFormat="1" applyFont="1" applyFill="1" applyBorder="1" applyAlignment="1">
      <alignment horizontal="center"/>
    </xf>
    <xf numFmtId="3" fontId="1" fillId="0" borderId="0" xfId="0" applyNumberFormat="1" applyFont="1" applyFill="1"/>
    <xf numFmtId="0" fontId="3" fillId="0" borderId="1" xfId="0" applyFont="1" applyBorder="1" applyAlignment="1">
      <alignment wrapText="1"/>
    </xf>
    <xf numFmtId="0" fontId="3" fillId="0" borderId="1" xfId="0" applyFont="1" applyFill="1" applyBorder="1" applyAlignment="1">
      <alignment horizontal="center" wrapText="1"/>
    </xf>
    <xf numFmtId="3" fontId="3" fillId="0" borderId="1" xfId="0" applyNumberFormat="1" applyFont="1" applyFill="1" applyBorder="1" applyAlignment="1">
      <alignment horizontal="center" wrapText="1"/>
    </xf>
    <xf numFmtId="0" fontId="3" fillId="0" borderId="1" xfId="0" applyFont="1" applyFill="1" applyBorder="1" applyAlignment="1">
      <alignment horizontal="left" vertical="top" wrapText="1"/>
    </xf>
    <xf numFmtId="166" fontId="5" fillId="0" borderId="12" xfId="0" applyNumberFormat="1" applyFont="1" applyBorder="1"/>
    <xf numFmtId="164" fontId="3" fillId="0" borderId="1" xfId="0" applyNumberFormat="1" applyFont="1" applyFill="1" applyBorder="1" applyAlignment="1">
      <alignment horizontal="right" wrapText="1"/>
    </xf>
    <xf numFmtId="164" fontId="3" fillId="0" borderId="1" xfId="0" applyNumberFormat="1" applyFont="1" applyFill="1" applyBorder="1" applyAlignment="1">
      <alignment horizontal="right" vertical="top" wrapText="1"/>
    </xf>
    <xf numFmtId="166" fontId="4" fillId="0" borderId="1" xfId="0" applyNumberFormat="1" applyFont="1" applyFill="1" applyBorder="1" applyAlignment="1">
      <alignment horizontal="right" wrapText="1"/>
    </xf>
    <xf numFmtId="0" fontId="5" fillId="0" borderId="6" xfId="0" quotePrefix="1" applyFont="1" applyFill="1" applyBorder="1" applyAlignment="1">
      <alignment horizontal="center"/>
    </xf>
    <xf numFmtId="0" fontId="3" fillId="0" borderId="7" xfId="0" applyFont="1" applyFill="1" applyBorder="1"/>
    <xf numFmtId="3" fontId="5" fillId="0" borderId="7" xfId="0" applyNumberFormat="1"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3" fillId="0" borderId="5" xfId="0" applyFont="1" applyFill="1" applyBorder="1"/>
    <xf numFmtId="0" fontId="3" fillId="0" borderId="0" xfId="0" applyFont="1" applyFill="1" applyBorder="1" applyAlignment="1">
      <alignment horizontal="left" indent="2"/>
    </xf>
    <xf numFmtId="3" fontId="3" fillId="0" borderId="0" xfId="0" applyNumberFormat="1" applyFont="1" applyFill="1" applyBorder="1"/>
    <xf numFmtId="0" fontId="3" fillId="0" borderId="0" xfId="0" applyFont="1" applyFill="1" applyBorder="1"/>
    <xf numFmtId="166" fontId="3" fillId="0" borderId="0" xfId="0" applyNumberFormat="1" applyFont="1" applyFill="1" applyBorder="1"/>
    <xf numFmtId="166" fontId="3" fillId="0" borderId="9" xfId="0" applyNumberFormat="1" applyFont="1" applyFill="1" applyBorder="1"/>
    <xf numFmtId="6" fontId="3" fillId="0" borderId="5" xfId="0" applyNumberFormat="1" applyFont="1" applyFill="1" applyBorder="1"/>
    <xf numFmtId="0" fontId="3" fillId="0" borderId="9" xfId="0" applyFont="1" applyFill="1" applyBorder="1"/>
    <xf numFmtId="3" fontId="5" fillId="0" borderId="0" xfId="0" applyNumberFormat="1" applyFont="1" applyFill="1" applyBorder="1"/>
    <xf numFmtId="6" fontId="3" fillId="0" borderId="10" xfId="0" applyNumberFormat="1" applyFont="1" applyFill="1" applyBorder="1"/>
    <xf numFmtId="0" fontId="3" fillId="0" borderId="11" xfId="0" applyFont="1" applyFill="1" applyBorder="1" applyAlignment="1">
      <alignment wrapText="1"/>
    </xf>
    <xf numFmtId="3" fontId="5" fillId="0" borderId="11" xfId="0" applyNumberFormat="1" applyFont="1" applyFill="1" applyBorder="1"/>
    <xf numFmtId="0" fontId="3" fillId="0" borderId="11" xfId="0" applyFont="1" applyFill="1" applyBorder="1"/>
    <xf numFmtId="0" fontId="3" fillId="0" borderId="12" xfId="0" applyFont="1" applyFill="1" applyBorder="1"/>
    <xf numFmtId="6" fontId="3" fillId="0" borderId="2" xfId="0" applyNumberFormat="1" applyFont="1" applyFill="1" applyBorder="1"/>
    <xf numFmtId="0" fontId="3" fillId="0" borderId="3" xfId="0" applyFont="1" applyFill="1" applyBorder="1"/>
    <xf numFmtId="3" fontId="3" fillId="0" borderId="3" xfId="0" applyNumberFormat="1" applyFont="1" applyFill="1" applyBorder="1"/>
    <xf numFmtId="0" fontId="3" fillId="0" borderId="4" xfId="0" applyFont="1" applyFill="1" applyBorder="1"/>
    <xf numFmtId="0" fontId="3" fillId="0" borderId="1" xfId="0" applyFont="1" applyFill="1" applyBorder="1" applyAlignment="1">
      <alignment horizontal="center"/>
    </xf>
    <xf numFmtId="0" fontId="5" fillId="0" borderId="10" xfId="0" applyFont="1" applyFill="1" applyBorder="1"/>
    <xf numFmtId="0" fontId="3" fillId="0" borderId="1" xfId="0" applyFont="1" applyFill="1" applyBorder="1" applyAlignment="1">
      <alignment horizontal="left" wrapText="1" indent="2"/>
    </xf>
    <xf numFmtId="0" fontId="5" fillId="0" borderId="2" xfId="0" applyFont="1" applyFill="1" applyBorder="1"/>
    <xf numFmtId="0" fontId="14" fillId="0" borderId="1" xfId="0" applyFont="1" applyFill="1" applyBorder="1" applyAlignment="1">
      <alignment horizontal="left" vertical="center" wrapText="1"/>
    </xf>
    <xf numFmtId="166" fontId="5" fillId="0" borderId="4" xfId="0" applyNumberFormat="1" applyFont="1" applyBorder="1"/>
    <xf numFmtId="166" fontId="5" fillId="0" borderId="1" xfId="0" applyNumberFormat="1" applyFont="1" applyFill="1" applyBorder="1" applyAlignment="1">
      <alignment horizontal="right" wrapText="1"/>
    </xf>
    <xf numFmtId="166" fontId="14" fillId="0" borderId="1" xfId="0" applyNumberFormat="1" applyFont="1" applyFill="1" applyBorder="1" applyAlignment="1">
      <alignment horizontal="right" wrapText="1"/>
    </xf>
    <xf numFmtId="4" fontId="3" fillId="0" borderId="1" xfId="0" applyNumberFormat="1" applyFont="1" applyBorder="1" applyAlignment="1">
      <alignment horizontal="right"/>
    </xf>
    <xf numFmtId="164" fontId="3" fillId="0" borderId="1" xfId="0" applyNumberFormat="1" applyFont="1" applyBorder="1" applyAlignment="1">
      <alignment horizontal="right"/>
    </xf>
    <xf numFmtId="0" fontId="5" fillId="0" borderId="0" xfId="0" applyFont="1" applyFill="1"/>
    <xf numFmtId="0" fontId="3" fillId="0" borderId="13" xfId="0" applyFont="1" applyBorder="1" applyAlignment="1"/>
    <xf numFmtId="164" fontId="7" fillId="0" borderId="1" xfId="0" applyNumberFormat="1" applyFont="1" applyFill="1" applyBorder="1" applyAlignment="1">
      <alignment horizontal="right"/>
    </xf>
    <xf numFmtId="0" fontId="4" fillId="0" borderId="0" xfId="0" applyFont="1" applyFill="1"/>
    <xf numFmtId="0" fontId="3" fillId="0" borderId="1" xfId="0" applyFont="1" applyBorder="1" applyAlignment="1">
      <alignment horizontal="left" wrapText="1" indent="1"/>
    </xf>
    <xf numFmtId="0" fontId="3" fillId="0" borderId="1" xfId="0" applyFont="1" applyFill="1" applyBorder="1" applyAlignment="1">
      <alignment horizontal="left" wrapText="1" indent="1"/>
    </xf>
    <xf numFmtId="0" fontId="3" fillId="0" borderId="1" xfId="0" applyFont="1" applyBorder="1" applyAlignment="1">
      <alignment horizontal="left" wrapText="1" indent="2"/>
    </xf>
    <xf numFmtId="0" fontId="3" fillId="0" borderId="1" xfId="0" applyFont="1" applyBorder="1" applyAlignment="1">
      <alignment horizontal="left" wrapText="1" indent="3"/>
    </xf>
    <xf numFmtId="0" fontId="3" fillId="0" borderId="1" xfId="0" applyFont="1" applyFill="1" applyBorder="1" applyAlignment="1">
      <alignment horizontal="left" wrapText="1" indent="3"/>
    </xf>
    <xf numFmtId="0" fontId="3" fillId="0" borderId="0" xfId="0" applyFont="1" applyFill="1" applyBorder="1" applyAlignment="1">
      <alignment vertical="top" wrapText="1"/>
    </xf>
    <xf numFmtId="166" fontId="14" fillId="0" borderId="1" xfId="0" applyNumberFormat="1" applyFont="1" applyFill="1" applyBorder="1" applyAlignment="1">
      <alignment horizontal="right" vertical="center" wrapText="1"/>
    </xf>
    <xf numFmtId="0" fontId="3" fillId="0" borderId="8" xfId="0" applyFont="1" applyBorder="1"/>
    <xf numFmtId="0" fontId="16" fillId="0" borderId="1" xfId="0" applyFont="1" applyBorder="1" applyAlignment="1">
      <alignment horizontal="center" vertical="center" wrapText="1"/>
    </xf>
    <xf numFmtId="0" fontId="1" fillId="0" borderId="0" xfId="0" applyFont="1"/>
    <xf numFmtId="0" fontId="1" fillId="0" borderId="1" xfId="0" applyFont="1" applyBorder="1"/>
    <xf numFmtId="6" fontId="1" fillId="0" borderId="1" xfId="0" applyNumberFormat="1" applyFont="1" applyBorder="1"/>
    <xf numFmtId="3" fontId="1" fillId="0" borderId="1" xfId="0" applyNumberFormat="1" applyFont="1" applyBorder="1"/>
    <xf numFmtId="0" fontId="19" fillId="0" borderId="1" xfId="0" applyFont="1" applyBorder="1" applyAlignment="1">
      <alignment vertical="top" wrapText="1"/>
    </xf>
    <xf numFmtId="0" fontId="1"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0" fontId="16" fillId="0" borderId="1" xfId="0" applyFont="1" applyFill="1" applyBorder="1" applyAlignment="1">
      <alignment vertical="top" wrapText="1"/>
    </xf>
    <xf numFmtId="0" fontId="20" fillId="0" borderId="1" xfId="0" applyFont="1" applyBorder="1" applyAlignment="1">
      <alignment vertical="top" wrapText="1"/>
    </xf>
    <xf numFmtId="0" fontId="20" fillId="0" borderId="0" xfId="0" applyFont="1" applyFill="1" applyBorder="1" applyAlignment="1">
      <alignment vertical="top"/>
    </xf>
    <xf numFmtId="6" fontId="1" fillId="0" borderId="0" xfId="0" applyNumberFormat="1" applyFont="1"/>
    <xf numFmtId="167" fontId="3" fillId="0" borderId="0" xfId="0" applyNumberFormat="1" applyFont="1" applyAlignment="1">
      <alignment horizontal="center"/>
    </xf>
    <xf numFmtId="0" fontId="3" fillId="0" borderId="1" xfId="0" applyFont="1" applyFill="1" applyBorder="1" applyAlignment="1">
      <alignment horizontal="left" indent="2"/>
    </xf>
    <xf numFmtId="0" fontId="5" fillId="0" borderId="1" xfId="0" applyNumberFormat="1" applyFont="1" applyFill="1" applyBorder="1" applyAlignment="1">
      <alignment horizontal="center" wrapText="1"/>
    </xf>
    <xf numFmtId="0" fontId="20" fillId="0" borderId="0" xfId="0" applyFont="1"/>
    <xf numFmtId="0" fontId="20" fillId="0" borderId="0" xfId="0" applyFont="1" applyFill="1" applyBorder="1"/>
    <xf numFmtId="0" fontId="20" fillId="0" borderId="7" xfId="0" applyFont="1" applyBorder="1"/>
    <xf numFmtId="0" fontId="20" fillId="0" borderId="0" xfId="0" applyFont="1" applyBorder="1"/>
    <xf numFmtId="3" fontId="20" fillId="0" borderId="0" xfId="0" applyNumberFormat="1" applyFont="1" applyBorder="1"/>
    <xf numFmtId="6" fontId="22" fillId="0" borderId="6" xfId="0" quotePrefix="1" applyNumberFormat="1" applyFont="1" applyBorder="1" applyAlignment="1">
      <alignment horizontal="center"/>
    </xf>
    <xf numFmtId="3" fontId="22" fillId="0" borderId="7" xfId="0" applyNumberFormat="1" applyFont="1" applyBorder="1"/>
    <xf numFmtId="6" fontId="20" fillId="0" borderId="5" xfId="0" applyNumberFormat="1" applyFont="1" applyBorder="1"/>
    <xf numFmtId="0" fontId="20" fillId="0" borderId="0" xfId="0" applyFont="1" applyBorder="1" applyAlignment="1">
      <alignment wrapText="1"/>
    </xf>
    <xf numFmtId="3" fontId="22" fillId="0" borderId="0" xfId="0" applyNumberFormat="1" applyFont="1" applyBorder="1"/>
    <xf numFmtId="6" fontId="20" fillId="0" borderId="10" xfId="0" applyNumberFormat="1" applyFont="1" applyBorder="1"/>
    <xf numFmtId="0" fontId="20" fillId="0" borderId="11" xfId="0" applyFont="1" applyBorder="1"/>
    <xf numFmtId="3" fontId="20" fillId="0" borderId="11" xfId="0" applyNumberFormat="1" applyFont="1" applyBorder="1"/>
    <xf numFmtId="3" fontId="3" fillId="0" borderId="0" xfId="0" applyNumberFormat="1" applyFont="1"/>
    <xf numFmtId="3" fontId="20" fillId="0" borderId="0" xfId="0" applyNumberFormat="1" applyFont="1" applyFill="1" applyBorder="1"/>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1" fillId="0" borderId="0" xfId="0" applyFont="1" applyFill="1" applyBorder="1"/>
    <xf numFmtId="3" fontId="20" fillId="0" borderId="0" xfId="0" quotePrefix="1" applyNumberFormat="1" applyFont="1" applyFill="1" applyBorder="1"/>
    <xf numFmtId="3" fontId="21" fillId="0" borderId="0" xfId="0" applyNumberFormat="1"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1" xfId="0" applyFont="1" applyFill="1" applyBorder="1"/>
    <xf numFmtId="0" fontId="3" fillId="0" borderId="0" xfId="0" applyFont="1" applyAlignment="1">
      <alignment horizontal="left" vertical="top"/>
    </xf>
    <xf numFmtId="0" fontId="3" fillId="0" borderId="0" xfId="0" applyFont="1" applyFill="1" applyAlignment="1">
      <alignment horizontal="left" vertical="top"/>
    </xf>
    <xf numFmtId="0" fontId="5" fillId="0" borderId="2" xfId="0" applyFont="1" applyBorder="1" applyAlignment="1">
      <alignment horizontal="center"/>
    </xf>
    <xf numFmtId="0" fontId="5" fillId="0" borderId="4" xfId="0" applyFont="1" applyBorder="1" applyAlignment="1">
      <alignment horizontal="center"/>
    </xf>
    <xf numFmtId="0" fontId="3" fillId="0" borderId="0" xfId="0" applyFont="1" applyFill="1" applyAlignment="1">
      <alignment horizontal="left" vertical="top" wrapText="1"/>
    </xf>
    <xf numFmtId="2" fontId="3" fillId="0" borderId="0" xfId="0" applyNumberFormat="1" applyFont="1" applyFill="1" applyAlignment="1">
      <alignment horizontal="left" wrapText="1"/>
    </xf>
    <xf numFmtId="0" fontId="5" fillId="0" borderId="1" xfId="0" applyNumberFormat="1" applyFont="1" applyFill="1" applyBorder="1" applyAlignment="1">
      <alignment horizontal="center" wrapText="1"/>
    </xf>
    <xf numFmtId="3" fontId="14" fillId="0" borderId="2"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14" fillId="0" borderId="4" xfId="0" applyNumberFormat="1" applyFont="1" applyFill="1" applyBorder="1" applyAlignment="1">
      <alignment horizontal="center" vertical="center" wrapText="1"/>
    </xf>
    <xf numFmtId="3" fontId="5" fillId="0" borderId="2" xfId="0" applyNumberFormat="1" applyFont="1" applyFill="1" applyBorder="1" applyAlignment="1">
      <alignment horizontal="center" wrapText="1"/>
    </xf>
    <xf numFmtId="3" fontId="5" fillId="0" borderId="3" xfId="0" applyNumberFormat="1" applyFont="1" applyFill="1" applyBorder="1" applyAlignment="1">
      <alignment horizontal="center" wrapText="1"/>
    </xf>
    <xf numFmtId="3" fontId="5" fillId="0" borderId="4"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0" fontId="5" fillId="0" borderId="1" xfId="0" applyNumberFormat="1" applyFont="1" applyFill="1" applyBorder="1" applyAlignment="1">
      <alignment horizontal="left" wrapText="1"/>
    </xf>
    <xf numFmtId="3" fontId="4" fillId="0" borderId="1" xfId="0" applyNumberFormat="1" applyFont="1" applyFill="1" applyBorder="1" applyAlignment="1">
      <alignment horizontal="center"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Alignment="1">
      <alignment horizontal="left" vertical="top"/>
    </xf>
    <xf numFmtId="0" fontId="1" fillId="0" borderId="0" xfId="0" applyFont="1" applyAlignment="1">
      <alignment horizontal="left" vertical="top" wrapText="1"/>
    </xf>
    <xf numFmtId="3" fontId="23" fillId="0" borderId="0" xfId="0" applyNumberFormat="1" applyFont="1" applyFill="1" applyBorder="1" applyAlignment="1">
      <alignment horizontal="left" vertical="top" wrapText="1"/>
    </xf>
    <xf numFmtId="0" fontId="3" fillId="0" borderId="0" xfId="0" applyFont="1" applyAlignment="1">
      <alignment horizontal="left" vertical="center" wrapText="1"/>
    </xf>
    <xf numFmtId="0" fontId="19" fillId="0" borderId="1" xfId="0" applyFont="1" applyBorder="1" applyAlignment="1">
      <alignment horizontal="center"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9" fillId="0" borderId="1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7"/>
  <sheetViews>
    <sheetView tabSelected="1" zoomScaleNormal="100" workbookViewId="0">
      <selection activeCell="M48" sqref="M48"/>
    </sheetView>
  </sheetViews>
  <sheetFormatPr defaultColWidth="9.140625" defaultRowHeight="12.75" x14ac:dyDescent="0.2"/>
  <cols>
    <col min="1" max="1" width="0.7109375" style="12" customWidth="1"/>
    <col min="2" max="2" width="38.85546875" style="12" customWidth="1"/>
    <col min="3" max="3" width="12.7109375" style="12" customWidth="1"/>
    <col min="4" max="4" width="12.42578125" style="12" customWidth="1"/>
    <col min="5" max="5" width="13.85546875" style="12" customWidth="1"/>
    <col min="6" max="6" width="13.140625" style="12" customWidth="1"/>
    <col min="7" max="7" width="10.42578125" style="12" customWidth="1"/>
    <col min="8" max="8" width="13" style="12" customWidth="1"/>
    <col min="9" max="9" width="11.5703125" style="12" customWidth="1"/>
    <col min="10" max="10" width="14.42578125" style="16" bestFit="1" customWidth="1"/>
    <col min="11" max="11" width="1.5703125" style="12" customWidth="1"/>
    <col min="12" max="12" width="11.140625" style="12" customWidth="1"/>
    <col min="13" max="13" width="36.85546875" style="12" customWidth="1"/>
    <col min="14" max="14" width="9.140625" style="12"/>
    <col min="15" max="15" width="20.42578125" style="12" bestFit="1" customWidth="1"/>
    <col min="16" max="17" width="22.28515625" style="12" customWidth="1"/>
    <col min="18" max="18" width="13" style="12" bestFit="1" customWidth="1"/>
    <col min="19" max="19" width="10.5703125" style="12" bestFit="1" customWidth="1"/>
    <col min="20" max="20" width="3.42578125" style="12" customWidth="1"/>
    <col min="21" max="21" width="0" style="12" hidden="1" customWidth="1"/>
    <col min="22" max="22" width="16.42578125" style="12" hidden="1" customWidth="1"/>
    <col min="23" max="23" width="12.42578125" style="12" hidden="1" customWidth="1"/>
    <col min="24" max="25" width="0" style="12" hidden="1" customWidth="1"/>
    <col min="26" max="16384" width="9.140625" style="12"/>
  </cols>
  <sheetData>
    <row r="1" spans="1:24" ht="15.75" x14ac:dyDescent="0.25">
      <c r="A1" s="13"/>
      <c r="B1" s="37" t="s">
        <v>42</v>
      </c>
      <c r="C1" s="13"/>
      <c r="D1" s="13"/>
      <c r="E1" s="13"/>
      <c r="F1" s="13"/>
      <c r="G1" s="13"/>
      <c r="H1" s="13"/>
      <c r="I1" s="13"/>
      <c r="J1" s="17"/>
    </row>
    <row r="2" spans="1:24" x14ac:dyDescent="0.2">
      <c r="A2" s="13"/>
      <c r="B2" s="13"/>
      <c r="C2" s="13"/>
      <c r="D2" s="13"/>
      <c r="E2" s="13"/>
      <c r="F2" s="13"/>
      <c r="G2" s="13"/>
      <c r="H2" s="13"/>
      <c r="I2" s="13"/>
      <c r="J2" s="17"/>
      <c r="L2" s="169" t="s">
        <v>124</v>
      </c>
      <c r="M2" s="170"/>
    </row>
    <row r="3" spans="1:24" s="4" customFormat="1" x14ac:dyDescent="0.2">
      <c r="A3" s="2"/>
      <c r="B3" s="173" t="s">
        <v>0</v>
      </c>
      <c r="C3" s="3" t="s">
        <v>9</v>
      </c>
      <c r="D3" s="3" t="s">
        <v>10</v>
      </c>
      <c r="E3" s="3" t="s">
        <v>11</v>
      </c>
      <c r="F3" s="3" t="s">
        <v>12</v>
      </c>
      <c r="G3" s="3" t="s">
        <v>13</v>
      </c>
      <c r="H3" s="3" t="s">
        <v>14</v>
      </c>
      <c r="I3" s="3" t="s">
        <v>15</v>
      </c>
      <c r="J3" s="14" t="s">
        <v>16</v>
      </c>
      <c r="L3" s="31" t="s">
        <v>121</v>
      </c>
      <c r="M3" s="32">
        <v>120.27</v>
      </c>
    </row>
    <row r="4" spans="1:24" s="8" customFormat="1" ht="63.75" x14ac:dyDescent="0.2">
      <c r="A4" s="6"/>
      <c r="B4" s="173"/>
      <c r="C4" s="25" t="s">
        <v>17</v>
      </c>
      <c r="D4" s="25" t="s">
        <v>18</v>
      </c>
      <c r="E4" s="25" t="s">
        <v>19</v>
      </c>
      <c r="F4" s="143" t="s">
        <v>20</v>
      </c>
      <c r="G4" s="25" t="s">
        <v>21</v>
      </c>
      <c r="H4" s="25" t="s">
        <v>22</v>
      </c>
      <c r="I4" s="25" t="s">
        <v>23</v>
      </c>
      <c r="J4" s="15" t="s">
        <v>185</v>
      </c>
      <c r="L4" s="31" t="s">
        <v>122</v>
      </c>
      <c r="M4" s="32">
        <v>141.06</v>
      </c>
      <c r="U4" s="38" t="s">
        <v>76</v>
      </c>
      <c r="V4" s="12"/>
      <c r="W4" s="12"/>
      <c r="X4" s="12"/>
    </row>
    <row r="5" spans="1:24" x14ac:dyDescent="0.2">
      <c r="B5" s="76" t="s">
        <v>1</v>
      </c>
      <c r="C5" s="33" t="s">
        <v>2</v>
      </c>
      <c r="D5" s="33"/>
      <c r="E5" s="33"/>
      <c r="F5" s="71"/>
      <c r="G5" s="33"/>
      <c r="H5" s="33"/>
      <c r="I5" s="33"/>
      <c r="J5" s="115"/>
      <c r="L5" s="31" t="s">
        <v>123</v>
      </c>
      <c r="M5" s="32">
        <v>58.67</v>
      </c>
      <c r="N5" s="5"/>
      <c r="U5" s="33" t="s">
        <v>31</v>
      </c>
      <c r="V5" s="33" t="s">
        <v>77</v>
      </c>
      <c r="W5" s="30" t="s">
        <v>78</v>
      </c>
      <c r="X5" s="33" t="s">
        <v>47</v>
      </c>
    </row>
    <row r="6" spans="1:24" x14ac:dyDescent="0.2">
      <c r="B6" s="76" t="s">
        <v>4</v>
      </c>
      <c r="C6" s="33" t="s">
        <v>2</v>
      </c>
      <c r="D6" s="33"/>
      <c r="E6" s="33"/>
      <c r="F6" s="71"/>
      <c r="G6" s="33"/>
      <c r="H6" s="33"/>
      <c r="I6" s="33"/>
      <c r="J6" s="115"/>
      <c r="L6" s="5"/>
      <c r="M6" s="5"/>
      <c r="N6" s="5"/>
      <c r="U6" s="33">
        <v>2005</v>
      </c>
      <c r="V6" s="39">
        <v>769</v>
      </c>
      <c r="W6" s="30">
        <v>105</v>
      </c>
      <c r="X6" s="40">
        <f>3230</f>
        <v>3230</v>
      </c>
    </row>
    <row r="7" spans="1:24" x14ac:dyDescent="0.2">
      <c r="B7" s="76" t="s">
        <v>5</v>
      </c>
      <c r="C7" s="33"/>
      <c r="D7" s="33"/>
      <c r="E7" s="33"/>
      <c r="F7" s="71"/>
      <c r="G7" s="33"/>
      <c r="H7" s="33"/>
      <c r="I7" s="33"/>
      <c r="J7" s="115"/>
      <c r="U7" s="33">
        <v>2006</v>
      </c>
      <c r="V7" s="39">
        <v>769</v>
      </c>
      <c r="W7" s="30">
        <v>105</v>
      </c>
      <c r="X7" s="39">
        <f>X6+V7+W7</f>
        <v>4104</v>
      </c>
    </row>
    <row r="8" spans="1:24" x14ac:dyDescent="0.2">
      <c r="B8" s="122" t="s">
        <v>135</v>
      </c>
      <c r="C8" s="107"/>
      <c r="D8" s="107"/>
      <c r="E8" s="107"/>
      <c r="F8" s="74"/>
      <c r="G8" s="33"/>
      <c r="H8" s="33"/>
      <c r="I8" s="33"/>
      <c r="J8" s="115"/>
      <c r="U8" s="33"/>
      <c r="V8" s="39"/>
      <c r="W8" s="30"/>
      <c r="X8" s="39"/>
    </row>
    <row r="9" spans="1:24" x14ac:dyDescent="0.2">
      <c r="B9" s="142" t="s">
        <v>114</v>
      </c>
      <c r="C9" s="107">
        <v>4</v>
      </c>
      <c r="D9" s="107">
        <v>1</v>
      </c>
      <c r="E9" s="107">
        <f>C9*D9</f>
        <v>4</v>
      </c>
      <c r="F9" s="74">
        <f>N51</f>
        <v>1284</v>
      </c>
      <c r="G9" s="71">
        <f>E9*F9</f>
        <v>5136</v>
      </c>
      <c r="H9" s="71">
        <f>G9*0.05</f>
        <v>256.8</v>
      </c>
      <c r="I9" s="71">
        <f>G9*0.1</f>
        <v>513.6</v>
      </c>
      <c r="J9" s="116">
        <f>G9*$M$3+H9*$M$4+I9*$M$5</f>
        <v>684063.84</v>
      </c>
      <c r="L9" s="38" t="s">
        <v>49</v>
      </c>
      <c r="U9" s="33">
        <v>2007</v>
      </c>
      <c r="V9" s="39">
        <v>769</v>
      </c>
      <c r="W9" s="30">
        <v>105</v>
      </c>
      <c r="X9" s="39">
        <f>X7+V9+W9</f>
        <v>4978</v>
      </c>
    </row>
    <row r="10" spans="1:24" x14ac:dyDescent="0.2">
      <c r="B10" s="109" t="s">
        <v>115</v>
      </c>
      <c r="C10" s="107">
        <v>1</v>
      </c>
      <c r="D10" s="107">
        <v>1</v>
      </c>
      <c r="E10" s="107">
        <f>C10*D10</f>
        <v>1</v>
      </c>
      <c r="F10" s="74">
        <f>N56</f>
        <v>153463</v>
      </c>
      <c r="G10" s="71">
        <f>E10*F10</f>
        <v>153463</v>
      </c>
      <c r="H10" s="71">
        <f>G10*0.05</f>
        <v>7673.1500000000005</v>
      </c>
      <c r="I10" s="71">
        <f>G10*0.1</f>
        <v>15346.300000000001</v>
      </c>
      <c r="J10" s="116">
        <f>G10*$M$3+H10*$M$4+I10*$M$5</f>
        <v>20439736.969999999</v>
      </c>
      <c r="L10" s="38"/>
      <c r="U10" s="33"/>
      <c r="V10" s="39"/>
      <c r="W10" s="30"/>
      <c r="X10" s="39"/>
    </row>
    <row r="11" spans="1:24" ht="15.75" x14ac:dyDescent="0.2">
      <c r="B11" s="122" t="s">
        <v>136</v>
      </c>
      <c r="C11" s="107"/>
      <c r="D11" s="107"/>
      <c r="E11" s="107"/>
      <c r="F11" s="74"/>
      <c r="G11" s="71"/>
      <c r="H11" s="71"/>
      <c r="I11" s="33"/>
      <c r="J11" s="116"/>
      <c r="L11" s="41">
        <v>1975.04</v>
      </c>
      <c r="M11" s="42" t="s">
        <v>73</v>
      </c>
      <c r="N11" s="43">
        <f>V17</f>
        <v>769</v>
      </c>
      <c r="O11" s="42"/>
      <c r="P11" s="44" t="s">
        <v>82</v>
      </c>
      <c r="Q11" s="44" t="s">
        <v>81</v>
      </c>
      <c r="R11" s="44" t="s">
        <v>69</v>
      </c>
      <c r="S11" s="45" t="s">
        <v>70</v>
      </c>
      <c r="U11" s="33">
        <v>2008</v>
      </c>
      <c r="V11" s="39">
        <v>769</v>
      </c>
      <c r="W11" s="30">
        <v>105</v>
      </c>
      <c r="X11" s="39">
        <f>X9+V11+W11</f>
        <v>5852</v>
      </c>
    </row>
    <row r="12" spans="1:24" x14ac:dyDescent="0.2">
      <c r="B12" s="123" t="s">
        <v>143</v>
      </c>
      <c r="C12" s="33">
        <v>24</v>
      </c>
      <c r="D12" s="33">
        <v>1</v>
      </c>
      <c r="E12" s="33">
        <f>C12*D12</f>
        <v>24</v>
      </c>
      <c r="F12" s="71">
        <f>86</f>
        <v>86</v>
      </c>
      <c r="G12" s="71">
        <f>E12*F12</f>
        <v>2064</v>
      </c>
      <c r="H12" s="71">
        <f>G12*0.05</f>
        <v>103.2</v>
      </c>
      <c r="I12" s="71">
        <f>G12*0.1</f>
        <v>206.4</v>
      </c>
      <c r="J12" s="116">
        <f>G12*$M$3+H12*$M$4+I12*$M$5</f>
        <v>274904.16000000003</v>
      </c>
      <c r="L12" s="46"/>
      <c r="M12" s="47" t="s">
        <v>74</v>
      </c>
      <c r="N12" s="48">
        <f>W17</f>
        <v>105</v>
      </c>
      <c r="O12" s="47"/>
      <c r="P12" s="47" t="s">
        <v>83</v>
      </c>
      <c r="Q12" s="48">
        <v>682</v>
      </c>
      <c r="R12" s="49">
        <v>583</v>
      </c>
      <c r="S12" s="50" t="s">
        <v>66</v>
      </c>
      <c r="U12" s="33">
        <v>2009</v>
      </c>
      <c r="V12" s="39">
        <v>769</v>
      </c>
      <c r="W12" s="30">
        <v>105</v>
      </c>
      <c r="X12" s="39">
        <f t="shared" ref="X12:X18" si="0">X11+V12+W12</f>
        <v>6726</v>
      </c>
    </row>
    <row r="13" spans="1:24" x14ac:dyDescent="0.2">
      <c r="B13" s="123" t="s">
        <v>144</v>
      </c>
      <c r="C13" s="33">
        <v>8</v>
      </c>
      <c r="D13" s="33">
        <v>1</v>
      </c>
      <c r="E13" s="33">
        <f>C13*D13</f>
        <v>8</v>
      </c>
      <c r="F13" s="71">
        <v>1</v>
      </c>
      <c r="G13" s="71">
        <f>E13*F13</f>
        <v>8</v>
      </c>
      <c r="H13" s="72">
        <f>G13*0.05</f>
        <v>0.4</v>
      </c>
      <c r="I13" s="72">
        <f>G13*0.1</f>
        <v>0.8</v>
      </c>
      <c r="J13" s="116">
        <f>G13*$M$3+H13*$M$4+I13*$M$5</f>
        <v>1065.52</v>
      </c>
      <c r="L13" s="46"/>
      <c r="M13" s="47"/>
      <c r="N13" s="48"/>
      <c r="O13" s="47"/>
      <c r="P13" s="47" t="s">
        <v>83</v>
      </c>
      <c r="Q13" s="48">
        <v>3054</v>
      </c>
      <c r="R13" s="51" t="s">
        <v>66</v>
      </c>
      <c r="S13" s="52">
        <v>1873</v>
      </c>
      <c r="U13" s="33">
        <v>2010</v>
      </c>
      <c r="V13" s="39">
        <v>769</v>
      </c>
      <c r="W13" s="30">
        <v>105</v>
      </c>
      <c r="X13" s="39">
        <f t="shared" si="0"/>
        <v>7600</v>
      </c>
    </row>
    <row r="14" spans="1:24" ht="25.5" x14ac:dyDescent="0.2">
      <c r="B14" s="123" t="s">
        <v>145</v>
      </c>
      <c r="C14" s="33">
        <v>24</v>
      </c>
      <c r="D14" s="33">
        <v>4</v>
      </c>
      <c r="E14" s="33">
        <f>C14*D14</f>
        <v>96</v>
      </c>
      <c r="F14" s="71">
        <f>1605</f>
        <v>1605</v>
      </c>
      <c r="G14" s="71">
        <f t="shared" ref="G14:G15" si="1">E14*F14</f>
        <v>154080</v>
      </c>
      <c r="H14" s="71">
        <f t="shared" ref="H14:H15" si="2">G14*0.05</f>
        <v>7704</v>
      </c>
      <c r="I14" s="71">
        <f t="shared" ref="I14:I15" si="3">G14*0.1</f>
        <v>15408</v>
      </c>
      <c r="J14" s="116">
        <f t="shared" ref="J14:J15" si="4">G14*$M$3+H14*$M$4+I14*$M$5</f>
        <v>20521915.199999996</v>
      </c>
      <c r="L14" s="46"/>
      <c r="M14" s="47"/>
      <c r="N14" s="48"/>
      <c r="O14" s="47"/>
      <c r="P14" s="47" t="s">
        <v>79</v>
      </c>
      <c r="Q14" s="48">
        <f>N11</f>
        <v>769</v>
      </c>
      <c r="R14" s="49">
        <v>1708</v>
      </c>
      <c r="S14" s="52"/>
      <c r="U14" s="33">
        <v>2011</v>
      </c>
      <c r="V14" s="39">
        <v>769</v>
      </c>
      <c r="W14" s="30">
        <v>105</v>
      </c>
      <c r="X14" s="39">
        <f t="shared" si="0"/>
        <v>8474</v>
      </c>
    </row>
    <row r="15" spans="1:24" ht="25.5" x14ac:dyDescent="0.2">
      <c r="B15" s="123" t="s">
        <v>146</v>
      </c>
      <c r="C15" s="33">
        <v>6</v>
      </c>
      <c r="D15" s="33">
        <v>1</v>
      </c>
      <c r="E15" s="33">
        <f>C15*D15</f>
        <v>6</v>
      </c>
      <c r="F15" s="71">
        <f>5</f>
        <v>5</v>
      </c>
      <c r="G15" s="71">
        <f t="shared" si="1"/>
        <v>30</v>
      </c>
      <c r="H15" s="72">
        <f t="shared" si="2"/>
        <v>1.5</v>
      </c>
      <c r="I15" s="71">
        <f t="shared" si="3"/>
        <v>3</v>
      </c>
      <c r="J15" s="116">
        <f t="shared" si="4"/>
        <v>3995.7</v>
      </c>
      <c r="L15" s="46"/>
      <c r="M15" s="47"/>
      <c r="N15" s="48"/>
      <c r="O15" s="47"/>
      <c r="P15" s="47" t="s">
        <v>80</v>
      </c>
      <c r="Q15" s="48">
        <v>366</v>
      </c>
      <c r="R15" s="49">
        <v>421</v>
      </c>
      <c r="S15" s="52"/>
      <c r="U15" s="33">
        <v>2012</v>
      </c>
      <c r="V15" s="39">
        <v>769</v>
      </c>
      <c r="W15" s="30">
        <v>105</v>
      </c>
      <c r="X15" s="39">
        <f t="shared" si="0"/>
        <v>9348</v>
      </c>
    </row>
    <row r="16" spans="1:24" x14ac:dyDescent="0.2">
      <c r="B16" s="123" t="s">
        <v>147</v>
      </c>
      <c r="C16" s="33">
        <v>24</v>
      </c>
      <c r="D16" s="33">
        <v>2</v>
      </c>
      <c r="E16" s="33">
        <f>C16*D16</f>
        <v>48</v>
      </c>
      <c r="F16" s="74">
        <f>(N17+N20)+(769+1440)</f>
        <v>4869</v>
      </c>
      <c r="G16" s="71">
        <f>E16*F16</f>
        <v>233712</v>
      </c>
      <c r="H16" s="71">
        <f>G16*0.05</f>
        <v>11685.6</v>
      </c>
      <c r="I16" s="71">
        <f>G16*0.1</f>
        <v>23371.200000000001</v>
      </c>
      <c r="J16" s="116">
        <f>G16*$M$3+H16*$M$4+I16*$M$5</f>
        <v>31128101.280000001</v>
      </c>
      <c r="L16" s="53"/>
      <c r="M16" s="54" t="s">
        <v>75</v>
      </c>
      <c r="N16" s="55">
        <f>X17</f>
        <v>11096</v>
      </c>
      <c r="O16" s="54"/>
      <c r="P16" s="47"/>
      <c r="Q16" s="47"/>
      <c r="R16" s="49"/>
      <c r="S16" s="56"/>
      <c r="U16" s="33">
        <v>2013</v>
      </c>
      <c r="V16" s="39">
        <v>769</v>
      </c>
      <c r="W16" s="30">
        <v>105</v>
      </c>
      <c r="X16" s="39">
        <f t="shared" si="0"/>
        <v>10222</v>
      </c>
    </row>
    <row r="17" spans="2:24" x14ac:dyDescent="0.2">
      <c r="B17" s="121" t="s">
        <v>137</v>
      </c>
      <c r="C17" s="33" t="s">
        <v>6</v>
      </c>
      <c r="D17" s="33"/>
      <c r="E17" s="33"/>
      <c r="F17" s="71"/>
      <c r="G17" s="71"/>
      <c r="H17" s="33"/>
      <c r="I17" s="33"/>
      <c r="J17" s="116"/>
      <c r="L17" s="41">
        <v>1975.05</v>
      </c>
      <c r="M17" s="42" t="s">
        <v>101</v>
      </c>
      <c r="N17" s="43">
        <f>V29</f>
        <v>410</v>
      </c>
      <c r="O17" s="42"/>
      <c r="P17" s="44" t="s">
        <v>82</v>
      </c>
      <c r="Q17" s="44" t="s">
        <v>81</v>
      </c>
      <c r="R17" s="44" t="s">
        <v>69</v>
      </c>
      <c r="S17" s="45" t="s">
        <v>70</v>
      </c>
      <c r="T17" s="57"/>
      <c r="U17" s="58">
        <v>2014</v>
      </c>
      <c r="V17" s="59">
        <v>769</v>
      </c>
      <c r="W17" s="60">
        <v>105</v>
      </c>
      <c r="X17" s="59">
        <f t="shared" si="0"/>
        <v>11096</v>
      </c>
    </row>
    <row r="18" spans="2:24" x14ac:dyDescent="0.2">
      <c r="B18" s="121" t="s">
        <v>138</v>
      </c>
      <c r="C18" s="33"/>
      <c r="D18" s="33"/>
      <c r="E18" s="33"/>
      <c r="F18" s="71"/>
      <c r="G18" s="71"/>
      <c r="H18" s="33"/>
      <c r="I18" s="33"/>
      <c r="J18" s="116"/>
      <c r="L18" s="46"/>
      <c r="M18" s="47"/>
      <c r="N18" s="48"/>
      <c r="O18" s="47"/>
      <c r="P18" s="47" t="s">
        <v>71</v>
      </c>
      <c r="Q18" s="47">
        <v>410</v>
      </c>
      <c r="R18" s="49">
        <v>583</v>
      </c>
      <c r="S18" s="52">
        <v>1873</v>
      </c>
      <c r="T18" s="57"/>
      <c r="U18" s="33">
        <v>2015</v>
      </c>
      <c r="V18" s="39">
        <v>769</v>
      </c>
      <c r="W18" s="30">
        <v>105</v>
      </c>
      <c r="X18" s="39">
        <f t="shared" si="0"/>
        <v>11970</v>
      </c>
    </row>
    <row r="19" spans="2:24" ht="28.5" x14ac:dyDescent="0.2">
      <c r="B19" s="123" t="s">
        <v>149</v>
      </c>
      <c r="C19" s="33">
        <v>2</v>
      </c>
      <c r="D19" s="33">
        <v>1</v>
      </c>
      <c r="E19" s="33">
        <f t="shared" ref="E19:E21" si="5">C19*D19</f>
        <v>2</v>
      </c>
      <c r="F19" s="71">
        <f>N41</f>
        <v>1179</v>
      </c>
      <c r="G19" s="71">
        <f t="shared" ref="G19:G21" si="6">E19*F19</f>
        <v>2358</v>
      </c>
      <c r="H19" s="71">
        <f t="shared" ref="H19:H27" si="7">G19*0.05</f>
        <v>117.9</v>
      </c>
      <c r="I19" s="71">
        <f t="shared" ref="I19:I21" si="8">G19*0.1</f>
        <v>235.8</v>
      </c>
      <c r="J19" s="116">
        <f t="shared" ref="J19:J21" si="9">G19*$M$3+H19*$M$4+I19*$M$5</f>
        <v>314062.01999999996</v>
      </c>
      <c r="L19" s="46"/>
      <c r="M19" s="47"/>
      <c r="N19" s="48"/>
      <c r="O19" s="47"/>
      <c r="P19" s="47" t="s">
        <v>72</v>
      </c>
      <c r="Q19" s="47">
        <v>410</v>
      </c>
      <c r="R19" s="49">
        <v>1708</v>
      </c>
      <c r="S19" s="56"/>
      <c r="U19" s="12" t="s">
        <v>97</v>
      </c>
    </row>
    <row r="20" spans="2:24" ht="15.75" x14ac:dyDescent="0.2">
      <c r="B20" s="123" t="s">
        <v>150</v>
      </c>
      <c r="C20" s="33">
        <v>2</v>
      </c>
      <c r="D20" s="33">
        <v>1</v>
      </c>
      <c r="E20" s="33">
        <f t="shared" si="5"/>
        <v>2</v>
      </c>
      <c r="F20" s="71">
        <f>N41</f>
        <v>1179</v>
      </c>
      <c r="G20" s="71">
        <f t="shared" si="6"/>
        <v>2358</v>
      </c>
      <c r="H20" s="71">
        <f t="shared" si="7"/>
        <v>117.9</v>
      </c>
      <c r="I20" s="71">
        <f t="shared" si="8"/>
        <v>235.8</v>
      </c>
      <c r="J20" s="116">
        <f t="shared" si="9"/>
        <v>314062.01999999996</v>
      </c>
      <c r="L20" s="53"/>
      <c r="M20" s="54" t="s">
        <v>67</v>
      </c>
      <c r="N20" s="55">
        <f>W29</f>
        <v>2250</v>
      </c>
      <c r="O20" s="54"/>
      <c r="P20" s="54"/>
      <c r="Q20" s="54"/>
      <c r="R20" s="61"/>
      <c r="S20" s="62"/>
    </row>
    <row r="21" spans="2:24" ht="15.75" x14ac:dyDescent="0.2">
      <c r="B21" s="123" t="s">
        <v>151</v>
      </c>
      <c r="C21" s="33">
        <v>2</v>
      </c>
      <c r="D21" s="33">
        <v>1</v>
      </c>
      <c r="E21" s="33">
        <f t="shared" si="5"/>
        <v>2</v>
      </c>
      <c r="F21" s="71">
        <f>N41</f>
        <v>1179</v>
      </c>
      <c r="G21" s="71">
        <f t="shared" si="6"/>
        <v>2358</v>
      </c>
      <c r="H21" s="71">
        <f t="shared" si="7"/>
        <v>117.9</v>
      </c>
      <c r="I21" s="71">
        <f t="shared" si="8"/>
        <v>235.8</v>
      </c>
      <c r="J21" s="116">
        <f t="shared" si="9"/>
        <v>314062.01999999996</v>
      </c>
      <c r="L21" s="41">
        <v>1975.07</v>
      </c>
      <c r="M21" s="42" t="s">
        <v>56</v>
      </c>
      <c r="N21" s="43">
        <v>0</v>
      </c>
      <c r="O21" s="42" t="s">
        <v>63</v>
      </c>
      <c r="P21" s="63" t="s">
        <v>62</v>
      </c>
      <c r="Q21" s="63"/>
      <c r="R21" s="63"/>
      <c r="S21" s="64"/>
      <c r="T21" s="65"/>
      <c r="U21" s="38" t="s">
        <v>68</v>
      </c>
    </row>
    <row r="22" spans="2:24" ht="15.75" x14ac:dyDescent="0.2">
      <c r="B22" s="123" t="s">
        <v>152</v>
      </c>
      <c r="C22" s="33"/>
      <c r="D22" s="33"/>
      <c r="E22" s="33"/>
      <c r="F22" s="71"/>
      <c r="G22" s="71"/>
      <c r="H22" s="71"/>
      <c r="I22" s="71"/>
      <c r="J22" s="116"/>
      <c r="L22" s="46"/>
      <c r="M22" s="47" t="s">
        <v>59</v>
      </c>
      <c r="N22" s="48">
        <f>N23+N24+N26</f>
        <v>825545</v>
      </c>
      <c r="O22" s="47"/>
      <c r="P22" s="47"/>
      <c r="Q22" s="47"/>
      <c r="R22" s="47"/>
      <c r="S22" s="56"/>
      <c r="T22" s="47"/>
      <c r="U22" s="33" t="s">
        <v>31</v>
      </c>
      <c r="V22" s="33" t="s">
        <v>48</v>
      </c>
      <c r="W22" s="33" t="s">
        <v>47</v>
      </c>
    </row>
    <row r="23" spans="2:24" x14ac:dyDescent="0.2">
      <c r="B23" s="124" t="s">
        <v>132</v>
      </c>
      <c r="C23" s="33">
        <v>2</v>
      </c>
      <c r="D23" s="33">
        <v>4</v>
      </c>
      <c r="E23" s="33">
        <f t="shared" ref="E23:E29" si="10">C23*D23</f>
        <v>8</v>
      </c>
      <c r="F23" s="71">
        <f>1605</f>
        <v>1605</v>
      </c>
      <c r="G23" s="71">
        <f t="shared" ref="G23:G27" si="11">E23*F23</f>
        <v>12840</v>
      </c>
      <c r="H23" s="71">
        <f t="shared" si="7"/>
        <v>642</v>
      </c>
      <c r="I23" s="71">
        <f t="shared" ref="I23:I27" si="12">G23*0.1</f>
        <v>1284</v>
      </c>
      <c r="J23" s="116">
        <f t="shared" ref="J23:J27" si="13">G23*$M$3+H23*$M$4+I23*$M$5</f>
        <v>1710159.6</v>
      </c>
      <c r="L23" s="46"/>
      <c r="M23" s="47" t="s">
        <v>60</v>
      </c>
      <c r="N23" s="48">
        <v>60654</v>
      </c>
      <c r="O23" s="47"/>
      <c r="P23" s="47"/>
      <c r="Q23" s="47"/>
      <c r="R23" s="47"/>
      <c r="S23" s="56"/>
      <c r="T23" s="47"/>
      <c r="U23" s="33">
        <v>2008</v>
      </c>
      <c r="V23" s="39">
        <v>350</v>
      </c>
      <c r="W23" s="40">
        <v>0</v>
      </c>
    </row>
    <row r="24" spans="2:24" x14ac:dyDescent="0.2">
      <c r="B24" s="124" t="s">
        <v>133</v>
      </c>
      <c r="C24" s="33">
        <v>2</v>
      </c>
      <c r="D24" s="33">
        <v>2</v>
      </c>
      <c r="E24" s="33">
        <f t="shared" si="10"/>
        <v>4</v>
      </c>
      <c r="F24" s="74">
        <f>(N17+N20)+(1440+360)</f>
        <v>4460</v>
      </c>
      <c r="G24" s="71">
        <f t="shared" si="11"/>
        <v>17840</v>
      </c>
      <c r="H24" s="71">
        <f t="shared" si="7"/>
        <v>892</v>
      </c>
      <c r="I24" s="71">
        <f t="shared" si="12"/>
        <v>1784</v>
      </c>
      <c r="J24" s="116">
        <f t="shared" si="13"/>
        <v>2376109.5999999996</v>
      </c>
      <c r="L24" s="46"/>
      <c r="M24" s="47" t="s">
        <v>61</v>
      </c>
      <c r="N24" s="48">
        <v>25995</v>
      </c>
      <c r="O24" s="47"/>
      <c r="P24" s="47"/>
      <c r="Q24" s="47"/>
      <c r="R24" s="47"/>
      <c r="S24" s="56"/>
      <c r="T24" s="47"/>
      <c r="U24" s="33">
        <v>2009</v>
      </c>
      <c r="V24" s="39">
        <f>V23+10</f>
        <v>360</v>
      </c>
      <c r="W24" s="39">
        <f t="shared" ref="W24:W30" si="14">V23+W23</f>
        <v>350</v>
      </c>
    </row>
    <row r="25" spans="2:24" x14ac:dyDescent="0.2">
      <c r="B25" s="124" t="s">
        <v>148</v>
      </c>
      <c r="C25" s="33">
        <v>2</v>
      </c>
      <c r="D25" s="33">
        <v>1</v>
      </c>
      <c r="E25" s="33">
        <f t="shared" si="10"/>
        <v>2</v>
      </c>
      <c r="F25" s="71">
        <f>87</f>
        <v>87</v>
      </c>
      <c r="G25" s="71">
        <f t="shared" si="11"/>
        <v>174</v>
      </c>
      <c r="H25" s="72">
        <f t="shared" si="7"/>
        <v>8.7000000000000011</v>
      </c>
      <c r="I25" s="71">
        <f t="shared" si="12"/>
        <v>17.400000000000002</v>
      </c>
      <c r="J25" s="116">
        <f t="shared" si="13"/>
        <v>23175.06</v>
      </c>
      <c r="L25" s="46"/>
      <c r="M25" s="47" t="s">
        <v>52</v>
      </c>
      <c r="N25" s="48">
        <v>19678</v>
      </c>
      <c r="O25" s="47"/>
      <c r="P25" s="47"/>
      <c r="Q25" s="47"/>
      <c r="R25" s="47"/>
      <c r="S25" s="56"/>
      <c r="T25" s="47"/>
      <c r="U25" s="33">
        <v>2010</v>
      </c>
      <c r="V25" s="39">
        <f t="shared" ref="V25:V30" si="15">V24+10</f>
        <v>370</v>
      </c>
      <c r="W25" s="39">
        <f t="shared" si="14"/>
        <v>710</v>
      </c>
    </row>
    <row r="26" spans="2:24" x14ac:dyDescent="0.2">
      <c r="B26" s="123" t="s">
        <v>88</v>
      </c>
      <c r="C26" s="33">
        <v>2</v>
      </c>
      <c r="D26" s="33">
        <v>1</v>
      </c>
      <c r="E26" s="33">
        <f t="shared" si="10"/>
        <v>2</v>
      </c>
      <c r="F26" s="71">
        <f>N53</f>
        <v>105</v>
      </c>
      <c r="G26" s="71">
        <f t="shared" si="11"/>
        <v>210</v>
      </c>
      <c r="H26" s="72">
        <f t="shared" si="7"/>
        <v>10.5</v>
      </c>
      <c r="I26" s="71">
        <f t="shared" si="12"/>
        <v>21</v>
      </c>
      <c r="J26" s="116">
        <f t="shared" si="13"/>
        <v>27969.9</v>
      </c>
      <c r="L26" s="53"/>
      <c r="M26" s="54" t="s">
        <v>53</v>
      </c>
      <c r="N26" s="55">
        <v>738896</v>
      </c>
      <c r="O26" s="54"/>
      <c r="P26" s="54"/>
      <c r="Q26" s="54"/>
      <c r="R26" s="54"/>
      <c r="S26" s="66"/>
      <c r="T26" s="47"/>
      <c r="U26" s="33">
        <v>2011</v>
      </c>
      <c r="V26" s="39">
        <f t="shared" si="15"/>
        <v>380</v>
      </c>
      <c r="W26" s="39">
        <f>V25+W25</f>
        <v>1080</v>
      </c>
    </row>
    <row r="27" spans="2:24" ht="15.75" x14ac:dyDescent="0.2">
      <c r="B27" s="123" t="s">
        <v>153</v>
      </c>
      <c r="C27" s="33">
        <v>2</v>
      </c>
      <c r="D27" s="33">
        <v>1</v>
      </c>
      <c r="E27" s="33">
        <f t="shared" si="10"/>
        <v>2</v>
      </c>
      <c r="F27" s="71">
        <f>N41</f>
        <v>1179</v>
      </c>
      <c r="G27" s="71">
        <f t="shared" si="11"/>
        <v>2358</v>
      </c>
      <c r="H27" s="71">
        <f t="shared" si="7"/>
        <v>117.9</v>
      </c>
      <c r="I27" s="71">
        <f t="shared" si="12"/>
        <v>235.8</v>
      </c>
      <c r="J27" s="116">
        <f t="shared" si="13"/>
        <v>314062.01999999996</v>
      </c>
      <c r="L27" s="41">
        <v>1975.08</v>
      </c>
      <c r="M27" s="42" t="s">
        <v>56</v>
      </c>
      <c r="N27" s="43">
        <v>0</v>
      </c>
      <c r="O27" s="42" t="s">
        <v>64</v>
      </c>
      <c r="P27" s="63" t="s">
        <v>62</v>
      </c>
      <c r="Q27" s="63"/>
      <c r="R27" s="63"/>
      <c r="S27" s="64"/>
      <c r="T27" s="65"/>
      <c r="U27" s="33">
        <v>2012</v>
      </c>
      <c r="V27" s="39">
        <f t="shared" si="15"/>
        <v>390</v>
      </c>
      <c r="W27" s="39">
        <f t="shared" si="14"/>
        <v>1460</v>
      </c>
    </row>
    <row r="28" spans="2:24" ht="15.75" x14ac:dyDescent="0.2">
      <c r="B28" s="123" t="s">
        <v>154</v>
      </c>
      <c r="C28" s="33">
        <v>1</v>
      </c>
      <c r="D28" s="33">
        <v>2</v>
      </c>
      <c r="E28" s="33">
        <f t="shared" si="10"/>
        <v>2</v>
      </c>
      <c r="F28" s="74">
        <f>N62</f>
        <v>127022</v>
      </c>
      <c r="G28" s="71">
        <f>E28*F28</f>
        <v>254044</v>
      </c>
      <c r="H28" s="71">
        <f>G28*0.05</f>
        <v>12702.2</v>
      </c>
      <c r="I28" s="71">
        <f>G28*0.1</f>
        <v>25404.400000000001</v>
      </c>
      <c r="J28" s="116">
        <f>G28*$M$3+H28*$M$4+I28*$M$5</f>
        <v>33836120.359999999</v>
      </c>
      <c r="L28" s="46"/>
      <c r="M28" s="47" t="s">
        <v>57</v>
      </c>
      <c r="N28" s="48">
        <f>N29+N31</f>
        <v>62167</v>
      </c>
      <c r="O28" s="47"/>
      <c r="P28" s="47"/>
      <c r="Q28" s="47"/>
      <c r="R28" s="47"/>
      <c r="S28" s="56"/>
      <c r="T28" s="47"/>
      <c r="U28" s="33">
        <v>2013</v>
      </c>
      <c r="V28" s="39">
        <f t="shared" si="15"/>
        <v>400</v>
      </c>
      <c r="W28" s="39">
        <f t="shared" si="14"/>
        <v>1850</v>
      </c>
    </row>
    <row r="29" spans="2:24" ht="15.75" x14ac:dyDescent="0.2">
      <c r="B29" s="123" t="s">
        <v>155</v>
      </c>
      <c r="C29" s="33">
        <v>1</v>
      </c>
      <c r="D29" s="33">
        <v>1</v>
      </c>
      <c r="E29" s="33">
        <f t="shared" si="10"/>
        <v>1</v>
      </c>
      <c r="F29" s="71">
        <f>N24</f>
        <v>25995</v>
      </c>
      <c r="G29" s="71">
        <f>E29*F29</f>
        <v>25995</v>
      </c>
      <c r="H29" s="71">
        <f>G29*0.05</f>
        <v>1299.75</v>
      </c>
      <c r="I29" s="71">
        <f>G29*0.1</f>
        <v>2599.5</v>
      </c>
      <c r="J29" s="116">
        <f>G29*$M$3+H29*$M$4+I29*$M$5</f>
        <v>3462274.05</v>
      </c>
      <c r="L29" s="46"/>
      <c r="M29" s="47" t="s">
        <v>51</v>
      </c>
      <c r="N29" s="48">
        <v>45633</v>
      </c>
      <c r="O29" s="47"/>
      <c r="P29" s="47"/>
      <c r="Q29" s="47"/>
      <c r="R29" s="47"/>
      <c r="S29" s="56"/>
      <c r="T29" s="47"/>
      <c r="U29" s="58">
        <v>2014</v>
      </c>
      <c r="V29" s="59">
        <f t="shared" si="15"/>
        <v>410</v>
      </c>
      <c r="W29" s="59">
        <f t="shared" si="14"/>
        <v>2250</v>
      </c>
    </row>
    <row r="30" spans="2:24" ht="28.5" x14ac:dyDescent="0.2">
      <c r="B30" s="123" t="s">
        <v>156</v>
      </c>
      <c r="C30" s="33"/>
      <c r="D30" s="33"/>
      <c r="E30" s="33"/>
      <c r="F30" s="71"/>
      <c r="G30" s="71"/>
      <c r="H30" s="70"/>
      <c r="I30" s="70"/>
      <c r="J30" s="116"/>
      <c r="L30" s="46"/>
      <c r="M30" s="47" t="s">
        <v>52</v>
      </c>
      <c r="N30" s="48">
        <v>15299</v>
      </c>
      <c r="O30" s="47"/>
      <c r="P30" s="47"/>
      <c r="Q30" s="47"/>
      <c r="R30" s="47"/>
      <c r="S30" s="56"/>
      <c r="T30" s="47"/>
      <c r="U30" s="33">
        <v>2015</v>
      </c>
      <c r="V30" s="39">
        <f t="shared" si="15"/>
        <v>420</v>
      </c>
      <c r="W30" s="39">
        <f t="shared" si="14"/>
        <v>2660</v>
      </c>
    </row>
    <row r="31" spans="2:24" x14ac:dyDescent="0.2">
      <c r="B31" s="125" t="s">
        <v>110</v>
      </c>
      <c r="C31" s="73">
        <v>16</v>
      </c>
      <c r="D31" s="69">
        <f>1/3</f>
        <v>0.33333333333333331</v>
      </c>
      <c r="E31" s="70">
        <f>C31*D31</f>
        <v>5.333333333333333</v>
      </c>
      <c r="F31" s="71">
        <f>N61</f>
        <v>446</v>
      </c>
      <c r="G31" s="71">
        <f>E31*F31</f>
        <v>2378.6666666666665</v>
      </c>
      <c r="H31" s="71">
        <f>G31*0.05</f>
        <v>118.93333333333334</v>
      </c>
      <c r="I31" s="71">
        <f>G31*0.1</f>
        <v>237.86666666666667</v>
      </c>
      <c r="J31" s="116">
        <f>G31*$M$3+H31*$M$4+I31*$M$5</f>
        <v>316814.61333333328</v>
      </c>
      <c r="L31" s="53" t="s">
        <v>3</v>
      </c>
      <c r="M31" s="54" t="s">
        <v>53</v>
      </c>
      <c r="N31" s="55">
        <v>16534</v>
      </c>
      <c r="O31" s="55"/>
      <c r="P31" s="54"/>
      <c r="Q31" s="54"/>
      <c r="R31" s="54"/>
      <c r="S31" s="66"/>
      <c r="T31" s="47"/>
      <c r="U31" s="12" t="s">
        <v>96</v>
      </c>
    </row>
    <row r="32" spans="2:24" x14ac:dyDescent="0.2">
      <c r="B32" s="125" t="s">
        <v>157</v>
      </c>
      <c r="C32" s="74">
        <v>1000</v>
      </c>
      <c r="D32" s="69">
        <f>D31</f>
        <v>0.33333333333333331</v>
      </c>
      <c r="E32" s="70">
        <f>C32*D32</f>
        <v>333.33333333333331</v>
      </c>
      <c r="F32" s="71">
        <f>N35</f>
        <v>70</v>
      </c>
      <c r="G32" s="71">
        <f>E32*F32</f>
        <v>23333.333333333332</v>
      </c>
      <c r="H32" s="71">
        <f>G32*0.05</f>
        <v>1166.6666666666667</v>
      </c>
      <c r="I32" s="71">
        <f>G32*0.1</f>
        <v>2333.3333333333335</v>
      </c>
      <c r="J32" s="116">
        <f>G32*$M$3+H32*$M$4+I32*$M$5</f>
        <v>3107766.666666666</v>
      </c>
      <c r="L32" s="41">
        <v>1975.09</v>
      </c>
      <c r="M32" s="42" t="s">
        <v>56</v>
      </c>
      <c r="N32" s="43">
        <v>0</v>
      </c>
      <c r="O32" s="42" t="s">
        <v>65</v>
      </c>
      <c r="P32" s="63" t="s">
        <v>62</v>
      </c>
      <c r="Q32" s="63"/>
      <c r="R32" s="63"/>
      <c r="S32" s="64"/>
      <c r="T32" s="65"/>
    </row>
    <row r="33" spans="2:20" ht="13.5" x14ac:dyDescent="0.25">
      <c r="B33" s="111" t="s">
        <v>25</v>
      </c>
      <c r="C33" s="77"/>
      <c r="D33" s="77"/>
      <c r="E33" s="77"/>
      <c r="F33" s="78"/>
      <c r="G33" s="180">
        <f>SUM(G5:I32)</f>
        <v>1028951.0000000001</v>
      </c>
      <c r="H33" s="180"/>
      <c r="I33" s="180"/>
      <c r="J33" s="114">
        <f>SUM(J5:J32)</f>
        <v>119170420.59999998</v>
      </c>
      <c r="L33" s="46"/>
      <c r="M33" s="47" t="s">
        <v>58</v>
      </c>
      <c r="N33" s="48">
        <v>446</v>
      </c>
      <c r="O33" s="47"/>
      <c r="P33" s="47"/>
      <c r="Q33" s="47"/>
      <c r="R33" s="47"/>
      <c r="S33" s="56"/>
      <c r="T33" s="47"/>
    </row>
    <row r="34" spans="2:20" x14ac:dyDescent="0.2">
      <c r="B34" s="76" t="s">
        <v>7</v>
      </c>
      <c r="C34" s="33"/>
      <c r="D34" s="33"/>
      <c r="E34" s="33"/>
      <c r="F34" s="71"/>
      <c r="G34" s="71"/>
      <c r="H34" s="33"/>
      <c r="I34" s="33"/>
      <c r="J34" s="116"/>
      <c r="L34" s="46"/>
      <c r="M34" s="47" t="s">
        <v>54</v>
      </c>
      <c r="N34" s="48">
        <v>446</v>
      </c>
      <c r="O34" s="47"/>
      <c r="P34" s="47"/>
      <c r="Q34" s="47"/>
      <c r="R34" s="47"/>
      <c r="S34" s="56"/>
      <c r="T34" s="47"/>
    </row>
    <row r="35" spans="2:20" x14ac:dyDescent="0.2">
      <c r="B35" s="122" t="s">
        <v>135</v>
      </c>
      <c r="C35" s="107" t="s">
        <v>8</v>
      </c>
      <c r="D35" s="107"/>
      <c r="E35" s="107"/>
      <c r="F35" s="74"/>
      <c r="G35" s="71"/>
      <c r="H35" s="33"/>
      <c r="I35" s="33"/>
      <c r="J35" s="116"/>
      <c r="L35" s="53"/>
      <c r="M35" s="54" t="s">
        <v>55</v>
      </c>
      <c r="N35" s="55">
        <v>70</v>
      </c>
      <c r="O35" s="54"/>
      <c r="P35" s="54"/>
      <c r="Q35" s="54"/>
      <c r="R35" s="54"/>
      <c r="S35" s="66"/>
      <c r="T35" s="47"/>
    </row>
    <row r="36" spans="2:20" ht="15.75" x14ac:dyDescent="0.2">
      <c r="B36" s="122" t="s">
        <v>139</v>
      </c>
      <c r="C36" s="107">
        <v>16</v>
      </c>
      <c r="D36" s="107">
        <v>1</v>
      </c>
      <c r="E36" s="107">
        <f>C36*D36</f>
        <v>16</v>
      </c>
      <c r="F36" s="74">
        <f>N41</f>
        <v>1179</v>
      </c>
      <c r="G36" s="71">
        <f>E36*F36</f>
        <v>18864</v>
      </c>
      <c r="H36" s="71">
        <f>G36*0.05</f>
        <v>943.2</v>
      </c>
      <c r="I36" s="71">
        <f>G36*0.1</f>
        <v>1886.4</v>
      </c>
      <c r="J36" s="116">
        <f>G36*$M$3+H36*$M$4+I36*$M$5</f>
        <v>2512496.1599999997</v>
      </c>
      <c r="L36" s="84" t="s">
        <v>113</v>
      </c>
      <c r="M36" s="85" t="s">
        <v>56</v>
      </c>
      <c r="N36" s="86">
        <f>SUM(N37:N39)</f>
        <v>1284</v>
      </c>
      <c r="O36" s="85" t="s">
        <v>102</v>
      </c>
      <c r="P36" s="87" t="s">
        <v>82</v>
      </c>
      <c r="Q36" s="87" t="s">
        <v>81</v>
      </c>
      <c r="R36" s="87" t="s">
        <v>69</v>
      </c>
      <c r="S36" s="88" t="s">
        <v>70</v>
      </c>
    </row>
    <row r="37" spans="2:20" ht="15.75" x14ac:dyDescent="0.2">
      <c r="B37" s="122" t="s">
        <v>140</v>
      </c>
      <c r="C37" s="107"/>
      <c r="D37" s="107"/>
      <c r="E37" s="107"/>
      <c r="F37" s="74"/>
      <c r="G37" s="71"/>
      <c r="H37" s="33"/>
      <c r="I37" s="33"/>
      <c r="J37" s="116"/>
      <c r="L37" s="89"/>
      <c r="M37" s="90" t="s">
        <v>103</v>
      </c>
      <c r="N37" s="91">
        <v>769</v>
      </c>
      <c r="O37" s="91"/>
      <c r="P37" s="92" t="s">
        <v>83</v>
      </c>
      <c r="Q37" s="91">
        <f>N41</f>
        <v>1179</v>
      </c>
      <c r="R37" s="93">
        <f>583*Q37</f>
        <v>687357</v>
      </c>
      <c r="S37" s="94">
        <f>1873*(N43+N44)</f>
        <v>32211854</v>
      </c>
    </row>
    <row r="38" spans="2:20" x14ac:dyDescent="0.2">
      <c r="B38" s="109" t="s">
        <v>71</v>
      </c>
      <c r="C38" s="107">
        <v>40</v>
      </c>
      <c r="D38" s="107">
        <v>1</v>
      </c>
      <c r="E38" s="107">
        <f t="shared" ref="E38" si="16">C38*D38</f>
        <v>40</v>
      </c>
      <c r="F38" s="74">
        <f>N54</f>
        <v>410</v>
      </c>
      <c r="G38" s="71">
        <f>E38*F38</f>
        <v>16400</v>
      </c>
      <c r="H38" s="71">
        <f>G38*0.05</f>
        <v>820</v>
      </c>
      <c r="I38" s="71">
        <f>G38*0.1</f>
        <v>1640</v>
      </c>
      <c r="J38" s="116">
        <f>G38*$M$3+H38*$M$4+I38*$M$5</f>
        <v>2184316</v>
      </c>
      <c r="L38" s="89"/>
      <c r="M38" s="90" t="s">
        <v>104</v>
      </c>
      <c r="N38" s="91">
        <v>105</v>
      </c>
      <c r="O38" s="92"/>
      <c r="P38" s="92" t="s">
        <v>118</v>
      </c>
      <c r="Q38" s="91">
        <f>N41</f>
        <v>1179</v>
      </c>
      <c r="R38" s="93">
        <f>1708*Q38</f>
        <v>2013732</v>
      </c>
      <c r="S38" s="94"/>
    </row>
    <row r="39" spans="2:20" x14ac:dyDescent="0.2">
      <c r="B39" s="109" t="s">
        <v>142</v>
      </c>
      <c r="C39" s="107">
        <v>30</v>
      </c>
      <c r="D39" s="107">
        <v>1</v>
      </c>
      <c r="E39" s="107">
        <f>C39*D39</f>
        <v>30</v>
      </c>
      <c r="F39" s="74">
        <f>N30+N25+N20+N16</f>
        <v>48323</v>
      </c>
      <c r="G39" s="71">
        <f>E39*F39</f>
        <v>1449690</v>
      </c>
      <c r="H39" s="71">
        <f>G39*0.05</f>
        <v>72484.5</v>
      </c>
      <c r="I39" s="71">
        <f>G39*0.1</f>
        <v>144969</v>
      </c>
      <c r="J39" s="116">
        <f>G39*$M$3+H39*$M$4+I39*$M$5</f>
        <v>193084211.09999996</v>
      </c>
      <c r="L39" s="89"/>
      <c r="M39" s="90" t="s">
        <v>105</v>
      </c>
      <c r="N39" s="91">
        <v>410</v>
      </c>
      <c r="O39" s="92"/>
      <c r="P39" s="92" t="s">
        <v>119</v>
      </c>
      <c r="Q39" s="92">
        <v>366</v>
      </c>
      <c r="R39" s="93">
        <f>427*Q39</f>
        <v>156282</v>
      </c>
      <c r="S39" s="94"/>
    </row>
    <row r="40" spans="2:20" x14ac:dyDescent="0.2">
      <c r="B40" s="122" t="s">
        <v>141</v>
      </c>
      <c r="C40" s="107">
        <v>1</v>
      </c>
      <c r="D40" s="107">
        <v>1</v>
      </c>
      <c r="E40" s="107">
        <f>C40*D40</f>
        <v>1</v>
      </c>
      <c r="F40" s="74">
        <f>N31+N26+(N20)+N16</f>
        <v>768776</v>
      </c>
      <c r="G40" s="71">
        <f>E40*F40</f>
        <v>768776</v>
      </c>
      <c r="H40" s="71">
        <f>G40*0.05</f>
        <v>38438.800000000003</v>
      </c>
      <c r="I40" s="71">
        <f>G40*0.1</f>
        <v>76877.600000000006</v>
      </c>
      <c r="J40" s="116">
        <f>G40*$M$3+H40*$M$4+I40*$M$5</f>
        <v>102393275.44</v>
      </c>
      <c r="L40" s="95"/>
      <c r="M40" s="92"/>
      <c r="N40" s="91"/>
      <c r="O40" s="92"/>
      <c r="P40" s="92" t="s">
        <v>120</v>
      </c>
      <c r="Q40" s="92"/>
      <c r="R40" s="93">
        <f>SUM(R37:R39)</f>
        <v>2857371</v>
      </c>
      <c r="S40" s="94">
        <f>S37</f>
        <v>32211854</v>
      </c>
    </row>
    <row r="41" spans="2:20" ht="16.5" customHeight="1" x14ac:dyDescent="0.2">
      <c r="B41" s="111" t="s">
        <v>24</v>
      </c>
      <c r="C41" s="77"/>
      <c r="D41" s="77"/>
      <c r="E41" s="77"/>
      <c r="F41" s="77"/>
      <c r="G41" s="174">
        <f>SUM(G34:I40)</f>
        <v>2591789.5</v>
      </c>
      <c r="H41" s="175"/>
      <c r="I41" s="176"/>
      <c r="J41" s="127">
        <f>SUM(J34:J40)</f>
        <v>300174298.69999993</v>
      </c>
      <c r="L41" s="95"/>
      <c r="M41" s="126" t="s">
        <v>116</v>
      </c>
      <c r="N41" s="91">
        <f>N37+N39</f>
        <v>1179</v>
      </c>
      <c r="O41" s="92"/>
      <c r="P41" s="92"/>
      <c r="Q41" s="92"/>
      <c r="R41" s="92"/>
      <c r="S41" s="96"/>
    </row>
    <row r="42" spans="2:20" ht="28.5" x14ac:dyDescent="0.2">
      <c r="B42" s="36" t="s">
        <v>186</v>
      </c>
      <c r="C42" s="77"/>
      <c r="D42" s="77"/>
      <c r="E42" s="77"/>
      <c r="F42" s="77"/>
      <c r="G42" s="177">
        <f>ROUND(G33+G41,-4)</f>
        <v>3620000</v>
      </c>
      <c r="H42" s="178"/>
      <c r="I42" s="179"/>
      <c r="J42" s="113">
        <f>ROUND(J33+J41,-6)</f>
        <v>419000000</v>
      </c>
      <c r="K42" s="68"/>
      <c r="L42" s="89"/>
      <c r="M42" s="92" t="s">
        <v>106</v>
      </c>
      <c r="N42" s="97">
        <f>SUM(N43:N47)</f>
        <v>149926</v>
      </c>
      <c r="O42" s="92"/>
      <c r="P42" s="92"/>
      <c r="Q42" s="92"/>
      <c r="R42" s="92"/>
      <c r="S42" s="96"/>
    </row>
    <row r="43" spans="2:20" ht="15.75" x14ac:dyDescent="0.2">
      <c r="B43" s="110" t="s">
        <v>187</v>
      </c>
      <c r="C43" s="166"/>
      <c r="D43" s="166"/>
      <c r="E43" s="166"/>
      <c r="F43" s="166"/>
      <c r="G43" s="30"/>
      <c r="H43" s="30"/>
      <c r="I43" s="30"/>
      <c r="J43" s="112">
        <f>ROUND('O&amp;M'!R8+'O&amp;M'!U8, -5)</f>
        <v>41700000</v>
      </c>
      <c r="L43" s="89"/>
      <c r="M43" s="90" t="s">
        <v>107</v>
      </c>
      <c r="N43" s="91">
        <v>13718</v>
      </c>
      <c r="O43" s="130"/>
      <c r="P43" s="92"/>
      <c r="Q43" s="92"/>
      <c r="R43" s="92"/>
      <c r="S43" s="96"/>
    </row>
    <row r="44" spans="2:20" ht="15.75" x14ac:dyDescent="0.2">
      <c r="B44" s="108" t="s">
        <v>188</v>
      </c>
      <c r="C44" s="166"/>
      <c r="D44" s="166"/>
      <c r="E44" s="166"/>
      <c r="F44" s="166"/>
      <c r="G44" s="30"/>
      <c r="H44" s="30"/>
      <c r="I44" s="30"/>
      <c r="J44" s="80">
        <f>ROUND(J42+J43, -6)</f>
        <v>461000000</v>
      </c>
      <c r="L44" s="89"/>
      <c r="M44" s="90" t="s">
        <v>105</v>
      </c>
      <c r="N44" s="91">
        <v>3480</v>
      </c>
      <c r="O44" s="92"/>
      <c r="P44" s="92"/>
      <c r="Q44" s="92"/>
      <c r="R44" s="92"/>
      <c r="S44" s="96"/>
    </row>
    <row r="45" spans="2:20" x14ac:dyDescent="0.2">
      <c r="J45" s="12"/>
      <c r="L45" s="89"/>
      <c r="M45" s="90" t="s">
        <v>108</v>
      </c>
      <c r="N45" s="91">
        <v>86649</v>
      </c>
      <c r="O45" s="92" t="s">
        <v>111</v>
      </c>
      <c r="P45" s="92"/>
      <c r="Q45" s="92"/>
      <c r="R45" s="92"/>
      <c r="S45" s="96"/>
    </row>
    <row r="46" spans="2:20" x14ac:dyDescent="0.2">
      <c r="B46" s="117" t="s">
        <v>125</v>
      </c>
      <c r="C46" s="13"/>
      <c r="D46" s="13"/>
      <c r="E46" s="13"/>
      <c r="F46" s="13"/>
      <c r="G46" s="18"/>
      <c r="H46" s="18"/>
      <c r="I46" s="18"/>
      <c r="J46" s="17"/>
      <c r="L46" s="89"/>
      <c r="M46" s="90" t="s">
        <v>109</v>
      </c>
      <c r="N46" s="91">
        <v>45633</v>
      </c>
      <c r="O46" s="92"/>
      <c r="P46" s="92"/>
      <c r="Q46" s="92"/>
      <c r="R46" s="92"/>
      <c r="S46" s="96"/>
    </row>
    <row r="47" spans="2:20" ht="45.6" customHeight="1" x14ac:dyDescent="0.2">
      <c r="B47" s="171" t="s">
        <v>195</v>
      </c>
      <c r="C47" s="171"/>
      <c r="D47" s="171"/>
      <c r="E47" s="171"/>
      <c r="F47" s="171"/>
      <c r="G47" s="171"/>
      <c r="H47" s="171"/>
      <c r="I47" s="171"/>
      <c r="J47" s="171"/>
      <c r="L47" s="89"/>
      <c r="M47" s="90" t="s">
        <v>110</v>
      </c>
      <c r="N47" s="91">
        <v>446</v>
      </c>
      <c r="O47" s="92"/>
      <c r="P47" s="92"/>
      <c r="Q47" s="92"/>
      <c r="R47" s="92"/>
      <c r="S47" s="96"/>
    </row>
    <row r="48" spans="2:20" ht="42" customHeight="1" x14ac:dyDescent="0.2">
      <c r="B48" s="172" t="s">
        <v>196</v>
      </c>
      <c r="C48" s="172"/>
      <c r="D48" s="172"/>
      <c r="E48" s="172"/>
      <c r="F48" s="172"/>
      <c r="G48" s="172"/>
      <c r="H48" s="172"/>
      <c r="I48" s="172"/>
      <c r="J48" s="172"/>
      <c r="L48" s="89"/>
      <c r="M48" s="92"/>
      <c r="N48" s="91"/>
      <c r="O48" s="92"/>
      <c r="P48" s="92"/>
      <c r="Q48" s="92"/>
      <c r="R48" s="92"/>
      <c r="S48" s="96"/>
    </row>
    <row r="49" spans="2:19" ht="16.5" customHeight="1" x14ac:dyDescent="0.2">
      <c r="B49" s="168" t="s">
        <v>189</v>
      </c>
      <c r="C49" s="168"/>
      <c r="D49" s="168"/>
      <c r="E49" s="168"/>
      <c r="F49" s="168"/>
      <c r="G49" s="168"/>
      <c r="H49" s="168"/>
      <c r="I49" s="168"/>
      <c r="J49" s="168"/>
      <c r="L49" s="98"/>
      <c r="M49" s="99" t="s">
        <v>112</v>
      </c>
      <c r="N49" s="100">
        <f>N43+N44+60654+N46</f>
        <v>123485</v>
      </c>
      <c r="O49" s="101"/>
      <c r="P49" s="101"/>
      <c r="Q49" s="101"/>
      <c r="R49" s="101"/>
      <c r="S49" s="102"/>
    </row>
    <row r="50" spans="2:19" ht="18" customHeight="1" x14ac:dyDescent="0.2">
      <c r="B50" s="168" t="s">
        <v>197</v>
      </c>
      <c r="C50" s="168"/>
      <c r="D50" s="168"/>
      <c r="E50" s="168"/>
      <c r="F50" s="168"/>
      <c r="G50" s="168"/>
      <c r="H50" s="168"/>
      <c r="I50" s="168"/>
      <c r="J50" s="168"/>
      <c r="L50" s="103"/>
      <c r="M50" s="104" t="s">
        <v>117</v>
      </c>
      <c r="N50" s="105">
        <v>755430</v>
      </c>
      <c r="O50" s="105"/>
      <c r="P50" s="104"/>
      <c r="Q50" s="104"/>
      <c r="R50" s="104"/>
      <c r="S50" s="106"/>
    </row>
    <row r="51" spans="2:19" ht="28.5" customHeight="1" x14ac:dyDescent="0.2">
      <c r="B51" s="171" t="s">
        <v>190</v>
      </c>
      <c r="C51" s="171"/>
      <c r="D51" s="171"/>
      <c r="E51" s="171"/>
      <c r="F51" s="171"/>
      <c r="G51" s="171"/>
      <c r="H51" s="171"/>
      <c r="I51" s="171"/>
      <c r="J51" s="171"/>
      <c r="L51" s="149" t="s">
        <v>158</v>
      </c>
      <c r="M51" s="146" t="s">
        <v>56</v>
      </c>
      <c r="N51" s="150">
        <f>SUM(N52:N54)</f>
        <v>1284</v>
      </c>
      <c r="O51" s="146" t="s">
        <v>181</v>
      </c>
      <c r="P51" s="42"/>
      <c r="Q51" s="42"/>
      <c r="R51" s="42"/>
      <c r="S51" s="128"/>
    </row>
    <row r="52" spans="2:19" ht="15.75" customHeight="1" x14ac:dyDescent="0.2">
      <c r="B52" s="168" t="s">
        <v>191</v>
      </c>
      <c r="C52" s="168"/>
      <c r="D52" s="168"/>
      <c r="E52" s="168"/>
      <c r="F52" s="168"/>
      <c r="G52" s="168"/>
      <c r="H52" s="168"/>
      <c r="I52" s="168"/>
      <c r="J52" s="168"/>
      <c r="L52" s="151"/>
      <c r="M52" s="147" t="s">
        <v>103</v>
      </c>
      <c r="N52" s="148">
        <v>769</v>
      </c>
      <c r="O52" s="48"/>
      <c r="P52" s="47"/>
      <c r="Q52" s="47"/>
      <c r="R52" s="47"/>
      <c r="S52" s="56"/>
    </row>
    <row r="53" spans="2:19" ht="40.5" customHeight="1" x14ac:dyDescent="0.2">
      <c r="B53" s="171" t="s">
        <v>192</v>
      </c>
      <c r="C53" s="171"/>
      <c r="D53" s="171"/>
      <c r="E53" s="171"/>
      <c r="F53" s="171"/>
      <c r="G53" s="171"/>
      <c r="H53" s="171"/>
      <c r="I53" s="171"/>
      <c r="J53" s="171"/>
      <c r="L53" s="151"/>
      <c r="M53" s="147" t="s">
        <v>104</v>
      </c>
      <c r="N53" s="148">
        <v>105</v>
      </c>
      <c r="O53" s="148" t="s">
        <v>179</v>
      </c>
      <c r="P53" s="47"/>
      <c r="Q53" s="47"/>
      <c r="R53" s="47"/>
      <c r="S53" s="56"/>
    </row>
    <row r="54" spans="2:19" ht="15.75" x14ac:dyDescent="0.2">
      <c r="B54" s="168" t="s">
        <v>193</v>
      </c>
      <c r="C54" s="168"/>
      <c r="D54" s="168"/>
      <c r="E54" s="168"/>
      <c r="F54" s="168"/>
      <c r="G54" s="168"/>
      <c r="H54" s="168"/>
      <c r="I54" s="168"/>
      <c r="J54" s="168"/>
      <c r="L54" s="151"/>
      <c r="M54" s="147" t="s">
        <v>105</v>
      </c>
      <c r="N54" s="148">
        <v>410</v>
      </c>
      <c r="O54" s="47"/>
      <c r="P54" s="47"/>
      <c r="Q54" s="47"/>
      <c r="R54" s="47"/>
      <c r="S54" s="56"/>
    </row>
    <row r="55" spans="2:19" ht="25.5" x14ac:dyDescent="0.2">
      <c r="B55" s="167" t="s">
        <v>194</v>
      </c>
      <c r="C55" s="167"/>
      <c r="D55" s="167"/>
      <c r="E55" s="167"/>
      <c r="F55" s="167"/>
      <c r="G55" s="167"/>
      <c r="H55" s="167"/>
      <c r="I55" s="167"/>
      <c r="J55" s="167"/>
      <c r="L55" s="151"/>
      <c r="M55" s="152" t="s">
        <v>116</v>
      </c>
      <c r="N55" s="148">
        <f>N52+N54</f>
        <v>1179</v>
      </c>
      <c r="O55" s="47"/>
      <c r="P55" s="47"/>
      <c r="Q55" s="47"/>
      <c r="R55" s="47"/>
      <c r="S55" s="56"/>
    </row>
    <row r="56" spans="2:19" ht="23.25" customHeight="1" x14ac:dyDescent="0.2">
      <c r="L56" s="151"/>
      <c r="M56" s="147" t="s">
        <v>106</v>
      </c>
      <c r="N56" s="153">
        <f>SUM(N57:N61)</f>
        <v>153463</v>
      </c>
      <c r="O56" s="144" t="s">
        <v>180</v>
      </c>
      <c r="P56" s="48"/>
      <c r="Q56" s="47"/>
      <c r="R56" s="47"/>
      <c r="S56" s="56"/>
    </row>
    <row r="57" spans="2:19" x14ac:dyDescent="0.2">
      <c r="B57" s="12" t="s">
        <v>50</v>
      </c>
      <c r="L57" s="151"/>
      <c r="M57" s="147" t="s">
        <v>107</v>
      </c>
      <c r="N57" s="148">
        <f>N43+3*N37</f>
        <v>16025</v>
      </c>
      <c r="O57" s="147" t="s">
        <v>182</v>
      </c>
      <c r="P57" s="47"/>
      <c r="Q57" s="47"/>
      <c r="R57" s="47"/>
      <c r="S57" s="56"/>
    </row>
    <row r="58" spans="2:19" x14ac:dyDescent="0.2">
      <c r="L58" s="151"/>
      <c r="M58" s="147" t="s">
        <v>105</v>
      </c>
      <c r="N58" s="148">
        <f>N44+3*N39</f>
        <v>4710</v>
      </c>
      <c r="O58" s="147" t="s">
        <v>183</v>
      </c>
      <c r="P58" s="47"/>
      <c r="Q58" s="47"/>
      <c r="R58" s="47"/>
      <c r="S58" s="56"/>
    </row>
    <row r="59" spans="2:19" x14ac:dyDescent="0.2">
      <c r="L59" s="151"/>
      <c r="M59" s="147" t="s">
        <v>108</v>
      </c>
      <c r="N59" s="148">
        <f>N45</f>
        <v>86649</v>
      </c>
      <c r="O59" s="145" t="s">
        <v>184</v>
      </c>
      <c r="P59" s="47"/>
      <c r="Q59" s="47"/>
      <c r="R59" s="47"/>
      <c r="S59" s="56"/>
    </row>
    <row r="60" spans="2:19" x14ac:dyDescent="0.2">
      <c r="L60" s="151"/>
      <c r="M60" s="147" t="s">
        <v>109</v>
      </c>
      <c r="N60" s="148">
        <f>N46</f>
        <v>45633</v>
      </c>
      <c r="O60" s="147" t="s">
        <v>178</v>
      </c>
      <c r="P60" s="48"/>
      <c r="Q60" s="47"/>
      <c r="R60" s="47"/>
      <c r="S60" s="56"/>
    </row>
    <row r="61" spans="2:19" x14ac:dyDescent="0.2">
      <c r="L61" s="151"/>
      <c r="M61" s="147" t="s">
        <v>110</v>
      </c>
      <c r="N61" s="148">
        <f>N47</f>
        <v>446</v>
      </c>
      <c r="O61" s="47"/>
      <c r="P61" s="47"/>
      <c r="Q61" s="47"/>
      <c r="R61" s="47"/>
      <c r="S61" s="56"/>
    </row>
    <row r="62" spans="2:19" x14ac:dyDescent="0.2">
      <c r="L62" s="151"/>
      <c r="M62" s="147" t="s">
        <v>112</v>
      </c>
      <c r="N62" s="148">
        <f>N57+N58+N60+N23</f>
        <v>127022</v>
      </c>
      <c r="O62" s="47"/>
      <c r="P62" s="47"/>
      <c r="Q62" s="47"/>
      <c r="R62" s="47"/>
      <c r="S62" s="56"/>
    </row>
    <row r="63" spans="2:19" x14ac:dyDescent="0.2">
      <c r="L63" s="154"/>
      <c r="M63" s="155" t="s">
        <v>117</v>
      </c>
      <c r="N63" s="156">
        <v>755430</v>
      </c>
      <c r="O63" s="54"/>
      <c r="P63" s="54"/>
      <c r="Q63" s="54"/>
      <c r="R63" s="54"/>
      <c r="S63" s="66"/>
    </row>
    <row r="64" spans="2:19" x14ac:dyDescent="0.2">
      <c r="L64" s="67"/>
    </row>
    <row r="65" spans="12:14" x14ac:dyDescent="0.2">
      <c r="L65" s="67"/>
      <c r="N65" s="157"/>
    </row>
    <row r="66" spans="12:14" x14ac:dyDescent="0.2">
      <c r="L66" s="141">
        <f>G42/'O&amp;M'!M16</f>
        <v>3.4272740957724288</v>
      </c>
      <c r="M66" s="12" t="s">
        <v>99</v>
      </c>
    </row>
    <row r="67" spans="12:14" x14ac:dyDescent="0.2">
      <c r="L67" s="67"/>
    </row>
  </sheetData>
  <mergeCells count="14">
    <mergeCell ref="B55:J55"/>
    <mergeCell ref="B54:J54"/>
    <mergeCell ref="L2:M2"/>
    <mergeCell ref="B47:J47"/>
    <mergeCell ref="B53:J53"/>
    <mergeCell ref="B51:J51"/>
    <mergeCell ref="B49:J49"/>
    <mergeCell ref="B50:J50"/>
    <mergeCell ref="B52:J52"/>
    <mergeCell ref="B48:J48"/>
    <mergeCell ref="B3:B4"/>
    <mergeCell ref="G41:I41"/>
    <mergeCell ref="G42:I42"/>
    <mergeCell ref="G33:I3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5"/>
  <sheetViews>
    <sheetView zoomScaleNormal="100" workbookViewId="0">
      <selection activeCell="B23" sqref="B23:J23"/>
    </sheetView>
  </sheetViews>
  <sheetFormatPr defaultColWidth="9.140625" defaultRowHeight="12.75" x14ac:dyDescent="0.2"/>
  <cols>
    <col min="1" max="1" width="0.85546875" style="1" customWidth="1"/>
    <col min="2" max="2" width="33.7109375" style="1" customWidth="1"/>
    <col min="3" max="3" width="12.85546875" style="1" customWidth="1"/>
    <col min="4" max="4" width="13.140625" style="1" customWidth="1"/>
    <col min="5" max="5" width="13.5703125" style="1" customWidth="1"/>
    <col min="6" max="6" width="11.28515625" style="1" customWidth="1"/>
    <col min="7" max="7" width="11.42578125" style="1" bestFit="1" customWidth="1"/>
    <col min="8" max="8" width="13.85546875" style="1" customWidth="1"/>
    <col min="9" max="9" width="12" style="1" customWidth="1"/>
    <col min="10" max="10" width="15.42578125" style="1" bestFit="1" customWidth="1"/>
    <col min="11" max="11" width="1.5703125" style="1" customWidth="1"/>
    <col min="12" max="12" width="17.140625" style="1" customWidth="1"/>
    <col min="13" max="13" width="15.42578125" style="1" customWidth="1"/>
    <col min="14" max="14" width="3" style="1" bestFit="1" customWidth="1"/>
    <col min="15" max="16384" width="9.140625" style="1"/>
  </cols>
  <sheetData>
    <row r="1" spans="2:13" ht="15.75" x14ac:dyDescent="0.25">
      <c r="B1" s="19" t="s">
        <v>100</v>
      </c>
      <c r="C1" s="19"/>
    </row>
    <row r="2" spans="2:13" x14ac:dyDescent="0.2">
      <c r="L2" s="183" t="s">
        <v>126</v>
      </c>
      <c r="M2" s="184"/>
    </row>
    <row r="3" spans="2:13" s="2" customFormat="1" ht="12.75" customHeight="1" x14ac:dyDescent="0.2">
      <c r="B3" s="181" t="s">
        <v>0</v>
      </c>
      <c r="C3" s="20" t="s">
        <v>9</v>
      </c>
      <c r="D3" s="20" t="s">
        <v>10</v>
      </c>
      <c r="E3" s="20" t="s">
        <v>11</v>
      </c>
      <c r="F3" s="20" t="s">
        <v>12</v>
      </c>
      <c r="G3" s="20" t="s">
        <v>13</v>
      </c>
      <c r="H3" s="20" t="s">
        <v>14</v>
      </c>
      <c r="I3" s="20" t="s">
        <v>15</v>
      </c>
      <c r="J3" s="20" t="s">
        <v>16</v>
      </c>
      <c r="K3" s="21"/>
      <c r="L3" s="118" t="s">
        <v>121</v>
      </c>
      <c r="M3" s="119">
        <v>49.44</v>
      </c>
    </row>
    <row r="4" spans="2:13" s="6" customFormat="1" ht="51" x14ac:dyDescent="0.2">
      <c r="B4" s="181"/>
      <c r="C4" s="7" t="s">
        <v>17</v>
      </c>
      <c r="D4" s="7" t="s">
        <v>18</v>
      </c>
      <c r="E4" s="7" t="s">
        <v>19</v>
      </c>
      <c r="F4" s="7" t="s">
        <v>20</v>
      </c>
      <c r="G4" s="7" t="s">
        <v>21</v>
      </c>
      <c r="H4" s="7" t="s">
        <v>22</v>
      </c>
      <c r="I4" s="7" t="s">
        <v>23</v>
      </c>
      <c r="J4" s="7" t="s">
        <v>128</v>
      </c>
      <c r="K4" s="22"/>
      <c r="L4" s="31" t="s">
        <v>122</v>
      </c>
      <c r="M4" s="119">
        <v>66.62</v>
      </c>
    </row>
    <row r="5" spans="2:13" x14ac:dyDescent="0.2">
      <c r="B5" s="11" t="s">
        <v>26</v>
      </c>
      <c r="C5" s="9"/>
      <c r="D5" s="9"/>
      <c r="E5" s="9"/>
      <c r="F5" s="9"/>
      <c r="G5" s="9"/>
      <c r="H5" s="9"/>
      <c r="I5" s="9"/>
      <c r="J5" s="23"/>
      <c r="L5" s="31" t="s">
        <v>123</v>
      </c>
      <c r="M5" s="119">
        <v>26.75</v>
      </c>
    </row>
    <row r="6" spans="2:13" ht="25.5" x14ac:dyDescent="0.2">
      <c r="B6" s="79" t="s">
        <v>84</v>
      </c>
      <c r="C6" s="77">
        <v>1</v>
      </c>
      <c r="D6" s="78">
        <v>1</v>
      </c>
      <c r="E6" s="78">
        <f>C6*D6</f>
        <v>1</v>
      </c>
      <c r="F6" s="78">
        <f>'Table 1'!F19</f>
        <v>1179</v>
      </c>
      <c r="G6" s="78">
        <f>E6*F6</f>
        <v>1179</v>
      </c>
      <c r="H6" s="78">
        <f>G6*0.05</f>
        <v>58.95</v>
      </c>
      <c r="I6" s="78">
        <f>G6*0.1</f>
        <v>117.9</v>
      </c>
      <c r="J6" s="81">
        <f>G6*$M$3+H6*$M$4+I6*$M$5</f>
        <v>65370.833999999995</v>
      </c>
    </row>
    <row r="7" spans="2:13" x14ac:dyDescent="0.2">
      <c r="B7" s="79" t="s">
        <v>85</v>
      </c>
      <c r="C7" s="34">
        <v>1</v>
      </c>
      <c r="D7" s="35">
        <v>1</v>
      </c>
      <c r="E7" s="35">
        <f>C7*D7</f>
        <v>1</v>
      </c>
      <c r="F7" s="35">
        <f>'Table 1'!F20</f>
        <v>1179</v>
      </c>
      <c r="G7" s="35">
        <f t="shared" ref="G7:G8" si="0">E7*F7</f>
        <v>1179</v>
      </c>
      <c r="H7" s="35">
        <f t="shared" ref="H7:H8" si="1">G7*0.05</f>
        <v>58.95</v>
      </c>
      <c r="I7" s="35">
        <f t="shared" ref="I7:I8" si="2">G7*0.1</f>
        <v>117.9</v>
      </c>
      <c r="J7" s="82">
        <f t="shared" ref="J7:J8" si="3">G7*$M$3+H7*$M$4+I7*$M$5</f>
        <v>65370.833999999995</v>
      </c>
    </row>
    <row r="8" spans="2:13" x14ac:dyDescent="0.2">
      <c r="B8" s="79" t="s">
        <v>86</v>
      </c>
      <c r="C8" s="34">
        <v>1</v>
      </c>
      <c r="D8" s="35">
        <v>1</v>
      </c>
      <c r="E8" s="35">
        <f>C8*D8</f>
        <v>1</v>
      </c>
      <c r="F8" s="35">
        <f>'Table 1'!F21</f>
        <v>1179</v>
      </c>
      <c r="G8" s="35">
        <f t="shared" si="0"/>
        <v>1179</v>
      </c>
      <c r="H8" s="35">
        <f t="shared" si="1"/>
        <v>58.95</v>
      </c>
      <c r="I8" s="35">
        <f t="shared" si="2"/>
        <v>117.9</v>
      </c>
      <c r="J8" s="82">
        <f t="shared" si="3"/>
        <v>65370.833999999995</v>
      </c>
    </row>
    <row r="9" spans="2:13" x14ac:dyDescent="0.2">
      <c r="B9" s="79" t="s">
        <v>87</v>
      </c>
      <c r="C9" s="34"/>
      <c r="D9" s="35"/>
      <c r="E9" s="35"/>
      <c r="F9" s="35"/>
      <c r="G9" s="35"/>
      <c r="H9" s="35"/>
      <c r="I9" s="35"/>
      <c r="J9" s="82"/>
    </row>
    <row r="10" spans="2:13" x14ac:dyDescent="0.2">
      <c r="B10" s="121" t="s">
        <v>132</v>
      </c>
      <c r="C10" s="34">
        <v>1</v>
      </c>
      <c r="D10" s="35">
        <v>4</v>
      </c>
      <c r="E10" s="35">
        <f t="shared" ref="E10:E16" si="4">C10*D10</f>
        <v>4</v>
      </c>
      <c r="F10" s="35">
        <f>'Table 1'!F23</f>
        <v>1605</v>
      </c>
      <c r="G10" s="35">
        <f t="shared" ref="G10:G16" si="5">E10*F10</f>
        <v>6420</v>
      </c>
      <c r="H10" s="35">
        <f t="shared" ref="H10:H16" si="6">G10*0.05</f>
        <v>321</v>
      </c>
      <c r="I10" s="35">
        <f t="shared" ref="I10:I16" si="7">G10*0.1</f>
        <v>642</v>
      </c>
      <c r="J10" s="82">
        <f t="shared" ref="J10:J16" si="8">G10*$M$3+H10*$M$4+I10*$M$5</f>
        <v>355963.32</v>
      </c>
    </row>
    <row r="11" spans="2:13" x14ac:dyDescent="0.2">
      <c r="B11" s="121" t="s">
        <v>133</v>
      </c>
      <c r="C11" s="34">
        <v>1</v>
      </c>
      <c r="D11" s="35">
        <v>2</v>
      </c>
      <c r="E11" s="35">
        <f t="shared" si="4"/>
        <v>2</v>
      </c>
      <c r="F11" s="35">
        <f>'Table 1'!F24</f>
        <v>4460</v>
      </c>
      <c r="G11" s="35">
        <f t="shared" si="5"/>
        <v>8920</v>
      </c>
      <c r="H11" s="35">
        <f t="shared" si="6"/>
        <v>446</v>
      </c>
      <c r="I11" s="35">
        <f t="shared" si="7"/>
        <v>892</v>
      </c>
      <c r="J11" s="82">
        <f t="shared" si="8"/>
        <v>494578.32</v>
      </c>
    </row>
    <row r="12" spans="2:13" x14ac:dyDescent="0.2">
      <c r="B12" s="121" t="s">
        <v>134</v>
      </c>
      <c r="C12" s="34">
        <v>1</v>
      </c>
      <c r="D12" s="35">
        <v>1</v>
      </c>
      <c r="E12" s="35">
        <f t="shared" si="4"/>
        <v>1</v>
      </c>
      <c r="F12" s="35">
        <f>'Table 1'!F25</f>
        <v>87</v>
      </c>
      <c r="G12" s="35">
        <f t="shared" si="5"/>
        <v>87</v>
      </c>
      <c r="H12" s="35">
        <f t="shared" si="6"/>
        <v>4.3500000000000005</v>
      </c>
      <c r="I12" s="35">
        <f t="shared" si="7"/>
        <v>8.7000000000000011</v>
      </c>
      <c r="J12" s="82">
        <f t="shared" si="8"/>
        <v>4823.8020000000006</v>
      </c>
    </row>
    <row r="13" spans="2:13" x14ac:dyDescent="0.2">
      <c r="B13" s="79" t="s">
        <v>88</v>
      </c>
      <c r="C13" s="34">
        <v>1</v>
      </c>
      <c r="D13" s="35">
        <v>1</v>
      </c>
      <c r="E13" s="35">
        <f t="shared" si="4"/>
        <v>1</v>
      </c>
      <c r="F13" s="35">
        <f>'Table 1'!F26</f>
        <v>105</v>
      </c>
      <c r="G13" s="35">
        <f t="shared" si="5"/>
        <v>105</v>
      </c>
      <c r="H13" s="35">
        <f t="shared" si="6"/>
        <v>5.25</v>
      </c>
      <c r="I13" s="35">
        <f t="shared" si="7"/>
        <v>10.5</v>
      </c>
      <c r="J13" s="82">
        <f t="shared" si="8"/>
        <v>5821.83</v>
      </c>
    </row>
    <row r="14" spans="2:13" x14ac:dyDescent="0.2">
      <c r="B14" s="79" t="s">
        <v>89</v>
      </c>
      <c r="C14" s="34">
        <v>2</v>
      </c>
      <c r="D14" s="35">
        <v>1</v>
      </c>
      <c r="E14" s="35">
        <f t="shared" si="4"/>
        <v>2</v>
      </c>
      <c r="F14" s="35">
        <f>'Table 1'!F27</f>
        <v>1179</v>
      </c>
      <c r="G14" s="35">
        <f t="shared" si="5"/>
        <v>2358</v>
      </c>
      <c r="H14" s="35">
        <f t="shared" si="6"/>
        <v>117.9</v>
      </c>
      <c r="I14" s="35">
        <f t="shared" si="7"/>
        <v>235.8</v>
      </c>
      <c r="J14" s="82">
        <f t="shared" si="8"/>
        <v>130741.66799999999</v>
      </c>
    </row>
    <row r="15" spans="2:13" ht="15.75" x14ac:dyDescent="0.2">
      <c r="B15" s="79" t="s">
        <v>131</v>
      </c>
      <c r="C15" s="34">
        <v>2</v>
      </c>
      <c r="D15" s="35">
        <v>2</v>
      </c>
      <c r="E15" s="35">
        <f t="shared" si="4"/>
        <v>4</v>
      </c>
      <c r="F15" s="35">
        <f>'Table 1'!F28</f>
        <v>127022</v>
      </c>
      <c r="G15" s="35">
        <f t="shared" si="5"/>
        <v>508088</v>
      </c>
      <c r="H15" s="35">
        <f t="shared" si="6"/>
        <v>25404.400000000001</v>
      </c>
      <c r="I15" s="35">
        <f t="shared" si="7"/>
        <v>50808.800000000003</v>
      </c>
      <c r="J15" s="82">
        <f t="shared" si="8"/>
        <v>28171447.247999996</v>
      </c>
    </row>
    <row r="16" spans="2:13" ht="15.75" x14ac:dyDescent="0.2">
      <c r="B16" s="79" t="s">
        <v>130</v>
      </c>
      <c r="C16" s="34">
        <v>2</v>
      </c>
      <c r="D16" s="35">
        <v>2</v>
      </c>
      <c r="E16" s="35">
        <f t="shared" si="4"/>
        <v>4</v>
      </c>
      <c r="F16" s="35">
        <f>'Table 1'!F29+'Table 1'!F31+'Table 1'!F32</f>
        <v>26511</v>
      </c>
      <c r="G16" s="35">
        <f t="shared" si="5"/>
        <v>106044</v>
      </c>
      <c r="H16" s="35">
        <f t="shared" si="6"/>
        <v>5302.2000000000007</v>
      </c>
      <c r="I16" s="35">
        <f t="shared" si="7"/>
        <v>10604.400000000001</v>
      </c>
      <c r="J16" s="82">
        <f t="shared" si="8"/>
        <v>5879715.6239999998</v>
      </c>
    </row>
    <row r="17" spans="2:10" ht="15.75" x14ac:dyDescent="0.2">
      <c r="B17" s="10" t="s">
        <v>129</v>
      </c>
      <c r="C17" s="24"/>
      <c r="D17" s="24"/>
      <c r="E17" s="24"/>
      <c r="F17" s="24"/>
      <c r="G17" s="182">
        <f>ROUND(SUM(G5:I16),-3)</f>
        <v>731000</v>
      </c>
      <c r="H17" s="182"/>
      <c r="I17" s="182"/>
      <c r="J17" s="83">
        <f>ROUND(SUM(J5:J16),-5)</f>
        <v>35200000</v>
      </c>
    </row>
    <row r="19" spans="2:10" x14ac:dyDescent="0.2">
      <c r="B19" s="120" t="s">
        <v>127</v>
      </c>
      <c r="F19" s="75"/>
    </row>
    <row r="20" spans="2:10" ht="43.5" customHeight="1" x14ac:dyDescent="0.2">
      <c r="B20" s="171" t="s">
        <v>202</v>
      </c>
      <c r="C20" s="171"/>
      <c r="D20" s="171"/>
      <c r="E20" s="171"/>
      <c r="F20" s="171"/>
      <c r="G20" s="171"/>
      <c r="H20" s="171"/>
      <c r="I20" s="171"/>
      <c r="J20" s="171"/>
    </row>
    <row r="21" spans="2:10" ht="36.75" customHeight="1" x14ac:dyDescent="0.2">
      <c r="B21" s="171" t="s">
        <v>201</v>
      </c>
      <c r="C21" s="171"/>
      <c r="D21" s="171"/>
      <c r="E21" s="171"/>
      <c r="F21" s="171"/>
      <c r="G21" s="171"/>
      <c r="H21" s="171"/>
      <c r="I21" s="171"/>
      <c r="J21" s="171"/>
    </row>
    <row r="22" spans="2:10" ht="27.75" customHeight="1" x14ac:dyDescent="0.2">
      <c r="B22" s="186" t="s">
        <v>200</v>
      </c>
      <c r="C22" s="186"/>
      <c r="D22" s="186"/>
      <c r="E22" s="186"/>
      <c r="F22" s="186"/>
      <c r="G22" s="186"/>
      <c r="H22" s="186"/>
      <c r="I22" s="186"/>
      <c r="J22" s="186"/>
    </row>
    <row r="23" spans="2:10" ht="27.75" customHeight="1" x14ac:dyDescent="0.2">
      <c r="B23" s="186" t="s">
        <v>199</v>
      </c>
      <c r="C23" s="186"/>
      <c r="D23" s="186"/>
      <c r="E23" s="186"/>
      <c r="F23" s="186"/>
      <c r="G23" s="186"/>
      <c r="H23" s="186"/>
      <c r="I23" s="186"/>
      <c r="J23" s="186"/>
    </row>
    <row r="24" spans="2:10" ht="18.75" customHeight="1" x14ac:dyDescent="0.2">
      <c r="B24" s="185" t="s">
        <v>198</v>
      </c>
      <c r="C24" s="185"/>
      <c r="D24" s="185"/>
      <c r="E24" s="185"/>
      <c r="F24" s="185"/>
      <c r="G24" s="185"/>
      <c r="H24" s="185"/>
      <c r="I24" s="185"/>
      <c r="J24" s="185"/>
    </row>
    <row r="25" spans="2:10" x14ac:dyDescent="0.2">
      <c r="B25" s="185"/>
      <c r="C25" s="185"/>
      <c r="D25" s="185"/>
      <c r="E25" s="185"/>
      <c r="F25" s="185"/>
      <c r="G25" s="185"/>
      <c r="H25" s="185"/>
      <c r="I25" s="185"/>
      <c r="J25" s="185"/>
    </row>
  </sheetData>
  <mergeCells count="9">
    <mergeCell ref="B3:B4"/>
    <mergeCell ref="G17:I17"/>
    <mergeCell ref="B20:J20"/>
    <mergeCell ref="L2:M2"/>
    <mergeCell ref="B25:J25"/>
    <mergeCell ref="B21:J21"/>
    <mergeCell ref="B22:J22"/>
    <mergeCell ref="B23:J23"/>
    <mergeCell ref="B24:J2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22"/>
  <sheetViews>
    <sheetView topLeftCell="J5" workbookViewId="0">
      <selection activeCell="K22" sqref="K22"/>
    </sheetView>
  </sheetViews>
  <sheetFormatPr defaultColWidth="9.140625" defaultRowHeight="12.75" x14ac:dyDescent="0.2"/>
  <cols>
    <col min="1" max="1" width="0.7109375" style="130" customWidth="1"/>
    <col min="2" max="2" width="9.42578125" style="130" customWidth="1"/>
    <col min="3" max="3" width="11.85546875" style="130" customWidth="1"/>
    <col min="4" max="7" width="13.42578125" style="130" customWidth="1"/>
    <col min="8" max="8" width="3.42578125" style="130" customWidth="1"/>
    <col min="9" max="9" width="31.28515625" style="130" customWidth="1"/>
    <col min="10" max="11" width="10" style="130" customWidth="1"/>
    <col min="12" max="12" width="12.28515625" style="130" customWidth="1"/>
    <col min="13" max="13" width="12.140625" style="130" customWidth="1"/>
    <col min="14" max="14" width="9.28515625" style="130" customWidth="1"/>
    <col min="15" max="15" width="16" style="130" customWidth="1"/>
    <col min="16" max="17" width="9.140625" style="130"/>
    <col min="18" max="18" width="10.42578125" style="130" customWidth="1"/>
    <col min="19" max="20" width="9.140625" style="130"/>
    <col min="21" max="21" width="12.42578125" style="130" customWidth="1"/>
    <col min="22" max="22" width="9.140625" style="130"/>
    <col min="23" max="23" width="12" style="130" customWidth="1"/>
    <col min="24" max="16384" width="9.140625" style="130"/>
  </cols>
  <sheetData>
    <row r="2" spans="1:24" ht="21" customHeight="1" x14ac:dyDescent="0.2">
      <c r="B2" s="189" t="s">
        <v>27</v>
      </c>
      <c r="C2" s="189"/>
      <c r="D2" s="189"/>
      <c r="E2" s="189"/>
      <c r="F2" s="189"/>
      <c r="G2" s="189"/>
      <c r="O2" s="192" t="s">
        <v>159</v>
      </c>
      <c r="P2" s="192"/>
      <c r="Q2" s="192"/>
      <c r="R2" s="192"/>
      <c r="S2" s="192"/>
      <c r="T2" s="192"/>
      <c r="U2" s="192"/>
    </row>
    <row r="3" spans="1:24" x14ac:dyDescent="0.2">
      <c r="B3" s="134"/>
      <c r="C3" s="190" t="s">
        <v>28</v>
      </c>
      <c r="D3" s="190"/>
      <c r="E3" s="191" t="s">
        <v>29</v>
      </c>
      <c r="F3" s="191"/>
      <c r="G3" s="191"/>
      <c r="I3" s="189" t="s">
        <v>30</v>
      </c>
      <c r="J3" s="189"/>
      <c r="K3" s="189"/>
      <c r="L3" s="189"/>
      <c r="M3" s="189"/>
      <c r="O3" s="129" t="s">
        <v>160</v>
      </c>
      <c r="P3" s="129" t="s">
        <v>162</v>
      </c>
      <c r="Q3" s="129" t="s">
        <v>164</v>
      </c>
      <c r="R3" s="129" t="s">
        <v>165</v>
      </c>
      <c r="S3" s="129" t="s">
        <v>167</v>
      </c>
      <c r="T3" s="129" t="s">
        <v>169</v>
      </c>
      <c r="U3" s="129" t="s">
        <v>170</v>
      </c>
    </row>
    <row r="4" spans="1:24" ht="105" x14ac:dyDescent="0.2">
      <c r="B4" s="26" t="s">
        <v>31</v>
      </c>
      <c r="C4" s="26" t="s">
        <v>203</v>
      </c>
      <c r="D4" s="26" t="s">
        <v>204</v>
      </c>
      <c r="E4" s="26" t="s">
        <v>205</v>
      </c>
      <c r="F4" s="26" t="s">
        <v>32</v>
      </c>
      <c r="G4" s="26" t="s">
        <v>33</v>
      </c>
      <c r="I4" s="9" t="s">
        <v>34</v>
      </c>
      <c r="J4" s="26" t="s">
        <v>35</v>
      </c>
      <c r="K4" s="26" t="s">
        <v>36</v>
      </c>
      <c r="L4" s="135" t="s">
        <v>37</v>
      </c>
      <c r="M4" s="135" t="s">
        <v>98</v>
      </c>
      <c r="O4" s="129" t="s">
        <v>161</v>
      </c>
      <c r="P4" s="129" t="s">
        <v>163</v>
      </c>
      <c r="Q4" s="129" t="s">
        <v>171</v>
      </c>
      <c r="R4" s="129" t="s">
        <v>166</v>
      </c>
      <c r="S4" s="129" t="s">
        <v>168</v>
      </c>
      <c r="T4" s="129" t="s">
        <v>172</v>
      </c>
      <c r="U4" s="129" t="s">
        <v>173</v>
      </c>
    </row>
    <row r="5" spans="1:24" ht="25.5" x14ac:dyDescent="0.2">
      <c r="B5" s="26">
        <v>1</v>
      </c>
      <c r="C5" s="35">
        <f>'Table 1'!$N$51</f>
        <v>1284</v>
      </c>
      <c r="D5" s="35">
        <f>D6-C6</f>
        <v>152179</v>
      </c>
      <c r="E5" s="136">
        <f>'Table 1'!N31+'Table 1'!N26</f>
        <v>755430</v>
      </c>
      <c r="F5" s="136">
        <v>0</v>
      </c>
      <c r="G5" s="136">
        <f>C5+D5+E5-F5</f>
        <v>908893</v>
      </c>
      <c r="I5" s="137" t="s">
        <v>38</v>
      </c>
      <c r="J5" s="136">
        <f>'Table 1'!F19</f>
        <v>1179</v>
      </c>
      <c r="K5" s="136">
        <v>1</v>
      </c>
      <c r="L5" s="136">
        <v>0</v>
      </c>
      <c r="M5" s="136">
        <f>J5*K5+L5</f>
        <v>1179</v>
      </c>
      <c r="O5" s="131" t="s">
        <v>174</v>
      </c>
      <c r="P5" s="132">
        <v>583</v>
      </c>
      <c r="Q5" s="133">
        <v>1179</v>
      </c>
      <c r="R5" s="132">
        <f>P5*Q5</f>
        <v>687357</v>
      </c>
      <c r="S5" s="132">
        <v>1873</v>
      </c>
      <c r="T5" s="133">
        <f>'Table 1'!N57+'Table 1'!N58</f>
        <v>20735</v>
      </c>
      <c r="U5" s="132">
        <f>S5*T5</f>
        <v>38836655</v>
      </c>
    </row>
    <row r="6" spans="1:24" ht="15.75" x14ac:dyDescent="0.2">
      <c r="B6" s="26">
        <v>2</v>
      </c>
      <c r="C6" s="35">
        <f>'Table 1'!$N$51</f>
        <v>1284</v>
      </c>
      <c r="D6" s="35">
        <f>'Table 1'!N56</f>
        <v>153463</v>
      </c>
      <c r="E6" s="136">
        <f>'Table 1'!N31+'Table 1'!N26</f>
        <v>755430</v>
      </c>
      <c r="F6" s="136">
        <v>0</v>
      </c>
      <c r="G6" s="136">
        <f>C6+D6+E6-F6</f>
        <v>910177</v>
      </c>
      <c r="I6" s="137" t="s">
        <v>43</v>
      </c>
      <c r="J6" s="136">
        <f>'Table 1'!F20</f>
        <v>1179</v>
      </c>
      <c r="K6" s="136">
        <v>1</v>
      </c>
      <c r="L6" s="136">
        <v>0</v>
      </c>
      <c r="M6" s="136">
        <f t="shared" ref="M6:M13" si="0">J6*K6+L6</f>
        <v>1179</v>
      </c>
      <c r="O6" s="131" t="s">
        <v>175</v>
      </c>
      <c r="P6" s="132">
        <v>1708</v>
      </c>
      <c r="Q6" s="133">
        <v>1179</v>
      </c>
      <c r="R6" s="132">
        <f t="shared" ref="R6:R7" si="1">P6*Q6</f>
        <v>2013732</v>
      </c>
      <c r="S6" s="131" t="s">
        <v>2</v>
      </c>
      <c r="T6" s="131" t="s">
        <v>2</v>
      </c>
      <c r="U6" s="131"/>
    </row>
    <row r="7" spans="1:24" ht="15.75" x14ac:dyDescent="0.2">
      <c r="B7" s="26">
        <v>3</v>
      </c>
      <c r="C7" s="35">
        <f>'Table 1'!$N$51</f>
        <v>1284</v>
      </c>
      <c r="D7" s="35">
        <f>D6+C6</f>
        <v>154747</v>
      </c>
      <c r="E7" s="136">
        <f>'Table 1'!N31+'Table 1'!N26</f>
        <v>755430</v>
      </c>
      <c r="F7" s="136">
        <v>0</v>
      </c>
      <c r="G7" s="136">
        <f>C7+D7+E7-F7</f>
        <v>911461</v>
      </c>
      <c r="I7" s="137" t="s">
        <v>40</v>
      </c>
      <c r="J7" s="136">
        <f>'Table 1'!F21</f>
        <v>1179</v>
      </c>
      <c r="K7" s="136">
        <v>1</v>
      </c>
      <c r="L7" s="136">
        <v>0</v>
      </c>
      <c r="M7" s="136">
        <f t="shared" si="0"/>
        <v>1179</v>
      </c>
      <c r="N7" s="27"/>
      <c r="O7" s="131" t="s">
        <v>176</v>
      </c>
      <c r="P7" s="132">
        <v>427</v>
      </c>
      <c r="Q7" s="131">
        <v>366</v>
      </c>
      <c r="R7" s="132">
        <f t="shared" si="1"/>
        <v>156282</v>
      </c>
      <c r="S7" s="131" t="s">
        <v>2</v>
      </c>
      <c r="T7" s="131" t="s">
        <v>2</v>
      </c>
      <c r="U7" s="131"/>
    </row>
    <row r="8" spans="1:24" ht="15.75" x14ac:dyDescent="0.2">
      <c r="B8" s="26" t="s">
        <v>39</v>
      </c>
      <c r="C8" s="136">
        <f>AVERAGE(C5:C7)</f>
        <v>1284</v>
      </c>
      <c r="D8" s="136">
        <f t="shared" ref="D8:E8" si="2">AVERAGE(D5:D7)</f>
        <v>153463</v>
      </c>
      <c r="E8" s="136">
        <f t="shared" si="2"/>
        <v>755430</v>
      </c>
      <c r="F8" s="136">
        <f>AVERAGE(F5:F7)</f>
        <v>0</v>
      </c>
      <c r="G8" s="136">
        <f>C8+D8+E8-F8</f>
        <v>910177</v>
      </c>
      <c r="I8" s="137" t="s">
        <v>44</v>
      </c>
      <c r="J8" s="136"/>
      <c r="K8" s="136"/>
      <c r="L8" s="136"/>
      <c r="M8" s="136"/>
      <c r="N8" s="27"/>
      <c r="O8" s="131" t="s">
        <v>177</v>
      </c>
      <c r="P8" s="131"/>
      <c r="Q8" s="131"/>
      <c r="R8" s="132">
        <f>ROUND(SUM(R5:R7),-4)</f>
        <v>2860000</v>
      </c>
      <c r="S8" s="131"/>
      <c r="T8" s="131"/>
      <c r="U8" s="132">
        <f>ROUND(SUM(U5:U7),-5)</f>
        <v>38800000</v>
      </c>
      <c r="W8" s="140">
        <f>ROUND(U8+R8,-5)</f>
        <v>41700000</v>
      </c>
    </row>
    <row r="9" spans="1:24" x14ac:dyDescent="0.2">
      <c r="A9" s="130" t="s">
        <v>90</v>
      </c>
      <c r="B9" s="145"/>
      <c r="C9" s="145"/>
      <c r="D9" s="158"/>
      <c r="E9" s="158"/>
      <c r="F9" s="145"/>
      <c r="G9" s="145"/>
      <c r="I9" s="137" t="s">
        <v>91</v>
      </c>
      <c r="J9" s="136">
        <f>'Table 1'!F23</f>
        <v>1605</v>
      </c>
      <c r="K9" s="136">
        <v>4</v>
      </c>
      <c r="L9" s="136">
        <v>0</v>
      </c>
      <c r="M9" s="136">
        <f t="shared" si="0"/>
        <v>6420</v>
      </c>
      <c r="N9" s="27"/>
    </row>
    <row r="10" spans="1:24" ht="38.450000000000003" customHeight="1" x14ac:dyDescent="0.2">
      <c r="B10" s="187" t="s">
        <v>208</v>
      </c>
      <c r="C10" s="187"/>
      <c r="D10" s="187"/>
      <c r="E10" s="187"/>
      <c r="F10" s="187"/>
      <c r="G10" s="187"/>
      <c r="I10" s="137" t="s">
        <v>92</v>
      </c>
      <c r="J10" s="136">
        <f>'Table 1'!F24</f>
        <v>4460</v>
      </c>
      <c r="K10" s="136">
        <v>2</v>
      </c>
      <c r="L10" s="136">
        <v>0</v>
      </c>
      <c r="M10" s="136">
        <f t="shared" si="0"/>
        <v>8920</v>
      </c>
      <c r="N10" s="27"/>
      <c r="O10" s="188" t="s">
        <v>209</v>
      </c>
      <c r="P10" s="188"/>
      <c r="Q10" s="188"/>
      <c r="R10" s="188"/>
      <c r="S10" s="188"/>
      <c r="T10" s="188"/>
      <c r="U10" s="188"/>
      <c r="V10" s="188"/>
      <c r="W10" s="188"/>
      <c r="X10" s="188"/>
    </row>
    <row r="11" spans="1:24" ht="36.6" customHeight="1" x14ac:dyDescent="0.2">
      <c r="B11" s="187" t="s">
        <v>206</v>
      </c>
      <c r="C11" s="187"/>
      <c r="D11" s="187"/>
      <c r="E11" s="187"/>
      <c r="F11" s="187"/>
      <c r="G11" s="187"/>
      <c r="I11" s="137" t="s">
        <v>93</v>
      </c>
      <c r="J11" s="136">
        <f>'Table 1'!F25</f>
        <v>87</v>
      </c>
      <c r="K11" s="136">
        <v>1</v>
      </c>
      <c r="L11" s="136">
        <v>0</v>
      </c>
      <c r="M11" s="136">
        <f t="shared" si="0"/>
        <v>87</v>
      </c>
      <c r="N11" s="27"/>
      <c r="O11" s="188" t="s">
        <v>210</v>
      </c>
      <c r="P11" s="188"/>
      <c r="Q11" s="188"/>
      <c r="R11" s="188"/>
      <c r="S11" s="188"/>
      <c r="T11" s="188"/>
      <c r="U11" s="188"/>
      <c r="V11" s="188"/>
      <c r="W11" s="188"/>
      <c r="X11" s="188"/>
    </row>
    <row r="12" spans="1:24" ht="25.5" customHeight="1" x14ac:dyDescent="0.2">
      <c r="B12" s="187" t="s">
        <v>207</v>
      </c>
      <c r="C12" s="187"/>
      <c r="D12" s="187"/>
      <c r="E12" s="187"/>
      <c r="F12" s="187"/>
      <c r="G12" s="187"/>
      <c r="I12" s="137" t="s">
        <v>94</v>
      </c>
      <c r="J12" s="136">
        <f>'Table 1'!F26</f>
        <v>105</v>
      </c>
      <c r="K12" s="136">
        <v>1</v>
      </c>
      <c r="L12" s="136">
        <v>0</v>
      </c>
      <c r="M12" s="136">
        <f t="shared" si="0"/>
        <v>105</v>
      </c>
      <c r="N12" s="27"/>
      <c r="O12" s="164" t="s">
        <v>211</v>
      </c>
    </row>
    <row r="13" spans="1:24" ht="15.75" x14ac:dyDescent="0.2">
      <c r="B13" s="159"/>
      <c r="C13" s="163"/>
      <c r="D13" s="163"/>
      <c r="E13" s="163"/>
      <c r="F13" s="160"/>
      <c r="G13" s="163"/>
      <c r="I13" s="137" t="s">
        <v>45</v>
      </c>
      <c r="J13" s="136">
        <f>'Table 1'!F27</f>
        <v>1179</v>
      </c>
      <c r="K13" s="136">
        <v>1</v>
      </c>
      <c r="L13" s="136">
        <v>0</v>
      </c>
      <c r="M13" s="136">
        <f t="shared" si="0"/>
        <v>1179</v>
      </c>
      <c r="N13" s="28"/>
      <c r="O13" s="165" t="s">
        <v>212</v>
      </c>
    </row>
    <row r="14" spans="1:24" ht="15.75" x14ac:dyDescent="0.2">
      <c r="B14" s="160"/>
      <c r="C14" s="163"/>
      <c r="D14" s="163"/>
      <c r="E14" s="163"/>
      <c r="F14" s="160"/>
      <c r="G14" s="163"/>
      <c r="I14" s="137" t="s">
        <v>46</v>
      </c>
      <c r="J14" s="35">
        <f>'Table 1'!F28</f>
        <v>127022</v>
      </c>
      <c r="K14" s="136">
        <v>2</v>
      </c>
      <c r="L14" s="136">
        <f>'Table 1'!N31+'Table 1'!N26</f>
        <v>755430</v>
      </c>
      <c r="M14" s="136">
        <f>J14*K14+L14</f>
        <v>1009474</v>
      </c>
      <c r="N14" s="27"/>
      <c r="O14" s="165" t="s">
        <v>214</v>
      </c>
    </row>
    <row r="15" spans="1:24" ht="15.75" x14ac:dyDescent="0.2">
      <c r="B15" s="159"/>
      <c r="C15" s="163"/>
      <c r="D15" s="163"/>
      <c r="E15" s="163"/>
      <c r="F15" s="160"/>
      <c r="G15" s="163"/>
      <c r="I15" s="137" t="s">
        <v>95</v>
      </c>
      <c r="J15" s="136">
        <f>'Table 1'!F29+'Table 1'!F31+'Table 1'!F32</f>
        <v>26511</v>
      </c>
      <c r="K15" s="136">
        <v>1</v>
      </c>
      <c r="L15" s="136">
        <v>0</v>
      </c>
      <c r="M15" s="136">
        <f>J15*K15+L15</f>
        <v>26511</v>
      </c>
      <c r="N15" s="27"/>
      <c r="O15" s="164" t="s">
        <v>213</v>
      </c>
    </row>
    <row r="16" spans="1:24" x14ac:dyDescent="0.2">
      <c r="B16" s="160"/>
      <c r="C16" s="163"/>
      <c r="D16" s="163"/>
      <c r="E16" s="163"/>
      <c r="F16" s="160"/>
      <c r="G16" s="163"/>
      <c r="I16" s="137"/>
      <c r="J16" s="138"/>
      <c r="K16" s="138"/>
      <c r="L16" s="26" t="s">
        <v>41</v>
      </c>
      <c r="M16" s="136">
        <f>SUM(M5:M15)</f>
        <v>1056233</v>
      </c>
      <c r="N16" s="29"/>
    </row>
    <row r="17" spans="2:14" x14ac:dyDescent="0.2">
      <c r="B17" s="159"/>
      <c r="C17" s="163"/>
      <c r="D17" s="163"/>
      <c r="E17" s="163"/>
      <c r="F17" s="160"/>
      <c r="G17" s="163"/>
      <c r="I17" s="139"/>
      <c r="N17" s="27"/>
    </row>
    <row r="18" spans="2:14" x14ac:dyDescent="0.2">
      <c r="B18" s="161"/>
      <c r="C18" s="161"/>
      <c r="D18" s="145"/>
      <c r="E18" s="161"/>
      <c r="F18" s="161"/>
      <c r="G18" s="161"/>
      <c r="I18" s="139"/>
    </row>
    <row r="19" spans="2:14" x14ac:dyDescent="0.2">
      <c r="B19" s="161"/>
      <c r="C19" s="161"/>
      <c r="D19" s="162"/>
      <c r="E19" s="161"/>
      <c r="F19" s="161"/>
      <c r="G19" s="161"/>
    </row>
    <row r="20" spans="2:14" ht="42" customHeight="1" x14ac:dyDescent="0.2"/>
    <row r="21" spans="2:14" ht="25.5" customHeight="1" x14ac:dyDescent="0.2"/>
    <row r="22" spans="2:14" ht="25.5" customHeight="1" x14ac:dyDescent="0.2"/>
  </sheetData>
  <mergeCells count="10">
    <mergeCell ref="B2:G2"/>
    <mergeCell ref="C3:D3"/>
    <mergeCell ref="E3:G3"/>
    <mergeCell ref="I3:M3"/>
    <mergeCell ref="O2:U2"/>
    <mergeCell ref="B10:G10"/>
    <mergeCell ref="B11:G11"/>
    <mergeCell ref="B12:G12"/>
    <mergeCell ref="O10:X10"/>
    <mergeCell ref="O11:X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EV</dc:creator>
  <cp:lastModifiedBy>wwrigley</cp:lastModifiedBy>
  <dcterms:created xsi:type="dcterms:W3CDTF">2013-07-15T20:11:44Z</dcterms:created>
  <dcterms:modified xsi:type="dcterms:W3CDTF">2020-02-03T15:12:44Z</dcterms:modified>
</cp:coreProperties>
</file>