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ristina.Sandberg\Documents\0584-0026 Determining Eligibility for Free and Reduced Price Meals and Free Milk In Schools 2020 Renewal\ICR from PO 3.30.20\"/>
    </mc:Choice>
  </mc:AlternateContent>
  <bookViews>
    <workbookView xWindow="15660" yWindow="0" windowWidth="16770" windowHeight="8210" tabRatio="640"/>
  </bookViews>
  <sheets>
    <sheet name="Reporting" sheetId="27" r:id="rId1"/>
    <sheet name="RecordKeeping" sheetId="8" r:id="rId2"/>
    <sheet name="PublicNotification" sheetId="31" r:id="rId3"/>
    <sheet name="Burden Summary" sheetId="4" r:id="rId4"/>
  </sheets>
  <definedNames>
    <definedName name="_xlnm._FilterDatabase" localSheetId="2" hidden="1">PublicNotification!$A$3:$N$14</definedName>
    <definedName name="_xlnm._FilterDatabase" localSheetId="1" hidden="1">RecordKeeping!$A$3:$M$21</definedName>
    <definedName name="_xlnm._FilterDatabase" localSheetId="0" hidden="1">Reporting!$A$4:$M$43</definedName>
    <definedName name="_xlnm.Print_Area" localSheetId="3">'Burden Summary'!$A$1:$F$20</definedName>
    <definedName name="_xlnm.Print_Area" localSheetId="2">PublicNotification!$A$1:$N$21</definedName>
    <definedName name="_xlnm.Print_Area" localSheetId="1">RecordKeeping!$A$1:$M$29</definedName>
    <definedName name="_xlnm.Print_Area" localSheetId="0">Reporting!$A$2:$M$51</definedName>
  </definedNames>
  <calcPr calcId="162913"/>
</workbook>
</file>

<file path=xl/calcChain.xml><?xml version="1.0" encoding="utf-8"?>
<calcChain xmlns="http://schemas.openxmlformats.org/spreadsheetml/2006/main">
  <c r="F8" i="27" l="1"/>
  <c r="F25" i="27" l="1"/>
  <c r="F23" i="27" l="1"/>
  <c r="M12" i="31" l="1"/>
  <c r="L16" i="27" l="1"/>
  <c r="F21" i="27"/>
  <c r="F20" i="27"/>
  <c r="F19" i="27"/>
  <c r="F17" i="27"/>
  <c r="F16" i="27"/>
  <c r="M12" i="27"/>
  <c r="E42" i="27" l="1"/>
  <c r="B15" i="4" l="1"/>
  <c r="E12" i="31" l="1"/>
  <c r="E14" i="31"/>
  <c r="F14" i="31" s="1"/>
  <c r="N10" i="31"/>
  <c r="M10" i="31"/>
  <c r="N9" i="31"/>
  <c r="M9" i="31"/>
  <c r="K12" i="31"/>
  <c r="K14" i="31" s="1"/>
  <c r="G14" i="31"/>
  <c r="H12" i="31"/>
  <c r="J12" i="31"/>
  <c r="I12" i="31"/>
  <c r="I14" i="31" s="1"/>
  <c r="G11" i="31"/>
  <c r="F12" i="31" l="1"/>
  <c r="G12" i="31"/>
  <c r="N11" i="31"/>
  <c r="N12" i="31" s="1"/>
  <c r="N14" i="31" s="1"/>
  <c r="L11" i="31"/>
  <c r="L12" i="31" s="1"/>
  <c r="E16" i="8"/>
  <c r="E16" i="4" l="1"/>
  <c r="B16" i="4"/>
  <c r="I12" i="27"/>
  <c r="K12" i="27" s="1"/>
  <c r="I17" i="27"/>
  <c r="I33" i="27"/>
  <c r="G32" i="27"/>
  <c r="I32" i="27" s="1"/>
  <c r="K32" i="27" l="1"/>
  <c r="M32" i="27"/>
  <c r="J42" i="27" l="1"/>
  <c r="K14" i="27"/>
  <c r="J14" i="27"/>
  <c r="D16" i="31"/>
  <c r="E16" i="31"/>
  <c r="F16" i="31"/>
  <c r="G16" i="31"/>
  <c r="H16" i="31"/>
  <c r="I16" i="31"/>
  <c r="J16" i="31"/>
  <c r="K16" i="31"/>
  <c r="L16" i="31"/>
  <c r="M16" i="31"/>
  <c r="N16" i="31"/>
  <c r="D17" i="31"/>
  <c r="E17" i="31" s="1"/>
  <c r="D18" i="31"/>
  <c r="J18" i="31" s="1"/>
  <c r="I18" i="31"/>
  <c r="D19" i="31"/>
  <c r="G19" i="31" s="1"/>
  <c r="H19" i="31" s="1"/>
  <c r="D20" i="31"/>
  <c r="E20" i="31" s="1"/>
  <c r="F20" i="31" s="1"/>
  <c r="D21" i="31"/>
  <c r="E21" i="31" s="1"/>
  <c r="F21" i="31" s="1"/>
  <c r="D22" i="31"/>
  <c r="J22" i="31" s="1"/>
  <c r="I14" i="8"/>
  <c r="K14" i="8" s="1"/>
  <c r="K16" i="8" s="1"/>
  <c r="I40" i="27"/>
  <c r="M40" i="27" s="1"/>
  <c r="K21" i="27"/>
  <c r="M37" i="27"/>
  <c r="M33" i="27"/>
  <c r="K33" i="27"/>
  <c r="M21" i="27"/>
  <c r="M19" i="27"/>
  <c r="K19" i="27"/>
  <c r="M17" i="27"/>
  <c r="K17" i="27" s="1"/>
  <c r="K20" i="31" l="1"/>
  <c r="M22" i="31"/>
  <c r="L22" i="31"/>
  <c r="M21" i="31"/>
  <c r="K22" i="31"/>
  <c r="K21" i="31"/>
  <c r="E22" i="31"/>
  <c r="F22" i="31" s="1"/>
  <c r="M18" i="31"/>
  <c r="L20" i="31"/>
  <c r="E19" i="31"/>
  <c r="F19" i="31" s="1"/>
  <c r="E18" i="31"/>
  <c r="F18" i="31" s="1"/>
  <c r="G20" i="31"/>
  <c r="H20" i="31" s="1"/>
  <c r="N20" i="31"/>
  <c r="J20" i="31"/>
  <c r="N19" i="31"/>
  <c r="I22" i="31"/>
  <c r="L21" i="31"/>
  <c r="M20" i="31"/>
  <c r="I20" i="31"/>
  <c r="M19" i="31"/>
  <c r="L18" i="31"/>
  <c r="J19" i="31"/>
  <c r="I19" i="31"/>
  <c r="L17" i="31"/>
  <c r="M14" i="8"/>
  <c r="G21" i="31"/>
  <c r="H21" i="31" s="1"/>
  <c r="K17" i="31"/>
  <c r="N21" i="31"/>
  <c r="L19" i="31"/>
  <c r="K18" i="31"/>
  <c r="G18" i="31"/>
  <c r="H18" i="31" s="1"/>
  <c r="J17" i="31"/>
  <c r="G22" i="31"/>
  <c r="H22" i="31" s="1"/>
  <c r="J21" i="31"/>
  <c r="N22" i="31"/>
  <c r="I21" i="31"/>
  <c r="K19" i="31"/>
  <c r="N18" i="31"/>
  <c r="M17" i="31"/>
  <c r="K37" i="27"/>
  <c r="K42" i="27" s="1"/>
  <c r="K40" i="27"/>
  <c r="G8" i="8" l="1"/>
  <c r="I7" i="8" l="1"/>
  <c r="G29" i="27"/>
  <c r="I29" i="27" s="1"/>
  <c r="M29" i="27" s="1"/>
  <c r="I6" i="31"/>
  <c r="L6" i="31" s="1"/>
  <c r="N6" i="31" s="1"/>
  <c r="F6" i="31"/>
  <c r="I8" i="27"/>
  <c r="J16" i="8"/>
  <c r="G15" i="8"/>
  <c r="I15" i="8" s="1"/>
  <c r="I28" i="27"/>
  <c r="M28" i="27" s="1"/>
  <c r="I27" i="27"/>
  <c r="M8" i="27" l="1"/>
  <c r="L8" i="27"/>
  <c r="M15" i="8"/>
  <c r="L15" i="8"/>
  <c r="M27" i="27"/>
  <c r="G11" i="27"/>
  <c r="I11" i="27" s="1"/>
  <c r="M11" i="27" s="1"/>
  <c r="M30" i="27" l="1"/>
  <c r="L30" i="27" s="1"/>
  <c r="G9" i="27"/>
  <c r="I9" i="27" s="1"/>
  <c r="M9" i="27" s="1"/>
  <c r="L9" i="27" s="1"/>
  <c r="G10" i="27"/>
  <c r="I10" i="27" s="1"/>
  <c r="M10" i="27" s="1"/>
  <c r="I23" i="27" l="1"/>
  <c r="M23" i="27" s="1"/>
  <c r="L23" i="27" s="1"/>
  <c r="G6" i="8" l="1"/>
  <c r="I6" i="8" s="1"/>
  <c r="M6" i="8" s="1"/>
  <c r="D32" i="8" l="1"/>
  <c r="D31" i="8"/>
  <c r="D30" i="8"/>
  <c r="D29" i="8"/>
  <c r="D28" i="8"/>
  <c r="D27" i="8"/>
  <c r="D26" i="8"/>
  <c r="D52" i="27"/>
  <c r="G5" i="31"/>
  <c r="I5" i="31" l="1"/>
  <c r="F17" i="4"/>
  <c r="C17" i="4"/>
  <c r="B17" i="4"/>
  <c r="G10" i="31"/>
  <c r="I10" i="31" s="1"/>
  <c r="G9" i="31"/>
  <c r="M7" i="31"/>
  <c r="M14" i="31" s="1"/>
  <c r="K7" i="31"/>
  <c r="J7" i="31"/>
  <c r="J14" i="31" s="1"/>
  <c r="E7" i="31"/>
  <c r="D16" i="4" l="1"/>
  <c r="C16" i="4"/>
  <c r="B18" i="4"/>
  <c r="I9" i="31"/>
  <c r="G17" i="31"/>
  <c r="L7" i="31"/>
  <c r="L14" i="31" s="1"/>
  <c r="E17" i="4"/>
  <c r="D17" i="4"/>
  <c r="G7" i="31"/>
  <c r="N5" i="31"/>
  <c r="L11" i="8"/>
  <c r="K11" i="8"/>
  <c r="E11" i="8"/>
  <c r="E14" i="27"/>
  <c r="E34" i="27"/>
  <c r="J34" i="27"/>
  <c r="J11" i="8"/>
  <c r="G10" i="8"/>
  <c r="B24" i="4" l="1"/>
  <c r="F16" i="4"/>
  <c r="F17" i="31"/>
  <c r="I17" i="31"/>
  <c r="H17" i="31" s="1"/>
  <c r="E43" i="27"/>
  <c r="F7" i="31"/>
  <c r="C15" i="4" s="1"/>
  <c r="D15" i="4"/>
  <c r="I10" i="8"/>
  <c r="I7" i="31"/>
  <c r="N7" i="31"/>
  <c r="D51" i="27"/>
  <c r="K30" i="8"/>
  <c r="K29" i="8"/>
  <c r="L28" i="8"/>
  <c r="N17" i="31" l="1"/>
  <c r="D18" i="4"/>
  <c r="C18" i="4" s="1"/>
  <c r="H7" i="31"/>
  <c r="E15" i="4" s="1"/>
  <c r="F15" i="4"/>
  <c r="M10" i="8"/>
  <c r="I16" i="27"/>
  <c r="K28" i="8"/>
  <c r="L27" i="8"/>
  <c r="L31" i="8"/>
  <c r="L32" i="8"/>
  <c r="K27" i="8"/>
  <c r="K31" i="8"/>
  <c r="K32" i="8"/>
  <c r="L30" i="8"/>
  <c r="L29" i="8"/>
  <c r="G9" i="8"/>
  <c r="I9" i="8" s="1"/>
  <c r="M9" i="8" s="1"/>
  <c r="H14" i="31" l="1"/>
  <c r="F18" i="4"/>
  <c r="E18" i="4" s="1"/>
  <c r="K26" i="8"/>
  <c r="L26" i="8"/>
  <c r="G5" i="8"/>
  <c r="I5" i="8" s="1"/>
  <c r="J43" i="27"/>
  <c r="G39" i="27"/>
  <c r="I39" i="27" s="1"/>
  <c r="M39" i="27" s="1"/>
  <c r="L39" i="27" s="1"/>
  <c r="G41" i="27"/>
  <c r="I41" i="27" s="1"/>
  <c r="M41" i="27" s="1"/>
  <c r="G38" i="27"/>
  <c r="I20" i="27"/>
  <c r="M20" i="27" s="1"/>
  <c r="L20" i="27" s="1"/>
  <c r="I38" i="27" l="1"/>
  <c r="G42" i="27"/>
  <c r="M5" i="8"/>
  <c r="M38" i="27" l="1"/>
  <c r="I42" i="27"/>
  <c r="H42" i="27" s="1"/>
  <c r="G13" i="8"/>
  <c r="G16" i="8" s="1"/>
  <c r="G11" i="8"/>
  <c r="I31" i="27"/>
  <c r="L38" i="27" l="1"/>
  <c r="L42" i="27" s="1"/>
  <c r="M42" i="27"/>
  <c r="E46" i="27"/>
  <c r="I8" i="8"/>
  <c r="M8" i="8" s="1"/>
  <c r="I13" i="8"/>
  <c r="L13" i="8" s="1"/>
  <c r="G6" i="27"/>
  <c r="G7" i="27"/>
  <c r="I7" i="27" s="1"/>
  <c r="M13" i="8" l="1"/>
  <c r="L16" i="8"/>
  <c r="I6" i="27"/>
  <c r="I14" i="27" s="1"/>
  <c r="H14" i="27" s="1"/>
  <c r="G14" i="27"/>
  <c r="I16" i="8"/>
  <c r="M11" i="8"/>
  <c r="I11" i="8"/>
  <c r="H11" i="8" s="1"/>
  <c r="F16" i="8"/>
  <c r="F11" i="8"/>
  <c r="M16" i="8"/>
  <c r="M6" i="27"/>
  <c r="M7" i="27"/>
  <c r="L7" i="27" s="1"/>
  <c r="J52" i="27"/>
  <c r="J51" i="27"/>
  <c r="D50" i="27"/>
  <c r="J50" i="27" s="1"/>
  <c r="D49" i="27"/>
  <c r="J49" i="27" s="1"/>
  <c r="D48" i="27"/>
  <c r="D47" i="27"/>
  <c r="D46" i="27"/>
  <c r="M45" i="27"/>
  <c r="L45" i="27"/>
  <c r="K45" i="27"/>
  <c r="J45" i="27"/>
  <c r="I45" i="27"/>
  <c r="H45" i="27"/>
  <c r="G45" i="27"/>
  <c r="F45" i="27"/>
  <c r="E45" i="27"/>
  <c r="D45" i="27"/>
  <c r="M31" i="27"/>
  <c r="D23" i="8"/>
  <c r="E23" i="8"/>
  <c r="E32" i="8"/>
  <c r="F32" i="8" s="1"/>
  <c r="E30" i="8"/>
  <c r="F30" i="8" s="1"/>
  <c r="E31" i="8"/>
  <c r="F31" i="8" s="1"/>
  <c r="H23" i="8"/>
  <c r="E29" i="8"/>
  <c r="D25" i="8"/>
  <c r="E27" i="8"/>
  <c r="D24" i="8"/>
  <c r="F23" i="8"/>
  <c r="G23" i="8"/>
  <c r="I23" i="8"/>
  <c r="J23" i="8"/>
  <c r="K23" i="8"/>
  <c r="L23" i="8"/>
  <c r="M23" i="8"/>
  <c r="E20" i="8"/>
  <c r="E24" i="8" s="1"/>
  <c r="J20" i="8"/>
  <c r="L20" i="8"/>
  <c r="K20" i="8"/>
  <c r="H20" i="8"/>
  <c r="E7" i="4" s="1"/>
  <c r="B6" i="4"/>
  <c r="B5" i="4"/>
  <c r="B8" i="4" s="1"/>
  <c r="G18" i="8"/>
  <c r="I18" i="8" s="1"/>
  <c r="M18" i="8" s="1"/>
  <c r="G19" i="8"/>
  <c r="I19" i="8" s="1"/>
  <c r="M19" i="8" s="1"/>
  <c r="H16" i="8" l="1"/>
  <c r="E6" i="4" s="1"/>
  <c r="M14" i="27"/>
  <c r="L6" i="27"/>
  <c r="L14" i="27" s="1"/>
  <c r="F14" i="27"/>
  <c r="L31" i="27"/>
  <c r="F20" i="8"/>
  <c r="C7" i="4" s="1"/>
  <c r="K24" i="8"/>
  <c r="K25" i="8"/>
  <c r="L25" i="8"/>
  <c r="J25" i="8"/>
  <c r="M25" i="8"/>
  <c r="J47" i="27"/>
  <c r="K47" i="27"/>
  <c r="L24" i="8"/>
  <c r="B7" i="4"/>
  <c r="G46" i="27"/>
  <c r="K46" i="27"/>
  <c r="F42" i="27"/>
  <c r="J48" i="27"/>
  <c r="E48" i="27"/>
  <c r="B11" i="4"/>
  <c r="C6" i="4"/>
  <c r="E21" i="8"/>
  <c r="I31" i="8"/>
  <c r="J30" i="8"/>
  <c r="G24" i="8"/>
  <c r="G25" i="8"/>
  <c r="I24" i="8"/>
  <c r="I25" i="8"/>
  <c r="J26" i="8"/>
  <c r="J21" i="8"/>
  <c r="G26" i="8"/>
  <c r="I26" i="8"/>
  <c r="J24" i="8"/>
  <c r="M26" i="8"/>
  <c r="M31" i="8"/>
  <c r="G31" i="8"/>
  <c r="H31" i="8" s="1"/>
  <c r="M30" i="8"/>
  <c r="J32" i="8"/>
  <c r="G29" i="8"/>
  <c r="I30" i="8"/>
  <c r="G30" i="8"/>
  <c r="H30" i="8" s="1"/>
  <c r="J31" i="8"/>
  <c r="I29" i="8"/>
  <c r="J29" i="8"/>
  <c r="M29" i="8"/>
  <c r="J28" i="8"/>
  <c r="G28" i="8"/>
  <c r="H28" i="8" s="1"/>
  <c r="I28" i="8"/>
  <c r="M28" i="8"/>
  <c r="G27" i="8"/>
  <c r="F27" i="8" s="1"/>
  <c r="I27" i="8"/>
  <c r="J27" i="8"/>
  <c r="M27" i="8"/>
  <c r="B10" i="4"/>
  <c r="J46" i="27"/>
  <c r="E47" i="27"/>
  <c r="G48" i="27"/>
  <c r="I48" i="27"/>
  <c r="M48" i="27"/>
  <c r="E49" i="27"/>
  <c r="G49" i="27"/>
  <c r="I49" i="27"/>
  <c r="M49" i="27"/>
  <c r="E50" i="27"/>
  <c r="G50" i="27"/>
  <c r="I50" i="27"/>
  <c r="M50" i="27"/>
  <c r="E51" i="27"/>
  <c r="F51" i="27" s="1"/>
  <c r="G51" i="27"/>
  <c r="H51" i="27" s="1"/>
  <c r="I51" i="27"/>
  <c r="M51" i="27"/>
  <c r="E52" i="27"/>
  <c r="F52" i="27" s="1"/>
  <c r="G52" i="27"/>
  <c r="H52" i="27" s="1"/>
  <c r="I52" i="27"/>
  <c r="M52" i="27"/>
  <c r="M32" i="8"/>
  <c r="I32" i="8"/>
  <c r="G32" i="8"/>
  <c r="H32" i="8" s="1"/>
  <c r="L21" i="8"/>
  <c r="K21" i="8"/>
  <c r="E28" i="8"/>
  <c r="F28" i="8" s="1"/>
  <c r="E26" i="8"/>
  <c r="F26" i="8" s="1"/>
  <c r="E25" i="8"/>
  <c r="F6" i="4"/>
  <c r="D6" i="4"/>
  <c r="M20" i="8"/>
  <c r="G20" i="8"/>
  <c r="D7" i="4" s="1"/>
  <c r="I20" i="8"/>
  <c r="F7" i="4" s="1"/>
  <c r="L33" i="8" l="1"/>
  <c r="F50" i="27"/>
  <c r="H50" i="27"/>
  <c r="H29" i="8"/>
  <c r="F29" i="8"/>
  <c r="K33" i="8"/>
  <c r="H25" i="8"/>
  <c r="H24" i="8"/>
  <c r="F24" i="8"/>
  <c r="H27" i="8"/>
  <c r="H49" i="27"/>
  <c r="H48" i="27"/>
  <c r="F48" i="27"/>
  <c r="F49" i="27"/>
  <c r="H26" i="8"/>
  <c r="K53" i="27"/>
  <c r="F46" i="27"/>
  <c r="F25" i="8"/>
  <c r="D5" i="4"/>
  <c r="D8" i="4" s="1"/>
  <c r="F5" i="4"/>
  <c r="F8" i="4" s="1"/>
  <c r="J53" i="27"/>
  <c r="C10" i="4"/>
  <c r="D10" i="4"/>
  <c r="M24" i="8"/>
  <c r="M33" i="8" s="1"/>
  <c r="I33" i="8"/>
  <c r="G33" i="8"/>
  <c r="J33" i="8"/>
  <c r="E33" i="8"/>
  <c r="E53" i="27"/>
  <c r="I46" i="27"/>
  <c r="H46" i="27" s="1"/>
  <c r="I21" i="8"/>
  <c r="M21" i="8"/>
  <c r="G21" i="8"/>
  <c r="L46" i="27" l="1"/>
  <c r="F33" i="8"/>
  <c r="C8" i="4"/>
  <c r="F21" i="8"/>
  <c r="F53" i="27"/>
  <c r="H33" i="8"/>
  <c r="E8" i="4"/>
  <c r="H21" i="8"/>
  <c r="C5" i="4"/>
  <c r="E5" i="4"/>
  <c r="E10" i="4"/>
  <c r="F10" i="4"/>
  <c r="M46" i="27"/>
  <c r="E12" i="4" l="1"/>
  <c r="D12" i="4"/>
  <c r="D25" i="4" s="1"/>
  <c r="C12" i="4" l="1"/>
  <c r="F12" i="4"/>
  <c r="F25" i="4" s="1"/>
  <c r="B12" i="4"/>
  <c r="B19" i="4" l="1"/>
  <c r="B13" i="4"/>
  <c r="B25" i="4"/>
  <c r="B26" i="4" s="1"/>
  <c r="E25" i="4"/>
  <c r="C25" i="4" l="1"/>
  <c r="G22" i="27"/>
  <c r="I22" i="27" l="1"/>
  <c r="M22" i="27" l="1"/>
  <c r="L22" i="27" l="1"/>
  <c r="G26" i="27"/>
  <c r="I26" i="27" s="1"/>
  <c r="M26" i="27" l="1"/>
  <c r="L26" i="27" l="1"/>
  <c r="G30" i="27" l="1"/>
  <c r="G47" i="27"/>
  <c r="F47" i="27" s="1"/>
  <c r="I18" i="27"/>
  <c r="I47" i="27" s="1"/>
  <c r="I53" i="27" s="1"/>
  <c r="F18" i="27"/>
  <c r="H47" i="27" l="1"/>
  <c r="H53" i="27" s="1"/>
  <c r="M18" i="27"/>
  <c r="G53" i="27"/>
  <c r="L18" i="27" l="1"/>
  <c r="M47" i="27"/>
  <c r="M53" i="27" s="1"/>
  <c r="L47" i="27" l="1"/>
  <c r="L53" i="27" s="1"/>
  <c r="F24" i="27"/>
  <c r="I24" i="27"/>
  <c r="M24" i="27" l="1"/>
  <c r="L24" i="27" l="1"/>
  <c r="L34" i="27" s="1"/>
  <c r="L43" i="27" s="1"/>
  <c r="G34" i="27"/>
  <c r="G43" i="27" s="1"/>
  <c r="F43" i="27" s="1"/>
  <c r="I25" i="27"/>
  <c r="M25" i="27" l="1"/>
  <c r="M34" i="27" s="1"/>
  <c r="M43" i="27" s="1"/>
  <c r="I34" i="27"/>
  <c r="K25" i="27"/>
  <c r="K34" i="27" s="1"/>
  <c r="K43" i="27" s="1"/>
  <c r="D11" i="4"/>
  <c r="F34" i="27"/>
  <c r="C11" i="4" s="1"/>
  <c r="D13" i="4" l="1"/>
  <c r="D24" i="4"/>
  <c r="F11" i="4"/>
  <c r="H34" i="27"/>
  <c r="E11" i="4" s="1"/>
  <c r="I43" i="27"/>
  <c r="H43" i="27" s="1"/>
  <c r="F24" i="4" l="1"/>
  <c r="F13" i="4"/>
  <c r="C24" i="4"/>
  <c r="D26" i="4"/>
  <c r="C26" i="4" s="1"/>
  <c r="C13" i="4"/>
  <c r="D19" i="4"/>
  <c r="F19" i="4" l="1"/>
  <c r="E13" i="4"/>
  <c r="C19" i="4"/>
  <c r="B30" i="4"/>
  <c r="B31" i="4" s="1"/>
  <c r="E24" i="4"/>
  <c r="F26" i="4"/>
  <c r="E26" i="4" s="1"/>
  <c r="E19" i="4" l="1"/>
  <c r="C30" i="4"/>
  <c r="C31" i="4" s="1"/>
</calcChain>
</file>

<file path=xl/sharedStrings.xml><?xml version="1.0" encoding="utf-8"?>
<sst xmlns="http://schemas.openxmlformats.org/spreadsheetml/2006/main" count="269" uniqueCount="157">
  <si>
    <t>CFR Citation</t>
  </si>
  <si>
    <t>Title</t>
  </si>
  <si>
    <t>Form Number</t>
  </si>
  <si>
    <t>Estimated # Record-keepers</t>
  </si>
  <si>
    <t>Records Per Recordkeeper</t>
  </si>
  <si>
    <t>Total Annual Records</t>
  </si>
  <si>
    <t>Estimated Avg. # of Hours Per Record</t>
  </si>
  <si>
    <t xml:space="preserve">Estimated Total Hours            </t>
  </si>
  <si>
    <t>Due to an Adjustment</t>
  </si>
  <si>
    <t>Total Difference</t>
  </si>
  <si>
    <t>Justification</t>
  </si>
  <si>
    <t xml:space="preserve">State Agency Level </t>
  </si>
  <si>
    <t xml:space="preserve">Recordkeeping </t>
  </si>
  <si>
    <t>A</t>
  </si>
  <si>
    <t>B</t>
  </si>
  <si>
    <t>C = (A*B)</t>
  </si>
  <si>
    <t>D</t>
  </si>
  <si>
    <t>E= (C*D)</t>
  </si>
  <si>
    <t>F</t>
  </si>
  <si>
    <t>G =E-F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</si>
  <si>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</si>
  <si>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</si>
  <si>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</si>
  <si>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</si>
  <si>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</si>
  <si>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</si>
  <si>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 xml:space="preserve">Data Validation - List </t>
  </si>
  <si>
    <t>Responses per Respondents</t>
  </si>
  <si>
    <t xml:space="preserve">School Level </t>
  </si>
  <si>
    <t xml:space="preserve">Recordkeeping Total </t>
  </si>
  <si>
    <t xml:space="preserve">Reporting </t>
  </si>
  <si>
    <t xml:space="preserve">Reporting Total </t>
  </si>
  <si>
    <t>State Agency Level Total</t>
  </si>
  <si>
    <t>State Agency Level</t>
  </si>
  <si>
    <t xml:space="preserve">Total </t>
  </si>
  <si>
    <t xml:space="preserve"> Total Reporting Burden</t>
  </si>
  <si>
    <t>School Level Total</t>
  </si>
  <si>
    <t xml:space="preserve"> Total Recordkeeping Burden</t>
  </si>
  <si>
    <t>Current OMB Approved Burden Hrs</t>
  </si>
  <si>
    <t>245.6(j)</t>
  </si>
  <si>
    <t>245.9 (h)</t>
  </si>
  <si>
    <t>245.10 (a)</t>
  </si>
  <si>
    <t>School Level</t>
  </si>
  <si>
    <t xml:space="preserve">Household Level Total </t>
  </si>
  <si>
    <t>245.6a (a)(7)(i)</t>
  </si>
  <si>
    <t>245.6a (a)(7)(ii)</t>
  </si>
  <si>
    <t>SA must maintain agreements with the SA conducting eligibility determinations for SNAP.</t>
  </si>
  <si>
    <t>Due to Authorizing Statute</t>
  </si>
  <si>
    <t>Program Rule</t>
  </si>
  <si>
    <t>F/R Eligibility</t>
  </si>
  <si>
    <t>245.6a (f)</t>
  </si>
  <si>
    <t>245.9 (f)</t>
  </si>
  <si>
    <t>245.6 (c)(7)</t>
  </si>
  <si>
    <t>SFAs with schools under Provision 2 or Provision 3 submit to FNS upon request all data and documentation used in granting extensions.</t>
  </si>
  <si>
    <t>Households cooperate with collateral contacts for verification of eligibility.</t>
  </si>
  <si>
    <t xml:space="preserve">245.6(b)(1)(iv) </t>
  </si>
  <si>
    <t xml:space="preserve">ICR #0584-0026, 7 CFR Part 245, Free and Reduced Price Eligibility - Summary </t>
  </si>
  <si>
    <t>Direct Certification</t>
  </si>
  <si>
    <t>Households complete application form for free or reduced price meal benefits.</t>
  </si>
  <si>
    <t>TOTAL BURDEN</t>
  </si>
  <si>
    <t>LEAs notify households of selection for verification.</t>
  </si>
  <si>
    <t>SFAs with schools under Provisions 1, 2, or 3 must identify those schools in its free and reduced price policy statement and certify their eligibility for the first year of operation.</t>
  </si>
  <si>
    <t>LEAs submit to SA for approval a free and reduced price policy statement.</t>
  </si>
  <si>
    <t>Local Educational Agency / School Food Authority Level</t>
  </si>
  <si>
    <t>Local Educational Agency / School Food Authority Level Total</t>
  </si>
  <si>
    <t>LEAs must maintain documentation substantiating eligibility determinations for 3 years after the end of the fiscal year.</t>
  </si>
  <si>
    <t>State agencies that fail to meet the direct certification benchmark must maintain a Continuous Improvement Plan.</t>
  </si>
  <si>
    <t>CIP</t>
  </si>
  <si>
    <t>Ind. Review of Apps</t>
  </si>
  <si>
    <t>245.9(f)(4)(ii)</t>
  </si>
  <si>
    <t>CEP</t>
  </si>
  <si>
    <t>Each SA shall by July 1 announce family-size income standards to be used by LEAs in making eligibility determinations for free or reduced price meals and for free milk.</t>
  </si>
  <si>
    <t>245.7(a)(2)(i)</t>
  </si>
  <si>
    <t>LEAs publicly announce method to make an oral or written request for a hearing.</t>
  </si>
  <si>
    <t>245.3(a) &amp; 245.12(a)(2)</t>
  </si>
  <si>
    <t>Public Notification</t>
  </si>
  <si>
    <t>245.12(g)</t>
  </si>
  <si>
    <t>245.12(h)(4)</t>
  </si>
  <si>
    <t>245.13(e)</t>
  </si>
  <si>
    <t>Public Notification Total</t>
  </si>
  <si>
    <t>245.5 &amp; 245.9 &amp; 245.3(b)</t>
  </si>
  <si>
    <t>245.6(e)</t>
  </si>
  <si>
    <t>245.12(i)</t>
  </si>
  <si>
    <t>245.9(f)(7)</t>
  </si>
  <si>
    <t>245.9(h)(3)</t>
  </si>
  <si>
    <t>245.9(f)(6)</t>
  </si>
  <si>
    <t>245.9(f)(4)(i)</t>
  </si>
  <si>
    <t>245.9(f)(5)</t>
  </si>
  <si>
    <t>245.6(c)(6)(i)</t>
  </si>
  <si>
    <t>245.6(c)(6)(ii)</t>
  </si>
  <si>
    <t>245.6a (j)</t>
  </si>
  <si>
    <t xml:space="preserve">Household Level </t>
  </si>
  <si>
    <t>State Agency (SA) Level</t>
  </si>
  <si>
    <t>Local Educational Agency (LEA) / School Food Authority Level (SFA)</t>
  </si>
  <si>
    <t>SA maintains annual October data on number of schools on Provisions 1, 2, or 3 and extensions granted.</t>
  </si>
  <si>
    <t>SA confirms LEA eligibility to participate in CEP.</t>
  </si>
  <si>
    <t>SA maintains annual verification data collected from SFAs (for FNS-742).</t>
  </si>
  <si>
    <t>Local Educational Agency Level</t>
  </si>
  <si>
    <t>7 CFR 245.13(g)</t>
  </si>
  <si>
    <t>SAs notify FNS when there is a change in the State’s TANF Program that would no longer make households automatically eligible for free meals.</t>
  </si>
  <si>
    <t>SA reporting burden for electronic reports accounted  for in the Food Program Reporting System (FPRS) ICR #0584-0594.</t>
  </si>
  <si>
    <t>FNS-742, FNS-874</t>
  </si>
  <si>
    <t>245.6a (h) 245.11(b)(2) 245.11(c)(3) 245.11(i)</t>
  </si>
  <si>
    <t>LEAs publicly announce criteria for determining eligibility of children for free and reduced price meals (or free milk) or participation in Provision 1, 2, or 3 in an annual media release.</t>
  </si>
  <si>
    <t xml:space="preserve"> Total Public Notification Burden</t>
  </si>
  <si>
    <t>Community Eligibility</t>
  </si>
  <si>
    <t xml:space="preserve">State agency to make publically available the names of LEAs and schools receiving notifications </t>
  </si>
  <si>
    <t>LEA to submit to the State agency for publication a list of eligible and potentially eligible schools and their eligibility status; unless otherwise exempted by State agency</t>
  </si>
  <si>
    <t>LEAs to amend free and reduced policy statement and certify that schools meet eligibility criteria</t>
  </si>
  <si>
    <t>Community eligibility</t>
  </si>
  <si>
    <t>LEA to maintain documentation  related to methodology used to calculate the identified student percentage and determine eligibility</t>
  </si>
  <si>
    <t>245.9(g)</t>
  </si>
  <si>
    <t>SLT Subtotal</t>
  </si>
  <si>
    <t>I/H Subtotal</t>
  </si>
  <si>
    <t>Total</t>
  </si>
  <si>
    <t>Currently Approved Burden</t>
  </si>
  <si>
    <t>Responses</t>
  </si>
  <si>
    <t>Hours</t>
  </si>
  <si>
    <t>Requested</t>
  </si>
  <si>
    <t>Difference</t>
  </si>
  <si>
    <t>LEAs submit to  State agency documentation of acceptable identified student percentage of LEA/school electing the provision</t>
  </si>
  <si>
    <t>LEAs notify households of approval of meal benefit applications.</t>
  </si>
  <si>
    <t xml:space="preserve">LEAs must notify the household of the children's eligibility in the Special Milk Program after approving their application. </t>
  </si>
  <si>
    <t>LEAs provide written notice to each household of denied free milk benefits</t>
  </si>
  <si>
    <t>LEAs provide written notice to each household of denied free or reduced price benefits.</t>
  </si>
  <si>
    <t>LEAs must provide households that failed to confirm eligibility with 10 days notice for receiving a reduction or termination of free or reduced price meal benefits.</t>
  </si>
  <si>
    <t xml:space="preserve">LEAs must provide households that failed to confirm eligibility with 10 days notice for receiving a reduction or termination of free milk benefits. </t>
  </si>
  <si>
    <t>Institutions electing to provide free milk shall annually submit a written free milk policy statement for determining free milk eligibility of children under their jurisdiction.</t>
  </si>
  <si>
    <t>215.13a(c)</t>
  </si>
  <si>
    <t>215.13a(b)</t>
  </si>
  <si>
    <t>Each State agency, or FNSRO shall provide such institutions with a prototype free milk policy statement and a copy of the State's family-size income standards for determining eligibility for free meals and milk.</t>
  </si>
  <si>
    <t>245.6(a)(1)</t>
  </si>
  <si>
    <t>245.6 (a)(1)</t>
  </si>
  <si>
    <t>Households complete application form for participation in the Special Milk Program.</t>
  </si>
  <si>
    <t>Households assemble written evidence for verification of eligibility for free and reduced price meals and send to LEA.</t>
  </si>
  <si>
    <t>215.13a(g)(2)(iv)</t>
  </si>
  <si>
    <t>Households respond to requests for verification of eligibility in the Special Milk Program.</t>
  </si>
  <si>
    <t xml:space="preserve">215.13a(e) </t>
  </si>
  <si>
    <t>215.7(7)</t>
  </si>
  <si>
    <t>LEAs must notify households in writing that children are eligible for free milk based on direct certification and that no application is required.</t>
  </si>
  <si>
    <t>215.7(d)</t>
  </si>
  <si>
    <t>Meals and Milk Eligibility</t>
  </si>
  <si>
    <t>Free Milk Eligibility</t>
  </si>
  <si>
    <t>Each school food authority approved to participate in the SMP shall enter into a written agreement with the State agency or FNSRO, as applicable, that may be amended as necessary.</t>
  </si>
  <si>
    <t xml:space="preserve"> Upon request, make all records pertaining to its milk program available to the State agency and to FNS; such records shall be retained for a period of three years after the end of the fiscal year to which they pertain. </t>
  </si>
  <si>
    <t>LEAs must notify households in writing that children are eligible for free meals based on direct certification and that no application is required.</t>
  </si>
  <si>
    <t>SAs and LEAs that plan to use or disclose information about children eligible for free or reduced price meals and/or free milk in ways not specified in this section must obtain written consent from the child's parent or guardian prior to the use or disclosure.</t>
  </si>
  <si>
    <r>
      <t>SAs enter into written agreement with the agency receiving children's free and reduced price meal</t>
    </r>
    <r>
      <rPr>
        <sz val="11"/>
        <color rgb="FFFFC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and/or free milk eligibility information.</t>
    </r>
  </si>
  <si>
    <r>
      <t xml:space="preserve">SAs submit to FNS </t>
    </r>
    <r>
      <rPr>
        <i/>
        <u/>
        <sz val="11"/>
        <rFont val="Calibri"/>
        <family val="2"/>
        <scheme val="minor"/>
      </rPr>
      <t>upon request</t>
    </r>
    <r>
      <rPr>
        <sz val="11"/>
        <rFont val="Calibri"/>
        <family val="2"/>
        <scheme val="minor"/>
      </rPr>
      <t>, the number of schools on Provision 1, Provision 2 or Provision 3 and extensions.</t>
    </r>
  </si>
  <si>
    <r>
      <rPr>
        <sz val="11"/>
        <color theme="1"/>
        <rFont val="Calibri"/>
        <family val="2"/>
        <scheme val="minor"/>
      </rPr>
      <t xml:space="preserve">SAs that fail to meet the direct certification benchmark must develop and submit a </t>
    </r>
    <r>
      <rPr>
        <i/>
        <sz val="11"/>
        <color theme="1"/>
        <rFont val="Calibri"/>
        <family val="2"/>
        <scheme val="minor"/>
      </rPr>
      <t>Continuous Improvement Plan</t>
    </r>
    <r>
      <rPr>
        <sz val="11"/>
        <color theme="1"/>
        <rFont val="Calibri"/>
        <family val="2"/>
        <scheme val="minor"/>
      </rPr>
      <t xml:space="preserve"> within 90 days of notification.</t>
    </r>
  </si>
  <si>
    <t>LEAs with schools offering free milk available under the Special Milk Program shall annually make a public announcement.</t>
  </si>
  <si>
    <t xml:space="preserve">State agency to  notify LEAs of their community eligibility status as applicable </t>
  </si>
  <si>
    <t>Existing Requirements in Use without OMB approval</t>
  </si>
  <si>
    <t>Attachment B. Burden Chart for 0584-0026 –  7 CFR Part 245Determining Eligibility for Free and Reduced Price Meals and Free Milk in Schools</t>
  </si>
  <si>
    <t>LEAs must have a written agreement with an agency to disclose children's free and reduced price meals and/or free milk eligibility information.</t>
  </si>
  <si>
    <t>245.6(i)</t>
  </si>
  <si>
    <t>State Agency to review and confirm LEAs eligibility to participate in Provisions 1, 2, 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</si>
</sst>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#,##0.0"/>
    <numFmt numFmtId="170" formatCode="#,##0.000_);\(#,##0.000\)"/>
    <numFmt numFmtId="171" formatCode="0.0"/>
    <numFmt numFmtId="172" formatCode="0.0000"/>
    <numFmt numFmtId="173" formatCode="#,##0.00000"/>
    <numFmt numFmtId="174" formatCode="_(* #,##0.000_);_(* \(#,##0.000\);_(* &quot;-&quot;???_);_(@_)"/>
    <numFmt numFmtId="175" formatCode="0.000_);\(0.000\)"/>
    <numFmt numFmtId="176" formatCode="0.00000"/>
    <numFmt numFmtId="177" formatCode="0.000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5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name val="Cambria"/>
      <family val="1"/>
      <scheme val="maj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FFC000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57">
    <xf numFmtId="0" fontId="0" fillId="0" borderId="0" xfId="0"/>
    <xf numFmtId="0" fontId="5" fillId="0" borderId="0" xfId="1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 wrapText="1"/>
    </xf>
    <xf numFmtId="166" fontId="5" fillId="0" borderId="1" xfId="3" applyNumberFormat="1" applyFont="1" applyFill="1" applyBorder="1" applyAlignment="1" applyProtection="1">
      <alignment vertical="center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166" fontId="9" fillId="3" borderId="0" xfId="3" applyNumberFormat="1" applyFont="1" applyFill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5" fillId="0" borderId="1" xfId="3" applyFont="1" applyFill="1" applyBorder="1" applyAlignment="1" applyProtection="1">
      <alignment vertical="center" wrapText="1"/>
      <protection locked="0"/>
    </xf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166" fontId="5" fillId="0" borderId="1" xfId="3" applyNumberFormat="1" applyFont="1" applyFill="1" applyBorder="1" applyAlignment="1" applyProtection="1">
      <alignment vertical="center"/>
      <protection locked="0"/>
    </xf>
    <xf numFmtId="43" fontId="5" fillId="0" borderId="2" xfId="3" applyFont="1" applyFill="1" applyBorder="1" applyAlignment="1" applyProtection="1">
      <alignment vertical="center" wrapText="1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3" fillId="2" borderId="2" xfId="1" applyFont="1" applyFill="1" applyBorder="1" applyAlignment="1" applyProtection="1">
      <alignment horizontal="center" vertical="center" wrapText="1"/>
    </xf>
    <xf numFmtId="0" fontId="15" fillId="0" borderId="8" xfId="4" applyFont="1" applyBorder="1" applyAlignment="1">
      <alignment horizontal="center"/>
    </xf>
    <xf numFmtId="0" fontId="15" fillId="0" borderId="9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0" borderId="9" xfId="4" applyFont="1" applyBorder="1" applyAlignment="1" applyProtection="1">
      <alignment horizontal="center"/>
    </xf>
    <xf numFmtId="0" fontId="17" fillId="0" borderId="10" xfId="4" applyFont="1" applyBorder="1" applyAlignment="1" applyProtection="1">
      <alignment horizontal="center"/>
    </xf>
    <xf numFmtId="43" fontId="6" fillId="0" borderId="11" xfId="3" applyFont="1" applyFill="1" applyBorder="1" applyAlignment="1" applyProtection="1">
      <alignment horizontal="center" vertical="center" wrapText="1"/>
      <protection locked="0"/>
    </xf>
    <xf numFmtId="166" fontId="5" fillId="0" borderId="12" xfId="3" applyNumberFormat="1" applyFont="1" applyFill="1" applyBorder="1" applyAlignment="1" applyProtection="1">
      <alignment vertical="center"/>
    </xf>
    <xf numFmtId="0" fontId="13" fillId="5" borderId="11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12" xfId="1" applyFont="1" applyFill="1" applyBorder="1" applyAlignment="1" applyProtection="1">
      <alignment horizontal="center" vertical="center" wrapText="1"/>
    </xf>
    <xf numFmtId="0" fontId="13" fillId="4" borderId="11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0" fillId="0" borderId="0" xfId="0" applyFont="1" applyFill="1" applyBorder="1"/>
    <xf numFmtId="0" fontId="7" fillId="0" borderId="7" xfId="0" applyFont="1" applyFill="1" applyBorder="1"/>
    <xf numFmtId="0" fontId="11" fillId="0" borderId="0" xfId="0" applyFont="1" applyBorder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Border="1" applyAlignment="1">
      <alignment horizontal="left" vertical="center"/>
    </xf>
    <xf numFmtId="166" fontId="11" fillId="0" borderId="4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9" fillId="3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" fillId="8" borderId="20" xfId="0" applyFont="1" applyFill="1" applyBorder="1" applyAlignment="1">
      <alignment horizontal="center"/>
    </xf>
    <xf numFmtId="0" fontId="0" fillId="8" borderId="21" xfId="0" applyFill="1" applyBorder="1"/>
    <xf numFmtId="0" fontId="0" fillId="8" borderId="22" xfId="0" applyFill="1" applyBorder="1"/>
    <xf numFmtId="0" fontId="0" fillId="8" borderId="21" xfId="0" applyFill="1" applyBorder="1" applyAlignment="1">
      <alignment horizontal="center"/>
    </xf>
    <xf numFmtId="0" fontId="11" fillId="9" borderId="0" xfId="0" applyFont="1" applyFill="1" applyBorder="1" applyAlignment="1">
      <alignment horizontal="left" vertical="center"/>
    </xf>
    <xf numFmtId="166" fontId="11" fillId="9" borderId="0" xfId="3" applyNumberFormat="1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horizontal="center" vertical="center" wrapText="1"/>
    </xf>
    <xf numFmtId="43" fontId="6" fillId="10" borderId="11" xfId="3" applyFont="1" applyFill="1" applyBorder="1" applyAlignment="1" applyProtection="1">
      <alignment horizontal="center" vertical="center" wrapText="1"/>
      <protection locked="0"/>
    </xf>
    <xf numFmtId="43" fontId="5" fillId="10" borderId="2" xfId="3" applyFont="1" applyFill="1" applyBorder="1" applyAlignment="1" applyProtection="1">
      <alignment vertical="center" wrapText="1"/>
      <protection locked="0"/>
    </xf>
    <xf numFmtId="43" fontId="6" fillId="10" borderId="1" xfId="3" applyFont="1" applyFill="1" applyBorder="1" applyAlignment="1" applyProtection="1">
      <alignment horizontal="center" vertical="center" wrapText="1"/>
      <protection locked="0"/>
    </xf>
    <xf numFmtId="166" fontId="5" fillId="10" borderId="1" xfId="3" applyNumberFormat="1" applyFont="1" applyFill="1" applyBorder="1" applyAlignment="1" applyProtection="1">
      <alignment vertical="center"/>
    </xf>
    <xf numFmtId="166" fontId="5" fillId="10" borderId="12" xfId="3" applyNumberFormat="1" applyFont="1" applyFill="1" applyBorder="1" applyAlignment="1" applyProtection="1">
      <alignment vertical="center"/>
    </xf>
    <xf numFmtId="43" fontId="22" fillId="10" borderId="1" xfId="3" applyFont="1" applyFill="1" applyBorder="1" applyAlignment="1" applyProtection="1">
      <alignment horizontal="right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/>
    </xf>
    <xf numFmtId="43" fontId="6" fillId="8" borderId="14" xfId="3" applyFont="1" applyFill="1" applyBorder="1" applyAlignment="1" applyProtection="1">
      <alignment vertical="center" wrapText="1"/>
    </xf>
    <xf numFmtId="43" fontId="22" fillId="8" borderId="15" xfId="3" applyFont="1" applyFill="1" applyBorder="1" applyAlignment="1" applyProtection="1">
      <alignment horizontal="right" vertical="center"/>
    </xf>
    <xf numFmtId="43" fontId="6" fillId="8" borderId="15" xfId="3" applyFont="1" applyFill="1" applyBorder="1" applyAlignment="1" applyProtection="1">
      <alignment horizontal="center" vertical="center"/>
    </xf>
    <xf numFmtId="166" fontId="6" fillId="8" borderId="15" xfId="3" applyNumberFormat="1" applyFont="1" applyFill="1" applyBorder="1" applyProtection="1"/>
    <xf numFmtId="165" fontId="5" fillId="10" borderId="1" xfId="3" applyNumberFormat="1" applyFont="1" applyFill="1" applyBorder="1" applyAlignment="1" applyProtection="1">
      <alignment vertical="center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167" fontId="24" fillId="12" borderId="0" xfId="0" applyNumberFormat="1" applyFont="1" applyFill="1" applyBorder="1"/>
    <xf numFmtId="167" fontId="24" fillId="12" borderId="24" xfId="0" applyNumberFormat="1" applyFont="1" applyFill="1" applyBorder="1"/>
    <xf numFmtId="0" fontId="1" fillId="0" borderId="0" xfId="0" applyFont="1"/>
    <xf numFmtId="43" fontId="6" fillId="11" borderId="1" xfId="3" applyFont="1" applyFill="1" applyBorder="1" applyAlignment="1" applyProtection="1">
      <alignment horizontal="center" vertical="center" wrapText="1"/>
      <protection locked="0"/>
    </xf>
    <xf numFmtId="166" fontId="5" fillId="11" borderId="1" xfId="3" applyNumberFormat="1" applyFont="1" applyFill="1" applyBorder="1" applyAlignment="1" applyProtection="1">
      <alignment vertical="center"/>
    </xf>
    <xf numFmtId="0" fontId="25" fillId="10" borderId="27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6" fillId="12" borderId="23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4" applyFont="1"/>
    <xf numFmtId="3" fontId="27" fillId="0" borderId="1" xfId="0" applyNumberFormat="1" applyFont="1" applyFill="1" applyBorder="1" applyAlignment="1">
      <alignment vertical="center"/>
    </xf>
    <xf numFmtId="166" fontId="28" fillId="0" borderId="1" xfId="3" applyNumberFormat="1" applyFont="1" applyFill="1" applyBorder="1" applyAlignment="1" applyProtection="1">
      <alignment vertical="center"/>
      <protection locked="0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vertical="center" wrapText="1"/>
    </xf>
    <xf numFmtId="0" fontId="28" fillId="0" borderId="1" xfId="1" applyFont="1" applyBorder="1"/>
    <xf numFmtId="0" fontId="28" fillId="0" borderId="31" xfId="1" applyFont="1" applyBorder="1" applyAlignment="1">
      <alignment vertical="center" wrapText="1"/>
    </xf>
    <xf numFmtId="0" fontId="28" fillId="0" borderId="31" xfId="1" applyFont="1" applyBorder="1" applyAlignment="1">
      <alignment vertical="center"/>
    </xf>
    <xf numFmtId="0" fontId="2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7" fontId="28" fillId="0" borderId="1" xfId="3" applyNumberFormat="1" applyFont="1" applyFill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1" fontId="28" fillId="0" borderId="1" xfId="3" applyNumberFormat="1" applyFont="1" applyFill="1" applyBorder="1" applyAlignment="1" applyProtection="1">
      <alignment vertical="center"/>
      <protection locked="0"/>
    </xf>
    <xf numFmtId="1" fontId="2" fillId="13" borderId="1" xfId="0" applyNumberFormat="1" applyFont="1" applyFill="1" applyBorder="1" applyAlignment="1">
      <alignment vertical="center"/>
    </xf>
    <xf numFmtId="1" fontId="29" fillId="13" borderId="1" xfId="0" applyNumberFormat="1" applyFont="1" applyFill="1" applyBorder="1" applyAlignment="1">
      <alignment vertical="center"/>
    </xf>
    <xf numFmtId="1" fontId="5" fillId="0" borderId="1" xfId="3" applyNumberFormat="1" applyFont="1" applyFill="1" applyBorder="1" applyAlignment="1" applyProtection="1">
      <alignment vertical="center"/>
      <protection locked="0"/>
    </xf>
    <xf numFmtId="0" fontId="6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11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1" borderId="2" xfId="3" applyNumberFormat="1" applyFont="1" applyFill="1" applyBorder="1" applyAlignment="1" applyProtection="1">
      <alignment vertical="center" wrapText="1"/>
      <protection locked="0"/>
    </xf>
    <xf numFmtId="0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1" fontId="6" fillId="11" borderId="1" xfId="3" applyNumberFormat="1" applyFont="1" applyFill="1" applyBorder="1" applyAlignment="1" applyProtection="1">
      <alignment horizontal="center" vertical="center"/>
      <protection locked="0"/>
    </xf>
    <xf numFmtId="3" fontId="5" fillId="0" borderId="1" xfId="3" applyNumberFormat="1" applyFont="1" applyFill="1" applyBorder="1" applyAlignment="1" applyProtection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3" fontId="5" fillId="11" borderId="1" xfId="3" applyNumberFormat="1" applyFont="1" applyFill="1" applyBorder="1" applyAlignment="1" applyProtection="1">
      <alignment vertical="center"/>
    </xf>
    <xf numFmtId="2" fontId="5" fillId="0" borderId="1" xfId="3" applyNumberFormat="1" applyFont="1" applyFill="1" applyBorder="1" applyAlignment="1" applyProtection="1">
      <alignment vertical="center"/>
      <protection locked="0"/>
    </xf>
    <xf numFmtId="3" fontId="5" fillId="0" borderId="12" xfId="3" applyNumberFormat="1" applyFont="1" applyFill="1" applyBorder="1" applyAlignment="1" applyProtection="1">
      <alignment vertical="center"/>
    </xf>
    <xf numFmtId="3" fontId="5" fillId="11" borderId="1" xfId="3" applyNumberFormat="1" applyFont="1" applyFill="1" applyBorder="1" applyAlignment="1" applyProtection="1">
      <alignment vertical="center"/>
      <protection locked="0"/>
    </xf>
    <xf numFmtId="168" fontId="5" fillId="11" borderId="1" xfId="3" applyNumberFormat="1" applyFont="1" applyFill="1" applyBorder="1" applyAlignment="1" applyProtection="1">
      <alignment vertical="center"/>
    </xf>
    <xf numFmtId="39" fontId="6" fillId="8" borderId="15" xfId="3" applyNumberFormat="1" applyFont="1" applyFill="1" applyBorder="1" applyProtection="1"/>
    <xf numFmtId="0" fontId="6" fillId="8" borderId="13" xfId="3" applyNumberFormat="1" applyFont="1" applyFill="1" applyBorder="1" applyAlignment="1" applyProtection="1">
      <alignment horizontal="center" vertical="center"/>
    </xf>
    <xf numFmtId="0" fontId="6" fillId="8" borderId="14" xfId="3" applyNumberFormat="1" applyFont="1" applyFill="1" applyBorder="1" applyAlignment="1" applyProtection="1">
      <alignment vertical="center" wrapText="1"/>
    </xf>
    <xf numFmtId="0" fontId="22" fillId="8" borderId="15" xfId="3" applyNumberFormat="1" applyFont="1" applyFill="1" applyBorder="1" applyAlignment="1" applyProtection="1">
      <alignment horizontal="right" vertical="center"/>
    </xf>
    <xf numFmtId="0" fontId="6" fillId="8" borderId="15" xfId="3" applyNumberFormat="1" applyFont="1" applyFill="1" applyBorder="1" applyAlignment="1" applyProtection="1">
      <alignment horizontal="center" vertical="center"/>
    </xf>
    <xf numFmtId="37" fontId="6" fillId="8" borderId="15" xfId="3" applyNumberFormat="1" applyFont="1" applyFill="1" applyBorder="1" applyProtection="1"/>
    <xf numFmtId="2" fontId="6" fillId="8" borderId="15" xfId="3" applyNumberFormat="1" applyFont="1" applyFill="1" applyBorder="1" applyProtection="1"/>
    <xf numFmtId="37" fontId="24" fillId="12" borderId="0" xfId="0" applyNumberFormat="1" applyFont="1" applyFill="1" applyBorder="1"/>
    <xf numFmtId="37" fontId="24" fillId="12" borderId="24" xfId="0" applyNumberFormat="1" applyFont="1" applyFill="1" applyBorder="1"/>
    <xf numFmtId="2" fontId="24" fillId="12" borderId="0" xfId="0" applyNumberFormat="1" applyFont="1" applyFill="1" applyBorder="1"/>
    <xf numFmtId="3" fontId="24" fillId="12" borderId="0" xfId="0" applyNumberFormat="1" applyFont="1" applyFill="1" applyBorder="1"/>
    <xf numFmtId="2" fontId="1" fillId="0" borderId="1" xfId="0" applyNumberFormat="1" applyFont="1" applyBorder="1"/>
    <xf numFmtId="3" fontId="1" fillId="0" borderId="1" xfId="0" applyNumberFormat="1" applyFont="1" applyBorder="1"/>
    <xf numFmtId="37" fontId="1" fillId="0" borderId="1" xfId="0" applyNumberFormat="1" applyFont="1" applyBorder="1"/>
    <xf numFmtId="3" fontId="5" fillId="11" borderId="12" xfId="3" applyNumberFormat="1" applyFont="1" applyFill="1" applyBorder="1" applyAlignment="1" applyProtection="1">
      <alignment vertical="center"/>
    </xf>
    <xf numFmtId="3" fontId="28" fillId="0" borderId="12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  <protection locked="0"/>
    </xf>
    <xf numFmtId="1" fontId="24" fillId="11" borderId="1" xfId="3" applyNumberFormat="1" applyFont="1" applyFill="1" applyBorder="1" applyAlignment="1" applyProtection="1">
      <alignment vertical="center"/>
    </xf>
    <xf numFmtId="2" fontId="24" fillId="11" borderId="1" xfId="3" applyNumberFormat="1" applyFont="1" applyFill="1" applyBorder="1" applyAlignment="1" applyProtection="1">
      <alignment vertical="center"/>
    </xf>
    <xf numFmtId="37" fontId="24" fillId="11" borderId="1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</xf>
    <xf numFmtId="39" fontId="24" fillId="0" borderId="1" xfId="3" applyNumberFormat="1" applyFont="1" applyFill="1" applyBorder="1" applyAlignment="1" applyProtection="1">
      <alignment vertical="center"/>
      <protection locked="0"/>
    </xf>
    <xf numFmtId="1" fontId="24" fillId="0" borderId="12" xfId="3" applyNumberFormat="1" applyFont="1" applyFill="1" applyBorder="1" applyAlignment="1" applyProtection="1">
      <alignment vertical="center"/>
    </xf>
    <xf numFmtId="3" fontId="24" fillId="0" borderId="1" xfId="3" applyNumberFormat="1" applyFont="1" applyFill="1" applyBorder="1" applyAlignment="1" applyProtection="1">
      <alignment vertical="center"/>
    </xf>
    <xf numFmtId="3" fontId="27" fillId="0" borderId="1" xfId="0" applyNumberFormat="1" applyFont="1" applyBorder="1" applyAlignment="1">
      <alignment vertical="center"/>
    </xf>
    <xf numFmtId="37" fontId="28" fillId="0" borderId="1" xfId="3" applyNumberFormat="1" applyFont="1" applyFill="1" applyBorder="1" applyAlignment="1" applyProtection="1">
      <alignment vertical="center"/>
      <protection locked="0"/>
    </xf>
    <xf numFmtId="4" fontId="27" fillId="0" borderId="1" xfId="0" applyNumberFormat="1" applyFont="1" applyBorder="1" applyAlignment="1">
      <alignment vertical="center"/>
    </xf>
    <xf numFmtId="2" fontId="5" fillId="10" borderId="1" xfId="3" applyNumberFormat="1" applyFont="1" applyFill="1" applyBorder="1" applyAlignment="1" applyProtection="1">
      <alignment vertical="center"/>
    </xf>
    <xf numFmtId="3" fontId="5" fillId="10" borderId="1" xfId="3" applyNumberFormat="1" applyFont="1" applyFill="1" applyBorder="1" applyAlignment="1" applyProtection="1">
      <alignment vertical="center"/>
    </xf>
    <xf numFmtId="1" fontId="24" fillId="11" borderId="12" xfId="3" applyNumberFormat="1" applyFont="1" applyFill="1" applyBorder="1" applyAlignment="1" applyProtection="1">
      <alignment vertical="center"/>
    </xf>
    <xf numFmtId="0" fontId="6" fillId="10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3" applyNumberFormat="1" applyFont="1" applyFill="1" applyBorder="1" applyAlignment="1" applyProtection="1">
      <alignment vertical="center" wrapText="1"/>
      <protection locked="0"/>
    </xf>
    <xf numFmtId="0" fontId="22" fillId="10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39" fontId="24" fillId="12" borderId="0" xfId="0" applyNumberFormat="1" applyFont="1" applyFill="1" applyBorder="1"/>
    <xf numFmtId="37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37" fontId="5" fillId="10" borderId="1" xfId="3" applyNumberFormat="1" applyFont="1" applyFill="1" applyBorder="1" applyAlignment="1" applyProtection="1">
      <alignment vertical="center"/>
    </xf>
    <xf numFmtId="169" fontId="28" fillId="0" borderId="5" xfId="3" applyNumberFormat="1" applyFont="1" applyFill="1" applyBorder="1" applyAlignment="1" applyProtection="1">
      <alignment vertical="center"/>
    </xf>
    <xf numFmtId="4" fontId="5" fillId="0" borderId="1" xfId="3" applyNumberFormat="1" applyFont="1" applyFill="1" applyBorder="1" applyAlignment="1" applyProtection="1">
      <alignment vertical="center"/>
      <protection locked="0"/>
    </xf>
    <xf numFmtId="170" fontId="9" fillId="3" borderId="0" xfId="3" applyNumberFormat="1" applyFont="1" applyFill="1" applyBorder="1" applyAlignment="1">
      <alignment vertical="center"/>
    </xf>
    <xf numFmtId="4" fontId="5" fillId="10" borderId="1" xfId="3" applyNumberFormat="1" applyFont="1" applyFill="1" applyBorder="1" applyAlignment="1" applyProtection="1">
      <alignment vertical="center"/>
    </xf>
    <xf numFmtId="0" fontId="0" fillId="0" borderId="0" xfId="0"/>
    <xf numFmtId="0" fontId="0" fillId="8" borderId="21" xfId="0" applyFill="1" applyBorder="1"/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0" fillId="0" borderId="0" xfId="0"/>
    <xf numFmtId="0" fontId="0" fillId="8" borderId="21" xfId="0" applyFill="1" applyBorder="1"/>
    <xf numFmtId="3" fontId="28" fillId="0" borderId="1" xfId="1" applyNumberFormat="1" applyFont="1" applyFill="1" applyBorder="1" applyAlignment="1">
      <alignment vertical="center"/>
    </xf>
    <xf numFmtId="0" fontId="28" fillId="15" borderId="1" xfId="0" applyFont="1" applyFill="1" applyBorder="1" applyAlignment="1">
      <alignment vertical="center" wrapText="1"/>
    </xf>
    <xf numFmtId="0" fontId="28" fillId="15" borderId="1" xfId="0" applyFont="1" applyFill="1" applyBorder="1" applyAlignment="1">
      <alignment vertical="center"/>
    </xf>
    <xf numFmtId="3" fontId="28" fillId="15" borderId="1" xfId="0" applyNumberFormat="1" applyFont="1" applyFill="1" applyBorder="1" applyAlignment="1">
      <alignment vertical="center"/>
    </xf>
    <xf numFmtId="3" fontId="24" fillId="15" borderId="1" xfId="3" applyNumberFormat="1" applyFont="1" applyFill="1" applyBorder="1" applyAlignment="1" applyProtection="1">
      <alignment vertical="center"/>
    </xf>
    <xf numFmtId="4" fontId="28" fillId="15" borderId="1" xfId="0" applyNumberFormat="1" applyFont="1" applyFill="1" applyBorder="1" applyAlignment="1">
      <alignment vertical="center"/>
    </xf>
    <xf numFmtId="3" fontId="27" fillId="15" borderId="1" xfId="0" applyNumberFormat="1" applyFont="1" applyFill="1" applyBorder="1" applyAlignment="1">
      <alignment vertical="center"/>
    </xf>
    <xf numFmtId="3" fontId="28" fillId="15" borderId="1" xfId="3" applyNumberFormat="1" applyFont="1" applyFill="1" applyBorder="1" applyAlignment="1" applyProtection="1">
      <alignment vertical="center"/>
      <protection locked="0"/>
    </xf>
    <xf numFmtId="3" fontId="28" fillId="15" borderId="12" xfId="3" applyNumberFormat="1" applyFont="1" applyFill="1" applyBorder="1" applyAlignment="1" applyProtection="1">
      <alignment vertical="center"/>
    </xf>
    <xf numFmtId="0" fontId="6" fillId="16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6" borderId="2" xfId="3" applyNumberFormat="1" applyFont="1" applyFill="1" applyBorder="1" applyAlignment="1" applyProtection="1">
      <alignment vertical="center" wrapText="1"/>
      <protection locked="0"/>
    </xf>
    <xf numFmtId="0" fontId="22" fillId="16" borderId="1" xfId="3" applyNumberFormat="1" applyFont="1" applyFill="1" applyBorder="1" applyAlignment="1" applyProtection="1">
      <alignment horizontal="right" vertical="center" wrapText="1"/>
      <protection locked="0"/>
    </xf>
    <xf numFmtId="1" fontId="6" fillId="16" borderId="1" xfId="3" applyNumberFormat="1" applyFont="1" applyFill="1" applyBorder="1" applyAlignment="1" applyProtection="1">
      <alignment horizontal="center" vertical="center"/>
      <protection locked="0"/>
    </xf>
    <xf numFmtId="1" fontId="24" fillId="16" borderId="1" xfId="3" applyNumberFormat="1" applyFont="1" applyFill="1" applyBorder="1" applyAlignment="1" applyProtection="1">
      <alignment vertical="center"/>
    </xf>
    <xf numFmtId="2" fontId="24" fillId="16" borderId="1" xfId="3" applyNumberFormat="1" applyFont="1" applyFill="1" applyBorder="1" applyAlignment="1" applyProtection="1">
      <alignment vertical="center"/>
    </xf>
    <xf numFmtId="37" fontId="24" fillId="16" borderId="1" xfId="3" applyNumberFormat="1" applyFont="1" applyFill="1" applyBorder="1" applyAlignment="1" applyProtection="1">
      <alignment vertical="center"/>
    </xf>
    <xf numFmtId="0" fontId="13" fillId="18" borderId="11" xfId="1" applyFont="1" applyFill="1" applyBorder="1" applyAlignment="1" applyProtection="1">
      <alignment horizontal="center" vertical="center" wrapText="1"/>
    </xf>
    <xf numFmtId="0" fontId="13" fillId="18" borderId="1" xfId="1" applyFont="1" applyFill="1" applyBorder="1" applyAlignment="1" applyProtection="1">
      <alignment horizontal="center" vertical="center" wrapText="1"/>
    </xf>
    <xf numFmtId="0" fontId="13" fillId="18" borderId="12" xfId="1" applyFont="1" applyFill="1" applyBorder="1" applyAlignment="1" applyProtection="1">
      <alignment horizontal="center" vertical="center" wrapText="1"/>
    </xf>
    <xf numFmtId="0" fontId="25" fillId="18" borderId="27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29" xfId="0" applyFont="1" applyFill="1" applyBorder="1" applyAlignment="1">
      <alignment horizontal="center" vertical="center" wrapText="1"/>
    </xf>
    <xf numFmtId="0" fontId="6" fillId="16" borderId="1" xfId="3" applyNumberFormat="1" applyFont="1" applyFill="1" applyBorder="1" applyAlignment="1" applyProtection="1">
      <alignment horizontal="center" vertical="center" wrapText="1"/>
      <protection locked="0"/>
    </xf>
    <xf numFmtId="3" fontId="5" fillId="16" borderId="1" xfId="3" applyNumberFormat="1" applyFont="1" applyFill="1" applyBorder="1" applyAlignment="1" applyProtection="1">
      <alignment vertical="center"/>
    </xf>
    <xf numFmtId="3" fontId="5" fillId="16" borderId="1" xfId="3" applyNumberFormat="1" applyFont="1" applyFill="1" applyBorder="1" applyAlignment="1" applyProtection="1">
      <alignment vertical="center"/>
      <protection locked="0"/>
    </xf>
    <xf numFmtId="169" fontId="28" fillId="0" borderId="1" xfId="1" applyNumberFormat="1" applyFont="1" applyFill="1" applyBorder="1" applyAlignment="1">
      <alignment vertical="center"/>
    </xf>
    <xf numFmtId="166" fontId="11" fillId="5" borderId="0" xfId="3" applyNumberFormat="1" applyFont="1" applyFill="1" applyBorder="1" applyAlignment="1">
      <alignment vertical="center"/>
    </xf>
    <xf numFmtId="170" fontId="11" fillId="5" borderId="0" xfId="3" applyNumberFormat="1" applyFont="1" applyFill="1" applyBorder="1" applyAlignment="1">
      <alignment vertical="center"/>
    </xf>
    <xf numFmtId="166" fontId="11" fillId="16" borderId="0" xfId="3" applyNumberFormat="1" applyFont="1" applyFill="1" applyBorder="1" applyAlignment="1">
      <alignment vertical="center"/>
    </xf>
    <xf numFmtId="166" fontId="11" fillId="17" borderId="0" xfId="3" applyNumberFormat="1" applyFont="1" applyFill="1" applyBorder="1" applyAlignment="1">
      <alignment vertical="center"/>
    </xf>
    <xf numFmtId="170" fontId="11" fillId="17" borderId="0" xfId="3" applyNumberFormat="1" applyFont="1" applyFill="1" applyBorder="1" applyAlignment="1">
      <alignment vertical="center"/>
    </xf>
    <xf numFmtId="0" fontId="21" fillId="17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vertical="center"/>
    </xf>
    <xf numFmtId="166" fontId="11" fillId="9" borderId="4" xfId="3" applyNumberFormat="1" applyFont="1" applyFill="1" applyBorder="1" applyAlignment="1">
      <alignment vertical="center"/>
    </xf>
    <xf numFmtId="166" fontId="11" fillId="14" borderId="0" xfId="3" applyNumberFormat="1" applyFont="1" applyFill="1" applyBorder="1" applyAlignment="1">
      <alignment vertical="center"/>
    </xf>
    <xf numFmtId="0" fontId="11" fillId="14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right" vertical="center"/>
    </xf>
    <xf numFmtId="0" fontId="3" fillId="0" borderId="0" xfId="4" applyFill="1"/>
    <xf numFmtId="166" fontId="0" fillId="0" borderId="0" xfId="0" applyNumberFormat="1" applyFill="1"/>
    <xf numFmtId="2" fontId="24" fillId="0" borderId="1" xfId="3" applyNumberFormat="1" applyFont="1" applyFill="1" applyBorder="1" applyAlignment="1" applyProtection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vertical="center"/>
    </xf>
    <xf numFmtId="3" fontId="28" fillId="0" borderId="1" xfId="3" applyNumberFormat="1" applyFont="1" applyFill="1" applyBorder="1" applyAlignment="1" applyProtection="1">
      <alignment vertical="center"/>
      <protection locked="0"/>
    </xf>
    <xf numFmtId="39" fontId="11" fillId="0" borderId="0" xfId="3" applyNumberFormat="1" applyFont="1" applyFill="1" applyBorder="1" applyAlignment="1">
      <alignment vertical="center"/>
    </xf>
    <xf numFmtId="39" fontId="11" fillId="0" borderId="0" xfId="3" applyNumberFormat="1" applyFont="1" applyFill="1" applyBorder="1" applyAlignment="1">
      <alignment horizontal="right" vertical="center"/>
    </xf>
    <xf numFmtId="39" fontId="11" fillId="9" borderId="0" xfId="3" applyNumberFormat="1" applyFont="1" applyFill="1" applyBorder="1" applyAlignment="1">
      <alignment vertical="center"/>
    </xf>
    <xf numFmtId="39" fontId="11" fillId="5" borderId="0" xfId="3" applyNumberFormat="1" applyFont="1" applyFill="1" applyBorder="1" applyAlignment="1">
      <alignment vertical="center"/>
    </xf>
    <xf numFmtId="39" fontId="11" fillId="9" borderId="4" xfId="3" applyNumberFormat="1" applyFont="1" applyFill="1" applyBorder="1" applyAlignment="1">
      <alignment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19" fillId="19" borderId="0" xfId="0" applyFont="1" applyFill="1" applyBorder="1" applyAlignment="1">
      <alignment horizontal="right" vertical="center"/>
    </xf>
    <xf numFmtId="166" fontId="11" fillId="19" borderId="0" xfId="3" applyNumberFormat="1" applyFont="1" applyFill="1" applyBorder="1" applyAlignment="1">
      <alignment vertical="center"/>
    </xf>
    <xf numFmtId="43" fontId="11" fillId="19" borderId="0" xfId="3" applyNumberFormat="1" applyFont="1" applyFill="1" applyBorder="1" applyAlignment="1">
      <alignment vertical="center"/>
    </xf>
    <xf numFmtId="0" fontId="11" fillId="19" borderId="0" xfId="0" applyFont="1" applyFill="1" applyBorder="1" applyAlignment="1">
      <alignment horizontal="left" vertical="center"/>
    </xf>
    <xf numFmtId="0" fontId="37" fillId="0" borderId="0" xfId="0" applyFont="1"/>
    <xf numFmtId="171" fontId="24" fillId="0" borderId="12" xfId="3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4" fontId="0" fillId="0" borderId="0" xfId="27" applyFont="1"/>
    <xf numFmtId="0" fontId="38" fillId="0" borderId="1" xfId="1" applyFont="1" applyFill="1" applyBorder="1" applyAlignment="1">
      <alignment vertical="center"/>
    </xf>
    <xf numFmtId="3" fontId="38" fillId="0" borderId="1" xfId="1" applyNumberFormat="1" applyFont="1" applyFill="1" applyBorder="1" applyAlignment="1">
      <alignment vertical="center"/>
    </xf>
    <xf numFmtId="1" fontId="6" fillId="0" borderId="1" xfId="3" applyNumberFormat="1" applyFont="1" applyFill="1" applyBorder="1" applyAlignment="1" applyProtection="1">
      <alignment vertical="center"/>
      <protection locked="0"/>
    </xf>
    <xf numFmtId="3" fontId="6" fillId="0" borderId="1" xfId="3" applyNumberFormat="1" applyFont="1" applyFill="1" applyBorder="1" applyAlignment="1" applyProtection="1">
      <alignment vertical="center"/>
    </xf>
    <xf numFmtId="4" fontId="6" fillId="0" borderId="1" xfId="3" applyNumberFormat="1" applyFont="1" applyFill="1" applyBorder="1" applyAlignment="1" applyProtection="1">
      <alignment vertical="center"/>
      <protection locked="0"/>
    </xf>
    <xf numFmtId="3" fontId="6" fillId="0" borderId="1" xfId="3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right" vertical="center"/>
    </xf>
    <xf numFmtId="4" fontId="39" fillId="0" borderId="1" xfId="0" applyNumberFormat="1" applyFont="1" applyFill="1" applyBorder="1" applyAlignment="1">
      <alignment horizontal="right" vertical="center" wrapText="1"/>
    </xf>
    <xf numFmtId="3" fontId="39" fillId="0" borderId="1" xfId="0" applyNumberFormat="1" applyFont="1" applyFill="1" applyBorder="1" applyAlignment="1">
      <alignment horizontal="right" vertical="center"/>
    </xf>
    <xf numFmtId="3" fontId="5" fillId="20" borderId="1" xfId="3" applyNumberFormat="1" applyFont="1" applyFill="1" applyBorder="1" applyAlignment="1" applyProtection="1">
      <alignment vertical="center"/>
    </xf>
    <xf numFmtId="2" fontId="5" fillId="20" borderId="1" xfId="3" applyNumberFormat="1" applyFont="1" applyFill="1" applyBorder="1" applyAlignment="1" applyProtection="1">
      <alignment vertical="center"/>
      <protection locked="0"/>
    </xf>
    <xf numFmtId="4" fontId="5" fillId="20" borderId="1" xfId="3" applyNumberFormat="1" applyFont="1" applyFill="1" applyBorder="1" applyAlignment="1" applyProtection="1">
      <alignment vertical="center"/>
    </xf>
    <xf numFmtId="169" fontId="5" fillId="0" borderId="1" xfId="3" applyNumberFormat="1" applyFont="1" applyFill="1" applyBorder="1" applyAlignment="1" applyProtection="1">
      <alignment vertical="center"/>
      <protection locked="0"/>
    </xf>
    <xf numFmtId="4" fontId="5" fillId="0" borderId="1" xfId="3" applyNumberFormat="1" applyFont="1" applyFill="1" applyBorder="1" applyAlignment="1" applyProtection="1">
      <alignment vertical="center"/>
    </xf>
    <xf numFmtId="169" fontId="5" fillId="0" borderId="1" xfId="3" applyNumberFormat="1" applyFont="1" applyFill="1" applyBorder="1" applyAlignment="1" applyProtection="1">
      <alignment vertical="center"/>
    </xf>
    <xf numFmtId="172" fontId="5" fillId="11" borderId="1" xfId="3" applyNumberFormat="1" applyFont="1" applyFill="1" applyBorder="1" applyAlignment="1" applyProtection="1">
      <alignment vertical="center"/>
    </xf>
    <xf numFmtId="3" fontId="1" fillId="20" borderId="1" xfId="0" applyNumberFormat="1" applyFont="1" applyFill="1" applyBorder="1" applyAlignment="1">
      <alignment vertical="center"/>
    </xf>
    <xf numFmtId="4" fontId="6" fillId="0" borderId="1" xfId="3" applyNumberFormat="1" applyFont="1" applyFill="1" applyBorder="1" applyAlignment="1" applyProtection="1">
      <alignment vertical="center"/>
    </xf>
    <xf numFmtId="4" fontId="5" fillId="0" borderId="12" xfId="3" applyNumberFormat="1" applyFont="1" applyFill="1" applyBorder="1" applyAlignment="1" applyProtection="1">
      <alignment vertical="center"/>
    </xf>
    <xf numFmtId="4" fontId="6" fillId="0" borderId="12" xfId="3" applyNumberFormat="1" applyFont="1" applyFill="1" applyBorder="1" applyAlignment="1" applyProtection="1">
      <alignment vertical="center"/>
    </xf>
    <xf numFmtId="4" fontId="5" fillId="11" borderId="1" xfId="3" applyNumberFormat="1" applyFont="1" applyFill="1" applyBorder="1" applyAlignment="1" applyProtection="1">
      <alignment vertical="center"/>
    </xf>
    <xf numFmtId="172" fontId="24" fillId="11" borderId="1" xfId="3" applyNumberFormat="1" applyFont="1" applyFill="1" applyBorder="1" applyAlignment="1" applyProtection="1">
      <alignment vertical="center"/>
    </xf>
    <xf numFmtId="3" fontId="27" fillId="20" borderId="1" xfId="0" applyNumberFormat="1" applyFont="1" applyFill="1" applyBorder="1" applyAlignment="1">
      <alignment vertical="center"/>
    </xf>
    <xf numFmtId="4" fontId="24" fillId="0" borderId="1" xfId="3" applyNumberFormat="1" applyFont="1" applyFill="1" applyBorder="1" applyAlignment="1" applyProtection="1">
      <alignment vertical="center"/>
    </xf>
    <xf numFmtId="173" fontId="5" fillId="10" borderId="1" xfId="3" applyNumberFormat="1" applyFont="1" applyFill="1" applyBorder="1" applyAlignment="1" applyProtection="1">
      <alignment vertical="center"/>
    </xf>
    <xf numFmtId="169" fontId="28" fillId="0" borderId="12" xfId="3" applyNumberFormat="1" applyFont="1" applyFill="1" applyBorder="1" applyAlignment="1" applyProtection="1">
      <alignment vertical="center"/>
    </xf>
    <xf numFmtId="3" fontId="39" fillId="20" borderId="1" xfId="0" applyNumberFormat="1" applyFont="1" applyFill="1" applyBorder="1" applyAlignment="1">
      <alignment horizontal="right" vertical="center"/>
    </xf>
    <xf numFmtId="0" fontId="5" fillId="10" borderId="12" xfId="3" applyNumberFormat="1" applyFont="1" applyFill="1" applyBorder="1" applyAlignment="1" applyProtection="1">
      <alignment vertical="center"/>
    </xf>
    <xf numFmtId="0" fontId="6" fillId="8" borderId="15" xfId="3" applyNumberFormat="1" applyFont="1" applyFill="1" applyBorder="1" applyProtection="1"/>
    <xf numFmtId="0" fontId="6" fillId="8" borderId="16" xfId="3" applyNumberFormat="1" applyFont="1" applyFill="1" applyBorder="1" applyProtection="1"/>
    <xf numFmtId="168" fontId="6" fillId="8" borderId="15" xfId="3" applyNumberFormat="1" applyFont="1" applyFill="1" applyBorder="1" applyProtection="1"/>
    <xf numFmtId="168" fontId="24" fillId="16" borderId="1" xfId="3" applyNumberFormat="1" applyFont="1" applyFill="1" applyBorder="1" applyAlignment="1" applyProtection="1">
      <alignment vertical="center"/>
    </xf>
    <xf numFmtId="4" fontId="5" fillId="16" borderId="1" xfId="3" applyNumberFormat="1" applyFont="1" applyFill="1" applyBorder="1" applyAlignment="1" applyProtection="1">
      <alignment vertical="center"/>
    </xf>
    <xf numFmtId="169" fontId="5" fillId="16" borderId="1" xfId="3" applyNumberFormat="1" applyFont="1" applyFill="1" applyBorder="1" applyAlignment="1" applyProtection="1">
      <alignment vertical="center"/>
    </xf>
    <xf numFmtId="170" fontId="11" fillId="0" borderId="0" xfId="3" applyNumberFormat="1" applyFont="1" applyBorder="1" applyAlignment="1">
      <alignment vertical="center"/>
    </xf>
    <xf numFmtId="170" fontId="11" fillId="0" borderId="0" xfId="3" applyNumberFormat="1" applyFont="1" applyFill="1" applyBorder="1" applyAlignment="1">
      <alignment vertical="center"/>
    </xf>
    <xf numFmtId="3" fontId="38" fillId="20" borderId="1" xfId="1" applyNumberFormat="1" applyFont="1" applyFill="1" applyBorder="1" applyAlignment="1">
      <alignment vertical="center"/>
    </xf>
    <xf numFmtId="2" fontId="6" fillId="20" borderId="1" xfId="3" applyNumberFormat="1" applyFont="1" applyFill="1" applyBorder="1" applyAlignment="1" applyProtection="1">
      <alignment vertical="center"/>
      <protection locked="0"/>
    </xf>
    <xf numFmtId="3" fontId="6" fillId="20" borderId="1" xfId="3" applyNumberFormat="1" applyFont="1" applyFill="1" applyBorder="1" applyAlignment="1" applyProtection="1">
      <alignment vertical="center"/>
    </xf>
    <xf numFmtId="4" fontId="6" fillId="20" borderId="1" xfId="3" applyNumberFormat="1" applyFont="1" applyFill="1" applyBorder="1" applyAlignment="1" applyProtection="1">
      <alignment vertical="center"/>
      <protection locked="0"/>
    </xf>
    <xf numFmtId="169" fontId="6" fillId="20" borderId="1" xfId="3" applyNumberFormat="1" applyFont="1" applyFill="1" applyBorder="1" applyAlignment="1" applyProtection="1">
      <alignment vertical="center"/>
    </xf>
    <xf numFmtId="3" fontId="6" fillId="20" borderId="1" xfId="3" applyNumberFormat="1" applyFont="1" applyFill="1" applyBorder="1" applyAlignment="1" applyProtection="1">
      <alignment vertical="center"/>
      <protection locked="0"/>
    </xf>
    <xf numFmtId="3" fontId="40" fillId="20" borderId="1" xfId="3" applyNumberFormat="1" applyFont="1" applyFill="1" applyBorder="1" applyAlignment="1" applyProtection="1">
      <alignment vertical="center"/>
    </xf>
    <xf numFmtId="4" fontId="6" fillId="20" borderId="1" xfId="3" applyNumberFormat="1" applyFont="1" applyFill="1" applyBorder="1" applyAlignment="1" applyProtection="1">
      <alignment vertical="center"/>
    </xf>
    <xf numFmtId="37" fontId="24" fillId="20" borderId="1" xfId="3" applyNumberFormat="1" applyFont="1" applyFill="1" applyBorder="1" applyAlignment="1" applyProtection="1">
      <alignment vertical="center"/>
      <protection locked="0"/>
    </xf>
    <xf numFmtId="39" fontId="24" fillId="20" borderId="1" xfId="3" applyNumberFormat="1" applyFont="1" applyFill="1" applyBorder="1" applyAlignment="1" applyProtection="1">
      <alignment vertical="center"/>
      <protection locked="0"/>
    </xf>
    <xf numFmtId="1" fontId="5" fillId="20" borderId="1" xfId="3" applyNumberFormat="1" applyFont="1" applyFill="1" applyBorder="1" applyAlignment="1" applyProtection="1">
      <alignment vertical="center"/>
      <protection locked="0"/>
    </xf>
    <xf numFmtId="0" fontId="6" fillId="20" borderId="11" xfId="3" applyNumberFormat="1" applyFont="1" applyFill="1" applyBorder="1" applyAlignment="1" applyProtection="1">
      <alignment horizontal="center" vertical="center" wrapText="1"/>
      <protection locked="0"/>
    </xf>
    <xf numFmtId="0" fontId="1" fillId="20" borderId="1" xfId="0" applyFont="1" applyFill="1" applyBorder="1" applyAlignment="1">
      <alignment vertical="center" wrapText="1"/>
    </xf>
    <xf numFmtId="0" fontId="1" fillId="20" borderId="1" xfId="0" applyFont="1" applyFill="1" applyBorder="1" applyAlignment="1">
      <alignment vertical="center"/>
    </xf>
    <xf numFmtId="1" fontId="1" fillId="20" borderId="1" xfId="0" applyNumberFormat="1" applyFont="1" applyFill="1" applyBorder="1" applyAlignment="1">
      <alignment vertical="center"/>
    </xf>
    <xf numFmtId="169" fontId="6" fillId="20" borderId="1" xfId="3" applyNumberFormat="1" applyFont="1" applyFill="1" applyBorder="1" applyAlignment="1" applyProtection="1">
      <alignment vertical="center"/>
      <protection locked="0"/>
    </xf>
    <xf numFmtId="43" fontId="6" fillId="20" borderId="11" xfId="3" applyFont="1" applyFill="1" applyBorder="1" applyAlignment="1" applyProtection="1">
      <alignment horizontal="center" vertical="center" wrapText="1"/>
      <protection locked="0"/>
    </xf>
    <xf numFmtId="39" fontId="24" fillId="11" borderId="1" xfId="3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4" fontId="6" fillId="20" borderId="12" xfId="3" applyNumberFormat="1" applyFont="1" applyFill="1" applyBorder="1" applyAlignment="1" applyProtection="1">
      <alignment vertical="center"/>
    </xf>
    <xf numFmtId="0" fontId="24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>
      <alignment vertical="center"/>
    </xf>
    <xf numFmtId="3" fontId="24" fillId="20" borderId="1" xfId="26" applyNumberFormat="1" applyFont="1" applyFill="1" applyBorder="1" applyAlignment="1">
      <alignment horizontal="right" vertical="center"/>
    </xf>
    <xf numFmtId="0" fontId="5" fillId="20" borderId="1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8" borderId="21" xfId="0" applyFont="1" applyFill="1" applyBorder="1"/>
    <xf numFmtId="0" fontId="1" fillId="8" borderId="21" xfId="0" applyFont="1" applyFill="1" applyBorder="1"/>
    <xf numFmtId="0" fontId="5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3" applyNumberFormat="1" applyFont="1" applyFill="1" applyBorder="1" applyAlignment="1" applyProtection="1">
      <alignment vertical="center"/>
      <protection locked="0"/>
    </xf>
    <xf numFmtId="43" fontId="5" fillId="20" borderId="11" xfId="3" applyFont="1" applyFill="1" applyBorder="1" applyAlignment="1" applyProtection="1">
      <alignment horizontal="center" vertical="center" wrapText="1"/>
      <protection locked="0"/>
    </xf>
    <xf numFmtId="0" fontId="42" fillId="20" borderId="1" xfId="0" applyFont="1" applyFill="1" applyBorder="1" applyAlignment="1">
      <alignment vertical="center" wrapText="1"/>
    </xf>
    <xf numFmtId="37" fontId="26" fillId="20" borderId="1" xfId="3" applyNumberFormat="1" applyFont="1" applyFill="1" applyBorder="1" applyAlignment="1" applyProtection="1">
      <alignment vertical="center"/>
      <protection locked="0"/>
    </xf>
    <xf numFmtId="39" fontId="26" fillId="20" borderId="1" xfId="3" applyNumberFormat="1" applyFont="1" applyFill="1" applyBorder="1" applyAlignment="1" applyProtection="1">
      <alignment vertical="center"/>
      <protection locked="0"/>
    </xf>
    <xf numFmtId="1" fontId="6" fillId="20" borderId="1" xfId="3" applyNumberFormat="1" applyFont="1" applyFill="1" applyBorder="1" applyAlignment="1" applyProtection="1">
      <alignment vertical="center"/>
      <protection locked="0"/>
    </xf>
    <xf numFmtId="2" fontId="26" fillId="20" borderId="12" xfId="3" applyNumberFormat="1" applyFont="1" applyFill="1" applyBorder="1" applyAlignment="1" applyProtection="1">
      <alignment vertical="center"/>
    </xf>
    <xf numFmtId="1" fontId="24" fillId="20" borderId="12" xfId="3" applyNumberFormat="1" applyFont="1" applyFill="1" applyBorder="1" applyAlignment="1" applyProtection="1">
      <alignment vertical="center"/>
    </xf>
    <xf numFmtId="37" fontId="6" fillId="20" borderId="1" xfId="3" applyNumberFormat="1" applyFont="1" applyFill="1" applyBorder="1" applyAlignment="1" applyProtection="1">
      <alignment vertical="center"/>
    </xf>
    <xf numFmtId="169" fontId="5" fillId="0" borderId="12" xfId="3" applyNumberFormat="1" applyFont="1" applyFill="1" applyBorder="1" applyAlignment="1" applyProtection="1">
      <alignment vertical="center"/>
    </xf>
    <xf numFmtId="164" fontId="6" fillId="20" borderId="12" xfId="3" applyNumberFormat="1" applyFont="1" applyFill="1" applyBorder="1" applyAlignment="1" applyProtection="1">
      <alignment vertical="center"/>
    </xf>
    <xf numFmtId="1" fontId="30" fillId="0" borderId="1" xfId="0" applyNumberFormat="1" applyFont="1" applyFill="1" applyBorder="1" applyAlignment="1">
      <alignment vertical="center"/>
    </xf>
    <xf numFmtId="171" fontId="30" fillId="0" borderId="1" xfId="0" applyNumberFormat="1" applyFont="1" applyFill="1" applyBorder="1" applyAlignment="1">
      <alignment vertical="center"/>
    </xf>
    <xf numFmtId="171" fontId="30" fillId="0" borderId="30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" fontId="30" fillId="0" borderId="1" xfId="0" applyNumberFormat="1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>
      <alignment horizontal="right" vertical="center"/>
    </xf>
    <xf numFmtId="168" fontId="30" fillId="0" borderId="1" xfId="0" applyNumberFormat="1" applyFont="1" applyFill="1" applyBorder="1" applyAlignment="1">
      <alignment horizontal="right" vertical="center"/>
    </xf>
    <xf numFmtId="2" fontId="30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/>
    </xf>
    <xf numFmtId="4" fontId="30" fillId="20" borderId="1" xfId="0" applyNumberFormat="1" applyFont="1" applyFill="1" applyBorder="1" applyAlignment="1">
      <alignment horizontal="right" vertical="center"/>
    </xf>
    <xf numFmtId="0" fontId="30" fillId="20" borderId="1" xfId="0" applyFont="1" applyFill="1" applyBorder="1" applyAlignment="1">
      <alignment horizontal="right" vertical="center"/>
    </xf>
    <xf numFmtId="171" fontId="30" fillId="0" borderId="1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3" fontId="30" fillId="20" borderId="1" xfId="0" applyNumberFormat="1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4" fillId="20" borderId="1" xfId="1" applyFont="1" applyFill="1" applyBorder="1" applyAlignment="1">
      <alignment vertical="center" wrapText="1"/>
    </xf>
    <xf numFmtId="171" fontId="24" fillId="0" borderId="5" xfId="3" applyNumberFormat="1" applyFont="1" applyFill="1" applyBorder="1" applyAlignment="1" applyProtection="1">
      <alignment vertical="center"/>
    </xf>
    <xf numFmtId="169" fontId="24" fillId="0" borderId="1" xfId="1" applyNumberFormat="1" applyFont="1" applyFill="1" applyBorder="1" applyAlignment="1">
      <alignment vertical="center"/>
    </xf>
    <xf numFmtId="1" fontId="24" fillId="0" borderId="1" xfId="3" applyNumberFormat="1" applyFont="1" applyFill="1" applyBorder="1" applyAlignment="1" applyProtection="1">
      <alignment vertical="center"/>
      <protection locked="0"/>
    </xf>
    <xf numFmtId="0" fontId="24" fillId="0" borderId="1" xfId="1" applyFont="1" applyBorder="1" applyAlignment="1">
      <alignment vertical="center" wrapText="1"/>
    </xf>
    <xf numFmtId="0" fontId="24" fillId="0" borderId="30" xfId="1" applyFont="1" applyFill="1" applyBorder="1" applyAlignment="1">
      <alignment vertical="center"/>
    </xf>
    <xf numFmtId="0" fontId="24" fillId="0" borderId="30" xfId="1" applyFont="1" applyFill="1" applyBorder="1" applyAlignment="1">
      <alignment vertical="center" wrapText="1"/>
    </xf>
    <xf numFmtId="169" fontId="24" fillId="0" borderId="5" xfId="3" applyNumberFormat="1" applyFont="1" applyFill="1" applyBorder="1" applyAlignment="1" applyProtection="1">
      <alignment vertical="center"/>
    </xf>
    <xf numFmtId="0" fontId="24" fillId="0" borderId="1" xfId="1" applyFont="1" applyFill="1" applyBorder="1" applyAlignment="1">
      <alignment vertical="center" wrapText="1"/>
    </xf>
    <xf numFmtId="0" fontId="24" fillId="0" borderId="6" xfId="1" applyFont="1" applyFill="1" applyBorder="1" applyAlignment="1" applyProtection="1">
      <alignment vertical="center" wrapText="1"/>
      <protection locked="0"/>
    </xf>
    <xf numFmtId="3" fontId="24" fillId="0" borderId="5" xfId="3" applyNumberFormat="1" applyFont="1" applyFill="1" applyBorder="1" applyAlignment="1" applyProtection="1">
      <alignment vertical="center"/>
    </xf>
    <xf numFmtId="3" fontId="24" fillId="0" borderId="1" xfId="1" applyNumberFormat="1" applyFont="1" applyFill="1" applyBorder="1" applyAlignment="1">
      <alignment vertical="center"/>
    </xf>
    <xf numFmtId="0" fontId="40" fillId="20" borderId="1" xfId="0" applyFont="1" applyFill="1" applyBorder="1" applyAlignment="1">
      <alignment vertical="center" wrapText="1"/>
    </xf>
    <xf numFmtId="0" fontId="26" fillId="20" borderId="1" xfId="1" applyFont="1" applyFill="1" applyBorder="1" applyAlignment="1">
      <alignment vertical="center" wrapText="1"/>
    </xf>
    <xf numFmtId="37" fontId="26" fillId="20" borderId="1" xfId="3" applyNumberFormat="1" applyFont="1" applyFill="1" applyBorder="1" applyAlignment="1" applyProtection="1">
      <alignment vertical="center"/>
    </xf>
    <xf numFmtId="169" fontId="26" fillId="20" borderId="5" xfId="3" applyNumberFormat="1" applyFont="1" applyFill="1" applyBorder="1" applyAlignment="1" applyProtection="1">
      <alignment vertical="center"/>
    </xf>
    <xf numFmtId="169" fontId="26" fillId="20" borderId="1" xfId="1" applyNumberFormat="1" applyFont="1" applyFill="1" applyBorder="1" applyAlignment="1">
      <alignment vertical="center"/>
    </xf>
    <xf numFmtId="0" fontId="24" fillId="0" borderId="2" xfId="1" applyFont="1" applyFill="1" applyBorder="1" applyAlignment="1">
      <alignment horizontal="left" vertical="center" wrapText="1"/>
    </xf>
    <xf numFmtId="37" fontId="24" fillId="20" borderId="1" xfId="3" applyNumberFormat="1" applyFont="1" applyFill="1" applyBorder="1" applyAlignment="1" applyProtection="1">
      <alignment vertical="center"/>
    </xf>
    <xf numFmtId="169" fontId="24" fillId="20" borderId="5" xfId="3" applyNumberFormat="1" applyFont="1" applyFill="1" applyBorder="1" applyAlignment="1" applyProtection="1">
      <alignment vertical="center"/>
    </xf>
    <xf numFmtId="169" fontId="24" fillId="20" borderId="1" xfId="1" applyNumberFormat="1" applyFont="1" applyFill="1" applyBorder="1" applyAlignment="1">
      <alignment vertical="center"/>
    </xf>
    <xf numFmtId="0" fontId="26" fillId="20" borderId="1" xfId="1" applyFont="1" applyFill="1" applyBorder="1" applyAlignment="1">
      <alignment vertical="center"/>
    </xf>
    <xf numFmtId="0" fontId="26" fillId="20" borderId="1" xfId="1" applyFont="1" applyFill="1" applyBorder="1"/>
    <xf numFmtId="3" fontId="26" fillId="20" borderId="1" xfId="1" applyNumberFormat="1" applyFont="1" applyFill="1" applyBorder="1" applyAlignment="1">
      <alignment vertical="center"/>
    </xf>
    <xf numFmtId="4" fontId="24" fillId="0" borderId="1" xfId="1" applyNumberFormat="1" applyFont="1" applyFill="1" applyBorder="1" applyAlignment="1">
      <alignment vertical="center"/>
    </xf>
    <xf numFmtId="4" fontId="26" fillId="20" borderId="1" xfId="1" applyNumberFormat="1" applyFont="1" applyFill="1" applyBorder="1" applyAlignment="1">
      <alignment vertical="center"/>
    </xf>
    <xf numFmtId="0" fontId="24" fillId="0" borderId="31" xfId="1" applyFont="1" applyFill="1" applyBorder="1" applyAlignment="1">
      <alignment vertical="center"/>
    </xf>
    <xf numFmtId="0" fontId="26" fillId="0" borderId="31" xfId="1" applyFont="1" applyFill="1" applyBorder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3" fontId="26" fillId="0" borderId="1" xfId="1" applyNumberFormat="1" applyFont="1" applyFill="1" applyBorder="1" applyAlignment="1">
      <alignment vertical="center"/>
    </xf>
    <xf numFmtId="0" fontId="26" fillId="0" borderId="1" xfId="1" applyFont="1" applyFill="1" applyBorder="1"/>
    <xf numFmtId="3" fontId="24" fillId="20" borderId="1" xfId="1" applyNumberFormat="1" applyFont="1" applyFill="1" applyBorder="1" applyAlignment="1">
      <alignment vertical="center"/>
    </xf>
    <xf numFmtId="2" fontId="24" fillId="0" borderId="1" xfId="1" applyNumberFormat="1" applyFont="1" applyFill="1" applyBorder="1" applyAlignment="1">
      <alignment vertical="center"/>
    </xf>
    <xf numFmtId="2" fontId="26" fillId="20" borderId="1" xfId="1" applyNumberFormat="1" applyFont="1" applyFill="1" applyBorder="1" applyAlignment="1">
      <alignment vertical="center"/>
    </xf>
    <xf numFmtId="3" fontId="24" fillId="0" borderId="1" xfId="1" applyNumberFormat="1" applyFont="1" applyBorder="1" applyAlignment="1">
      <alignment vertical="center"/>
    </xf>
    <xf numFmtId="2" fontId="24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6" fillId="2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wrapText="1"/>
    </xf>
    <xf numFmtId="3" fontId="1" fillId="20" borderId="1" xfId="0" applyNumberFormat="1" applyFont="1" applyFill="1" applyBorder="1" applyAlignment="1">
      <alignment vertical="center" wrapText="1"/>
    </xf>
    <xf numFmtId="4" fontId="1" fillId="20" borderId="1" xfId="0" applyNumberFormat="1" applyFont="1" applyFill="1" applyBorder="1" applyAlignment="1">
      <alignment vertical="center" wrapText="1"/>
    </xf>
    <xf numFmtId="166" fontId="38" fillId="20" borderId="1" xfId="3" applyNumberFormat="1" applyFont="1" applyFill="1" applyBorder="1" applyAlignment="1" applyProtection="1">
      <alignment vertical="center"/>
      <protection locked="0"/>
    </xf>
    <xf numFmtId="0" fontId="38" fillId="20" borderId="1" xfId="3" applyNumberFormat="1" applyFont="1" applyFill="1" applyBorder="1" applyAlignment="1" applyProtection="1">
      <alignment vertical="center"/>
      <protection locked="0"/>
    </xf>
    <xf numFmtId="169" fontId="38" fillId="20" borderId="12" xfId="3" applyNumberFormat="1" applyFont="1" applyFill="1" applyBorder="1" applyAlignment="1" applyProtection="1">
      <alignment vertical="center"/>
    </xf>
    <xf numFmtId="43" fontId="5" fillId="0" borderId="11" xfId="15" applyFont="1" applyFill="1" applyBorder="1" applyAlignment="1" applyProtection="1">
      <alignment horizontal="center" vertical="center" wrapText="1"/>
      <protection locked="0"/>
    </xf>
    <xf numFmtId="4" fontId="28" fillId="0" borderId="1" xfId="15" applyNumberFormat="1" applyFont="1" applyFill="1" applyBorder="1" applyAlignment="1" applyProtection="1">
      <alignment vertical="center"/>
      <protection locked="0"/>
    </xf>
    <xf numFmtId="4" fontId="28" fillId="0" borderId="12" xfId="3" applyNumberFormat="1" applyFont="1" applyFill="1" applyBorder="1" applyAlignment="1" applyProtection="1">
      <alignment vertical="center"/>
    </xf>
    <xf numFmtId="43" fontId="24" fillId="0" borderId="11" xfId="15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0" fillId="8" borderId="21" xfId="0" applyFont="1" applyFill="1" applyBorder="1" applyAlignment="1">
      <alignment horizontal="center"/>
    </xf>
    <xf numFmtId="43" fontId="5" fillId="0" borderId="11" xfId="3" applyFont="1" applyFill="1" applyBorder="1" applyAlignment="1" applyProtection="1">
      <alignment horizontal="center" vertical="center" wrapText="1"/>
      <protection locked="0"/>
    </xf>
    <xf numFmtId="43" fontId="5" fillId="15" borderId="11" xfId="3" applyFont="1" applyFill="1" applyBorder="1" applyAlignment="1" applyProtection="1">
      <alignment horizontal="center" vertical="center" wrapText="1"/>
      <protection locked="0"/>
    </xf>
    <xf numFmtId="0" fontId="42" fillId="20" borderId="2" xfId="0" applyFont="1" applyFill="1" applyBorder="1" applyAlignment="1">
      <alignment vertical="center" wrapText="1"/>
    </xf>
    <xf numFmtId="169" fontId="38" fillId="0" borderId="1" xfId="1" applyNumberFormat="1" applyFont="1" applyFill="1" applyBorder="1" applyAlignment="1">
      <alignment vertical="center"/>
    </xf>
    <xf numFmtId="2" fontId="6" fillId="8" borderId="16" xfId="3" applyNumberFormat="1" applyFont="1" applyFill="1" applyBorder="1" applyProtection="1"/>
    <xf numFmtId="3" fontId="38" fillId="0" borderId="12" xfId="3" applyNumberFormat="1" applyFont="1" applyFill="1" applyBorder="1" applyAlignment="1" applyProtection="1">
      <alignment vertical="center"/>
    </xf>
    <xf numFmtId="169" fontId="28" fillId="0" borderId="1" xfId="3" applyNumberFormat="1" applyFont="1" applyFill="1" applyBorder="1" applyAlignment="1" applyProtection="1">
      <alignment vertical="center"/>
      <protection locked="0"/>
    </xf>
    <xf numFmtId="174" fontId="11" fillId="16" borderId="0" xfId="3" applyNumberFormat="1" applyFont="1" applyFill="1" applyBorder="1" applyAlignment="1">
      <alignment vertical="center"/>
    </xf>
    <xf numFmtId="39" fontId="11" fillId="16" borderId="0" xfId="3" applyNumberFormat="1" applyFont="1" applyFill="1" applyBorder="1" applyAlignment="1">
      <alignment vertical="center"/>
    </xf>
    <xf numFmtId="169" fontId="6" fillId="0" borderId="1" xfId="3" applyNumberFormat="1" applyFont="1" applyFill="1" applyBorder="1" applyAlignment="1" applyProtection="1">
      <alignment vertical="center"/>
      <protection locked="0"/>
    </xf>
    <xf numFmtId="169" fontId="6" fillId="0" borderId="12" xfId="3" applyNumberFormat="1" applyFont="1" applyFill="1" applyBorder="1" applyAlignment="1" applyProtection="1">
      <alignment vertical="center"/>
    </xf>
    <xf numFmtId="169" fontId="6" fillId="0" borderId="1" xfId="3" applyNumberFormat="1" applyFont="1" applyFill="1" applyBorder="1" applyAlignment="1" applyProtection="1">
      <alignment vertical="center"/>
    </xf>
    <xf numFmtId="3" fontId="6" fillId="8" borderId="15" xfId="3" applyNumberFormat="1" applyFont="1" applyFill="1" applyBorder="1" applyProtection="1"/>
    <xf numFmtId="4" fontId="5" fillId="16" borderId="12" xfId="3" applyNumberFormat="1" applyFont="1" applyFill="1" applyBorder="1" applyAlignment="1" applyProtection="1">
      <alignment vertical="center"/>
    </xf>
    <xf numFmtId="2" fontId="24" fillId="16" borderId="12" xfId="3" applyNumberFormat="1" applyFont="1" applyFill="1" applyBorder="1" applyAlignment="1" applyProtection="1">
      <alignment vertical="center"/>
    </xf>
    <xf numFmtId="166" fontId="0" fillId="20" borderId="1" xfId="26" applyNumberFormat="1" applyFont="1" applyFill="1" applyBorder="1"/>
    <xf numFmtId="166" fontId="0" fillId="20" borderId="12" xfId="26" applyNumberFormat="1" applyFont="1" applyFill="1" applyBorder="1"/>
    <xf numFmtId="166" fontId="0" fillId="20" borderId="1" xfId="0" applyNumberFormat="1" applyFill="1" applyBorder="1"/>
    <xf numFmtId="3" fontId="0" fillId="20" borderId="15" xfId="0" applyNumberFormat="1" applyFill="1" applyBorder="1"/>
    <xf numFmtId="3" fontId="0" fillId="20" borderId="16" xfId="0" applyNumberFormat="1" applyFill="1" applyBorder="1"/>
    <xf numFmtId="0" fontId="0" fillId="20" borderId="0" xfId="0" applyFill="1"/>
    <xf numFmtId="0" fontId="0" fillId="20" borderId="27" xfId="0" applyFill="1" applyBorder="1"/>
    <xf numFmtId="0" fontId="1" fillId="20" borderId="28" xfId="0" applyFont="1" applyFill="1" applyBorder="1"/>
    <xf numFmtId="0" fontId="1" fillId="20" borderId="29" xfId="0" applyFont="1" applyFill="1" applyBorder="1"/>
    <xf numFmtId="0" fontId="1" fillId="20" borderId="11" xfId="0" applyFont="1" applyFill="1" applyBorder="1"/>
    <xf numFmtId="166" fontId="0" fillId="20" borderId="0" xfId="26" applyNumberFormat="1" applyFont="1" applyFill="1"/>
    <xf numFmtId="0" fontId="1" fillId="20" borderId="13" xfId="0" applyFont="1" applyFill="1" applyBorder="1"/>
    <xf numFmtId="170" fontId="6" fillId="8" borderId="15" xfId="3" applyNumberFormat="1" applyFont="1" applyFill="1" applyBorder="1" applyProtection="1"/>
    <xf numFmtId="174" fontId="11" fillId="19" borderId="0" xfId="3" applyNumberFormat="1" applyFont="1" applyFill="1" applyBorder="1" applyAlignment="1">
      <alignment vertical="center"/>
    </xf>
    <xf numFmtId="0" fontId="1" fillId="20" borderId="27" xfId="0" applyFont="1" applyFill="1" applyBorder="1"/>
    <xf numFmtId="166" fontId="0" fillId="20" borderId="28" xfId="0" applyNumberFormat="1" applyFill="1" applyBorder="1"/>
    <xf numFmtId="0" fontId="0" fillId="20" borderId="28" xfId="0" applyFill="1" applyBorder="1"/>
    <xf numFmtId="166" fontId="0" fillId="20" borderId="29" xfId="0" applyNumberFormat="1" applyFill="1" applyBorder="1"/>
    <xf numFmtId="0" fontId="0" fillId="20" borderId="1" xfId="0" applyFill="1" applyBorder="1"/>
    <xf numFmtId="166" fontId="0" fillId="20" borderId="12" xfId="0" applyNumberFormat="1" applyFill="1" applyBorder="1"/>
    <xf numFmtId="166" fontId="0" fillId="20" borderId="15" xfId="0" applyNumberFormat="1" applyFill="1" applyBorder="1"/>
    <xf numFmtId="0" fontId="0" fillId="20" borderId="15" xfId="0" applyFill="1" applyBorder="1"/>
    <xf numFmtId="166" fontId="0" fillId="20" borderId="16" xfId="0" applyNumberFormat="1" applyFill="1" applyBorder="1"/>
    <xf numFmtId="175" fontId="11" fillId="0" borderId="0" xfId="3" applyNumberFormat="1" applyFont="1" applyBorder="1" applyAlignment="1">
      <alignment vertical="center"/>
    </xf>
    <xf numFmtId="0" fontId="0" fillId="20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left" vertical="center" wrapText="1"/>
    </xf>
    <xf numFmtId="0" fontId="28" fillId="20" borderId="1" xfId="1" applyFont="1" applyFill="1" applyBorder="1" applyAlignment="1">
      <alignment vertical="center"/>
    </xf>
    <xf numFmtId="0" fontId="0" fillId="20" borderId="1" xfId="0" applyFont="1" applyFill="1" applyBorder="1" applyAlignment="1">
      <alignment horizontal="right" vertical="center"/>
    </xf>
    <xf numFmtId="1" fontId="0" fillId="20" borderId="1" xfId="0" applyNumberFormat="1" applyFont="1" applyFill="1" applyBorder="1" applyAlignment="1">
      <alignment horizontal="right" vertical="center"/>
    </xf>
    <xf numFmtId="168" fontId="0" fillId="20" borderId="1" xfId="0" applyNumberFormat="1" applyFont="1" applyFill="1" applyBorder="1" applyAlignment="1">
      <alignment horizontal="right" vertical="center"/>
    </xf>
    <xf numFmtId="2" fontId="0" fillId="20" borderId="1" xfId="0" applyNumberFormat="1" applyFont="1" applyFill="1" applyBorder="1" applyAlignment="1">
      <alignment horizontal="right" vertical="center"/>
    </xf>
    <xf numFmtId="4" fontId="0" fillId="20" borderId="1" xfId="0" applyNumberFormat="1" applyFont="1" applyFill="1" applyBorder="1" applyAlignment="1">
      <alignment horizontal="right" vertical="center"/>
    </xf>
    <xf numFmtId="2" fontId="24" fillId="2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2" fontId="5" fillId="11" borderId="1" xfId="3" applyNumberFormat="1" applyFont="1" applyFill="1" applyBorder="1" applyAlignment="1" applyProtection="1">
      <alignment vertical="center"/>
    </xf>
    <xf numFmtId="169" fontId="5" fillId="10" borderId="1" xfId="3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3" fontId="6" fillId="8" borderId="16" xfId="3" applyNumberFormat="1" applyFont="1" applyFill="1" applyBorder="1" applyProtection="1"/>
    <xf numFmtId="3" fontId="24" fillId="0" borderId="1" xfId="3" applyNumberFormat="1" applyFont="1" applyFill="1" applyBorder="1" applyAlignment="1" applyProtection="1">
      <alignment vertical="center"/>
      <protection locked="0"/>
    </xf>
    <xf numFmtId="4" fontId="5" fillId="10" borderId="12" xfId="3" applyNumberFormat="1" applyFont="1" applyFill="1" applyBorder="1" applyAlignment="1" applyProtection="1">
      <alignment vertical="center"/>
    </xf>
    <xf numFmtId="0" fontId="24" fillId="0" borderId="1" xfId="1" applyFont="1" applyFill="1" applyBorder="1"/>
    <xf numFmtId="176" fontId="5" fillId="0" borderId="1" xfId="3" applyNumberFormat="1" applyFont="1" applyFill="1" applyBorder="1" applyAlignment="1" applyProtection="1">
      <alignment vertical="center"/>
      <protection locked="0"/>
    </xf>
    <xf numFmtId="172" fontId="5" fillId="0" borderId="1" xfId="3" applyNumberFormat="1" applyFont="1" applyFill="1" applyBorder="1" applyAlignment="1" applyProtection="1">
      <alignment vertical="center"/>
      <protection locked="0"/>
    </xf>
    <xf numFmtId="3" fontId="41" fillId="0" borderId="1" xfId="3" applyNumberFormat="1" applyFont="1" applyFill="1" applyBorder="1" applyAlignment="1" applyProtection="1">
      <alignment vertical="center"/>
    </xf>
    <xf numFmtId="176" fontId="6" fillId="0" borderId="1" xfId="3" applyNumberFormat="1" applyFont="1" applyFill="1" applyBorder="1" applyAlignment="1" applyProtection="1">
      <alignment vertical="center"/>
      <protection locked="0"/>
    </xf>
    <xf numFmtId="177" fontId="6" fillId="0" borderId="1" xfId="3" applyNumberFormat="1" applyFont="1" applyFill="1" applyBorder="1" applyAlignment="1" applyProtection="1">
      <alignment vertical="center"/>
      <protection locked="0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3" fillId="8" borderId="25" xfId="1" applyFont="1" applyFill="1" applyBorder="1" applyAlignment="1" applyProtection="1">
      <alignment horizontal="center" vertical="center" wrapText="1"/>
    </xf>
    <xf numFmtId="0" fontId="23" fillId="8" borderId="6" xfId="1" applyFont="1" applyFill="1" applyBorder="1" applyAlignment="1" applyProtection="1">
      <alignment horizontal="center" vertical="center" wrapText="1"/>
    </xf>
    <xf numFmtId="0" fontId="23" fillId="8" borderId="26" xfId="1" applyFont="1" applyFill="1" applyBorder="1" applyAlignment="1" applyProtection="1">
      <alignment horizontal="center" vertical="center" wrapText="1"/>
    </xf>
    <xf numFmtId="0" fontId="37" fillId="0" borderId="32" xfId="0" applyFont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2" fillId="0" borderId="19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37" fontId="24" fillId="0" borderId="1" xfId="15" applyNumberFormat="1" applyFont="1" applyFill="1" applyBorder="1" applyAlignment="1" applyProtection="1">
      <alignment horizontal="right" vertical="center"/>
      <protection locked="0"/>
    </xf>
    <xf numFmtId="169" fontId="30" fillId="0" borderId="1" xfId="0" applyNumberFormat="1" applyFont="1" applyFill="1" applyBorder="1" applyAlignment="1">
      <alignment horizontal="right" vertical="center"/>
    </xf>
    <xf numFmtId="168" fontId="5" fillId="0" borderId="1" xfId="3" applyNumberFormat="1" applyFont="1" applyFill="1" applyBorder="1" applyAlignment="1" applyProtection="1">
      <alignment vertical="center"/>
      <protection locked="0"/>
    </xf>
  </cellXfs>
  <cellStyles count="28">
    <cellStyle name="Comma" xfId="26" builtinId="3"/>
    <cellStyle name="Comma 2" xfId="3"/>
    <cellStyle name="Comma 2 2" xfId="15"/>
    <cellStyle name="Comma 2 3" xfId="12"/>
    <cellStyle name="Comma 2 4" xfId="9"/>
    <cellStyle name="Comma 2 5" xfId="6"/>
    <cellStyle name="Comma 3" xfId="2"/>
    <cellStyle name="Comma 3 2" xfId="14"/>
    <cellStyle name="Comma 3 3" xfId="11"/>
    <cellStyle name="Comma 3 4" xfId="8"/>
    <cellStyle name="Comma 3 5" xfId="5"/>
    <cellStyle name="Currency" xfId="27" builtinId="4"/>
    <cellStyle name="Currency 2" xfId="18"/>
    <cellStyle name="Normal" xfId="0" builtinId="0"/>
    <cellStyle name="Normal 2" xfId="1"/>
    <cellStyle name="Normal 2 2" xfId="17"/>
    <cellStyle name="Normal 3" xfId="4"/>
    <cellStyle name="Normal 3 2" xfId="19"/>
    <cellStyle name="Normal 3 3" xfId="16"/>
    <cellStyle name="Normal 3 4" xfId="13"/>
    <cellStyle name="Normal 3 5" xfId="10"/>
    <cellStyle name="Normal 3 6" xfId="7"/>
    <cellStyle name="Normal 4" xfId="20"/>
    <cellStyle name="Normal 5" xfId="21"/>
    <cellStyle name="Normal 6" xfId="22"/>
    <cellStyle name="Normal 7" xfId="23"/>
    <cellStyle name="Normal 8" xfId="24"/>
    <cellStyle name="Normal 9" xfId="25"/>
  </cellStyles>
  <dxfs count="4"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3:F20" totalsRowShown="0" headerRowDxfId="3" headerRowBorderDxfId="2" tableBorderDxfId="1">
  <tableColumns count="6">
    <tableColumn id="1" name=" "/>
    <tableColumn id="2" name="Estimated # Respondents"/>
    <tableColumn id="3" name="Responses Per Respondent"/>
    <tableColumn id="4" name="Total Annual Responses (Col. BxC)"/>
    <tableColumn id="5" name="Estimated Avg. # of Hours Per Response"/>
    <tableColumn id="6" name="Estimated Total Hours (Col. DxE)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0"/>
  <sheetViews>
    <sheetView tabSelected="1" zoomScale="70" zoomScaleNormal="70" workbookViewId="0">
      <pane xSplit="14" ySplit="5" topLeftCell="O6" activePane="bottomRight" state="frozen"/>
      <selection pane="topRight" activeCell="R1" sqref="R1"/>
      <selection pane="bottomLeft" activeCell="A5" sqref="A5"/>
      <selection pane="bottomRight" activeCell="H31" sqref="H31"/>
    </sheetView>
  </sheetViews>
  <sheetFormatPr defaultRowHeight="14.5" outlineLevelCol="1" x14ac:dyDescent="0.35"/>
  <cols>
    <col min="1" max="1" width="11.81640625" customWidth="1"/>
    <col min="2" max="2" width="17.54296875" customWidth="1"/>
    <col min="3" max="3" width="42.1796875" customWidth="1"/>
    <col min="4" max="4" width="12.81640625" bestFit="1" customWidth="1"/>
    <col min="5" max="5" width="15.7265625" bestFit="1" customWidth="1"/>
    <col min="6" max="6" width="15" customWidth="1"/>
    <col min="7" max="7" width="16" customWidth="1"/>
    <col min="8" max="8" width="14.54296875" bestFit="1" customWidth="1"/>
    <col min="9" max="9" width="13.1796875" customWidth="1"/>
    <col min="10" max="10" width="16.54296875" customWidth="1"/>
    <col min="11" max="11" width="12.81640625" customWidth="1" outlineLevel="1"/>
    <col min="12" max="12" width="13.453125" customWidth="1" outlineLevel="1"/>
    <col min="13" max="13" width="18.7265625" customWidth="1"/>
    <col min="14" max="14" width="16.453125" hidden="1" customWidth="1" outlineLevel="1"/>
    <col min="15" max="15" width="9.1796875" collapsed="1"/>
    <col min="16" max="16" width="20.453125" hidden="1" customWidth="1" outlineLevel="1"/>
    <col min="17" max="17" width="9.1796875" collapsed="1"/>
    <col min="63" max="63" width="8.7265625" customWidth="1"/>
  </cols>
  <sheetData>
    <row r="1" spans="1:16" s="431" customFormat="1" ht="75.650000000000006" customHeight="1" thickBot="1" x14ac:dyDescent="0.55000000000000004">
      <c r="A1" s="447" t="s">
        <v>153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6" ht="30.75" customHeight="1" thickBot="1" x14ac:dyDescent="0.55000000000000004">
      <c r="A2" s="441" t="s">
        <v>30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3"/>
    </row>
    <row r="3" spans="1:16" ht="24" customHeight="1" thickBot="1" x14ac:dyDescent="0.4">
      <c r="A3" s="18"/>
      <c r="B3" s="19"/>
      <c r="C3" s="19"/>
      <c r="D3" s="20"/>
      <c r="E3" s="21" t="s">
        <v>13</v>
      </c>
      <c r="F3" s="21" t="s">
        <v>14</v>
      </c>
      <c r="G3" s="21" t="s">
        <v>15</v>
      </c>
      <c r="H3" s="21" t="s">
        <v>16</v>
      </c>
      <c r="I3" s="21" t="s">
        <v>17</v>
      </c>
      <c r="J3" s="21" t="s">
        <v>18</v>
      </c>
      <c r="K3" s="21"/>
      <c r="L3" s="21"/>
      <c r="M3" s="22" t="s">
        <v>19</v>
      </c>
      <c r="N3" s="3"/>
      <c r="O3" s="2"/>
    </row>
    <row r="4" spans="1:16" ht="52.5" thickBot="1" x14ac:dyDescent="0.4">
      <c r="A4" s="25" t="s">
        <v>48</v>
      </c>
      <c r="B4" s="26" t="s">
        <v>0</v>
      </c>
      <c r="C4" s="26" t="s">
        <v>1</v>
      </c>
      <c r="D4" s="26" t="s">
        <v>2</v>
      </c>
      <c r="E4" s="26" t="s">
        <v>21</v>
      </c>
      <c r="F4" s="26" t="s">
        <v>27</v>
      </c>
      <c r="G4" s="26" t="s">
        <v>5</v>
      </c>
      <c r="H4" s="26" t="s">
        <v>24</v>
      </c>
      <c r="I4" s="26" t="s">
        <v>7</v>
      </c>
      <c r="J4" s="26" t="s">
        <v>38</v>
      </c>
      <c r="K4" s="26" t="s">
        <v>152</v>
      </c>
      <c r="L4" s="26" t="s">
        <v>8</v>
      </c>
      <c r="M4" s="27" t="s">
        <v>9</v>
      </c>
      <c r="N4" s="17" t="s">
        <v>10</v>
      </c>
      <c r="O4" s="1"/>
      <c r="P4" s="48" t="s">
        <v>26</v>
      </c>
    </row>
    <row r="5" spans="1:16" ht="18.5" x14ac:dyDescent="0.35">
      <c r="A5" s="444" t="s">
        <v>92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6"/>
      <c r="N5" s="54"/>
      <c r="O5" s="1"/>
      <c r="P5" s="48"/>
    </row>
    <row r="6" spans="1:16" ht="112.5" customHeight="1" x14ac:dyDescent="0.35">
      <c r="A6" s="103" t="s">
        <v>141</v>
      </c>
      <c r="B6" s="326" t="s">
        <v>155</v>
      </c>
      <c r="C6" s="327" t="s">
        <v>146</v>
      </c>
      <c r="D6" s="326"/>
      <c r="E6" s="128">
        <v>54</v>
      </c>
      <c r="F6" s="128">
        <v>1</v>
      </c>
      <c r="G6" s="132">
        <f>+E6*F6</f>
        <v>54</v>
      </c>
      <c r="H6" s="133">
        <v>0.25</v>
      </c>
      <c r="I6" s="328">
        <f>+G6*H6</f>
        <v>13.5</v>
      </c>
      <c r="J6" s="329">
        <v>13.5</v>
      </c>
      <c r="K6" s="330"/>
      <c r="L6" s="309">
        <f>M6</f>
        <v>0</v>
      </c>
      <c r="M6" s="222">
        <f>+I6-J6</f>
        <v>0</v>
      </c>
      <c r="P6" s="51" t="s">
        <v>57</v>
      </c>
    </row>
    <row r="7" spans="1:16" ht="73.5" customHeight="1" x14ac:dyDescent="0.35">
      <c r="A7" s="103" t="s">
        <v>141</v>
      </c>
      <c r="B7" s="326" t="s">
        <v>39</v>
      </c>
      <c r="C7" s="331" t="s">
        <v>147</v>
      </c>
      <c r="D7" s="326"/>
      <c r="E7" s="277">
        <v>54</v>
      </c>
      <c r="F7" s="128">
        <v>1</v>
      </c>
      <c r="G7" s="132">
        <f>+E7*F7</f>
        <v>54</v>
      </c>
      <c r="H7" s="133">
        <v>0.25</v>
      </c>
      <c r="I7" s="328">
        <f>+G7*H7</f>
        <v>13.5</v>
      </c>
      <c r="J7" s="329">
        <v>13.5</v>
      </c>
      <c r="K7" s="330"/>
      <c r="L7" s="310">
        <f>M7</f>
        <v>0</v>
      </c>
      <c r="M7" s="222">
        <f>+I7-J7</f>
        <v>0</v>
      </c>
      <c r="P7" s="51" t="s">
        <v>67</v>
      </c>
    </row>
    <row r="8" spans="1:16" s="159" customFormat="1" ht="61" customHeight="1" x14ac:dyDescent="0.35">
      <c r="A8" s="311" t="s">
        <v>105</v>
      </c>
      <c r="B8" s="428" t="s">
        <v>85</v>
      </c>
      <c r="C8" s="428" t="s">
        <v>151</v>
      </c>
      <c r="D8" s="290"/>
      <c r="E8" s="454">
        <v>54</v>
      </c>
      <c r="F8" s="316">
        <f>G8/E8</f>
        <v>161.64814814814815</v>
      </c>
      <c r="G8" s="455">
        <v>8729</v>
      </c>
      <c r="H8" s="315">
        <v>0.05</v>
      </c>
      <c r="I8" s="316">
        <f>G8*H8</f>
        <v>436.45000000000005</v>
      </c>
      <c r="J8" s="317">
        <v>229.5</v>
      </c>
      <c r="K8" s="316">
        <v>0</v>
      </c>
      <c r="L8" s="313">
        <f>I8-J8</f>
        <v>206.95000000000005</v>
      </c>
      <c r="M8" s="134">
        <f>I8-J8</f>
        <v>206.95000000000005</v>
      </c>
      <c r="P8" s="51"/>
    </row>
    <row r="9" spans="1:16" ht="72" customHeight="1" x14ac:dyDescent="0.35">
      <c r="A9" s="103" t="s">
        <v>49</v>
      </c>
      <c r="B9" s="332" t="s">
        <v>76</v>
      </c>
      <c r="C9" s="333" t="s">
        <v>99</v>
      </c>
      <c r="D9" s="290"/>
      <c r="E9" s="128">
        <v>54</v>
      </c>
      <c r="F9" s="128">
        <v>1</v>
      </c>
      <c r="G9" s="132">
        <f t="shared" ref="G9" si="0">+E9*F9</f>
        <v>54</v>
      </c>
      <c r="H9" s="133">
        <v>0.1</v>
      </c>
      <c r="I9" s="334">
        <f>+G9*H9</f>
        <v>5.4</v>
      </c>
      <c r="J9" s="329">
        <v>5.4</v>
      </c>
      <c r="K9" s="98"/>
      <c r="L9" s="310">
        <f>M9</f>
        <v>0</v>
      </c>
      <c r="M9" s="222">
        <f>+I9-J9</f>
        <v>0</v>
      </c>
      <c r="P9" s="49"/>
    </row>
    <row r="10" spans="1:16" ht="68" customHeight="1" x14ac:dyDescent="0.35">
      <c r="A10" s="103" t="s">
        <v>49</v>
      </c>
      <c r="B10" s="290" t="s">
        <v>77</v>
      </c>
      <c r="C10" s="335" t="s">
        <v>148</v>
      </c>
      <c r="D10" s="290"/>
      <c r="E10" s="128">
        <v>35</v>
      </c>
      <c r="F10" s="128">
        <v>1</v>
      </c>
      <c r="G10" s="132">
        <f>+E10*F10</f>
        <v>35</v>
      </c>
      <c r="H10" s="133">
        <v>1.5</v>
      </c>
      <c r="I10" s="334">
        <f>+G10*H10</f>
        <v>52.5</v>
      </c>
      <c r="J10" s="329">
        <v>64.5</v>
      </c>
      <c r="K10" s="98"/>
      <c r="L10" s="98">
        <v>-12</v>
      </c>
      <c r="M10" s="134">
        <f>+I10-J10</f>
        <v>-12</v>
      </c>
      <c r="P10" s="49"/>
    </row>
    <row r="11" spans="1:16" s="155" customFormat="1" ht="59.5" customHeight="1" x14ac:dyDescent="0.35">
      <c r="A11" s="103" t="s">
        <v>67</v>
      </c>
      <c r="B11" s="336" t="s">
        <v>78</v>
      </c>
      <c r="C11" s="367" t="s">
        <v>149</v>
      </c>
      <c r="D11" s="290"/>
      <c r="E11" s="128">
        <v>10</v>
      </c>
      <c r="F11" s="128">
        <v>1</v>
      </c>
      <c r="G11" s="132">
        <f>+E11*F11</f>
        <v>10</v>
      </c>
      <c r="H11" s="133">
        <v>3</v>
      </c>
      <c r="I11" s="337">
        <f t="shared" ref="I11" si="1">+G11*H11</f>
        <v>30</v>
      </c>
      <c r="J11" s="338">
        <v>54</v>
      </c>
      <c r="K11" s="98"/>
      <c r="L11" s="98">
        <v>-24</v>
      </c>
      <c r="M11" s="134">
        <f>+I11-J11</f>
        <v>-24</v>
      </c>
      <c r="P11" s="156"/>
    </row>
    <row r="12" spans="1:16" s="72" customFormat="1" ht="84.5" customHeight="1" x14ac:dyDescent="0.35">
      <c r="A12" s="103" t="s">
        <v>142</v>
      </c>
      <c r="B12" s="339" t="s">
        <v>129</v>
      </c>
      <c r="C12" s="281" t="s">
        <v>130</v>
      </c>
      <c r="D12" s="340"/>
      <c r="E12" s="300">
        <v>52</v>
      </c>
      <c r="F12" s="300">
        <v>1</v>
      </c>
      <c r="G12" s="341">
        <v>52</v>
      </c>
      <c r="H12" s="301">
        <v>0.2</v>
      </c>
      <c r="I12" s="342">
        <f>G12*H12</f>
        <v>10.4</v>
      </c>
      <c r="J12" s="343">
        <v>0</v>
      </c>
      <c r="K12" s="270">
        <f>I12-J12</f>
        <v>10.4</v>
      </c>
      <c r="L12" s="302"/>
      <c r="M12" s="303">
        <f>I12-J12</f>
        <v>10.4</v>
      </c>
      <c r="P12" s="295"/>
    </row>
    <row r="13" spans="1:16" s="155" customFormat="1" ht="58" x14ac:dyDescent="0.35">
      <c r="A13" s="103"/>
      <c r="B13" s="344" t="s">
        <v>102</v>
      </c>
      <c r="C13" s="335" t="s">
        <v>100</v>
      </c>
      <c r="D13" s="335" t="s">
        <v>101</v>
      </c>
      <c r="E13" s="277"/>
      <c r="F13" s="277"/>
      <c r="G13" s="345"/>
      <c r="H13" s="278"/>
      <c r="I13" s="346"/>
      <c r="J13" s="347"/>
      <c r="K13" s="279"/>
      <c r="L13" s="279"/>
      <c r="M13" s="304"/>
      <c r="P13" s="156"/>
    </row>
    <row r="14" spans="1:16" ht="15.5" x14ac:dyDescent="0.35">
      <c r="A14" s="101"/>
      <c r="B14" s="102"/>
      <c r="C14" s="100" t="s">
        <v>32</v>
      </c>
      <c r="D14" s="104"/>
      <c r="E14" s="129">
        <f>+MAX(E6:E13)</f>
        <v>54</v>
      </c>
      <c r="F14" s="130">
        <f>G14/E14</f>
        <v>166.44444444444446</v>
      </c>
      <c r="G14" s="129">
        <f>SUM(G6:G13)</f>
        <v>8988</v>
      </c>
      <c r="H14" s="254">
        <f>I14/G14</f>
        <v>6.25E-2</v>
      </c>
      <c r="I14" s="129">
        <f>SUM(I6:I13)</f>
        <v>561.75</v>
      </c>
      <c r="J14" s="129">
        <f>SUM(J6:J13)</f>
        <v>380.4</v>
      </c>
      <c r="K14" s="286">
        <f>SUM(K6:K13)</f>
        <v>10.4</v>
      </c>
      <c r="L14" s="131">
        <f>SUM(L6:L12)</f>
        <v>170.95000000000005</v>
      </c>
      <c r="M14" s="141">
        <f>SUM(M6:M12)</f>
        <v>181.35000000000005</v>
      </c>
      <c r="P14" s="49"/>
    </row>
    <row r="15" spans="1:16" ht="18.75" customHeight="1" x14ac:dyDescent="0.35">
      <c r="A15" s="444" t="s">
        <v>93</v>
      </c>
      <c r="B15" s="445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6"/>
      <c r="N15" s="54"/>
      <c r="O15" s="1"/>
      <c r="P15" s="49"/>
    </row>
    <row r="16" spans="1:16" s="293" customFormat="1" ht="36" customHeight="1" x14ac:dyDescent="0.35">
      <c r="A16" s="292" t="s">
        <v>49</v>
      </c>
      <c r="B16" s="290" t="s">
        <v>88</v>
      </c>
      <c r="C16" s="335" t="s">
        <v>121</v>
      </c>
      <c r="D16" s="435"/>
      <c r="E16" s="338">
        <v>15340</v>
      </c>
      <c r="F16" s="436">
        <f t="shared" ref="F16:F21" si="2">G16/E16</f>
        <v>219.73109517601043</v>
      </c>
      <c r="G16" s="105">
        <v>3370675</v>
      </c>
      <c r="H16" s="152">
        <v>0.02</v>
      </c>
      <c r="I16" s="247">
        <f>+G16*H16</f>
        <v>67413.5</v>
      </c>
      <c r="J16" s="338">
        <v>106232</v>
      </c>
      <c r="K16" s="106"/>
      <c r="L16" s="106">
        <f>I16-J16</f>
        <v>-38818.5</v>
      </c>
      <c r="M16" s="109">
        <v>-38818</v>
      </c>
      <c r="N16" s="54"/>
      <c r="O16" s="1"/>
      <c r="P16" s="294"/>
    </row>
    <row r="17" spans="1:16" s="159" customFormat="1" ht="72.5" customHeight="1" x14ac:dyDescent="0.35">
      <c r="A17" s="280" t="s">
        <v>142</v>
      </c>
      <c r="B17" s="348" t="s">
        <v>88</v>
      </c>
      <c r="C17" s="340" t="s">
        <v>122</v>
      </c>
      <c r="D17" s="349"/>
      <c r="E17" s="350">
        <v>446</v>
      </c>
      <c r="F17" s="270">
        <f t="shared" si="2"/>
        <v>8.5381165919282509</v>
      </c>
      <c r="G17" s="271">
        <v>3808</v>
      </c>
      <c r="H17" s="272">
        <v>0.02</v>
      </c>
      <c r="I17" s="276">
        <f>G17*H17</f>
        <v>76.16</v>
      </c>
      <c r="J17" s="350">
        <v>0</v>
      </c>
      <c r="K17" s="272">
        <f>M17</f>
        <v>76.16</v>
      </c>
      <c r="L17" s="272"/>
      <c r="M17" s="288">
        <f>I17-J17</f>
        <v>76.16</v>
      </c>
      <c r="N17" s="54"/>
      <c r="O17" s="1"/>
      <c r="P17" s="160"/>
    </row>
    <row r="18" spans="1:16" s="293" customFormat="1" ht="65.5" customHeight="1" x14ac:dyDescent="0.35">
      <c r="A18" s="298" t="s">
        <v>57</v>
      </c>
      <c r="B18" s="290" t="s">
        <v>89</v>
      </c>
      <c r="C18" s="335" t="s">
        <v>145</v>
      </c>
      <c r="D18" s="290"/>
      <c r="E18" s="338">
        <v>15340</v>
      </c>
      <c r="F18" s="437">
        <f t="shared" si="2"/>
        <v>332.18878748370275</v>
      </c>
      <c r="G18" s="438">
        <v>5095776</v>
      </c>
      <c r="H18" s="152">
        <v>0.02</v>
      </c>
      <c r="I18" s="246">
        <f t="shared" ref="I18:I23" si="3">+G18*H18</f>
        <v>101915.52</v>
      </c>
      <c r="J18" s="351">
        <v>98000</v>
      </c>
      <c r="K18" s="106"/>
      <c r="L18" s="152">
        <f>M18</f>
        <v>3915.5200000000041</v>
      </c>
      <c r="M18" s="251">
        <f>+I18-J18</f>
        <v>3915.5200000000041</v>
      </c>
      <c r="P18" s="294"/>
    </row>
    <row r="19" spans="1:16" s="159" customFormat="1" ht="70.5" customHeight="1" x14ac:dyDescent="0.35">
      <c r="A19" s="285" t="s">
        <v>142</v>
      </c>
      <c r="B19" s="232" t="s">
        <v>89</v>
      </c>
      <c r="C19" s="340" t="s">
        <v>139</v>
      </c>
      <c r="D19" s="348"/>
      <c r="E19" s="350">
        <v>446</v>
      </c>
      <c r="F19" s="270">
        <f t="shared" si="2"/>
        <v>20.04035874439462</v>
      </c>
      <c r="G19" s="275">
        <v>8938</v>
      </c>
      <c r="H19" s="272">
        <v>0.02</v>
      </c>
      <c r="I19" s="276">
        <v>178.76</v>
      </c>
      <c r="J19" s="352">
        <v>0</v>
      </c>
      <c r="K19" s="272">
        <f>I19-J19</f>
        <v>178.76</v>
      </c>
      <c r="L19" s="272"/>
      <c r="M19" s="288">
        <f>I19-J19</f>
        <v>178.76</v>
      </c>
      <c r="P19" s="160"/>
    </row>
    <row r="20" spans="1:16" ht="58.5" customHeight="1" x14ac:dyDescent="0.35">
      <c r="A20" s="23" t="s">
        <v>49</v>
      </c>
      <c r="B20" s="353" t="s">
        <v>52</v>
      </c>
      <c r="C20" s="335" t="s">
        <v>124</v>
      </c>
      <c r="D20" s="290"/>
      <c r="E20" s="338">
        <v>15340</v>
      </c>
      <c r="F20" s="436">
        <f t="shared" si="2"/>
        <v>11.564797913950457</v>
      </c>
      <c r="G20" s="105">
        <v>177404</v>
      </c>
      <c r="H20" s="152">
        <v>0.02</v>
      </c>
      <c r="I20" s="246">
        <f t="shared" si="3"/>
        <v>3548.08</v>
      </c>
      <c r="J20" s="338">
        <v>3920</v>
      </c>
      <c r="K20" s="106"/>
      <c r="L20" s="152">
        <f t="shared" ref="L20:L23" si="4">M20</f>
        <v>-371.92000000000007</v>
      </c>
      <c r="M20" s="109">
        <f>+I20-J20</f>
        <v>-371.92000000000007</v>
      </c>
      <c r="P20" s="49"/>
    </row>
    <row r="21" spans="1:16" s="72" customFormat="1" ht="56" customHeight="1" x14ac:dyDescent="0.35">
      <c r="A21" s="285" t="s">
        <v>142</v>
      </c>
      <c r="B21" s="354" t="s">
        <v>52</v>
      </c>
      <c r="C21" s="355" t="s">
        <v>123</v>
      </c>
      <c r="D21" s="232"/>
      <c r="E21" s="356">
        <v>446</v>
      </c>
      <c r="F21" s="439">
        <f t="shared" si="2"/>
        <v>0.42690582959641254</v>
      </c>
      <c r="G21" s="229">
        <v>190.4</v>
      </c>
      <c r="H21" s="230">
        <v>0.02</v>
      </c>
      <c r="I21" s="250">
        <v>3.8079999999999998</v>
      </c>
      <c r="J21" s="356">
        <v>0</v>
      </c>
      <c r="K21" s="230">
        <f>I21-J21</f>
        <v>3.8079999999999998</v>
      </c>
      <c r="L21" s="230"/>
      <c r="M21" s="288">
        <f>I21-J21</f>
        <v>3.8079999999999998</v>
      </c>
      <c r="P21" s="295"/>
    </row>
    <row r="22" spans="1:16" s="72" customFormat="1" ht="67.5" customHeight="1" x14ac:dyDescent="0.35">
      <c r="A22" s="103" t="s">
        <v>141</v>
      </c>
      <c r="B22" s="232" t="s">
        <v>39</v>
      </c>
      <c r="C22" s="355" t="s">
        <v>154</v>
      </c>
      <c r="D22" s="357"/>
      <c r="E22" s="350">
        <v>19371.490000000002</v>
      </c>
      <c r="F22" s="228">
        <v>1</v>
      </c>
      <c r="G22" s="229">
        <f t="shared" ref="G22" si="5">+E22*F22</f>
        <v>19371.490000000002</v>
      </c>
      <c r="H22" s="297">
        <v>0.5</v>
      </c>
      <c r="I22" s="229">
        <f>G22*H22</f>
        <v>9685.7450000000008</v>
      </c>
      <c r="J22" s="356">
        <v>1000</v>
      </c>
      <c r="K22" s="231"/>
      <c r="L22" s="230">
        <f t="shared" si="4"/>
        <v>8685.7450000000008</v>
      </c>
      <c r="M22" s="252">
        <f>+I22-J22</f>
        <v>8685.7450000000008</v>
      </c>
      <c r="P22" s="295"/>
    </row>
    <row r="23" spans="1:16" ht="59" customHeight="1" x14ac:dyDescent="0.35">
      <c r="A23" s="103" t="s">
        <v>49</v>
      </c>
      <c r="B23" s="290" t="s">
        <v>50</v>
      </c>
      <c r="C23" s="335" t="s">
        <v>60</v>
      </c>
      <c r="D23" s="290"/>
      <c r="E23" s="338">
        <v>15340</v>
      </c>
      <c r="F23" s="456">
        <f>G23/E23</f>
        <v>6.5429595827900915</v>
      </c>
      <c r="G23" s="105">
        <v>100369</v>
      </c>
      <c r="H23" s="108">
        <v>0.25</v>
      </c>
      <c r="I23" s="105">
        <f t="shared" si="3"/>
        <v>25092.25</v>
      </c>
      <c r="J23" s="338">
        <v>39200</v>
      </c>
      <c r="K23" s="106"/>
      <c r="L23" s="152">
        <f t="shared" si="4"/>
        <v>-14107.75</v>
      </c>
      <c r="M23" s="251">
        <f>+I23-J23</f>
        <v>-14107.75</v>
      </c>
      <c r="P23" s="49"/>
    </row>
    <row r="24" spans="1:16" ht="63" customHeight="1" x14ac:dyDescent="0.35">
      <c r="A24" s="103" t="s">
        <v>49</v>
      </c>
      <c r="B24" s="290" t="s">
        <v>90</v>
      </c>
      <c r="C24" s="335" t="s">
        <v>125</v>
      </c>
      <c r="D24" s="290"/>
      <c r="E24" s="338">
        <v>15340</v>
      </c>
      <c r="F24" s="436">
        <f>G24/E24</f>
        <v>2.6536505867014339</v>
      </c>
      <c r="G24" s="105">
        <v>40707</v>
      </c>
      <c r="H24" s="108">
        <v>0.1</v>
      </c>
      <c r="I24" s="247">
        <f t="shared" ref="I24:I26" si="6">+G24*H24</f>
        <v>4070.7000000000003</v>
      </c>
      <c r="J24" s="338">
        <v>3920</v>
      </c>
      <c r="K24" s="106"/>
      <c r="L24" s="245">
        <f t="shared" ref="L24:L26" si="7">M24</f>
        <v>150.70000000000027</v>
      </c>
      <c r="M24" s="109">
        <f>+I24-J24</f>
        <v>150.70000000000027</v>
      </c>
      <c r="P24" s="49"/>
    </row>
    <row r="25" spans="1:16" s="72" customFormat="1" ht="63" customHeight="1" x14ac:dyDescent="0.35">
      <c r="A25" s="280" t="s">
        <v>142</v>
      </c>
      <c r="B25" s="348" t="s">
        <v>90</v>
      </c>
      <c r="C25" s="355" t="s">
        <v>126</v>
      </c>
      <c r="D25" s="232"/>
      <c r="E25" s="356">
        <v>446</v>
      </c>
      <c r="F25" s="440">
        <f>G25/E25</f>
        <v>4.708520179372197E-2</v>
      </c>
      <c r="G25" s="229">
        <v>21</v>
      </c>
      <c r="H25" s="270">
        <v>0.1</v>
      </c>
      <c r="I25" s="273">
        <f>G25*H25</f>
        <v>2.1</v>
      </c>
      <c r="J25" s="350">
        <v>0</v>
      </c>
      <c r="K25" s="272">
        <f>I25-J25</f>
        <v>2.1</v>
      </c>
      <c r="L25" s="284"/>
      <c r="M25" s="288">
        <f>I25-J25</f>
        <v>2.1</v>
      </c>
      <c r="P25" s="295"/>
    </row>
    <row r="26" spans="1:16" ht="69.5" customHeight="1" x14ac:dyDescent="0.35">
      <c r="A26" s="103" t="s">
        <v>49</v>
      </c>
      <c r="B26" s="290" t="s">
        <v>51</v>
      </c>
      <c r="C26" s="335" t="s">
        <v>61</v>
      </c>
      <c r="D26" s="290"/>
      <c r="E26" s="358">
        <v>472</v>
      </c>
      <c r="F26" s="243">
        <v>0.25</v>
      </c>
      <c r="G26" s="242">
        <f t="shared" ref="G26:G30" si="8">+E26*F26</f>
        <v>118</v>
      </c>
      <c r="H26" s="243">
        <v>0.25</v>
      </c>
      <c r="I26" s="244">
        <f t="shared" si="6"/>
        <v>29.5</v>
      </c>
      <c r="J26" s="358">
        <v>290</v>
      </c>
      <c r="K26" s="106"/>
      <c r="L26" s="245">
        <f t="shared" si="7"/>
        <v>-260.5</v>
      </c>
      <c r="M26" s="109">
        <f>+I26-J26</f>
        <v>-260.5</v>
      </c>
      <c r="P26" s="49"/>
    </row>
    <row r="27" spans="1:16" s="159" customFormat="1" ht="68.25" customHeight="1" x14ac:dyDescent="0.35">
      <c r="A27" s="289" t="s">
        <v>105</v>
      </c>
      <c r="B27" s="312" t="s">
        <v>86</v>
      </c>
      <c r="C27" s="312" t="s">
        <v>120</v>
      </c>
      <c r="D27" s="290"/>
      <c r="E27" s="318">
        <v>500</v>
      </c>
      <c r="F27" s="318">
        <v>1</v>
      </c>
      <c r="G27" s="318">
        <v>500</v>
      </c>
      <c r="H27" s="316">
        <v>0.25</v>
      </c>
      <c r="I27" s="317">
        <f>G27*H27</f>
        <v>125</v>
      </c>
      <c r="J27" s="317">
        <v>125</v>
      </c>
      <c r="K27" s="317">
        <v>0</v>
      </c>
      <c r="L27" s="316">
        <v>0</v>
      </c>
      <c r="M27" s="109">
        <f>I27-J27</f>
        <v>0</v>
      </c>
      <c r="P27" s="160"/>
    </row>
    <row r="28" spans="1:16" s="159" customFormat="1" ht="81" customHeight="1" x14ac:dyDescent="0.35">
      <c r="A28" s="289" t="s">
        <v>105</v>
      </c>
      <c r="B28" s="312" t="s">
        <v>87</v>
      </c>
      <c r="C28" s="312" t="s">
        <v>107</v>
      </c>
      <c r="D28" s="290"/>
      <c r="E28" s="291">
        <v>8729</v>
      </c>
      <c r="F28" s="318">
        <v>1</v>
      </c>
      <c r="G28" s="314">
        <v>8729</v>
      </c>
      <c r="H28" s="316">
        <v>0.08</v>
      </c>
      <c r="I28" s="319">
        <f t="shared" ref="I28:I29" si="9">G28*H28</f>
        <v>698.32</v>
      </c>
      <c r="J28" s="319">
        <v>412.72</v>
      </c>
      <c r="K28" s="317">
        <v>0</v>
      </c>
      <c r="L28" s="316">
        <v>285.60000000000002</v>
      </c>
      <c r="M28" s="109">
        <f>I28-J28</f>
        <v>285.60000000000002</v>
      </c>
      <c r="P28" s="160"/>
    </row>
    <row r="29" spans="1:16" s="159" customFormat="1" ht="47.5" customHeight="1" x14ac:dyDescent="0.35">
      <c r="A29" s="289" t="s">
        <v>105</v>
      </c>
      <c r="B29" s="312" t="s">
        <v>111</v>
      </c>
      <c r="C29" s="323" t="s">
        <v>108</v>
      </c>
      <c r="D29" s="290"/>
      <c r="E29" s="320">
        <v>500</v>
      </c>
      <c r="F29" s="318">
        <v>1</v>
      </c>
      <c r="G29" s="318">
        <f>+E29*F29</f>
        <v>500</v>
      </c>
      <c r="H29" s="321">
        <v>0.1</v>
      </c>
      <c r="I29" s="317">
        <f t="shared" si="9"/>
        <v>50</v>
      </c>
      <c r="J29" s="317">
        <v>300</v>
      </c>
      <c r="K29" s="317">
        <v>0</v>
      </c>
      <c r="L29" s="316">
        <v>-250</v>
      </c>
      <c r="M29" s="109">
        <f>I29-J29</f>
        <v>-250</v>
      </c>
      <c r="P29" s="160"/>
    </row>
    <row r="30" spans="1:16" ht="66" customHeight="1" x14ac:dyDescent="0.35">
      <c r="A30" s="103" t="s">
        <v>49</v>
      </c>
      <c r="B30" s="290" t="s">
        <v>40</v>
      </c>
      <c r="C30" s="335" t="s">
        <v>53</v>
      </c>
      <c r="D30" s="335"/>
      <c r="E30" s="338">
        <v>472</v>
      </c>
      <c r="F30" s="359">
        <v>0.25</v>
      </c>
      <c r="G30" s="105">
        <f t="shared" si="8"/>
        <v>118</v>
      </c>
      <c r="H30" s="108">
        <v>0.25</v>
      </c>
      <c r="I30" s="247">
        <v>29.5</v>
      </c>
      <c r="J30" s="329">
        <v>72.599999999999994</v>
      </c>
      <c r="K30" s="106"/>
      <c r="L30" s="245">
        <f>M30</f>
        <v>-43.099999999999994</v>
      </c>
      <c r="M30" s="109">
        <f>+I30-J30</f>
        <v>-43.099999999999994</v>
      </c>
      <c r="P30" s="49"/>
    </row>
    <row r="31" spans="1:16" ht="54" customHeight="1" x14ac:dyDescent="0.35">
      <c r="A31" s="103" t="s">
        <v>49</v>
      </c>
      <c r="B31" s="290" t="s">
        <v>41</v>
      </c>
      <c r="C31" s="335" t="s">
        <v>62</v>
      </c>
      <c r="D31" s="290"/>
      <c r="E31" s="358">
        <v>18925</v>
      </c>
      <c r="F31" s="359">
        <v>0.25</v>
      </c>
      <c r="G31" s="246">
        <v>4731</v>
      </c>
      <c r="H31" s="108">
        <v>0.08</v>
      </c>
      <c r="I31" s="247">
        <f>+G31*H31</f>
        <v>378.48</v>
      </c>
      <c r="J31" s="338">
        <v>1568</v>
      </c>
      <c r="K31" s="106"/>
      <c r="L31" s="245">
        <f>M31</f>
        <v>-1189.52</v>
      </c>
      <c r="M31" s="109">
        <f>+I31-J31</f>
        <v>-1189.52</v>
      </c>
      <c r="P31" s="49"/>
    </row>
    <row r="32" spans="1:16" s="159" customFormat="1" ht="82" customHeight="1" x14ac:dyDescent="0.35">
      <c r="A32" s="280" t="s">
        <v>142</v>
      </c>
      <c r="B32" s="348" t="s">
        <v>140</v>
      </c>
      <c r="C32" s="340" t="s">
        <v>143</v>
      </c>
      <c r="D32" s="348"/>
      <c r="E32" s="350">
        <v>446</v>
      </c>
      <c r="F32" s="360">
        <v>0.2</v>
      </c>
      <c r="G32" s="276">
        <f>E32*F32</f>
        <v>89.2</v>
      </c>
      <c r="H32" s="270">
        <v>0.5</v>
      </c>
      <c r="I32" s="273">
        <f>G32*H32</f>
        <v>44.6</v>
      </c>
      <c r="J32" s="350">
        <v>0</v>
      </c>
      <c r="K32" s="272">
        <f>I32-J32</f>
        <v>44.6</v>
      </c>
      <c r="L32" s="284"/>
      <c r="M32" s="288">
        <f>I32-J32</f>
        <v>44.6</v>
      </c>
      <c r="P32" s="160"/>
    </row>
    <row r="33" spans="1:16" s="159" customFormat="1" ht="58" x14ac:dyDescent="0.35">
      <c r="A33" s="280" t="s">
        <v>142</v>
      </c>
      <c r="B33" s="348" t="s">
        <v>128</v>
      </c>
      <c r="C33" s="340" t="s">
        <v>127</v>
      </c>
      <c r="D33" s="348"/>
      <c r="E33" s="350">
        <v>446</v>
      </c>
      <c r="F33" s="360">
        <v>1</v>
      </c>
      <c r="G33" s="276">
        <v>446</v>
      </c>
      <c r="H33" s="270">
        <v>0.25</v>
      </c>
      <c r="I33" s="273">
        <f>G33*H33</f>
        <v>111.5</v>
      </c>
      <c r="J33" s="350">
        <v>0</v>
      </c>
      <c r="K33" s="272">
        <f>I33-J33</f>
        <v>111.5</v>
      </c>
      <c r="L33" s="284"/>
      <c r="M33" s="288">
        <f>I33-J33</f>
        <v>111.5</v>
      </c>
      <c r="P33" s="160"/>
    </row>
    <row r="34" spans="1:16" ht="30.75" customHeight="1" x14ac:dyDescent="0.35">
      <c r="A34" s="101"/>
      <c r="B34" s="102"/>
      <c r="C34" s="100" t="s">
        <v>64</v>
      </c>
      <c r="D34" s="99"/>
      <c r="E34" s="107">
        <f>+MAX(E16:E33)</f>
        <v>19371.490000000002</v>
      </c>
      <c r="F34" s="111">
        <f>G34/E34</f>
        <v>455.95310892450703</v>
      </c>
      <c r="G34" s="107">
        <f>SUM(G16:G33)</f>
        <v>8832491.0899999999</v>
      </c>
      <c r="H34" s="248">
        <f>I34/G34</f>
        <v>2.4166854042079765E-2</v>
      </c>
      <c r="I34" s="107">
        <f>SUM(I16:I33)</f>
        <v>213453.52300000002</v>
      </c>
      <c r="J34" s="107">
        <f t="shared" ref="J34:M34" si="10">SUM(J16:J33)</f>
        <v>255040.32</v>
      </c>
      <c r="K34" s="110">
        <f t="shared" si="10"/>
        <v>416.92800000000005</v>
      </c>
      <c r="L34" s="110">
        <f t="shared" si="10"/>
        <v>-42003.724999999991</v>
      </c>
      <c r="M34" s="126">
        <f t="shared" si="10"/>
        <v>-41586.296999999991</v>
      </c>
      <c r="P34" s="49"/>
    </row>
    <row r="35" spans="1:16" ht="27" customHeight="1" x14ac:dyDescent="0.35">
      <c r="A35" s="444" t="s">
        <v>42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6"/>
      <c r="N35" s="54"/>
      <c r="O35" s="1"/>
      <c r="P35" s="49"/>
    </row>
    <row r="36" spans="1:16" ht="0.75" customHeight="1" x14ac:dyDescent="0.35">
      <c r="A36" s="103"/>
      <c r="B36" s="326"/>
      <c r="C36" s="331"/>
      <c r="D36" s="326"/>
      <c r="E36" s="361"/>
      <c r="F36" s="362"/>
      <c r="G36" s="94"/>
      <c r="H36" s="108"/>
      <c r="I36" s="105"/>
      <c r="J36" s="363"/>
      <c r="K36" s="106"/>
      <c r="L36" s="106"/>
      <c r="M36" s="109"/>
      <c r="P36" s="49"/>
    </row>
    <row r="37" spans="1:16" s="72" customFormat="1" ht="62" customHeight="1" x14ac:dyDescent="0.35">
      <c r="A37" s="280" t="s">
        <v>142</v>
      </c>
      <c r="B37" s="348" t="s">
        <v>131</v>
      </c>
      <c r="C37" s="340" t="s">
        <v>133</v>
      </c>
      <c r="D37" s="348"/>
      <c r="E37" s="350">
        <v>3808</v>
      </c>
      <c r="F37" s="360">
        <v>1</v>
      </c>
      <c r="G37" s="305">
        <v>3808</v>
      </c>
      <c r="H37" s="270">
        <v>0.11</v>
      </c>
      <c r="I37" s="276">
        <v>418.88</v>
      </c>
      <c r="J37" s="364">
        <v>0</v>
      </c>
      <c r="K37" s="272">
        <f>I37-J37</f>
        <v>418.88</v>
      </c>
      <c r="L37" s="274"/>
      <c r="M37" s="288">
        <f>I37-J37</f>
        <v>418.88</v>
      </c>
      <c r="P37" s="295"/>
    </row>
    <row r="38" spans="1:16" s="293" customFormat="1" ht="50.25" customHeight="1" x14ac:dyDescent="0.35">
      <c r="A38" s="296" t="s">
        <v>49</v>
      </c>
      <c r="B38" s="322" t="s">
        <v>132</v>
      </c>
      <c r="C38" s="323" t="s">
        <v>58</v>
      </c>
      <c r="D38" s="322"/>
      <c r="E38" s="324">
        <v>3548078</v>
      </c>
      <c r="F38" s="308">
        <v>1</v>
      </c>
      <c r="G38" s="105">
        <f t="shared" ref="G38:G39" si="11">+E38*F38</f>
        <v>3548078</v>
      </c>
      <c r="H38" s="108">
        <v>0.11</v>
      </c>
      <c r="I38" s="246">
        <f t="shared" ref="I38:I39" si="12">+G38*H38</f>
        <v>390288.58</v>
      </c>
      <c r="J38" s="325">
        <v>591250</v>
      </c>
      <c r="K38" s="106"/>
      <c r="L38" s="152">
        <f>M38</f>
        <v>-200961.41999999998</v>
      </c>
      <c r="M38" s="109">
        <f>+I38-J38</f>
        <v>-200961.41999999998</v>
      </c>
      <c r="P38" s="294"/>
    </row>
    <row r="39" spans="1:16" s="293" customFormat="1" ht="54.75" customHeight="1" x14ac:dyDescent="0.35">
      <c r="A39" s="296" t="s">
        <v>49</v>
      </c>
      <c r="B39" s="365" t="s">
        <v>44</v>
      </c>
      <c r="C39" s="323" t="s">
        <v>134</v>
      </c>
      <c r="D39" s="322"/>
      <c r="E39" s="325">
        <v>100369</v>
      </c>
      <c r="F39" s="308">
        <v>1</v>
      </c>
      <c r="G39" s="105">
        <f t="shared" si="11"/>
        <v>100369</v>
      </c>
      <c r="H39" s="108">
        <v>0.5</v>
      </c>
      <c r="I39" s="247">
        <f t="shared" si="12"/>
        <v>50184.5</v>
      </c>
      <c r="J39" s="325">
        <v>79750</v>
      </c>
      <c r="K39" s="106"/>
      <c r="L39" s="245">
        <f>M39</f>
        <v>-29565.5</v>
      </c>
      <c r="M39" s="306">
        <f>+I39-J39</f>
        <v>-29565.5</v>
      </c>
      <c r="P39" s="294"/>
    </row>
    <row r="40" spans="1:16" s="159" customFormat="1" ht="42.5" customHeight="1" x14ac:dyDescent="0.35">
      <c r="A40" s="280" t="s">
        <v>142</v>
      </c>
      <c r="B40" s="366" t="s">
        <v>135</v>
      </c>
      <c r="C40" s="281" t="s">
        <v>136</v>
      </c>
      <c r="D40" s="282"/>
      <c r="E40" s="249">
        <v>114.24</v>
      </c>
      <c r="F40" s="283">
        <v>1</v>
      </c>
      <c r="G40" s="271">
        <v>114.24</v>
      </c>
      <c r="H40" s="270">
        <v>0.5</v>
      </c>
      <c r="I40" s="276">
        <f>G40*H40</f>
        <v>57.12</v>
      </c>
      <c r="J40" s="249">
        <v>0</v>
      </c>
      <c r="K40" s="272">
        <f>I40-J40</f>
        <v>57.12</v>
      </c>
      <c r="L40" s="284"/>
      <c r="M40" s="307">
        <f>I40-J40</f>
        <v>57.12</v>
      </c>
      <c r="P40" s="160"/>
    </row>
    <row r="41" spans="1:16" s="293" customFormat="1" ht="45.75" customHeight="1" x14ac:dyDescent="0.35">
      <c r="A41" s="296" t="s">
        <v>49</v>
      </c>
      <c r="B41" s="365" t="s">
        <v>45</v>
      </c>
      <c r="C41" s="323" t="s">
        <v>54</v>
      </c>
      <c r="D41" s="322"/>
      <c r="E41" s="325">
        <v>1004</v>
      </c>
      <c r="F41" s="308">
        <v>1</v>
      </c>
      <c r="G41" s="105">
        <f t="shared" ref="G41" si="13">+E41*F41</f>
        <v>1004</v>
      </c>
      <c r="H41" s="108">
        <v>0.1</v>
      </c>
      <c r="I41" s="247">
        <f t="shared" ref="I41" si="14">+G41*H41</f>
        <v>100.4</v>
      </c>
      <c r="J41" s="325">
        <v>100</v>
      </c>
      <c r="K41" s="106"/>
      <c r="L41" s="245">
        <v>0.4</v>
      </c>
      <c r="M41" s="251">
        <f>+I41-J41</f>
        <v>0.40000000000000568</v>
      </c>
      <c r="P41" s="294"/>
    </row>
    <row r="42" spans="1:16" ht="16" thickBot="1" x14ac:dyDescent="0.4">
      <c r="A42" s="101"/>
      <c r="B42" s="102"/>
      <c r="C42" s="100" t="s">
        <v>43</v>
      </c>
      <c r="D42" s="73"/>
      <c r="E42" s="74">
        <f>E37+E38</f>
        <v>3551886</v>
      </c>
      <c r="F42" s="429">
        <f>G42/E42</f>
        <v>1.0285727751397427</v>
      </c>
      <c r="G42" s="107">
        <f>SUM(G37:G41)</f>
        <v>3653373.24</v>
      </c>
      <c r="H42" s="248">
        <f>I42/G42</f>
        <v>0.12072390391735612</v>
      </c>
      <c r="I42" s="107">
        <f>SUM(I37:I41)</f>
        <v>441049.48000000004</v>
      </c>
      <c r="J42" s="107">
        <f>SUM(J37:J41)</f>
        <v>671100</v>
      </c>
      <c r="K42" s="107">
        <f>SUM(K37:K41)</f>
        <v>476</v>
      </c>
      <c r="L42" s="253">
        <f>SUM(L37:L41)</f>
        <v>-230526.52</v>
      </c>
      <c r="M42" s="126">
        <f>SUM(M37:M41)</f>
        <v>-230050.52</v>
      </c>
      <c r="P42" s="50"/>
    </row>
    <row r="43" spans="1:16" ht="25.5" customHeight="1" thickBot="1" x14ac:dyDescent="0.4">
      <c r="A43" s="113"/>
      <c r="B43" s="114"/>
      <c r="C43" s="115" t="s">
        <v>35</v>
      </c>
      <c r="D43" s="116"/>
      <c r="E43" s="117">
        <f>+E14+E34+E42</f>
        <v>3571311.49</v>
      </c>
      <c r="F43" s="118">
        <f>G43/E43</f>
        <v>3.4986733487086559</v>
      </c>
      <c r="G43" s="65">
        <f>+G14+G34+G42</f>
        <v>12494852.33</v>
      </c>
      <c r="H43" s="118">
        <f>I43/G43</f>
        <v>5.2426770297012384E-2</v>
      </c>
      <c r="I43" s="117">
        <f t="shared" ref="I43:L43" si="15">+I14+I34+I42</f>
        <v>655064.75300000003</v>
      </c>
      <c r="J43" s="117">
        <f t="shared" si="15"/>
        <v>926520.72</v>
      </c>
      <c r="K43" s="117">
        <f t="shared" si="15"/>
        <v>903.32799999999997</v>
      </c>
      <c r="L43" s="261">
        <f t="shared" si="15"/>
        <v>-272359.29499999998</v>
      </c>
      <c r="M43" s="432">
        <f>+M14+M34+M42</f>
        <v>-271455.467</v>
      </c>
      <c r="P43" s="16"/>
    </row>
    <row r="44" spans="1:16" x14ac:dyDescent="0.35">
      <c r="C44" s="16"/>
      <c r="P44" s="16"/>
    </row>
    <row r="45" spans="1:16" ht="50.25" hidden="1" customHeight="1" x14ac:dyDescent="0.35">
      <c r="C45" s="16"/>
      <c r="D45" s="67" t="str">
        <f>+A4</f>
        <v>Program Rule</v>
      </c>
      <c r="E45" s="68" t="str">
        <f t="shared" ref="E45:M45" si="16">+E4</f>
        <v>Estimated # Respondents</v>
      </c>
      <c r="F45" s="68" t="str">
        <f t="shared" si="16"/>
        <v>Responses per Respondents</v>
      </c>
      <c r="G45" s="68" t="str">
        <f t="shared" si="16"/>
        <v>Total Annual Records</v>
      </c>
      <c r="H45" s="68" t="str">
        <f t="shared" si="16"/>
        <v>Estimated Avg. # of Hours Per Response</v>
      </c>
      <c r="I45" s="68" t="str">
        <f t="shared" si="16"/>
        <v xml:space="preserve">Estimated Total Hours            </v>
      </c>
      <c r="J45" s="68" t="str">
        <f t="shared" si="16"/>
        <v>Current OMB Approved Burden Hrs</v>
      </c>
      <c r="K45" s="68" t="str">
        <f t="shared" si="16"/>
        <v>Existing Requirements in Use without OMB approval</v>
      </c>
      <c r="L45" s="68" t="str">
        <f t="shared" si="16"/>
        <v>Due to an Adjustment</v>
      </c>
      <c r="M45" s="69" t="str">
        <f t="shared" si="16"/>
        <v>Total Difference</v>
      </c>
      <c r="P45" s="16"/>
    </row>
    <row r="46" spans="1:16" hidden="1" x14ac:dyDescent="0.35">
      <c r="C46" s="16"/>
      <c r="D46" s="78" t="e">
        <f>+#REF!</f>
        <v>#REF!</v>
      </c>
      <c r="E46" s="119" t="e">
        <f>+SUM($E$14+$E$34+#REF!+$E$42)</f>
        <v>#REF!</v>
      </c>
      <c r="F46" s="121" t="e">
        <f t="shared" ref="F46:F52" si="17">IF(E46&gt;0,G46/E46,0)</f>
        <v>#REF!</v>
      </c>
      <c r="G46" s="119">
        <f t="shared" ref="G46:G52" si="18">+SUMIF($A$6:$A$42,D46,($G$6:$G$42))</f>
        <v>0</v>
      </c>
      <c r="H46" s="121">
        <f t="shared" ref="H46:H52" si="19">IF(G46&gt;0,I46/G46,0)</f>
        <v>0</v>
      </c>
      <c r="I46" s="119">
        <f t="shared" ref="I46:I52" si="20">+SUMIF($A$6:$A$42,D46,($I$6:$I$42))</f>
        <v>0</v>
      </c>
      <c r="J46" s="122">
        <f t="shared" ref="J46:J52" si="21">+SUMIF($A$6:$A$42,D46,($J$6:$J$42))</f>
        <v>0</v>
      </c>
      <c r="K46" s="70">
        <f>+SUMIF($A$6:$A$42,$D$46,($K$6:$K$42))</f>
        <v>0</v>
      </c>
      <c r="L46" s="119">
        <f>+SUMIF($A$6:$A$42,$D$46,($L$6:$L$42))</f>
        <v>0</v>
      </c>
      <c r="M46" s="120">
        <f t="shared" ref="M46:M52" si="22">+SUMIF($A$6:$A$42,D46,($M$6:$M$42))</f>
        <v>0</v>
      </c>
      <c r="P46" s="16"/>
    </row>
    <row r="47" spans="1:16" hidden="1" x14ac:dyDescent="0.35">
      <c r="C47" s="16"/>
      <c r="D47" s="78" t="str">
        <f>+P6</f>
        <v>Direct Certification</v>
      </c>
      <c r="E47" s="70">
        <f t="shared" ref="E47:E52" si="23">+SUMIF($A$6:$A$42,D47,($E$6:$E$42))</f>
        <v>15340</v>
      </c>
      <c r="F47" s="70">
        <f t="shared" si="17"/>
        <v>332.18878748370275</v>
      </c>
      <c r="G47" s="70">
        <f t="shared" si="18"/>
        <v>5095776</v>
      </c>
      <c r="H47" s="70">
        <f t="shared" si="19"/>
        <v>0.02</v>
      </c>
      <c r="I47" s="70">
        <f t="shared" si="20"/>
        <v>101915.52</v>
      </c>
      <c r="J47" s="70">
        <f t="shared" si="21"/>
        <v>98000</v>
      </c>
      <c r="K47" s="70">
        <f>+SUMIF($A$6:$A$42,$D$47,($K$6:$K$42))</f>
        <v>0</v>
      </c>
      <c r="L47" s="119">
        <f>+SUMIF($A$6:$A$42,$D$47,($L$6:$L$42))</f>
        <v>3915.5200000000041</v>
      </c>
      <c r="M47" s="71">
        <f t="shared" si="22"/>
        <v>3915.5200000000041</v>
      </c>
      <c r="P47" s="16"/>
    </row>
    <row r="48" spans="1:16" hidden="1" x14ac:dyDescent="0.35">
      <c r="C48" s="16"/>
      <c r="D48" s="78" t="str">
        <f>+P7</f>
        <v>CIP</v>
      </c>
      <c r="E48" s="70">
        <f t="shared" si="23"/>
        <v>10</v>
      </c>
      <c r="F48" s="70">
        <f t="shared" si="17"/>
        <v>1</v>
      </c>
      <c r="G48" s="70">
        <f t="shared" si="18"/>
        <v>10</v>
      </c>
      <c r="H48" s="70">
        <f t="shared" si="19"/>
        <v>3</v>
      </c>
      <c r="I48" s="70">
        <f t="shared" si="20"/>
        <v>30</v>
      </c>
      <c r="J48" s="70">
        <f t="shared" si="21"/>
        <v>54</v>
      </c>
      <c r="K48" s="70"/>
      <c r="L48" s="70"/>
      <c r="M48" s="71">
        <f t="shared" si="22"/>
        <v>-24</v>
      </c>
      <c r="P48" s="16"/>
    </row>
    <row r="49" spans="3:16" hidden="1" x14ac:dyDescent="0.35">
      <c r="C49" s="16"/>
      <c r="D49" s="78" t="e">
        <f>+#REF!</f>
        <v>#REF!</v>
      </c>
      <c r="E49" s="70">
        <f t="shared" si="23"/>
        <v>0</v>
      </c>
      <c r="F49" s="70">
        <f t="shared" si="17"/>
        <v>0</v>
      </c>
      <c r="G49" s="70">
        <f t="shared" si="18"/>
        <v>0</v>
      </c>
      <c r="H49" s="70">
        <f t="shared" si="19"/>
        <v>0</v>
      </c>
      <c r="I49" s="70">
        <f t="shared" si="20"/>
        <v>0</v>
      </c>
      <c r="J49" s="70">
        <f t="shared" si="21"/>
        <v>0</v>
      </c>
      <c r="K49" s="70"/>
      <c r="L49" s="70"/>
      <c r="M49" s="71">
        <f t="shared" si="22"/>
        <v>0</v>
      </c>
      <c r="O49" s="72"/>
      <c r="P49" s="16"/>
    </row>
    <row r="50" spans="3:16" hidden="1" x14ac:dyDescent="0.35">
      <c r="C50" s="16"/>
      <c r="D50" s="78" t="e">
        <f>+#REF!</f>
        <v>#REF!</v>
      </c>
      <c r="E50" s="70">
        <f t="shared" si="23"/>
        <v>0</v>
      </c>
      <c r="F50" s="70">
        <f t="shared" si="17"/>
        <v>0</v>
      </c>
      <c r="G50" s="70">
        <f t="shared" si="18"/>
        <v>0</v>
      </c>
      <c r="H50" s="70">
        <f t="shared" si="19"/>
        <v>0</v>
      </c>
      <c r="I50" s="70">
        <f t="shared" si="20"/>
        <v>0</v>
      </c>
      <c r="J50" s="70">
        <f t="shared" si="21"/>
        <v>0</v>
      </c>
      <c r="K50" s="70"/>
      <c r="L50" s="70"/>
      <c r="M50" s="71">
        <f t="shared" si="22"/>
        <v>0</v>
      </c>
      <c r="P50" s="16"/>
    </row>
    <row r="51" spans="3:16" hidden="1" x14ac:dyDescent="0.35">
      <c r="C51" s="16"/>
      <c r="D51" s="78">
        <f>+P9</f>
        <v>0</v>
      </c>
      <c r="E51" s="70">
        <f t="shared" si="23"/>
        <v>0</v>
      </c>
      <c r="F51" s="70">
        <f t="shared" si="17"/>
        <v>0</v>
      </c>
      <c r="G51" s="70">
        <f t="shared" si="18"/>
        <v>0</v>
      </c>
      <c r="H51" s="70">
        <f t="shared" si="19"/>
        <v>0</v>
      </c>
      <c r="I51" s="70">
        <f t="shared" si="20"/>
        <v>0</v>
      </c>
      <c r="J51" s="70">
        <f t="shared" si="21"/>
        <v>0</v>
      </c>
      <c r="K51" s="70"/>
      <c r="L51" s="70"/>
      <c r="M51" s="71">
        <f t="shared" si="22"/>
        <v>0</v>
      </c>
    </row>
    <row r="52" spans="3:16" hidden="1" x14ac:dyDescent="0.35">
      <c r="D52" s="78">
        <f>+P10</f>
        <v>0</v>
      </c>
      <c r="E52" s="70">
        <f t="shared" si="23"/>
        <v>0</v>
      </c>
      <c r="F52" s="70">
        <f t="shared" si="17"/>
        <v>0</v>
      </c>
      <c r="G52" s="70">
        <f t="shared" si="18"/>
        <v>0</v>
      </c>
      <c r="H52" s="70">
        <f t="shared" si="19"/>
        <v>0</v>
      </c>
      <c r="I52" s="70">
        <f t="shared" si="20"/>
        <v>0</v>
      </c>
      <c r="J52" s="70">
        <f t="shared" si="21"/>
        <v>0</v>
      </c>
      <c r="K52" s="70"/>
      <c r="L52" s="70"/>
      <c r="M52" s="71">
        <f t="shared" si="22"/>
        <v>0</v>
      </c>
    </row>
    <row r="53" spans="3:16" hidden="1" x14ac:dyDescent="0.35">
      <c r="D53" s="79" t="s">
        <v>34</v>
      </c>
      <c r="E53" s="125" t="e">
        <f t="shared" ref="E53:M53" si="24">SUM(E46:E52)</f>
        <v>#REF!</v>
      </c>
      <c r="F53" s="123" t="e">
        <f t="shared" si="24"/>
        <v>#REF!</v>
      </c>
      <c r="G53" s="124">
        <f t="shared" si="24"/>
        <v>5095786</v>
      </c>
      <c r="H53" s="123">
        <f t="shared" si="24"/>
        <v>3.02</v>
      </c>
      <c r="I53" s="124">
        <f t="shared" si="24"/>
        <v>101945.52</v>
      </c>
      <c r="J53" s="124">
        <f t="shared" si="24"/>
        <v>98054</v>
      </c>
      <c r="K53" s="124">
        <f t="shared" si="24"/>
        <v>0</v>
      </c>
      <c r="L53" s="124">
        <f t="shared" si="24"/>
        <v>3915.5200000000041</v>
      </c>
      <c r="M53" s="124">
        <f t="shared" si="24"/>
        <v>3891.5200000000041</v>
      </c>
    </row>
    <row r="57" spans="3:16" ht="21" x14ac:dyDescent="0.5">
      <c r="C57" s="221"/>
      <c r="D57" s="221"/>
      <c r="E57" s="221"/>
      <c r="F57" s="221"/>
      <c r="G57" s="221"/>
      <c r="H57" s="221"/>
      <c r="I57" s="221"/>
    </row>
    <row r="58" spans="3:16" ht="21" x14ac:dyDescent="0.5">
      <c r="C58" s="221"/>
      <c r="D58" s="221"/>
      <c r="E58" s="221"/>
      <c r="F58" s="221"/>
      <c r="G58" s="221"/>
      <c r="H58" s="221"/>
      <c r="I58" s="221"/>
    </row>
    <row r="59" spans="3:16" ht="21" x14ac:dyDescent="0.5">
      <c r="C59" s="221"/>
      <c r="D59" s="221"/>
      <c r="E59" s="221"/>
      <c r="F59" s="221"/>
      <c r="G59" s="221"/>
      <c r="H59" s="221"/>
      <c r="I59" s="221"/>
    </row>
    <row r="60" spans="3:16" ht="21" x14ac:dyDescent="0.5">
      <c r="C60" s="221"/>
      <c r="D60" s="221"/>
      <c r="E60" s="221"/>
      <c r="F60" s="221"/>
      <c r="G60" s="221"/>
      <c r="H60" s="221"/>
      <c r="I60" s="221"/>
    </row>
  </sheetData>
  <sheetProtection selectLockedCells="1"/>
  <autoFilter ref="A4:M43"/>
  <dataConsolidate/>
  <mergeCells count="5">
    <mergeCell ref="A2:M2"/>
    <mergeCell ref="A5:M5"/>
    <mergeCell ref="A15:M15"/>
    <mergeCell ref="A35:M35"/>
    <mergeCell ref="A1:M1"/>
  </mergeCells>
  <dataValidations count="2">
    <dataValidation type="list" allowBlank="1" showInputMessage="1" showErrorMessage="1" sqref="A34 A9:A11 A36 A41:A42 A20 A38:A39 A14 A23">
      <formula1>$P$6:$P$36</formula1>
    </dataValidation>
    <dataValidation type="list" allowBlank="1" showInputMessage="1" showErrorMessage="1" sqref="A8">
      <formula1>$O$7:$O$34</formula1>
    </dataValidation>
  </dataValidations>
  <printOptions horizontalCentered="1"/>
  <pageMargins left="0.7" right="0.7" top="0.75" bottom="0.75" header="0.3" footer="0.3"/>
  <pageSetup scale="42" fitToHeight="0" orientation="landscape" r:id="rId1"/>
  <headerFooter>
    <oddHeader>&amp;C&amp;"-,Bold"&amp;12OMB Control #0584-0026 
&amp;16 7 CFR Part 245, Determining Eligibility for Free &amp; Reduced Price Meals</oddHeader>
  </headerFooter>
  <ignoredErrors>
    <ignoredError sqref="G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Q40"/>
  <sheetViews>
    <sheetView zoomScale="80" zoomScaleNormal="80" workbookViewId="0">
      <pane xSplit="14" ySplit="4" topLeftCell="O5" activePane="bottomRight" state="frozen"/>
      <selection pane="topRight" activeCell="R1" sqref="R1"/>
      <selection pane="bottomLeft" activeCell="A5" sqref="A5"/>
      <selection pane="bottomRight" activeCell="C7" sqref="C7"/>
    </sheetView>
  </sheetViews>
  <sheetFormatPr defaultRowHeight="14.5" outlineLevelCol="1" x14ac:dyDescent="0.35"/>
  <cols>
    <col min="1" max="1" width="13.1796875" customWidth="1"/>
    <col min="2" max="2" width="12.26953125" customWidth="1"/>
    <col min="3" max="3" width="42.1796875" customWidth="1"/>
    <col min="4" max="4" width="12.81640625" bestFit="1" customWidth="1"/>
    <col min="5" max="5" width="15.7265625" bestFit="1" customWidth="1"/>
    <col min="6" max="6" width="17" bestFit="1" customWidth="1"/>
    <col min="7" max="7" width="13" bestFit="1" customWidth="1"/>
    <col min="8" max="8" width="14.54296875" bestFit="1" customWidth="1"/>
    <col min="9" max="9" width="13.1796875" customWidth="1"/>
    <col min="10" max="10" width="16.54296875" customWidth="1"/>
    <col min="11" max="11" width="12.81640625" customWidth="1" outlineLevel="1"/>
    <col min="12" max="12" width="10.7265625" customWidth="1" outlineLevel="1"/>
    <col min="13" max="13" width="13" customWidth="1"/>
    <col min="14" max="14" width="16.453125" hidden="1" customWidth="1" outlineLevel="1"/>
    <col min="15" max="15" width="9.1796875" collapsed="1"/>
    <col min="16" max="16" width="20.453125" hidden="1" customWidth="1" outlineLevel="1"/>
    <col min="17" max="17" width="9.1796875" collapsed="1"/>
    <col min="63" max="63" width="8.7265625" customWidth="1"/>
  </cols>
  <sheetData>
    <row r="1" spans="1:16" ht="30.75" customHeight="1" thickBot="1" x14ac:dyDescent="0.55000000000000004">
      <c r="A1" s="441" t="s">
        <v>12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3"/>
    </row>
    <row r="2" spans="1:16" ht="24" customHeight="1" thickBot="1" x14ac:dyDescent="0.4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2" t="s">
        <v>19</v>
      </c>
      <c r="N2" s="3"/>
      <c r="O2" s="2"/>
    </row>
    <row r="3" spans="1:16" ht="52.5" thickBot="1" x14ac:dyDescent="0.4">
      <c r="A3" s="28" t="s">
        <v>48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38</v>
      </c>
      <c r="K3" s="29" t="s">
        <v>152</v>
      </c>
      <c r="L3" s="29" t="s">
        <v>8</v>
      </c>
      <c r="M3" s="30" t="s">
        <v>9</v>
      </c>
      <c r="N3" s="17" t="s">
        <v>10</v>
      </c>
      <c r="O3" s="1"/>
      <c r="P3" s="48" t="s">
        <v>26</v>
      </c>
    </row>
    <row r="4" spans="1:16" ht="18.5" x14ac:dyDescent="0.35">
      <c r="A4" s="444" t="s">
        <v>33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6"/>
      <c r="N4" s="54"/>
      <c r="O4" s="1"/>
      <c r="P4" s="48"/>
    </row>
    <row r="5" spans="1:16" ht="43.5" customHeight="1" x14ac:dyDescent="0.35">
      <c r="A5" s="380" t="s">
        <v>57</v>
      </c>
      <c r="B5" s="203" t="s">
        <v>55</v>
      </c>
      <c r="C5" s="203" t="s">
        <v>46</v>
      </c>
      <c r="D5" s="204"/>
      <c r="E5" s="205">
        <v>54</v>
      </c>
      <c r="F5" s="205">
        <v>1</v>
      </c>
      <c r="G5" s="135">
        <f t="shared" ref="G5:G6" si="0">+E5*F5</f>
        <v>54</v>
      </c>
      <c r="H5" s="206">
        <v>9.8000000000000004E-2</v>
      </c>
      <c r="I5" s="135">
        <f t="shared" ref="I5:I6" si="1">+G5*H5</f>
        <v>5.2919999999999998</v>
      </c>
      <c r="J5" s="81">
        <v>5.3</v>
      </c>
      <c r="K5" s="207"/>
      <c r="L5" s="207"/>
      <c r="M5" s="127">
        <f>+I5-J5</f>
        <v>-8.0000000000000071E-3</v>
      </c>
      <c r="P5" s="51" t="s">
        <v>57</v>
      </c>
    </row>
    <row r="6" spans="1:16" s="159" customFormat="1" hidden="1" x14ac:dyDescent="0.35">
      <c r="A6" s="381" t="s">
        <v>70</v>
      </c>
      <c r="B6" s="162" t="s">
        <v>69</v>
      </c>
      <c r="C6" s="162" t="s">
        <v>95</v>
      </c>
      <c r="D6" s="163"/>
      <c r="E6" s="164">
        <v>54</v>
      </c>
      <c r="F6" s="164"/>
      <c r="G6" s="165">
        <f t="shared" si="0"/>
        <v>0</v>
      </c>
      <c r="H6" s="166"/>
      <c r="I6" s="165">
        <f t="shared" si="1"/>
        <v>0</v>
      </c>
      <c r="J6" s="167">
        <v>0</v>
      </c>
      <c r="K6" s="168"/>
      <c r="L6" s="168"/>
      <c r="M6" s="169">
        <f>+I6-J6</f>
        <v>0</v>
      </c>
      <c r="P6" s="51"/>
    </row>
    <row r="7" spans="1:16" s="378" customFormat="1" ht="43" customHeight="1" x14ac:dyDescent="0.35">
      <c r="A7" s="377" t="s">
        <v>109</v>
      </c>
      <c r="B7" s="312" t="s">
        <v>69</v>
      </c>
      <c r="C7" s="428" t="s">
        <v>156</v>
      </c>
      <c r="D7" s="204"/>
      <c r="E7" s="318">
        <v>54</v>
      </c>
      <c r="F7" s="317">
        <v>9.2592590000000001</v>
      </c>
      <c r="G7" s="320">
        <v>500</v>
      </c>
      <c r="H7" s="318">
        <v>0.08</v>
      </c>
      <c r="I7" s="314">
        <f>G7*H7</f>
        <v>40</v>
      </c>
      <c r="J7" s="318">
        <v>38.880000000000003</v>
      </c>
      <c r="K7" s="314">
        <v>0</v>
      </c>
      <c r="L7" s="375">
        <v>1.1200000000000001</v>
      </c>
      <c r="M7" s="376">
        <v>1.1200000000000001</v>
      </c>
      <c r="P7" s="379"/>
    </row>
    <row r="8" spans="1:16" ht="43.5" x14ac:dyDescent="0.35">
      <c r="A8" s="380" t="s">
        <v>49</v>
      </c>
      <c r="B8" s="233" t="s">
        <v>77</v>
      </c>
      <c r="C8" s="234" t="s">
        <v>94</v>
      </c>
      <c r="D8" s="233"/>
      <c r="E8" s="255">
        <v>35</v>
      </c>
      <c r="F8" s="81">
        <v>1</v>
      </c>
      <c r="G8" s="135">
        <f>+E8*F8</f>
        <v>35</v>
      </c>
      <c r="H8" s="235">
        <v>1.5</v>
      </c>
      <c r="I8" s="256">
        <f>+G8*H8</f>
        <v>52.5</v>
      </c>
      <c r="J8" s="81">
        <v>1666</v>
      </c>
      <c r="K8" s="137"/>
      <c r="L8" s="207">
        <v>-1614</v>
      </c>
      <c r="M8" s="127">
        <f>+I8-J8</f>
        <v>-1613.5</v>
      </c>
      <c r="P8" s="51" t="s">
        <v>67</v>
      </c>
    </row>
    <row r="9" spans="1:16" ht="29" x14ac:dyDescent="0.35">
      <c r="A9" s="380" t="s">
        <v>49</v>
      </c>
      <c r="B9" s="85" t="s">
        <v>82</v>
      </c>
      <c r="C9" s="84" t="s">
        <v>96</v>
      </c>
      <c r="D9" s="83"/>
      <c r="E9" s="128">
        <v>54</v>
      </c>
      <c r="F9" s="136">
        <v>1</v>
      </c>
      <c r="G9" s="135">
        <f t="shared" ref="G9:G10" si="2">+E9*F9</f>
        <v>54</v>
      </c>
      <c r="H9" s="138">
        <v>0.19500000000000001</v>
      </c>
      <c r="I9" s="202">
        <f t="shared" ref="I9:I10" si="3">+G9*H9</f>
        <v>10.530000000000001</v>
      </c>
      <c r="J9" s="136">
        <v>11</v>
      </c>
      <c r="K9" s="128"/>
      <c r="L9" s="128">
        <v>0</v>
      </c>
      <c r="M9" s="127">
        <f>+I9-J9</f>
        <v>-0.46999999999999886</v>
      </c>
      <c r="P9" s="51" t="s">
        <v>68</v>
      </c>
    </row>
    <row r="10" spans="1:16" ht="43.5" x14ac:dyDescent="0.35">
      <c r="A10" s="380" t="s">
        <v>67</v>
      </c>
      <c r="B10" s="158" t="s">
        <v>98</v>
      </c>
      <c r="C10" s="157" t="s">
        <v>66</v>
      </c>
      <c r="D10" s="83"/>
      <c r="E10" s="128">
        <v>10</v>
      </c>
      <c r="F10" s="136">
        <v>1</v>
      </c>
      <c r="G10" s="135">
        <f t="shared" si="2"/>
        <v>10</v>
      </c>
      <c r="H10" s="138">
        <v>0.5</v>
      </c>
      <c r="I10" s="135">
        <f t="shared" si="3"/>
        <v>5</v>
      </c>
      <c r="J10" s="136">
        <v>9</v>
      </c>
      <c r="K10" s="128"/>
      <c r="L10" s="433">
        <v>-4</v>
      </c>
      <c r="M10" s="127">
        <f>+I10-J10</f>
        <v>-4</v>
      </c>
      <c r="P10" s="51" t="s">
        <v>70</v>
      </c>
    </row>
    <row r="11" spans="1:16" ht="15.5" x14ac:dyDescent="0.35">
      <c r="A11" s="55"/>
      <c r="B11" s="56"/>
      <c r="C11" s="60" t="s">
        <v>32</v>
      </c>
      <c r="D11" s="57"/>
      <c r="E11" s="58">
        <f>+MAX(E5:E10)</f>
        <v>54</v>
      </c>
      <c r="F11" s="139">
        <f>IF(E11=0,"",G11/E11)</f>
        <v>12.092592592592593</v>
      </c>
      <c r="G11" s="58">
        <f>SUM(G5:G10)</f>
        <v>653</v>
      </c>
      <c r="H11" s="257">
        <f>I11/G11</f>
        <v>0.1735405819295559</v>
      </c>
      <c r="I11" s="140">
        <f t="shared" ref="I11:M11" si="4">SUM(I5:I10)</f>
        <v>113.322</v>
      </c>
      <c r="J11" s="140">
        <f t="shared" si="4"/>
        <v>1730.18</v>
      </c>
      <c r="K11" s="140">
        <f t="shared" si="4"/>
        <v>0</v>
      </c>
      <c r="L11" s="154">
        <f t="shared" si="4"/>
        <v>-1616.88</v>
      </c>
      <c r="M11" s="434">
        <f t="shared" si="4"/>
        <v>-1616.8579999999999</v>
      </c>
      <c r="P11" s="49"/>
    </row>
    <row r="12" spans="1:16" ht="18.75" customHeight="1" x14ac:dyDescent="0.35">
      <c r="A12" s="444" t="s">
        <v>63</v>
      </c>
      <c r="B12" s="445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6"/>
      <c r="N12" s="54"/>
      <c r="O12" s="1"/>
      <c r="P12" s="49"/>
    </row>
    <row r="13" spans="1:16" ht="43.5" x14ac:dyDescent="0.35">
      <c r="A13" s="380" t="s">
        <v>49</v>
      </c>
      <c r="B13" s="92" t="s">
        <v>81</v>
      </c>
      <c r="C13" s="92" t="s">
        <v>65</v>
      </c>
      <c r="D13" s="92"/>
      <c r="E13" s="161">
        <v>15340</v>
      </c>
      <c r="F13" s="223">
        <v>1</v>
      </c>
      <c r="G13" s="105">
        <f t="shared" ref="G13" si="5">+E13*F13</f>
        <v>15340</v>
      </c>
      <c r="H13" s="224">
        <v>0.08</v>
      </c>
      <c r="I13" s="247">
        <f t="shared" ref="I13" si="6">+G13*H13</f>
        <v>1227.2</v>
      </c>
      <c r="J13" s="223">
        <v>1568</v>
      </c>
      <c r="K13" s="82"/>
      <c r="L13" s="386">
        <f>I13-J13</f>
        <v>-340.79999999999995</v>
      </c>
      <c r="M13" s="258">
        <f>SUM(K13:L13)</f>
        <v>-340.79999999999995</v>
      </c>
      <c r="P13" s="49"/>
    </row>
    <row r="14" spans="1:16" s="72" customFormat="1" ht="72.5" x14ac:dyDescent="0.35">
      <c r="A14" s="285" t="s">
        <v>142</v>
      </c>
      <c r="B14" s="281" t="s">
        <v>138</v>
      </c>
      <c r="C14" s="368" t="s">
        <v>144</v>
      </c>
      <c r="D14" s="282"/>
      <c r="E14" s="269">
        <v>446</v>
      </c>
      <c r="F14" s="369">
        <v>1</v>
      </c>
      <c r="G14" s="271">
        <v>446</v>
      </c>
      <c r="H14" s="370">
        <v>2.5</v>
      </c>
      <c r="I14" s="273">
        <f>G14*H14</f>
        <v>1115</v>
      </c>
      <c r="J14" s="369">
        <v>0</v>
      </c>
      <c r="K14" s="371">
        <f>I14-J14</f>
        <v>1115</v>
      </c>
      <c r="L14" s="372"/>
      <c r="M14" s="373">
        <f>I14-J14</f>
        <v>1115</v>
      </c>
      <c r="P14" s="295"/>
    </row>
    <row r="15" spans="1:16" s="159" customFormat="1" ht="46.5" x14ac:dyDescent="0.35">
      <c r="A15" s="374" t="s">
        <v>109</v>
      </c>
      <c r="B15" s="236" t="s">
        <v>84</v>
      </c>
      <c r="C15" s="237" t="s">
        <v>110</v>
      </c>
      <c r="D15" s="238"/>
      <c r="E15" s="259">
        <v>500</v>
      </c>
      <c r="F15" s="239">
        <v>1</v>
      </c>
      <c r="G15" s="239">
        <f>E15*F15</f>
        <v>500</v>
      </c>
      <c r="H15" s="240">
        <v>0.91</v>
      </c>
      <c r="I15" s="241">
        <f>G15*H15</f>
        <v>455</v>
      </c>
      <c r="J15" s="241">
        <v>2730</v>
      </c>
      <c r="K15" s="241">
        <v>0</v>
      </c>
      <c r="L15" s="241">
        <f>I15-J15</f>
        <v>-2275</v>
      </c>
      <c r="M15" s="385">
        <f>I15-J15</f>
        <v>-2275</v>
      </c>
      <c r="P15" s="160"/>
    </row>
    <row r="16" spans="1:16" ht="54.75" customHeight="1" x14ac:dyDescent="0.35">
      <c r="A16" s="142"/>
      <c r="B16" s="143"/>
      <c r="C16" s="144" t="s">
        <v>64</v>
      </c>
      <c r="D16" s="145"/>
      <c r="E16" s="140">
        <f>E13+E14</f>
        <v>15786</v>
      </c>
      <c r="F16" s="154">
        <f>IF(E16=0,"",G16/E16)</f>
        <v>1.0316736348663373</v>
      </c>
      <c r="G16" s="140">
        <f>SUM(G13:G15)</f>
        <v>16286</v>
      </c>
      <c r="H16" s="257">
        <f>I16/G16</f>
        <v>0.17175488149330712</v>
      </c>
      <c r="I16" s="140">
        <f t="shared" ref="I16:M16" si="7">SUM(I13:I15)</f>
        <v>2797.2</v>
      </c>
      <c r="J16" s="140">
        <f t="shared" si="7"/>
        <v>4298</v>
      </c>
      <c r="K16" s="150">
        <f t="shared" si="7"/>
        <v>1115</v>
      </c>
      <c r="L16" s="430">
        <f t="shared" si="7"/>
        <v>-2615.8000000000002</v>
      </c>
      <c r="M16" s="260">
        <f t="shared" si="7"/>
        <v>-1500.8</v>
      </c>
      <c r="P16" s="49"/>
    </row>
    <row r="17" spans="1:16" ht="18.5" hidden="1" x14ac:dyDescent="0.35">
      <c r="A17" s="444" t="s">
        <v>28</v>
      </c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6"/>
      <c r="N17" s="54"/>
      <c r="O17" s="1"/>
      <c r="P17" s="49"/>
    </row>
    <row r="18" spans="1:16" hidden="1" x14ac:dyDescent="0.35">
      <c r="A18" s="23"/>
      <c r="B18" s="14"/>
      <c r="C18" s="11"/>
      <c r="D18" s="12"/>
      <c r="E18" s="13"/>
      <c r="F18" s="13"/>
      <c r="G18" s="4">
        <f t="shared" ref="G18:G19" si="8">+E18*F18</f>
        <v>0</v>
      </c>
      <c r="H18" s="15"/>
      <c r="I18" s="4">
        <f t="shared" ref="I18" si="9">+G18*H18</f>
        <v>0</v>
      </c>
      <c r="J18" s="13"/>
      <c r="K18" s="13"/>
      <c r="L18" s="13"/>
      <c r="M18" s="24">
        <f>+I18-J18</f>
        <v>0</v>
      </c>
      <c r="P18" s="49"/>
    </row>
    <row r="19" spans="1:16" hidden="1" x14ac:dyDescent="0.35">
      <c r="A19" s="23"/>
      <c r="B19" s="14"/>
      <c r="C19" s="11"/>
      <c r="D19" s="12"/>
      <c r="E19" s="13"/>
      <c r="F19" s="13"/>
      <c r="G19" s="4">
        <f t="shared" si="8"/>
        <v>0</v>
      </c>
      <c r="H19" s="15"/>
      <c r="I19" s="4">
        <f t="shared" ref="I19" si="10">+G19*H19</f>
        <v>0</v>
      </c>
      <c r="J19" s="13"/>
      <c r="K19" s="13"/>
      <c r="L19" s="13"/>
      <c r="M19" s="24">
        <f>+I19-J19</f>
        <v>0</v>
      </c>
      <c r="P19" s="49"/>
    </row>
    <row r="20" spans="1:16" ht="33" customHeight="1" thickBot="1" x14ac:dyDescent="0.4">
      <c r="A20" s="55"/>
      <c r="B20" s="56"/>
      <c r="C20" s="60" t="s">
        <v>36</v>
      </c>
      <c r="D20" s="57"/>
      <c r="E20" s="58">
        <f t="shared" ref="E20:M20" si="11">SUM(E18:E19)</f>
        <v>0</v>
      </c>
      <c r="F20" s="58" t="str">
        <f>IF(E20=0,"",G20/E20)</f>
        <v/>
      </c>
      <c r="G20" s="58">
        <f t="shared" si="11"/>
        <v>0</v>
      </c>
      <c r="H20" s="66">
        <f t="shared" si="11"/>
        <v>0</v>
      </c>
      <c r="I20" s="58">
        <f t="shared" si="11"/>
        <v>0</v>
      </c>
      <c r="J20" s="58">
        <f t="shared" si="11"/>
        <v>0</v>
      </c>
      <c r="K20" s="58">
        <f t="shared" si="11"/>
        <v>0</v>
      </c>
      <c r="L20" s="58">
        <f t="shared" si="11"/>
        <v>0</v>
      </c>
      <c r="M20" s="59">
        <f t="shared" si="11"/>
        <v>0</v>
      </c>
      <c r="P20" s="50"/>
    </row>
    <row r="21" spans="1:16" ht="25.5" customHeight="1" thickBot="1" x14ac:dyDescent="0.4">
      <c r="A21" s="61"/>
      <c r="B21" s="62"/>
      <c r="C21" s="63" t="s">
        <v>37</v>
      </c>
      <c r="D21" s="64"/>
      <c r="E21" s="117">
        <f>+E11+E16+E20</f>
        <v>15840</v>
      </c>
      <c r="F21" s="112">
        <f>G21/E21</f>
        <v>1.0693813131313132</v>
      </c>
      <c r="G21" s="117">
        <f>+G11+G16+G20</f>
        <v>16939</v>
      </c>
      <c r="H21" s="407">
        <f>I21/G21</f>
        <v>0.1718237204085247</v>
      </c>
      <c r="I21" s="117">
        <f t="shared" ref="I21:M21" si="12">+I11+I16+I20</f>
        <v>2910.5219999999999</v>
      </c>
      <c r="J21" s="117">
        <f t="shared" si="12"/>
        <v>6028.18</v>
      </c>
      <c r="K21" s="117">
        <f t="shared" si="12"/>
        <v>1115</v>
      </c>
      <c r="L21" s="261">
        <f t="shared" si="12"/>
        <v>-4232.68</v>
      </c>
      <c r="M21" s="262">
        <f t="shared" si="12"/>
        <v>-3117.6579999999999</v>
      </c>
      <c r="P21" s="16"/>
    </row>
    <row r="22" spans="1:16" x14ac:dyDescent="0.35">
      <c r="C22" s="16"/>
      <c r="P22" s="16"/>
    </row>
    <row r="23" spans="1:16" ht="93" hidden="1" x14ac:dyDescent="0.35">
      <c r="C23" s="16"/>
      <c r="D23" s="75" t="str">
        <f>+A3</f>
        <v>Program Rule</v>
      </c>
      <c r="E23" s="76" t="str">
        <f t="shared" ref="E23:M23" si="13">+E3</f>
        <v>Estimated # Record-keepers</v>
      </c>
      <c r="F23" s="76" t="str">
        <f t="shared" si="13"/>
        <v>Records Per Recordkeeper</v>
      </c>
      <c r="G23" s="76" t="str">
        <f t="shared" si="13"/>
        <v>Total Annual Records</v>
      </c>
      <c r="H23" s="76" t="str">
        <f t="shared" si="13"/>
        <v>Estimated Avg. # of Hours Per Record</v>
      </c>
      <c r="I23" s="76" t="str">
        <f t="shared" si="13"/>
        <v xml:space="preserve">Estimated Total Hours            </v>
      </c>
      <c r="J23" s="76" t="str">
        <f t="shared" si="13"/>
        <v>Current OMB Approved Burden Hrs</v>
      </c>
      <c r="K23" s="76" t="str">
        <f t="shared" si="13"/>
        <v>Existing Requirements in Use without OMB approval</v>
      </c>
      <c r="L23" s="76" t="str">
        <f t="shared" si="13"/>
        <v>Due to an Adjustment</v>
      </c>
      <c r="M23" s="77" t="str">
        <f t="shared" si="13"/>
        <v>Total Difference</v>
      </c>
      <c r="P23" s="16"/>
    </row>
    <row r="24" spans="1:16" hidden="1" x14ac:dyDescent="0.35">
      <c r="C24" s="16"/>
      <c r="D24" s="78" t="e">
        <f>+#REF!</f>
        <v>#REF!</v>
      </c>
      <c r="E24" s="119">
        <f>+SUM($E$11+$E$16+$E$20)</f>
        <v>15840</v>
      </c>
      <c r="F24" s="146">
        <f>+G24/E24</f>
        <v>0</v>
      </c>
      <c r="G24" s="119">
        <f t="shared" ref="G24:G32" si="14">+SUMIF($A$5:$A$20,D24,($G$5:$G$20))</f>
        <v>0</v>
      </c>
      <c r="H24" s="146">
        <f t="shared" ref="H24:H32" si="15">IF(G24&gt;0,I24/G24,0)</f>
        <v>0</v>
      </c>
      <c r="I24" s="119">
        <f t="shared" ref="I24:I32" si="16">+SUMIF($A$5:$A$20,D24,($I$5:$I$20))</f>
        <v>0</v>
      </c>
      <c r="J24" s="119">
        <f t="shared" ref="J24:J32" si="17">+SUMIF($A$5:$A$20,D24,($J$5:$J$20))</f>
        <v>0</v>
      </c>
      <c r="K24" s="119">
        <f>+SUMIF($A$5:$A$20,$D$24,($K$5:$K$20))</f>
        <v>0</v>
      </c>
      <c r="L24" s="119">
        <f>+SUMIF($A$5:$A$20,$D$24,($L$5:$L$20))</f>
        <v>0</v>
      </c>
      <c r="M24" s="120">
        <f t="shared" ref="M24:M32" si="18">+SUMIF($A$5:$A$20,D24,($M$5:$M$20))</f>
        <v>0</v>
      </c>
      <c r="P24" s="16"/>
    </row>
    <row r="25" spans="1:16" hidden="1" x14ac:dyDescent="0.35">
      <c r="C25" s="16"/>
      <c r="D25" s="78" t="str">
        <f>+P5</f>
        <v>Direct Certification</v>
      </c>
      <c r="E25" s="70">
        <f t="shared" ref="E25:E32" si="19">+SUMIF($A$5:$A$20,D25,($E$5:$E$20))</f>
        <v>54</v>
      </c>
      <c r="F25" s="146">
        <f>+G25/E25</f>
        <v>1</v>
      </c>
      <c r="G25" s="70">
        <f t="shared" si="14"/>
        <v>54</v>
      </c>
      <c r="H25" s="146">
        <f t="shared" si="15"/>
        <v>9.799999999999999E-2</v>
      </c>
      <c r="I25" s="70">
        <f t="shared" si="16"/>
        <v>5.2919999999999998</v>
      </c>
      <c r="J25" s="70">
        <f t="shared" si="17"/>
        <v>5.3</v>
      </c>
      <c r="K25" s="70">
        <f>+SUMIF($A$5:$A$20,$D$25,($K$5:$K$20))</f>
        <v>0</v>
      </c>
      <c r="L25" s="70">
        <f>+SUMIF($A$5:$A$20,$D$25,($L$5:$L$20))</f>
        <v>0</v>
      </c>
      <c r="M25" s="71">
        <f t="shared" si="18"/>
        <v>-8.0000000000000071E-3</v>
      </c>
      <c r="P25" s="16"/>
    </row>
    <row r="26" spans="1:16" hidden="1" x14ac:dyDescent="0.35">
      <c r="C26" s="16"/>
      <c r="D26" s="78">
        <f>+P6</f>
        <v>0</v>
      </c>
      <c r="E26" s="70">
        <f t="shared" si="19"/>
        <v>0</v>
      </c>
      <c r="F26" s="146">
        <f t="shared" ref="F26:F32" si="20">IF(E26&gt;0,G26/E26,0)</f>
        <v>0</v>
      </c>
      <c r="G26" s="70">
        <f t="shared" si="14"/>
        <v>0</v>
      </c>
      <c r="H26" s="146">
        <f t="shared" si="15"/>
        <v>0</v>
      </c>
      <c r="I26" s="70">
        <f t="shared" si="16"/>
        <v>0</v>
      </c>
      <c r="J26" s="70">
        <f t="shared" si="17"/>
        <v>0</v>
      </c>
      <c r="K26" s="70">
        <f>+SUMIF($A$5:$A$20,$D$26,($K$5:$K$20))</f>
        <v>0</v>
      </c>
      <c r="L26" s="70">
        <f>+SUMIF($A$5:$A$20,$D$26,($L$5:$L$20))</f>
        <v>0</v>
      </c>
      <c r="M26" s="71">
        <f t="shared" si="18"/>
        <v>0</v>
      </c>
      <c r="P26" s="16"/>
    </row>
    <row r="27" spans="1:16" hidden="1" x14ac:dyDescent="0.35">
      <c r="C27" s="16"/>
      <c r="D27" s="78" t="str">
        <f t="shared" ref="D27:D32" si="21">+P8</f>
        <v>CIP</v>
      </c>
      <c r="E27" s="70">
        <f t="shared" si="19"/>
        <v>10</v>
      </c>
      <c r="F27" s="146">
        <f t="shared" si="20"/>
        <v>1</v>
      </c>
      <c r="G27" s="70">
        <f t="shared" si="14"/>
        <v>10</v>
      </c>
      <c r="H27" s="146">
        <f t="shared" si="15"/>
        <v>0.5</v>
      </c>
      <c r="I27" s="70">
        <f t="shared" si="16"/>
        <v>5</v>
      </c>
      <c r="J27" s="70">
        <f t="shared" si="17"/>
        <v>9</v>
      </c>
      <c r="K27" s="70">
        <f>+SUMIF($A$5:$A$20,$D$27,($K$5:$K$20))</f>
        <v>0</v>
      </c>
      <c r="L27" s="70">
        <f>+SUMIF($A$5:$A$20,$D$27,($L$5:$L$20))</f>
        <v>-4</v>
      </c>
      <c r="M27" s="71">
        <f t="shared" si="18"/>
        <v>-4</v>
      </c>
      <c r="O27" s="72"/>
      <c r="P27" s="16"/>
    </row>
    <row r="28" spans="1:16" hidden="1" x14ac:dyDescent="0.35">
      <c r="C28" s="16"/>
      <c r="D28" s="78" t="str">
        <f t="shared" si="21"/>
        <v>Ind. Review of Apps</v>
      </c>
      <c r="E28" s="70">
        <f t="shared" si="19"/>
        <v>0</v>
      </c>
      <c r="F28" s="146">
        <f t="shared" si="20"/>
        <v>0</v>
      </c>
      <c r="G28" s="70">
        <f t="shared" si="14"/>
        <v>0</v>
      </c>
      <c r="H28" s="146">
        <f t="shared" si="15"/>
        <v>0</v>
      </c>
      <c r="I28" s="70">
        <f t="shared" si="16"/>
        <v>0</v>
      </c>
      <c r="J28" s="70">
        <f t="shared" si="17"/>
        <v>0</v>
      </c>
      <c r="K28" s="70">
        <f>+SUMIF($A$5:$A$20,$D$28,($K$5:$K$20))</f>
        <v>0</v>
      </c>
      <c r="L28" s="70">
        <f>+SUMIF($A$5:$A$20,$D$28,($L$5:$L$20))</f>
        <v>0</v>
      </c>
      <c r="M28" s="71">
        <f t="shared" si="18"/>
        <v>0</v>
      </c>
      <c r="P28" s="16"/>
    </row>
    <row r="29" spans="1:16" hidden="1" x14ac:dyDescent="0.35">
      <c r="C29" s="16"/>
      <c r="D29" s="78" t="str">
        <f t="shared" si="21"/>
        <v>CEP</v>
      </c>
      <c r="E29" s="70">
        <f t="shared" si="19"/>
        <v>54</v>
      </c>
      <c r="F29" s="146">
        <f t="shared" si="20"/>
        <v>0</v>
      </c>
      <c r="G29" s="70">
        <f t="shared" si="14"/>
        <v>0</v>
      </c>
      <c r="H29" s="146">
        <f t="shared" si="15"/>
        <v>0</v>
      </c>
      <c r="I29" s="70">
        <f t="shared" si="16"/>
        <v>0</v>
      </c>
      <c r="J29" s="70">
        <f t="shared" si="17"/>
        <v>0</v>
      </c>
      <c r="K29" s="70">
        <f>+SUMIF($A$5:$A$20,$D$29,($K$5:$K$20))</f>
        <v>0</v>
      </c>
      <c r="L29" s="70">
        <f>+SUMIF($A$5:$A$20,$D$29,($L$5:$L$20))</f>
        <v>0</v>
      </c>
      <c r="M29" s="71">
        <f t="shared" si="18"/>
        <v>0</v>
      </c>
    </row>
    <row r="30" spans="1:16" hidden="1" x14ac:dyDescent="0.35">
      <c r="D30" s="78">
        <f t="shared" si="21"/>
        <v>0</v>
      </c>
      <c r="E30" s="70">
        <f t="shared" si="19"/>
        <v>0</v>
      </c>
      <c r="F30" s="146">
        <f t="shared" si="20"/>
        <v>0</v>
      </c>
      <c r="G30" s="70">
        <f t="shared" si="14"/>
        <v>0</v>
      </c>
      <c r="H30" s="146">
        <f t="shared" si="15"/>
        <v>0</v>
      </c>
      <c r="I30" s="70">
        <f t="shared" si="16"/>
        <v>0</v>
      </c>
      <c r="J30" s="70">
        <f t="shared" si="17"/>
        <v>0</v>
      </c>
      <c r="K30" s="70">
        <f>+SUMIF($A$5:$A$20,$D$30,($K$5:$K$20))</f>
        <v>0</v>
      </c>
      <c r="L30" s="70">
        <f>+SUMIF($A$5:$A$20,$D$30,($L$5:$L$20))</f>
        <v>0</v>
      </c>
      <c r="M30" s="71">
        <f t="shared" si="18"/>
        <v>0</v>
      </c>
    </row>
    <row r="31" spans="1:16" hidden="1" x14ac:dyDescent="0.35">
      <c r="D31" s="78">
        <f t="shared" si="21"/>
        <v>0</v>
      </c>
      <c r="E31" s="70">
        <f t="shared" si="19"/>
        <v>0</v>
      </c>
      <c r="F31" s="146">
        <f t="shared" si="20"/>
        <v>0</v>
      </c>
      <c r="G31" s="70">
        <f t="shared" si="14"/>
        <v>0</v>
      </c>
      <c r="H31" s="146">
        <f t="shared" si="15"/>
        <v>0</v>
      </c>
      <c r="I31" s="70">
        <f t="shared" si="16"/>
        <v>0</v>
      </c>
      <c r="J31" s="70">
        <f t="shared" si="17"/>
        <v>0</v>
      </c>
      <c r="K31" s="70">
        <f>+SUMIF($A$5:$A$20,$D$31,($K$5:$K$20))</f>
        <v>0</v>
      </c>
      <c r="L31" s="70">
        <f>+SUMIF($A$5:$A$20,$D$31,($L$5:$L$20))</f>
        <v>0</v>
      </c>
      <c r="M31" s="71">
        <f t="shared" si="18"/>
        <v>0</v>
      </c>
    </row>
    <row r="32" spans="1:16" hidden="1" x14ac:dyDescent="0.35">
      <c r="D32" s="78">
        <f t="shared" si="21"/>
        <v>0</v>
      </c>
      <c r="E32" s="70">
        <f t="shared" si="19"/>
        <v>0</v>
      </c>
      <c r="F32" s="146">
        <f t="shared" si="20"/>
        <v>0</v>
      </c>
      <c r="G32" s="70">
        <f t="shared" si="14"/>
        <v>0</v>
      </c>
      <c r="H32" s="146">
        <f t="shared" si="15"/>
        <v>0</v>
      </c>
      <c r="I32" s="70">
        <f t="shared" si="16"/>
        <v>0</v>
      </c>
      <c r="J32" s="70">
        <f t="shared" si="17"/>
        <v>0</v>
      </c>
      <c r="K32" s="70">
        <f>+SUMIF($A$5:$A$20,$D$32,($K$5:$K$20))</f>
        <v>0</v>
      </c>
      <c r="L32" s="70">
        <f>+SUMIF($A$5:$A$20,$D$32,($L$5:$L$20))</f>
        <v>0</v>
      </c>
      <c r="M32" s="71">
        <f t="shared" si="18"/>
        <v>0</v>
      </c>
    </row>
    <row r="33" spans="3:17" hidden="1" x14ac:dyDescent="0.35">
      <c r="D33" s="79" t="s">
        <v>34</v>
      </c>
      <c r="E33" s="147">
        <f t="shared" ref="E33:M33" si="22">SUM(E24:E32)</f>
        <v>15958</v>
      </c>
      <c r="F33" s="148">
        <f t="shared" si="22"/>
        <v>2</v>
      </c>
      <c r="G33" s="149">
        <f t="shared" si="22"/>
        <v>64</v>
      </c>
      <c r="H33" s="148">
        <f t="shared" si="22"/>
        <v>0.59799999999999998</v>
      </c>
      <c r="I33" s="149">
        <f t="shared" si="22"/>
        <v>10.292</v>
      </c>
      <c r="J33" s="149">
        <f t="shared" si="22"/>
        <v>14.3</v>
      </c>
      <c r="K33" s="149">
        <f t="shared" si="22"/>
        <v>0</v>
      </c>
      <c r="L33" s="149">
        <f t="shared" si="22"/>
        <v>-4</v>
      </c>
      <c r="M33" s="149">
        <f t="shared" si="22"/>
        <v>-4.008</v>
      </c>
    </row>
    <row r="37" spans="3:17" x14ac:dyDescent="0.35">
      <c r="E37" s="287"/>
    </row>
    <row r="38" spans="3:17" ht="18" x14ac:dyDescent="0.4">
      <c r="C38" s="215"/>
    </row>
    <row r="40" spans="3:17" ht="18.5" x14ac:dyDescent="0.45">
      <c r="C40" s="214"/>
      <c r="D40" s="216"/>
      <c r="E40" s="216"/>
      <c r="F40" s="216"/>
      <c r="G40" s="216"/>
      <c r="H40" s="216"/>
      <c r="I40" s="216"/>
      <c r="J40" s="216"/>
      <c r="K40" s="216"/>
      <c r="L40" s="213"/>
      <c r="M40" s="213"/>
      <c r="N40" s="213"/>
      <c r="O40" s="213"/>
      <c r="P40" s="213"/>
      <c r="Q40" s="213"/>
    </row>
  </sheetData>
  <sheetProtection selectLockedCells="1"/>
  <autoFilter ref="A3:M21"/>
  <dataConsolidate/>
  <mergeCells count="4">
    <mergeCell ref="A1:M1"/>
    <mergeCell ref="A4:M4"/>
    <mergeCell ref="A12:M12"/>
    <mergeCell ref="A17:M17"/>
  </mergeCells>
  <dataValidations count="2">
    <dataValidation type="list" allowBlank="1" showInputMessage="1" showErrorMessage="1" sqref="A18:A20 A13 A5:A6 A8:A11 A16">
      <formula1>$P$5:$P$18</formula1>
    </dataValidation>
    <dataValidation type="list" allowBlank="1" showInputMessage="1" showErrorMessage="1" sqref="A15 A7">
      <formula1>$O$5:$O$16</formula1>
    </dataValidation>
  </dataValidations>
  <printOptions horizontalCentered="1"/>
  <pageMargins left="0.7" right="0.7" top="0.75" bottom="0.75" header="0.3" footer="0.3"/>
  <pageSetup scale="59" fitToHeight="0" orientation="landscape" r:id="rId1"/>
  <headerFooter>
    <oddHeader>&amp;COMB Control #0584-0026 
&amp;"-,Bold"&amp;12 7 CFR Part 245 - Food and Nutrition Service Determination of Free and Reduced Price Eligibility</oddHeader>
  </headerFooter>
  <ignoredErrors>
    <ignoredError sqref="G24:G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1"/>
  <sheetViews>
    <sheetView zoomScale="80" zoomScaleNormal="80" workbookViewId="0">
      <pane xSplit="15" ySplit="4" topLeftCell="P10" activePane="bottomRight" state="frozen"/>
      <selection pane="topRight" activeCell="R1" sqref="R1"/>
      <selection pane="bottomLeft" activeCell="A5" sqref="A5"/>
      <selection pane="bottomRight" activeCell="J11" sqref="J11"/>
    </sheetView>
  </sheetViews>
  <sheetFormatPr defaultColWidth="8.81640625" defaultRowHeight="14.5" outlineLevelCol="1" x14ac:dyDescent="0.35"/>
  <cols>
    <col min="1" max="1" width="11.81640625" style="159" customWidth="1"/>
    <col min="2" max="2" width="12.26953125" style="159" customWidth="1"/>
    <col min="3" max="3" width="32.08984375" style="159" customWidth="1"/>
    <col min="4" max="4" width="12.1796875" style="159" customWidth="1"/>
    <col min="5" max="5" width="15.7265625" style="159" bestFit="1" customWidth="1"/>
    <col min="6" max="6" width="15" style="159" customWidth="1"/>
    <col min="7" max="7" width="13.81640625" style="159" customWidth="1"/>
    <col min="8" max="8" width="14.54296875" style="159" bestFit="1" customWidth="1"/>
    <col min="9" max="9" width="13.1796875" style="159" customWidth="1"/>
    <col min="10" max="10" width="16.54296875" style="159" customWidth="1"/>
    <col min="11" max="11" width="12.81640625" style="159" customWidth="1" outlineLevel="1"/>
    <col min="12" max="12" width="13" style="159" customWidth="1" outlineLevel="1"/>
    <col min="13" max="13" width="11" style="159" customWidth="1" outlineLevel="1"/>
    <col min="14" max="14" width="12.08984375" style="159" customWidth="1"/>
    <col min="15" max="15" width="16.453125" style="159" hidden="1" customWidth="1" outlineLevel="1"/>
    <col min="16" max="16" width="8.81640625" style="159" collapsed="1"/>
    <col min="17" max="17" width="20.453125" style="159" hidden="1" customWidth="1" outlineLevel="1"/>
    <col min="18" max="18" width="8.81640625" style="159" collapsed="1"/>
    <col min="19" max="63" width="8.81640625" style="159"/>
    <col min="64" max="64" width="8.7265625" style="159" customWidth="1"/>
    <col min="65" max="16384" width="8.81640625" style="159"/>
  </cols>
  <sheetData>
    <row r="1" spans="1:17" ht="30.75" customHeight="1" thickBot="1" x14ac:dyDescent="0.55000000000000004">
      <c r="A1" s="448" t="s">
        <v>75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50"/>
    </row>
    <row r="2" spans="1:17" ht="24" customHeight="1" thickBot="1" x14ac:dyDescent="0.4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52.5" thickBot="1" x14ac:dyDescent="0.4">
      <c r="A3" s="177" t="s">
        <v>48</v>
      </c>
      <c r="B3" s="178" t="s">
        <v>0</v>
      </c>
      <c r="C3" s="178" t="s">
        <v>1</v>
      </c>
      <c r="D3" s="178" t="s">
        <v>2</v>
      </c>
      <c r="E3" s="178" t="s">
        <v>21</v>
      </c>
      <c r="F3" s="178" t="s">
        <v>27</v>
      </c>
      <c r="G3" s="178" t="s">
        <v>5</v>
      </c>
      <c r="H3" s="178" t="s">
        <v>24</v>
      </c>
      <c r="I3" s="178" t="s">
        <v>7</v>
      </c>
      <c r="J3" s="178" t="s">
        <v>38</v>
      </c>
      <c r="K3" s="178" t="s">
        <v>47</v>
      </c>
      <c r="L3" s="178" t="s">
        <v>152</v>
      </c>
      <c r="M3" s="178" t="s">
        <v>8</v>
      </c>
      <c r="N3" s="179" t="s">
        <v>9</v>
      </c>
      <c r="O3" s="17" t="s">
        <v>10</v>
      </c>
      <c r="P3" s="1"/>
      <c r="Q3" s="48" t="s">
        <v>26</v>
      </c>
    </row>
    <row r="4" spans="1:17" ht="18.5" x14ac:dyDescent="0.35">
      <c r="A4" s="444" t="s">
        <v>33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6"/>
      <c r="O4" s="54"/>
      <c r="P4" s="1"/>
      <c r="Q4" s="48"/>
    </row>
    <row r="5" spans="1:17" ht="75" customHeight="1" x14ac:dyDescent="0.35">
      <c r="A5" s="103" t="s">
        <v>49</v>
      </c>
      <c r="B5" s="91" t="s">
        <v>74</v>
      </c>
      <c r="C5" s="89" t="s">
        <v>71</v>
      </c>
      <c r="D5" s="90"/>
      <c r="E5" s="128">
        <v>54</v>
      </c>
      <c r="F5" s="98">
        <v>1</v>
      </c>
      <c r="G5" s="93">
        <f t="shared" ref="G5" si="0">+E5*F5</f>
        <v>54</v>
      </c>
      <c r="H5" s="133">
        <v>0.1</v>
      </c>
      <c r="I5" s="151">
        <f t="shared" ref="I5" si="1">+G5*H5</f>
        <v>5.4</v>
      </c>
      <c r="J5" s="186">
        <v>5.4</v>
      </c>
      <c r="K5" s="95"/>
      <c r="L5" s="96"/>
      <c r="M5" s="97"/>
      <c r="N5" s="134">
        <f t="shared" ref="N5" si="2">+I5-J5</f>
        <v>0</v>
      </c>
      <c r="Q5" s="51" t="s">
        <v>49</v>
      </c>
    </row>
    <row r="6" spans="1:17" ht="43.5" x14ac:dyDescent="0.35">
      <c r="A6" s="419" t="s">
        <v>105</v>
      </c>
      <c r="B6" s="420" t="s">
        <v>83</v>
      </c>
      <c r="C6" s="420" t="s">
        <v>106</v>
      </c>
      <c r="D6" s="421"/>
      <c r="E6" s="422">
        <v>54</v>
      </c>
      <c r="F6" s="423">
        <f>G6/E6</f>
        <v>1</v>
      </c>
      <c r="G6" s="422">
        <v>54</v>
      </c>
      <c r="H6" s="424">
        <v>0.17</v>
      </c>
      <c r="I6" s="425">
        <f>G6*H6</f>
        <v>9.1800000000000015</v>
      </c>
      <c r="J6" s="426">
        <v>9.18</v>
      </c>
      <c r="K6" s="425">
        <v>0</v>
      </c>
      <c r="L6" s="427">
        <f>+I6-J6</f>
        <v>0</v>
      </c>
      <c r="M6" s="423">
        <v>0</v>
      </c>
      <c r="N6" s="304">
        <f>+L6</f>
        <v>0</v>
      </c>
      <c r="Q6" s="51"/>
    </row>
    <row r="7" spans="1:17" ht="15.5" x14ac:dyDescent="0.35">
      <c r="A7" s="170"/>
      <c r="B7" s="171"/>
      <c r="C7" s="172" t="s">
        <v>32</v>
      </c>
      <c r="D7" s="173"/>
      <c r="E7" s="174">
        <f>+MAX(E5:E6)</f>
        <v>54</v>
      </c>
      <c r="F7" s="175">
        <f>IF(E7=0,"",G7/E7)</f>
        <v>2</v>
      </c>
      <c r="G7" s="174">
        <f>SUM(G5:G6)</f>
        <v>108</v>
      </c>
      <c r="H7" s="175">
        <f>IF(G7=0,"",I7/G7)</f>
        <v>0.13500000000000001</v>
      </c>
      <c r="I7" s="175">
        <f t="shared" ref="I7:N7" si="3">SUM(I5:I6)</f>
        <v>14.580000000000002</v>
      </c>
      <c r="J7" s="175">
        <f t="shared" si="3"/>
        <v>14.58</v>
      </c>
      <c r="K7" s="176">
        <f t="shared" si="3"/>
        <v>0</v>
      </c>
      <c r="L7" s="176">
        <f t="shared" si="3"/>
        <v>0</v>
      </c>
      <c r="M7" s="176">
        <f t="shared" si="3"/>
        <v>0</v>
      </c>
      <c r="N7" s="394">
        <f t="shared" si="3"/>
        <v>0</v>
      </c>
      <c r="Q7" s="51" t="s">
        <v>57</v>
      </c>
    </row>
    <row r="8" spans="1:17" ht="18.75" customHeight="1" x14ac:dyDescent="0.35">
      <c r="A8" s="444" t="s">
        <v>63</v>
      </c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6"/>
      <c r="O8" s="54"/>
      <c r="P8" s="1"/>
      <c r="Q8" s="51" t="s">
        <v>67</v>
      </c>
    </row>
    <row r="9" spans="1:17" ht="77.5" customHeight="1" x14ac:dyDescent="0.35">
      <c r="A9" s="103" t="s">
        <v>49</v>
      </c>
      <c r="B9" s="87" t="s">
        <v>80</v>
      </c>
      <c r="C9" s="91" t="s">
        <v>103</v>
      </c>
      <c r="D9" s="88"/>
      <c r="E9" s="161">
        <v>18925</v>
      </c>
      <c r="F9" s="98">
        <v>1</v>
      </c>
      <c r="G9" s="105">
        <f t="shared" ref="G9:G10" si="4">+E9*F9</f>
        <v>18925</v>
      </c>
      <c r="H9" s="152">
        <v>0.25</v>
      </c>
      <c r="I9" s="246">
        <f>+G9*H9</f>
        <v>4731.25</v>
      </c>
      <c r="J9" s="161">
        <v>4955.5</v>
      </c>
      <c r="K9" s="106"/>
      <c r="L9" s="106"/>
      <c r="M9" s="106">
        <f>I9-J9</f>
        <v>-224.25</v>
      </c>
      <c r="N9" s="109">
        <f>SUM(K9:M9)</f>
        <v>-224.25</v>
      </c>
      <c r="O9" s="54"/>
      <c r="P9" s="1"/>
      <c r="Q9" s="51" t="s">
        <v>70</v>
      </c>
    </row>
    <row r="10" spans="1:17" ht="56" customHeight="1" x14ac:dyDescent="0.35">
      <c r="A10" s="23" t="s">
        <v>49</v>
      </c>
      <c r="B10" s="86" t="s">
        <v>72</v>
      </c>
      <c r="C10" s="87" t="s">
        <v>73</v>
      </c>
      <c r="D10" s="86"/>
      <c r="E10" s="161">
        <v>18925</v>
      </c>
      <c r="F10" s="98">
        <v>1</v>
      </c>
      <c r="G10" s="105">
        <f t="shared" si="4"/>
        <v>18925</v>
      </c>
      <c r="H10" s="152">
        <v>0.1</v>
      </c>
      <c r="I10" s="105">
        <f t="shared" ref="I10" si="5">+G10*H10</f>
        <v>1892.5</v>
      </c>
      <c r="J10" s="186">
        <v>1982.2</v>
      </c>
      <c r="K10" s="106"/>
      <c r="L10" s="106"/>
      <c r="M10" s="245">
        <f>I10-J10</f>
        <v>-89.700000000000045</v>
      </c>
      <c r="N10" s="251">
        <f>SUM(K10:M10)</f>
        <v>-89.700000000000045</v>
      </c>
      <c r="Q10" s="160"/>
    </row>
    <row r="11" spans="1:17" ht="66" customHeight="1" x14ac:dyDescent="0.35">
      <c r="A11" s="23" t="s">
        <v>142</v>
      </c>
      <c r="B11" s="382" t="s">
        <v>137</v>
      </c>
      <c r="C11" s="299" t="s">
        <v>150</v>
      </c>
      <c r="D11" s="226"/>
      <c r="E11" s="227">
        <v>446</v>
      </c>
      <c r="F11" s="228">
        <v>1</v>
      </c>
      <c r="G11" s="229">
        <f>E11*F11</f>
        <v>446</v>
      </c>
      <c r="H11" s="230">
        <v>0.25</v>
      </c>
      <c r="I11" s="391">
        <v>112</v>
      </c>
      <c r="J11" s="383">
        <v>0</v>
      </c>
      <c r="L11" s="389">
        <f>I11-J11</f>
        <v>112</v>
      </c>
      <c r="M11" s="231"/>
      <c r="N11" s="390">
        <f>I11-J11</f>
        <v>112</v>
      </c>
      <c r="Q11" s="160"/>
    </row>
    <row r="12" spans="1:17" s="72" customFormat="1" ht="31" x14ac:dyDescent="0.35">
      <c r="A12" s="170"/>
      <c r="B12" s="171"/>
      <c r="C12" s="172" t="s">
        <v>64</v>
      </c>
      <c r="D12" s="183"/>
      <c r="E12" s="184">
        <f>+MAX(E9:E11)+E11</f>
        <v>19371</v>
      </c>
      <c r="F12" s="175">
        <f>G12/E12</f>
        <v>1.9769758917970162</v>
      </c>
      <c r="G12" s="184">
        <f>SUM(G9:G11)</f>
        <v>38296</v>
      </c>
      <c r="H12" s="264">
        <f>I12/G12</f>
        <v>0.17588651556298307</v>
      </c>
      <c r="I12" s="265">
        <f>SUM(I9:I11)</f>
        <v>6735.75</v>
      </c>
      <c r="J12" s="266">
        <f>SUM(J9:J11)</f>
        <v>6937.7</v>
      </c>
      <c r="K12" s="185">
        <f>SUM(K9:K11)</f>
        <v>0</v>
      </c>
      <c r="L12" s="185">
        <f>SUM(L9:L11)</f>
        <v>112</v>
      </c>
      <c r="M12" s="185">
        <f>M9+M10</f>
        <v>-313.95000000000005</v>
      </c>
      <c r="N12" s="393">
        <f>SUM(N9:N11)</f>
        <v>-201.95000000000005</v>
      </c>
      <c r="Q12" s="295"/>
    </row>
    <row r="13" spans="1:17" ht="55.5" hidden="1" customHeight="1" x14ac:dyDescent="0.35">
      <c r="A13" s="444" t="s">
        <v>42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6"/>
      <c r="O13" s="54"/>
      <c r="P13" s="1"/>
      <c r="Q13" s="160"/>
    </row>
    <row r="14" spans="1:17" ht="25.5" customHeight="1" thickBot="1" x14ac:dyDescent="0.4">
      <c r="A14" s="113"/>
      <c r="B14" s="114"/>
      <c r="C14" s="115" t="s">
        <v>104</v>
      </c>
      <c r="D14" s="116"/>
      <c r="E14" s="117">
        <f>E7+E12</f>
        <v>19425</v>
      </c>
      <c r="F14" s="118">
        <f>G14/E14</f>
        <v>1.977039897039897</v>
      </c>
      <c r="G14" s="65">
        <f>G7+G12</f>
        <v>38404</v>
      </c>
      <c r="H14" s="263">
        <f>I14/G14</f>
        <v>0.1757715342151859</v>
      </c>
      <c r="I14" s="118">
        <f>SUM(I7+I12)</f>
        <v>6750.33</v>
      </c>
      <c r="J14" s="112">
        <f>J7+J12</f>
        <v>6952.28</v>
      </c>
      <c r="K14" s="117">
        <f>K7+K12</f>
        <v>0</v>
      </c>
      <c r="L14" s="117">
        <f>L7+L12</f>
        <v>112</v>
      </c>
      <c r="M14" s="392">
        <f>M7+M12</f>
        <v>-313.95000000000005</v>
      </c>
      <c r="N14" s="384">
        <f>N7+N12</f>
        <v>-201.95000000000005</v>
      </c>
      <c r="Q14" s="16"/>
    </row>
    <row r="15" spans="1:17" hidden="1" x14ac:dyDescent="0.35">
      <c r="C15" s="16"/>
      <c r="Q15" s="16"/>
    </row>
    <row r="16" spans="1:17" ht="42" hidden="1" customHeight="1" x14ac:dyDescent="0.35">
      <c r="C16" s="16"/>
      <c r="D16" s="180" t="str">
        <f>+A3</f>
        <v>Program Rule</v>
      </c>
      <c r="E16" s="181" t="str">
        <f t="shared" ref="E16:N16" si="6">+E3</f>
        <v>Estimated # Respondents</v>
      </c>
      <c r="F16" s="181" t="str">
        <f t="shared" si="6"/>
        <v>Responses per Respondents</v>
      </c>
      <c r="G16" s="181" t="str">
        <f t="shared" si="6"/>
        <v>Total Annual Records</v>
      </c>
      <c r="H16" s="181" t="str">
        <f t="shared" si="6"/>
        <v>Estimated Avg. # of Hours Per Response</v>
      </c>
      <c r="I16" s="181" t="str">
        <f t="shared" si="6"/>
        <v xml:space="preserve">Estimated Total Hours            </v>
      </c>
      <c r="J16" s="181" t="str">
        <f t="shared" si="6"/>
        <v>Current OMB Approved Burden Hrs</v>
      </c>
      <c r="K16" s="181" t="str">
        <f t="shared" si="6"/>
        <v>Due to Authorizing Statute</v>
      </c>
      <c r="L16" s="181" t="str">
        <f t="shared" si="6"/>
        <v>Existing Requirements in Use without OMB approval</v>
      </c>
      <c r="M16" s="181" t="str">
        <f t="shared" si="6"/>
        <v>Due to an Adjustment</v>
      </c>
      <c r="N16" s="182" t="str">
        <f t="shared" si="6"/>
        <v>Total Difference</v>
      </c>
      <c r="Q16" s="16"/>
    </row>
    <row r="17" spans="3:17" hidden="1" x14ac:dyDescent="0.35">
      <c r="C17" s="16"/>
      <c r="D17" s="78" t="str">
        <f>+Q5</f>
        <v>F/R Eligibility</v>
      </c>
      <c r="E17" s="70">
        <f t="shared" ref="E17:E22" si="7">+SUMIF($A$5:$A$13,D17,($E$5:$E$13))</f>
        <v>37904</v>
      </c>
      <c r="F17" s="70">
        <f t="shared" ref="F17:F22" si="8">IF(E17&gt;0,G17/E17,0)</f>
        <v>1</v>
      </c>
      <c r="G17" s="119">
        <f t="shared" ref="G17:G22" si="9">+SUMIF($A$5:$A$13,D17,($G$5:$G$13))</f>
        <v>37904</v>
      </c>
      <c r="H17" s="121">
        <f t="shared" ref="H17:H22" si="10">IF(G17&gt;0,I17/G17,0)</f>
        <v>0.17489315111861545</v>
      </c>
      <c r="I17" s="119">
        <f t="shared" ref="I17:I22" si="11">+SUMIF($A$5:$A$13,D17,($I$5:$I$13))</f>
        <v>6629.15</v>
      </c>
      <c r="J17" s="122">
        <f t="shared" ref="J17:J22" si="12">+SUMIF($A$5:$A$13,D17,($J$5:$J$13))</f>
        <v>6943.0999999999995</v>
      </c>
      <c r="K17" s="70">
        <f>+SUMIF($A$5:$A$13,$D$17,($K$5:$K$13))</f>
        <v>0</v>
      </c>
      <c r="L17" s="70">
        <f>+SUMIF($A$5:$A$13,$D$17,($L$5:$L$13))</f>
        <v>0</v>
      </c>
      <c r="M17" s="70">
        <f>+SUMIF($A$5:$A$13,$D$17,($L$5:$L$13))</f>
        <v>0</v>
      </c>
      <c r="N17" s="120">
        <f t="shared" ref="N17:N22" si="13">+SUMIF($A$5:$A$13,D17,($N$5:$N$13))</f>
        <v>-313.95000000000005</v>
      </c>
      <c r="Q17" s="16"/>
    </row>
    <row r="18" spans="3:17" hidden="1" x14ac:dyDescent="0.35">
      <c r="C18" s="16"/>
      <c r="D18" s="78" t="e">
        <f>+#REF!</f>
        <v>#REF!</v>
      </c>
      <c r="E18" s="70">
        <f t="shared" si="7"/>
        <v>0</v>
      </c>
      <c r="F18" s="70">
        <f t="shared" si="8"/>
        <v>0</v>
      </c>
      <c r="G18" s="70">
        <f t="shared" si="9"/>
        <v>0</v>
      </c>
      <c r="H18" s="70">
        <f t="shared" si="10"/>
        <v>0</v>
      </c>
      <c r="I18" s="70">
        <f t="shared" si="11"/>
        <v>0</v>
      </c>
      <c r="J18" s="70">
        <f t="shared" si="12"/>
        <v>0</v>
      </c>
      <c r="K18" s="70">
        <f>+SUMIF($A$5:$A$13,$D$18,($K$5:$K$13))</f>
        <v>0</v>
      </c>
      <c r="L18" s="70">
        <f t="shared" ref="L18:M22" si="14">+SUMIF($A$5:$A$13,$D$18,($L$5:$L$13))</f>
        <v>0</v>
      </c>
      <c r="M18" s="70">
        <f t="shared" si="14"/>
        <v>0</v>
      </c>
      <c r="N18" s="71">
        <f t="shared" si="13"/>
        <v>0</v>
      </c>
      <c r="Q18" s="16"/>
    </row>
    <row r="19" spans="3:17" hidden="1" x14ac:dyDescent="0.35">
      <c r="C19" s="16"/>
      <c r="D19" s="78" t="str">
        <f>+Q7</f>
        <v>Direct Certification</v>
      </c>
      <c r="E19" s="70">
        <f t="shared" si="7"/>
        <v>0</v>
      </c>
      <c r="F19" s="70">
        <f t="shared" si="8"/>
        <v>0</v>
      </c>
      <c r="G19" s="70">
        <f t="shared" si="9"/>
        <v>0</v>
      </c>
      <c r="H19" s="70">
        <f t="shared" si="10"/>
        <v>0</v>
      </c>
      <c r="I19" s="70">
        <f t="shared" si="11"/>
        <v>0</v>
      </c>
      <c r="J19" s="70">
        <f t="shared" si="12"/>
        <v>0</v>
      </c>
      <c r="K19" s="70">
        <f>+SUMIF($A$5:$A$13,$D$18,($K$5:$K$13))</f>
        <v>0</v>
      </c>
      <c r="L19" s="70">
        <f t="shared" si="14"/>
        <v>0</v>
      </c>
      <c r="M19" s="70">
        <f t="shared" si="14"/>
        <v>0</v>
      </c>
      <c r="N19" s="71">
        <f t="shared" si="13"/>
        <v>0</v>
      </c>
      <c r="Q19" s="16"/>
    </row>
    <row r="20" spans="3:17" hidden="1" x14ac:dyDescent="0.35">
      <c r="C20" s="16"/>
      <c r="D20" s="78" t="str">
        <f>+Q8</f>
        <v>CIP</v>
      </c>
      <c r="E20" s="70">
        <f t="shared" si="7"/>
        <v>0</v>
      </c>
      <c r="F20" s="70">
        <f t="shared" si="8"/>
        <v>0</v>
      </c>
      <c r="G20" s="70">
        <f t="shared" si="9"/>
        <v>0</v>
      </c>
      <c r="H20" s="70">
        <f t="shared" si="10"/>
        <v>0</v>
      </c>
      <c r="I20" s="70">
        <f t="shared" si="11"/>
        <v>0</v>
      </c>
      <c r="J20" s="70">
        <f t="shared" si="12"/>
        <v>0</v>
      </c>
      <c r="K20" s="70">
        <f>+SUMIF($A$5:$A$13,$D$18,($K$5:$K$13))</f>
        <v>0</v>
      </c>
      <c r="L20" s="70">
        <f t="shared" si="14"/>
        <v>0</v>
      </c>
      <c r="M20" s="70">
        <f t="shared" si="14"/>
        <v>0</v>
      </c>
      <c r="N20" s="71">
        <f t="shared" si="13"/>
        <v>0</v>
      </c>
      <c r="P20" s="72"/>
      <c r="Q20" s="16"/>
    </row>
    <row r="21" spans="3:17" hidden="1" x14ac:dyDescent="0.35">
      <c r="C21" s="16"/>
      <c r="D21" s="78" t="str">
        <f>+Q9</f>
        <v>CEP</v>
      </c>
      <c r="E21" s="70">
        <f t="shared" si="7"/>
        <v>0</v>
      </c>
      <c r="F21" s="70">
        <f t="shared" si="8"/>
        <v>0</v>
      </c>
      <c r="G21" s="70">
        <f t="shared" si="9"/>
        <v>0</v>
      </c>
      <c r="H21" s="70">
        <f t="shared" si="10"/>
        <v>0</v>
      </c>
      <c r="I21" s="70">
        <f t="shared" si="11"/>
        <v>0</v>
      </c>
      <c r="J21" s="70">
        <f t="shared" si="12"/>
        <v>0</v>
      </c>
      <c r="K21" s="70">
        <f>+SUMIF($A$5:$A$13,$D$18,($K$5:$K$13))</f>
        <v>0</v>
      </c>
      <c r="L21" s="70">
        <f t="shared" si="14"/>
        <v>0</v>
      </c>
      <c r="M21" s="70">
        <f t="shared" si="14"/>
        <v>0</v>
      </c>
      <c r="N21" s="71">
        <f t="shared" si="13"/>
        <v>0</v>
      </c>
      <c r="Q21" s="16"/>
    </row>
    <row r="22" spans="3:17" hidden="1" x14ac:dyDescent="0.35">
      <c r="D22" s="78" t="str">
        <f>IF(Q10="","-",+Q10)</f>
        <v>-</v>
      </c>
      <c r="E22" s="70">
        <f t="shared" si="7"/>
        <v>0</v>
      </c>
      <c r="F22" s="70">
        <f t="shared" si="8"/>
        <v>0</v>
      </c>
      <c r="G22" s="70">
        <f t="shared" si="9"/>
        <v>0</v>
      </c>
      <c r="H22" s="70">
        <f t="shared" si="10"/>
        <v>0</v>
      </c>
      <c r="I22" s="70">
        <f t="shared" si="11"/>
        <v>0</v>
      </c>
      <c r="J22" s="70">
        <f t="shared" si="12"/>
        <v>0</v>
      </c>
      <c r="K22" s="70">
        <f>+SUMIF($A$5:$A$13,$D$18,($K$5:$K$13))</f>
        <v>0</v>
      </c>
      <c r="L22" s="70">
        <f t="shared" si="14"/>
        <v>0</v>
      </c>
      <c r="M22" s="70">
        <f t="shared" si="14"/>
        <v>0</v>
      </c>
      <c r="N22" s="71">
        <f t="shared" si="13"/>
        <v>0</v>
      </c>
    </row>
    <row r="29" spans="3:17" ht="21" x14ac:dyDescent="0.5">
      <c r="C29" s="221"/>
    </row>
    <row r="31" spans="3:17" ht="21" x14ac:dyDescent="0.5">
      <c r="C31" s="221"/>
      <c r="D31" s="221"/>
      <c r="E31" s="221"/>
      <c r="F31" s="221"/>
    </row>
  </sheetData>
  <sheetProtection selectLockedCells="1"/>
  <autoFilter ref="A3:N14"/>
  <dataConsolidate/>
  <mergeCells count="4">
    <mergeCell ref="A1:N1"/>
    <mergeCell ref="A4:N4"/>
    <mergeCell ref="A8:N8"/>
    <mergeCell ref="A13:N13"/>
  </mergeCells>
  <dataValidations count="2">
    <dataValidation type="list" allowBlank="1" showInputMessage="1" showErrorMessage="1" sqref="A12 A9:A10 A5 A7">
      <formula1>$Q$7:$Q$13</formula1>
    </dataValidation>
    <dataValidation type="list" allowBlank="1" showInputMessage="1" showErrorMessage="1" sqref="A6">
      <formula1>$P$6:$P$30</formula1>
    </dataValidation>
  </dataValidations>
  <printOptions horizontalCentered="1"/>
  <pageMargins left="0.7" right="0.7" top="0.75" bottom="0.75" header="0.3" footer="0.3"/>
  <pageSetup scale="56" orientation="landscape" r:id="rId1"/>
  <headerFooter>
    <oddHeader>&amp;C&amp;"-,Bold"&amp;12OMB Control #0584-0026 
&amp;16 7 CFR Part 245, Determining Eligibility for Free &amp; Reduced Price Meals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G31"/>
  <sheetViews>
    <sheetView topLeftCell="A15" workbookViewId="0">
      <selection activeCell="F33" sqref="F33"/>
    </sheetView>
  </sheetViews>
  <sheetFormatPr defaultRowHeight="14.5" x14ac:dyDescent="0.35"/>
  <cols>
    <col min="1" max="1" width="28.7265625" bestFit="1" customWidth="1"/>
    <col min="2" max="2" width="14.26953125" bestFit="1" customWidth="1"/>
    <col min="3" max="3" width="13.7265625" bestFit="1" customWidth="1"/>
    <col min="4" max="4" width="19" bestFit="1" customWidth="1"/>
    <col min="5" max="5" width="18.54296875" bestFit="1" customWidth="1"/>
    <col min="6" max="6" width="15.26953125" bestFit="1" customWidth="1"/>
  </cols>
  <sheetData>
    <row r="1" spans="1:7" ht="15" x14ac:dyDescent="0.35">
      <c r="A1" s="451" t="s">
        <v>56</v>
      </c>
      <c r="B1" s="452"/>
      <c r="C1" s="452"/>
      <c r="D1" s="452"/>
      <c r="E1" s="452"/>
      <c r="F1" s="453"/>
    </row>
    <row r="2" spans="1:7" ht="13.5" customHeight="1" x14ac:dyDescent="0.35">
      <c r="A2" s="31"/>
      <c r="B2" s="32"/>
      <c r="C2" s="32"/>
      <c r="D2" s="32"/>
      <c r="E2" s="32"/>
      <c r="F2" s="33"/>
    </row>
    <row r="3" spans="1:7" ht="48" customHeight="1" x14ac:dyDescent="0.35">
      <c r="A3" s="44" t="s">
        <v>20</v>
      </c>
      <c r="B3" s="44" t="s">
        <v>21</v>
      </c>
      <c r="C3" s="44" t="s">
        <v>22</v>
      </c>
      <c r="D3" s="44" t="s">
        <v>23</v>
      </c>
      <c r="E3" s="44" t="s">
        <v>24</v>
      </c>
      <c r="F3" s="44" t="s">
        <v>25</v>
      </c>
    </row>
    <row r="4" spans="1:7" ht="15" x14ac:dyDescent="0.35">
      <c r="A4" s="43" t="s">
        <v>12</v>
      </c>
      <c r="B4" s="42"/>
      <c r="C4" s="42"/>
      <c r="D4" s="42"/>
      <c r="E4" s="42"/>
      <c r="F4" s="42"/>
    </row>
    <row r="5" spans="1:7" ht="15.75" customHeight="1" x14ac:dyDescent="0.35">
      <c r="A5" s="34" t="s">
        <v>11</v>
      </c>
      <c r="B5" s="35">
        <f>+RecordKeeping!E11</f>
        <v>54</v>
      </c>
      <c r="C5" s="208">
        <f>+RecordKeeping!F11</f>
        <v>12.092592592592593</v>
      </c>
      <c r="D5" s="35">
        <f>+RecordKeeping!G11</f>
        <v>653</v>
      </c>
      <c r="E5" s="418">
        <f>+RecordKeeping!H11</f>
        <v>0.1735405819295559</v>
      </c>
      <c r="F5" s="35">
        <f>+RecordKeeping!I11</f>
        <v>113.322</v>
      </c>
      <c r="G5" s="37"/>
    </row>
    <row r="6" spans="1:7" ht="19.5" customHeight="1" x14ac:dyDescent="0.35">
      <c r="A6" s="38" t="s">
        <v>97</v>
      </c>
      <c r="B6" s="36">
        <f>+RecordKeeping!E16</f>
        <v>15786</v>
      </c>
      <c r="C6" s="209">
        <f>+RecordKeeping!F16</f>
        <v>1.0316736348663373</v>
      </c>
      <c r="D6" s="35">
        <f>+RecordKeeping!G16</f>
        <v>16286</v>
      </c>
      <c r="E6" s="267">
        <f>+RecordKeeping!H16</f>
        <v>0.17175488149330712</v>
      </c>
      <c r="F6" s="35">
        <f>+RecordKeeping!I16</f>
        <v>2797.2</v>
      </c>
      <c r="G6" s="40"/>
    </row>
    <row r="7" spans="1:7" ht="19.5" hidden="1" customHeight="1" x14ac:dyDescent="0.35">
      <c r="A7" s="38" t="s">
        <v>28</v>
      </c>
      <c r="B7" s="6">
        <f>+RecordKeeping!E20</f>
        <v>0</v>
      </c>
      <c r="C7" s="39" t="str">
        <f>+RecordKeeping!F20</f>
        <v/>
      </c>
      <c r="D7" s="7">
        <f>+RecordKeeping!G20</f>
        <v>0</v>
      </c>
      <c r="E7" s="7">
        <f>+RecordKeeping!H20</f>
        <v>0</v>
      </c>
      <c r="F7" s="7">
        <f>+RecordKeeping!I20</f>
        <v>0</v>
      </c>
      <c r="G7" s="40"/>
    </row>
    <row r="8" spans="1:7" ht="19.5" customHeight="1" x14ac:dyDescent="0.35">
      <c r="A8" s="47" t="s">
        <v>29</v>
      </c>
      <c r="B8" s="36">
        <f>SUBTOTAL(109,B5:B7)</f>
        <v>15840</v>
      </c>
      <c r="C8" s="208">
        <f>+D8/B8</f>
        <v>1.0693813131313132</v>
      </c>
      <c r="D8" s="36">
        <f>SUBTOTAL(109,D5:D7)</f>
        <v>16939</v>
      </c>
      <c r="E8" s="268">
        <f>+F8/D8</f>
        <v>0.1718237204085247</v>
      </c>
      <c r="F8" s="36">
        <f>SUBTOTAL(109,F5:F7)</f>
        <v>2910.5219999999999</v>
      </c>
      <c r="G8" s="40"/>
    </row>
    <row r="9" spans="1:7" ht="15" x14ac:dyDescent="0.35">
      <c r="A9" s="46" t="s">
        <v>30</v>
      </c>
      <c r="B9" s="45"/>
      <c r="C9" s="45"/>
      <c r="D9" s="45"/>
      <c r="E9" s="45"/>
      <c r="F9" s="45"/>
    </row>
    <row r="10" spans="1:7" ht="19.5" customHeight="1" x14ac:dyDescent="0.35">
      <c r="A10" s="52" t="s">
        <v>11</v>
      </c>
      <c r="B10" s="53">
        <f>+Reporting!E14</f>
        <v>54</v>
      </c>
      <c r="C10" s="210">
        <f>+Reporting!F14</f>
        <v>166.44444444444446</v>
      </c>
      <c r="D10" s="53">
        <f>+Reporting!G14</f>
        <v>8988</v>
      </c>
      <c r="E10" s="210">
        <f>+Reporting!H14</f>
        <v>6.25E-2</v>
      </c>
      <c r="F10" s="53">
        <f>+Reporting!I14</f>
        <v>561.75</v>
      </c>
      <c r="G10" s="40"/>
    </row>
    <row r="11" spans="1:7" ht="19.5" customHeight="1" x14ac:dyDescent="0.35">
      <c r="A11" s="193" t="s">
        <v>97</v>
      </c>
      <c r="B11" s="187">
        <f>+Reporting!E34</f>
        <v>19371.490000000002</v>
      </c>
      <c r="C11" s="188">
        <f>+Reporting!F34</f>
        <v>455.95310892450703</v>
      </c>
      <c r="D11" s="187">
        <f>+Reporting!G34</f>
        <v>8832491.0899999999</v>
      </c>
      <c r="E11" s="188">
        <f>+Reporting!H34</f>
        <v>2.4166854042079765E-2</v>
      </c>
      <c r="F11" s="187">
        <f>+Reporting!I34</f>
        <v>213453.52300000002</v>
      </c>
      <c r="G11" s="40"/>
    </row>
    <row r="12" spans="1:7" ht="15.75" customHeight="1" x14ac:dyDescent="0.35">
      <c r="A12" s="194" t="s">
        <v>91</v>
      </c>
      <c r="B12" s="195">
        <f>+Reporting!E42</f>
        <v>3551886</v>
      </c>
      <c r="C12" s="212">
        <f>+Reporting!F42</f>
        <v>1.0285727751397427</v>
      </c>
      <c r="D12" s="195">
        <f>+Reporting!G42</f>
        <v>3653373.24</v>
      </c>
      <c r="E12" s="212">
        <f>+Reporting!H42</f>
        <v>0.12072390391735612</v>
      </c>
      <c r="F12" s="195">
        <f>+Reporting!I42</f>
        <v>441049.48000000004</v>
      </c>
      <c r="G12" s="37"/>
    </row>
    <row r="13" spans="1:7" ht="19.5" customHeight="1" x14ac:dyDescent="0.35">
      <c r="A13" s="199" t="s">
        <v>31</v>
      </c>
      <c r="B13" s="187">
        <f>SUBTOTAL(109,B10:B12)</f>
        <v>3571311.49</v>
      </c>
      <c r="C13" s="211">
        <f>+D13/B13</f>
        <v>3.4986733487086559</v>
      </c>
      <c r="D13" s="187">
        <f>SUBTOTAL(109,D10:D12)</f>
        <v>12494852.33</v>
      </c>
      <c r="E13" s="211">
        <f>+F13/D13</f>
        <v>5.2426770297012384E-2</v>
      </c>
      <c r="F13" s="187">
        <f>SUBTOTAL(109,F10:F12)</f>
        <v>655064.75300000003</v>
      </c>
      <c r="G13" s="40"/>
    </row>
    <row r="14" spans="1:7" s="159" customFormat="1" ht="19.5" customHeight="1" x14ac:dyDescent="0.35">
      <c r="A14" s="192" t="s">
        <v>75</v>
      </c>
      <c r="B14" s="190"/>
      <c r="C14" s="191"/>
      <c r="D14" s="190"/>
      <c r="E14" s="191"/>
      <c r="F14" s="190"/>
      <c r="G14" s="40"/>
    </row>
    <row r="15" spans="1:7" s="159" customFormat="1" ht="19.5" customHeight="1" x14ac:dyDescent="0.35">
      <c r="A15" s="220" t="s">
        <v>11</v>
      </c>
      <c r="B15" s="218">
        <f>+PublicNotification!E7</f>
        <v>54</v>
      </c>
      <c r="C15" s="218">
        <f>+PublicNotification!F7</f>
        <v>2</v>
      </c>
      <c r="D15" s="218">
        <f>+PublicNotification!G7</f>
        <v>108</v>
      </c>
      <c r="E15" s="219">
        <f>+PublicNotification!H7</f>
        <v>0.13500000000000001</v>
      </c>
      <c r="F15" s="218">
        <f>+PublicNotification!I7</f>
        <v>14.580000000000002</v>
      </c>
      <c r="G15" s="40"/>
    </row>
    <row r="16" spans="1:7" s="159" customFormat="1" ht="19.5" customHeight="1" x14ac:dyDescent="0.35">
      <c r="A16" s="198" t="s">
        <v>97</v>
      </c>
      <c r="B16" s="189">
        <f>+PublicNotification!E12</f>
        <v>19371</v>
      </c>
      <c r="C16" s="189">
        <f>+PublicNotification!F12</f>
        <v>1.9769758917970162</v>
      </c>
      <c r="D16" s="189">
        <f>+PublicNotification!G12</f>
        <v>38296</v>
      </c>
      <c r="E16" s="387">
        <f>+PublicNotification!H12</f>
        <v>0.17588651556298307</v>
      </c>
      <c r="F16" s="388">
        <f>+PublicNotification!I12</f>
        <v>6735.75</v>
      </c>
      <c r="G16" s="40"/>
    </row>
    <row r="17" spans="1:7" s="159" customFormat="1" ht="19.5" hidden="1" customHeight="1" x14ac:dyDescent="0.35">
      <c r="A17" s="197" t="s">
        <v>28</v>
      </c>
      <c r="B17" s="196" t="e">
        <f>+PublicNotification!#REF!</f>
        <v>#REF!</v>
      </c>
      <c r="C17" s="196" t="e">
        <f>+PublicNotification!#REF!</f>
        <v>#REF!</v>
      </c>
      <c r="D17" s="196" t="e">
        <f>+PublicNotification!#REF!</f>
        <v>#REF!</v>
      </c>
      <c r="E17" s="196" t="e">
        <f>+PublicNotification!#REF!</f>
        <v>#REF!</v>
      </c>
      <c r="F17" s="196" t="e">
        <f>+PublicNotification!#REF!</f>
        <v>#REF!</v>
      </c>
      <c r="G17" s="40"/>
    </row>
    <row r="18" spans="1:7" s="159" customFormat="1" ht="19.5" customHeight="1" x14ac:dyDescent="0.35">
      <c r="A18" s="217" t="s">
        <v>79</v>
      </c>
      <c r="B18" s="218">
        <f>SUBTOTAL(109,B15:B17)</f>
        <v>19425</v>
      </c>
      <c r="C18" s="219">
        <f>+D18/B18</f>
        <v>1.977039897039897</v>
      </c>
      <c r="D18" s="218">
        <f>SUBTOTAL(109,D15:D17)</f>
        <v>38404</v>
      </c>
      <c r="E18" s="408">
        <f>+F18/D18</f>
        <v>0.1757715342151859</v>
      </c>
      <c r="F18" s="218">
        <f>SUBTOTAL(109,F15:F17)</f>
        <v>6750.33</v>
      </c>
      <c r="G18" s="40"/>
    </row>
    <row r="19" spans="1:7" ht="17.25" customHeight="1" x14ac:dyDescent="0.35">
      <c r="A19" s="41" t="s">
        <v>59</v>
      </c>
      <c r="B19" s="8">
        <f>SUM('Burden Summary'!B12+B18)</f>
        <v>3571311</v>
      </c>
      <c r="C19" s="153">
        <f>+D19/B19</f>
        <v>3.5141703788888732</v>
      </c>
      <c r="D19" s="8">
        <f>+D8+D13+D18</f>
        <v>12550195.33</v>
      </c>
      <c r="E19" s="153">
        <f>+F19/D19</f>
        <v>5.2965359304889797E-2</v>
      </c>
      <c r="F19" s="8">
        <f>+F8+F13+F18</f>
        <v>664725.60499999998</v>
      </c>
      <c r="G19" s="37"/>
    </row>
    <row r="20" spans="1:7" x14ac:dyDescent="0.35">
      <c r="A20" s="16"/>
      <c r="B20" s="16"/>
      <c r="C20" s="16"/>
      <c r="D20" s="16"/>
      <c r="E20" s="16"/>
      <c r="F20" s="201"/>
    </row>
    <row r="21" spans="1:7" x14ac:dyDescent="0.35">
      <c r="A21" s="200"/>
      <c r="B21" s="5"/>
      <c r="C21" s="9"/>
      <c r="D21" s="5"/>
      <c r="E21" s="5"/>
      <c r="F21" s="80"/>
      <c r="G21" s="5"/>
    </row>
    <row r="22" spans="1:7" x14ac:dyDescent="0.35">
      <c r="D22" s="10"/>
      <c r="F22" s="225"/>
    </row>
    <row r="23" spans="1:7" ht="15" thickBot="1" x14ac:dyDescent="0.4">
      <c r="A23" s="400"/>
      <c r="B23" s="400"/>
      <c r="C23" s="400"/>
      <c r="D23" s="400"/>
      <c r="E23" s="400"/>
      <c r="F23" s="400"/>
    </row>
    <row r="24" spans="1:7" x14ac:dyDescent="0.35">
      <c r="A24" s="409" t="s">
        <v>112</v>
      </c>
      <c r="B24" s="410">
        <f>+B18</f>
        <v>19425</v>
      </c>
      <c r="C24" s="411">
        <f>+D24/B24</f>
        <v>458.00885920205917</v>
      </c>
      <c r="D24" s="410">
        <f>+D8+D10+D11+D18</f>
        <v>8896822.0899999999</v>
      </c>
      <c r="E24" s="411">
        <f>+F24/D24</f>
        <v>2.5141125981535728E-2</v>
      </c>
      <c r="F24" s="412">
        <f>+F8+F10+F11+F18</f>
        <v>223676.125</v>
      </c>
    </row>
    <row r="25" spans="1:7" x14ac:dyDescent="0.35">
      <c r="A25" s="404" t="s">
        <v>113</v>
      </c>
      <c r="B25" s="397">
        <f>+B12</f>
        <v>3551886</v>
      </c>
      <c r="C25" s="413">
        <f>+D25/B25</f>
        <v>1.0285727751397427</v>
      </c>
      <c r="D25" s="397">
        <f>+D12</f>
        <v>3653373.24</v>
      </c>
      <c r="E25" s="413">
        <f>+F25/D25</f>
        <v>0.12072390391735612</v>
      </c>
      <c r="F25" s="414">
        <f>+F12</f>
        <v>441049.48000000004</v>
      </c>
    </row>
    <row r="26" spans="1:7" ht="15" thickBot="1" x14ac:dyDescent="0.4">
      <c r="A26" s="406" t="s">
        <v>114</v>
      </c>
      <c r="B26" s="415">
        <f>+B25+B24</f>
        <v>3571311</v>
      </c>
      <c r="C26" s="416">
        <f>+D26/B26</f>
        <v>3.5141703788888732</v>
      </c>
      <c r="D26" s="415">
        <f>+D25+D24</f>
        <v>12550195.33</v>
      </c>
      <c r="E26" s="416">
        <f>+F26/D26</f>
        <v>5.2965359304889797E-2</v>
      </c>
      <c r="F26" s="417">
        <f>+F25+F24</f>
        <v>664725.60499999998</v>
      </c>
    </row>
    <row r="27" spans="1:7" ht="15" thickBot="1" x14ac:dyDescent="0.4">
      <c r="A27" s="400"/>
      <c r="B27" s="400"/>
      <c r="C27" s="400"/>
      <c r="D27" s="400"/>
      <c r="E27" s="400"/>
      <c r="F27" s="400"/>
    </row>
    <row r="28" spans="1:7" x14ac:dyDescent="0.35">
      <c r="A28" s="401"/>
      <c r="B28" s="402" t="s">
        <v>116</v>
      </c>
      <c r="C28" s="403" t="s">
        <v>117</v>
      </c>
      <c r="D28" s="400"/>
      <c r="E28" s="400"/>
      <c r="F28" s="400"/>
    </row>
    <row r="29" spans="1:7" x14ac:dyDescent="0.35">
      <c r="A29" s="404" t="s">
        <v>115</v>
      </c>
      <c r="B29" s="395">
        <v>16245251</v>
      </c>
      <c r="C29" s="396">
        <v>939501</v>
      </c>
      <c r="D29" s="405"/>
      <c r="E29" s="400"/>
      <c r="F29" s="400"/>
    </row>
    <row r="30" spans="1:7" x14ac:dyDescent="0.35">
      <c r="A30" s="404" t="s">
        <v>118</v>
      </c>
      <c r="B30" s="397">
        <f>+D19</f>
        <v>12550195.33</v>
      </c>
      <c r="C30" s="396">
        <f>+F19</f>
        <v>664725.60499999998</v>
      </c>
      <c r="D30" s="405"/>
      <c r="E30" s="400"/>
      <c r="F30" s="400"/>
    </row>
    <row r="31" spans="1:7" ht="15" thickBot="1" x14ac:dyDescent="0.4">
      <c r="A31" s="406" t="s">
        <v>119</v>
      </c>
      <c r="B31" s="398">
        <f>+B30-B29</f>
        <v>-3695055.67</v>
      </c>
      <c r="C31" s="399">
        <f>+C30-C29</f>
        <v>-274775.39500000002</v>
      </c>
      <c r="D31" s="400"/>
      <c r="E31" s="400"/>
      <c r="F31" s="400"/>
    </row>
  </sheetData>
  <sheetProtection selectLockedCells="1"/>
  <mergeCells count="1">
    <mergeCell ref="A1:F1"/>
  </mergeCells>
  <printOptions horizontalCentered="1"/>
  <pageMargins left="0.7" right="0.7" top="0.75" bottom="0.75" header="0.3" footer="0.3"/>
  <pageSetup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Reporting</vt:lpstr>
      <vt:lpstr>RecordKeeping</vt:lpstr>
      <vt:lpstr>PublicNotification</vt:lpstr>
      <vt:lpstr>Burden Summary</vt:lpstr>
      <vt:lpstr>'Burden Summary'!Print_Area</vt:lpstr>
      <vt:lpstr>PublicNotification!Print_Area</vt:lpstr>
      <vt:lpstr>RecordKeeping!Print_Area</vt:lpstr>
      <vt:lpstr>Reporting!Print_Area</vt:lpstr>
    </vt:vector>
  </TitlesOfParts>
  <Company>USDA/FNS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sweeks</dc:creator>
  <cp:lastModifiedBy>Sandberg, Christina - FNS</cp:lastModifiedBy>
  <cp:lastPrinted>2020-03-05T21:19:51Z</cp:lastPrinted>
  <dcterms:created xsi:type="dcterms:W3CDTF">2011-04-25T16:43:00Z</dcterms:created>
  <dcterms:modified xsi:type="dcterms:W3CDTF">2020-03-31T11:07:33Z</dcterms:modified>
</cp:coreProperties>
</file>