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8F447642-FD6E-48BB-873D-AE453E159EF5}" xr6:coauthVersionLast="44" xr6:coauthVersionMax="44" xr10:uidLastSave="{00000000-0000-0000-0000-000000000000}"/>
  <bookViews>
    <workbookView xWindow="-120" yWindow="-120" windowWidth="20730" windowHeight="11310" tabRatio="735" activeTab="3" xr2:uid="{00000000-000D-0000-FFFF-FFFF00000000}"/>
  </bookViews>
  <sheets>
    <sheet name="TBL1-YR1" sheetId="1" r:id="rId1"/>
    <sheet name="TBL2-YR2" sheetId="6" r:id="rId2"/>
    <sheet name="TBL3-YR3" sheetId="7" r:id="rId3"/>
    <sheet name="TBL4-Summary" sheetId="4" r:id="rId4"/>
    <sheet name="TBL5-YR1" sheetId="2" r:id="rId5"/>
    <sheet name="TBL6-YR2" sheetId="8" r:id="rId6"/>
    <sheet name="TBL7-YR3" sheetId="9" r:id="rId7"/>
    <sheet name="TBL8-Summary" sheetId="5" r:id="rId8"/>
    <sheet name="Capital and O&amp;M" sheetId="3"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4" l="1"/>
  <c r="C10" i="4" l="1"/>
  <c r="I41" i="6" l="1"/>
  <c r="I41" i="1"/>
  <c r="E12" i="9"/>
  <c r="E11" i="9"/>
  <c r="D15" i="9"/>
  <c r="F15" i="9" s="1"/>
  <c r="D14" i="9"/>
  <c r="F14" i="9" s="1"/>
  <c r="D13" i="9"/>
  <c r="F13" i="9" s="1"/>
  <c r="C12" i="9"/>
  <c r="D12" i="9" s="1"/>
  <c r="D11" i="9"/>
  <c r="D10" i="9"/>
  <c r="F10" i="9" s="1"/>
  <c r="H10" i="9" s="1"/>
  <c r="D9" i="9"/>
  <c r="F9" i="9" s="1"/>
  <c r="D8" i="9"/>
  <c r="F8" i="9" s="1"/>
  <c r="D7" i="9"/>
  <c r="F7" i="9" s="1"/>
  <c r="D5" i="9"/>
  <c r="F5" i="9" s="1"/>
  <c r="D4" i="9"/>
  <c r="F4" i="9" s="1"/>
  <c r="D15" i="8"/>
  <c r="F15" i="8" s="1"/>
  <c r="D14" i="8"/>
  <c r="F14" i="8" s="1"/>
  <c r="D13" i="8"/>
  <c r="F13" i="8" s="1"/>
  <c r="C12" i="8"/>
  <c r="D12" i="8" s="1"/>
  <c r="F12" i="8" s="1"/>
  <c r="D11" i="8"/>
  <c r="F11" i="8" s="1"/>
  <c r="D10" i="8"/>
  <c r="F10" i="8" s="1"/>
  <c r="G10" i="8" s="1"/>
  <c r="D9" i="8"/>
  <c r="F9" i="8" s="1"/>
  <c r="D8" i="8"/>
  <c r="F8" i="8" s="1"/>
  <c r="D7" i="8"/>
  <c r="F7" i="8" s="1"/>
  <c r="D5" i="8"/>
  <c r="F5" i="8" s="1"/>
  <c r="D4" i="8"/>
  <c r="F4" i="8" s="1"/>
  <c r="D38" i="7"/>
  <c r="F38" i="7" s="1"/>
  <c r="D37" i="7"/>
  <c r="F37" i="7" s="1"/>
  <c r="F36" i="7"/>
  <c r="H36" i="7" s="1"/>
  <c r="F35" i="7"/>
  <c r="H35" i="7" s="1"/>
  <c r="F34" i="7"/>
  <c r="G34" i="7" s="1"/>
  <c r="F33" i="7"/>
  <c r="G33" i="7" s="1"/>
  <c r="F32" i="7"/>
  <c r="H32" i="7" s="1"/>
  <c r="F30" i="7"/>
  <c r="F29" i="7"/>
  <c r="G29" i="7" s="1"/>
  <c r="F28" i="7"/>
  <c r="F27" i="7"/>
  <c r="H27" i="7" s="1"/>
  <c r="D23" i="7"/>
  <c r="F23" i="7" s="1"/>
  <c r="D22" i="7"/>
  <c r="F22" i="7" s="1"/>
  <c r="D21" i="7"/>
  <c r="F21" i="7" s="1"/>
  <c r="D20" i="7"/>
  <c r="D19" i="7"/>
  <c r="D18" i="7"/>
  <c r="F18" i="7" s="1"/>
  <c r="G18" i="7" s="1"/>
  <c r="D17" i="7"/>
  <c r="F17" i="7" s="1"/>
  <c r="D16" i="7"/>
  <c r="F16" i="7" s="1"/>
  <c r="D15" i="7"/>
  <c r="F15" i="7" s="1"/>
  <c r="D13" i="7"/>
  <c r="F13" i="7" s="1"/>
  <c r="D12" i="7"/>
  <c r="F12" i="7" s="1"/>
  <c r="D11" i="7"/>
  <c r="F11" i="7" s="1"/>
  <c r="D10" i="7"/>
  <c r="F10" i="7" s="1"/>
  <c r="D9" i="7"/>
  <c r="F9" i="7" s="1"/>
  <c r="D7" i="7"/>
  <c r="F7" i="7" s="1"/>
  <c r="D38" i="6"/>
  <c r="F38" i="6" s="1"/>
  <c r="H38" i="6" s="1"/>
  <c r="D37" i="6"/>
  <c r="F37" i="6" s="1"/>
  <c r="F36" i="6"/>
  <c r="H36" i="6" s="1"/>
  <c r="F35" i="6"/>
  <c r="G35" i="6" s="1"/>
  <c r="F34" i="6"/>
  <c r="H34" i="6" s="1"/>
  <c r="F33" i="6"/>
  <c r="G33" i="6" s="1"/>
  <c r="F32" i="6"/>
  <c r="H32" i="6" s="1"/>
  <c r="F30" i="6"/>
  <c r="G30" i="6" s="1"/>
  <c r="F29" i="6"/>
  <c r="H29" i="6" s="1"/>
  <c r="F28" i="6"/>
  <c r="G28" i="6" s="1"/>
  <c r="F27" i="6"/>
  <c r="H27" i="6" s="1"/>
  <c r="D23" i="6"/>
  <c r="F23" i="6" s="1"/>
  <c r="D22" i="6"/>
  <c r="F22" i="6" s="1"/>
  <c r="H22" i="6" s="1"/>
  <c r="D21" i="6"/>
  <c r="F21" i="6" s="1"/>
  <c r="H21" i="6" s="1"/>
  <c r="D20" i="6"/>
  <c r="F20" i="6" s="1"/>
  <c r="H20" i="6" s="1"/>
  <c r="D19" i="6"/>
  <c r="F19" i="6" s="1"/>
  <c r="D18" i="6"/>
  <c r="F18" i="6" s="1"/>
  <c r="D17" i="6"/>
  <c r="F17" i="6" s="1"/>
  <c r="D16" i="6"/>
  <c r="F16" i="6" s="1"/>
  <c r="D15" i="6"/>
  <c r="F15" i="6" s="1"/>
  <c r="D13" i="6"/>
  <c r="F13" i="6" s="1"/>
  <c r="H13" i="6" s="1"/>
  <c r="D12" i="6"/>
  <c r="F12" i="6" s="1"/>
  <c r="H12" i="6" s="1"/>
  <c r="D11" i="6"/>
  <c r="F11" i="6" s="1"/>
  <c r="D10" i="6"/>
  <c r="F10" i="6" s="1"/>
  <c r="D9" i="6"/>
  <c r="F9" i="6" s="1"/>
  <c r="D7" i="6"/>
  <c r="F7" i="6" s="1"/>
  <c r="D38" i="1"/>
  <c r="F38" i="1" s="1"/>
  <c r="D37" i="1"/>
  <c r="F37" i="1" s="1"/>
  <c r="D12" i="1"/>
  <c r="F12" i="1" s="1"/>
  <c r="H12" i="1" s="1"/>
  <c r="D13" i="1"/>
  <c r="F13" i="1" s="1"/>
  <c r="G13" i="1" s="1"/>
  <c r="G8" i="9" l="1"/>
  <c r="H8" i="9"/>
  <c r="F11" i="9"/>
  <c r="G11" i="9" s="1"/>
  <c r="B4" i="5"/>
  <c r="B12" i="5"/>
  <c r="G9" i="7"/>
  <c r="G35" i="7"/>
  <c r="I35" i="7" s="1"/>
  <c r="F19" i="7"/>
  <c r="H19" i="7" s="1"/>
  <c r="F20" i="7"/>
  <c r="H20" i="7" s="1"/>
  <c r="B4" i="4"/>
  <c r="F12" i="9"/>
  <c r="G36" i="7"/>
  <c r="I36" i="7" s="1"/>
  <c r="H34" i="7"/>
  <c r="I34" i="7" s="1"/>
  <c r="H33" i="7"/>
  <c r="I33" i="7" s="1"/>
  <c r="G32" i="7"/>
  <c r="I32" i="7" s="1"/>
  <c r="H30" i="7"/>
  <c r="G30" i="7"/>
  <c r="H29" i="7"/>
  <c r="I29" i="7" s="1"/>
  <c r="G28" i="7"/>
  <c r="H28" i="7"/>
  <c r="G27" i="7"/>
  <c r="I27" i="7" s="1"/>
  <c r="G38" i="6"/>
  <c r="I38" i="6" s="1"/>
  <c r="G7" i="9"/>
  <c r="H7" i="9"/>
  <c r="H9" i="9"/>
  <c r="G9" i="9"/>
  <c r="I9" i="9" s="1"/>
  <c r="H13" i="9"/>
  <c r="G13" i="9"/>
  <c r="H4" i="9"/>
  <c r="G4" i="9"/>
  <c r="H14" i="9"/>
  <c r="G14" i="9"/>
  <c r="H5" i="9"/>
  <c r="G5" i="9"/>
  <c r="I5" i="9" s="1"/>
  <c r="H15" i="9"/>
  <c r="G15" i="9"/>
  <c r="G10" i="9"/>
  <c r="I10" i="9" s="1"/>
  <c r="H12" i="8"/>
  <c r="G12" i="8"/>
  <c r="H15" i="8"/>
  <c r="I15" i="8" s="1"/>
  <c r="G15" i="8"/>
  <c r="H13" i="8"/>
  <c r="G13" i="8"/>
  <c r="H9" i="8"/>
  <c r="G9" i="8"/>
  <c r="I9" i="8" s="1"/>
  <c r="H7" i="8"/>
  <c r="G7" i="8"/>
  <c r="I7" i="8" s="1"/>
  <c r="G8" i="8"/>
  <c r="H8" i="8"/>
  <c r="H14" i="8"/>
  <c r="G14" i="8"/>
  <c r="I14" i="8" s="1"/>
  <c r="H4" i="8"/>
  <c r="G4" i="8"/>
  <c r="G11" i="8"/>
  <c r="I11" i="8" s="1"/>
  <c r="H11" i="8"/>
  <c r="H10" i="8"/>
  <c r="I10" i="8" s="1"/>
  <c r="G5" i="8"/>
  <c r="H5" i="8"/>
  <c r="H7" i="7"/>
  <c r="G7" i="7"/>
  <c r="H21" i="7"/>
  <c r="G21" i="7"/>
  <c r="H12" i="7"/>
  <c r="G12" i="7"/>
  <c r="H16" i="7"/>
  <c r="G16" i="7"/>
  <c r="I16" i="7" s="1"/>
  <c r="H10" i="7"/>
  <c r="G10" i="7"/>
  <c r="H17" i="7"/>
  <c r="G17" i="7"/>
  <c r="H38" i="7"/>
  <c r="G38" i="7"/>
  <c r="G15" i="7"/>
  <c r="H15" i="7"/>
  <c r="H37" i="7"/>
  <c r="G37" i="7"/>
  <c r="H23" i="7"/>
  <c r="G23" i="7"/>
  <c r="G11" i="7"/>
  <c r="G20" i="7"/>
  <c r="I20" i="7" s="1"/>
  <c r="H11" i="7"/>
  <c r="G22" i="7"/>
  <c r="G13" i="7"/>
  <c r="H13" i="7"/>
  <c r="H22" i="7"/>
  <c r="H9" i="7"/>
  <c r="I9" i="7" s="1"/>
  <c r="H18" i="7"/>
  <c r="I18" i="7" s="1"/>
  <c r="H9" i="6"/>
  <c r="G9" i="6"/>
  <c r="H11" i="6"/>
  <c r="G11" i="6"/>
  <c r="G19" i="6"/>
  <c r="H19" i="6"/>
  <c r="H16" i="6"/>
  <c r="G16" i="6"/>
  <c r="G23" i="6"/>
  <c r="H23" i="6"/>
  <c r="H37" i="6"/>
  <c r="G37" i="6"/>
  <c r="G10" i="6"/>
  <c r="H10" i="6"/>
  <c r="G17" i="6"/>
  <c r="H17" i="6"/>
  <c r="G18" i="6"/>
  <c r="H18" i="6"/>
  <c r="G7" i="6"/>
  <c r="H7" i="6"/>
  <c r="G15" i="6"/>
  <c r="H15" i="6"/>
  <c r="G27" i="6"/>
  <c r="I27" i="6" s="1"/>
  <c r="G20" i="6"/>
  <c r="I20" i="6" s="1"/>
  <c r="G29" i="6"/>
  <c r="I29" i="6" s="1"/>
  <c r="G12" i="6"/>
  <c r="I12" i="6" s="1"/>
  <c r="G34" i="6"/>
  <c r="I34" i="6" s="1"/>
  <c r="G13" i="6"/>
  <c r="I13" i="6" s="1"/>
  <c r="G22" i="6"/>
  <c r="I22" i="6" s="1"/>
  <c r="H28" i="6"/>
  <c r="I28" i="6" s="1"/>
  <c r="H30" i="6"/>
  <c r="I30" i="6" s="1"/>
  <c r="H33" i="6"/>
  <c r="I33" i="6" s="1"/>
  <c r="H35" i="6"/>
  <c r="I35" i="6" s="1"/>
  <c r="G32" i="6"/>
  <c r="I32" i="6" s="1"/>
  <c r="G21" i="6"/>
  <c r="I21" i="6" s="1"/>
  <c r="G36" i="6"/>
  <c r="I36" i="6" s="1"/>
  <c r="G38" i="1"/>
  <c r="H38" i="1"/>
  <c r="H37" i="1"/>
  <c r="G37" i="1"/>
  <c r="H13" i="1"/>
  <c r="I13" i="1" s="1"/>
  <c r="G12" i="1"/>
  <c r="I12" i="1" s="1"/>
  <c r="I5" i="8" l="1"/>
  <c r="I13" i="8"/>
  <c r="I37" i="1"/>
  <c r="I37" i="6"/>
  <c r="I39" i="6" s="1"/>
  <c r="I11" i="6"/>
  <c r="I37" i="7"/>
  <c r="I38" i="7"/>
  <c r="I10" i="7"/>
  <c r="I8" i="8"/>
  <c r="I7" i="9"/>
  <c r="H11" i="9"/>
  <c r="I11" i="9" s="1"/>
  <c r="I14" i="9"/>
  <c r="I13" i="9"/>
  <c r="I4" i="9"/>
  <c r="I15" i="9"/>
  <c r="I8" i="9"/>
  <c r="I4" i="8"/>
  <c r="D4" i="5"/>
  <c r="I18" i="6"/>
  <c r="I21" i="7"/>
  <c r="B5" i="4"/>
  <c r="I28" i="7"/>
  <c r="G19" i="7"/>
  <c r="C5" i="4" s="1"/>
  <c r="I12" i="7"/>
  <c r="I13" i="7"/>
  <c r="I30" i="7"/>
  <c r="I22" i="7"/>
  <c r="I7" i="7"/>
  <c r="I15" i="7"/>
  <c r="D5" i="4"/>
  <c r="I11" i="7"/>
  <c r="I19" i="6"/>
  <c r="I7" i="6"/>
  <c r="C4" i="4"/>
  <c r="D4" i="4"/>
  <c r="I10" i="6"/>
  <c r="I9" i="6"/>
  <c r="I16" i="6"/>
  <c r="I12" i="8"/>
  <c r="C4" i="5"/>
  <c r="B5" i="5"/>
  <c r="I38" i="1"/>
  <c r="G12" i="9"/>
  <c r="C5" i="5" s="1"/>
  <c r="H12" i="9"/>
  <c r="F39" i="7"/>
  <c r="E12" i="4" s="1"/>
  <c r="I23" i="7"/>
  <c r="I19" i="7"/>
  <c r="I17" i="7"/>
  <c r="F39" i="6"/>
  <c r="E11" i="4" s="1"/>
  <c r="I23" i="6"/>
  <c r="I17" i="6"/>
  <c r="I15" i="6"/>
  <c r="F25" i="6"/>
  <c r="F16" i="8"/>
  <c r="I39" i="7"/>
  <c r="D5" i="5" l="1"/>
  <c r="F25" i="7"/>
  <c r="I16" i="8"/>
  <c r="F4" i="5" s="1"/>
  <c r="I25" i="6"/>
  <c r="I40" i="6" s="1"/>
  <c r="I42" i="6" s="1"/>
  <c r="I25" i="7"/>
  <c r="I40" i="7" s="1"/>
  <c r="F5" i="4" s="1"/>
  <c r="F40" i="7"/>
  <c r="D12" i="4"/>
  <c r="D11" i="4"/>
  <c r="F40" i="6"/>
  <c r="F16" i="9"/>
  <c r="I12" i="9"/>
  <c r="I16" i="9" s="1"/>
  <c r="F5" i="5" s="1"/>
  <c r="F4" i="4" l="1"/>
  <c r="G7" i="3" l="1"/>
  <c r="G8" i="3" s="1"/>
  <c r="B7" i="3"/>
  <c r="D7" i="3" s="1"/>
  <c r="B14" i="5"/>
  <c r="C9" i="5"/>
  <c r="G7" i="5"/>
  <c r="G6" i="5"/>
  <c r="H5" i="5"/>
  <c r="H4" i="5"/>
  <c r="B14" i="4"/>
  <c r="F12" i="4"/>
  <c r="G12" i="4" s="1"/>
  <c r="C13" i="4"/>
  <c r="E5" i="4"/>
  <c r="H4" i="4"/>
  <c r="E4" i="4"/>
  <c r="D8" i="3" l="1"/>
  <c r="I41" i="7" s="1"/>
  <c r="C14" i="4"/>
  <c r="E4" i="5"/>
  <c r="C11" i="5" s="1"/>
  <c r="E5" i="5"/>
  <c r="C12" i="5" s="1"/>
  <c r="B13" i="5"/>
  <c r="F11" i="4"/>
  <c r="H12" i="4"/>
  <c r="F29" i="1"/>
  <c r="G29" i="1" s="1"/>
  <c r="F30" i="1"/>
  <c r="G30" i="1" s="1"/>
  <c r="F32" i="1"/>
  <c r="G32" i="1" s="1"/>
  <c r="F33" i="1"/>
  <c r="G33" i="1" s="1"/>
  <c r="F34" i="1"/>
  <c r="H34" i="1" s="1"/>
  <c r="F35" i="1"/>
  <c r="G35" i="1" s="1"/>
  <c r="F36" i="1"/>
  <c r="G36" i="1" s="1"/>
  <c r="F27" i="1"/>
  <c r="D7" i="1"/>
  <c r="F7" i="1" s="1"/>
  <c r="D9" i="1"/>
  <c r="F9" i="1" s="1"/>
  <c r="D10" i="1"/>
  <c r="F10" i="1" s="1"/>
  <c r="G10" i="1" s="1"/>
  <c r="D11" i="1"/>
  <c r="F11" i="1" s="1"/>
  <c r="D15" i="1"/>
  <c r="F15" i="1" s="1"/>
  <c r="D16" i="1"/>
  <c r="F16" i="1" s="1"/>
  <c r="G16" i="1" s="1"/>
  <c r="D17" i="1"/>
  <c r="F17" i="1" s="1"/>
  <c r="D18" i="1"/>
  <c r="F18" i="1" s="1"/>
  <c r="G18" i="1" s="1"/>
  <c r="D19" i="1"/>
  <c r="F19" i="1" s="1"/>
  <c r="D20" i="1"/>
  <c r="F20" i="1" s="1"/>
  <c r="G20" i="1" s="1"/>
  <c r="D21" i="1"/>
  <c r="F21" i="1" s="1"/>
  <c r="D22" i="1"/>
  <c r="F22" i="1" s="1"/>
  <c r="G22" i="1" s="1"/>
  <c r="D23" i="1"/>
  <c r="F23" i="1" s="1"/>
  <c r="G7" i="1" l="1"/>
  <c r="I8" i="3"/>
  <c r="G5" i="4"/>
  <c r="I42" i="7"/>
  <c r="H36" i="1"/>
  <c r="I36" i="1" s="1"/>
  <c r="G34" i="1"/>
  <c r="I34" i="1" s="1"/>
  <c r="H32" i="1"/>
  <c r="I32" i="1" s="1"/>
  <c r="H30" i="1"/>
  <c r="I30" i="1" s="1"/>
  <c r="H27" i="1"/>
  <c r="G15" i="1"/>
  <c r="H15" i="1"/>
  <c r="G21" i="1"/>
  <c r="H21" i="1"/>
  <c r="G19" i="1"/>
  <c r="H19" i="1"/>
  <c r="H11" i="1"/>
  <c r="G11" i="1"/>
  <c r="H9" i="1"/>
  <c r="G9" i="1"/>
  <c r="H17" i="1"/>
  <c r="G17" i="1"/>
  <c r="G23" i="1"/>
  <c r="H23" i="1"/>
  <c r="H11" i="4"/>
  <c r="H35" i="1"/>
  <c r="I35" i="1" s="1"/>
  <c r="H33" i="1"/>
  <c r="I33" i="1" s="1"/>
  <c r="H29" i="1"/>
  <c r="I29" i="1" s="1"/>
  <c r="G27" i="1"/>
  <c r="I27" i="1" s="1"/>
  <c r="H22" i="1"/>
  <c r="I22" i="1" s="1"/>
  <c r="H20" i="1"/>
  <c r="I20" i="1" s="1"/>
  <c r="H18" i="1"/>
  <c r="I18" i="1" s="1"/>
  <c r="H16" i="1"/>
  <c r="I16" i="1" s="1"/>
  <c r="H10" i="1"/>
  <c r="I10" i="1" s="1"/>
  <c r="H7" i="1"/>
  <c r="F25" i="1" l="1"/>
  <c r="I17" i="1"/>
  <c r="I11" i="1"/>
  <c r="I7" i="1"/>
  <c r="G7" i="4"/>
  <c r="H5" i="4"/>
  <c r="G6" i="4"/>
  <c r="I21" i="1"/>
  <c r="I9" i="1"/>
  <c r="I15" i="1"/>
  <c r="I23" i="1"/>
  <c r="I19" i="1"/>
  <c r="D10" i="4" l="1"/>
  <c r="I25" i="1"/>
  <c r="D13" i="4" l="1"/>
  <c r="D14" i="4"/>
  <c r="B22" i="3"/>
  <c r="F20" i="3"/>
  <c r="F21" i="3"/>
  <c r="F19" i="3"/>
  <c r="F22" i="3" l="1"/>
  <c r="C12" i="2"/>
  <c r="D15" i="2" l="1"/>
  <c r="F15" i="2" s="1"/>
  <c r="D14" i="2"/>
  <c r="F14" i="2" s="1"/>
  <c r="D13" i="2"/>
  <c r="F13" i="2" s="1"/>
  <c r="D12" i="2"/>
  <c r="F12" i="2" s="1"/>
  <c r="D11" i="2"/>
  <c r="F11" i="2" s="1"/>
  <c r="D10" i="2"/>
  <c r="F10" i="2" s="1"/>
  <c r="H10" i="2" s="1"/>
  <c r="D9" i="2"/>
  <c r="F9" i="2" s="1"/>
  <c r="H9" i="2" s="1"/>
  <c r="D8" i="2"/>
  <c r="F8" i="2" s="1"/>
  <c r="H8" i="2" s="1"/>
  <c r="D7" i="2"/>
  <c r="F7" i="2" s="1"/>
  <c r="H7" i="2" s="1"/>
  <c r="D5" i="2"/>
  <c r="F5" i="2" s="1"/>
  <c r="H5" i="2" s="1"/>
  <c r="D4" i="2"/>
  <c r="F4" i="2" s="1"/>
  <c r="H4" i="2" s="1"/>
  <c r="H14" i="2" l="1"/>
  <c r="H13" i="2"/>
  <c r="H12" i="2"/>
  <c r="B3" i="5"/>
  <c r="H15" i="2"/>
  <c r="H11" i="2"/>
  <c r="G15" i="2"/>
  <c r="G14" i="2"/>
  <c r="I14" i="2" s="1"/>
  <c r="G13" i="2"/>
  <c r="G12" i="2"/>
  <c r="G11" i="2"/>
  <c r="G10" i="2"/>
  <c r="I10" i="2" s="1"/>
  <c r="G9" i="2"/>
  <c r="I9" i="2" s="1"/>
  <c r="G8" i="2"/>
  <c r="I8" i="2" s="1"/>
  <c r="G7" i="2"/>
  <c r="I7" i="2" s="1"/>
  <c r="G5" i="2"/>
  <c r="I5" i="2" s="1"/>
  <c r="G4" i="2"/>
  <c r="F28" i="1"/>
  <c r="B3" i="4" s="1"/>
  <c r="I13" i="2" l="1"/>
  <c r="F16" i="2"/>
  <c r="I15" i="2"/>
  <c r="D3" i="5"/>
  <c r="D6" i="5" s="1"/>
  <c r="B6" i="5"/>
  <c r="B7" i="5"/>
  <c r="B6" i="4"/>
  <c r="B7" i="4"/>
  <c r="I12" i="2"/>
  <c r="C3" i="5"/>
  <c r="H28" i="1"/>
  <c r="D3" i="4" s="1"/>
  <c r="I11" i="2"/>
  <c r="G28" i="1"/>
  <c r="I4" i="2"/>
  <c r="I16" i="2" l="1"/>
  <c r="F3" i="5" s="1"/>
  <c r="D7" i="5"/>
  <c r="C7" i="5"/>
  <c r="C6" i="5"/>
  <c r="I28" i="1"/>
  <c r="I39" i="1" s="1"/>
  <c r="I40" i="1" s="1"/>
  <c r="C3" i="4"/>
  <c r="F6" i="5"/>
  <c r="H3" i="5"/>
  <c r="F7" i="5"/>
  <c r="E3" i="5"/>
  <c r="D6" i="4"/>
  <c r="D7" i="4"/>
  <c r="F39" i="1"/>
  <c r="F40" i="1" s="1"/>
  <c r="C10" i="5" l="1"/>
  <c r="E7" i="5"/>
  <c r="E6" i="5"/>
  <c r="F3" i="4"/>
  <c r="I42" i="1"/>
  <c r="H6" i="5"/>
  <c r="H7" i="5"/>
  <c r="C6" i="4"/>
  <c r="C7" i="4"/>
  <c r="E3" i="4"/>
  <c r="E10" i="4"/>
  <c r="C13" i="5" l="1"/>
  <c r="D16" i="5" s="1"/>
  <c r="C14" i="5"/>
  <c r="F6" i="4"/>
  <c r="H3" i="4"/>
  <c r="F7" i="4"/>
  <c r="E14" i="4"/>
  <c r="E13" i="4"/>
  <c r="F10" i="4"/>
  <c r="E6" i="4"/>
  <c r="E7" i="4"/>
  <c r="H10" i="4" l="1"/>
  <c r="H13" i="4" s="1"/>
  <c r="G10" i="4"/>
  <c r="F14" i="4"/>
  <c r="F13" i="4"/>
  <c r="H7" i="4"/>
  <c r="E15" i="4" s="1"/>
  <c r="H6" i="4"/>
  <c r="E17" i="4" l="1"/>
  <c r="E16" i="4"/>
  <c r="H14" i="4"/>
  <c r="G14" i="4"/>
</calcChain>
</file>

<file path=xl/sharedStrings.xml><?xml version="1.0" encoding="utf-8"?>
<sst xmlns="http://schemas.openxmlformats.org/spreadsheetml/2006/main" count="408" uniqueCount="156">
  <si>
    <t>Burden Item</t>
  </si>
  <si>
    <t>2. Recordkeeping requirements</t>
  </si>
  <si>
    <t>b. Plan activities</t>
  </si>
  <si>
    <t>c. Implement activities</t>
  </si>
  <si>
    <t>e. Time to enter information</t>
  </si>
  <si>
    <t>f. Time to train personnel</t>
  </si>
  <si>
    <t>(B) Number of occurrences per year</t>
  </si>
  <si>
    <t>(E) Technical person hrs per year (E=CxD)</t>
  </si>
  <si>
    <t>(F) Manage-ment person hrs per year (F=Ex0.05)</t>
  </si>
  <si>
    <t>(G) Clerical person hrs per year (G=Ex0.1)</t>
  </si>
  <si>
    <t>3. Report review</t>
  </si>
  <si>
    <t>a. Initial notification</t>
  </si>
  <si>
    <t>b. Notification of compliance status</t>
  </si>
  <si>
    <t>c. Notification of construction/reconstruction</t>
  </si>
  <si>
    <t>d. Notification of actual startup</t>
  </si>
  <si>
    <t>(C) EPA Person hrs per plant per year (C=AxB)</t>
  </si>
  <si>
    <t>Assumptions:</t>
  </si>
  <si>
    <t>Subtotal for Recordkeeping Requirements</t>
  </si>
  <si>
    <t>a. Familiarization with the regulatory requirements</t>
  </si>
  <si>
    <r>
      <t xml:space="preserve">(D) Respondents per year </t>
    </r>
    <r>
      <rPr>
        <vertAlign val="superscript"/>
        <sz val="10"/>
        <color theme="1"/>
        <rFont val="Times New Roman"/>
        <family val="1"/>
      </rPr>
      <t>a</t>
    </r>
  </si>
  <si>
    <t>Labor Rates:</t>
  </si>
  <si>
    <t>Management</t>
  </si>
  <si>
    <t>Technical</t>
  </si>
  <si>
    <t>Clerical</t>
  </si>
  <si>
    <t>(A) 
Person hours per occurrence</t>
  </si>
  <si>
    <t>(C) 
Person hrs per respondent per year (C=AxB)</t>
  </si>
  <si>
    <t>(G) 
Clerical person hrs per year (G=Ex0.1)</t>
  </si>
  <si>
    <r>
      <t xml:space="preserve">(H) 
Cost per year ($) </t>
    </r>
    <r>
      <rPr>
        <vertAlign val="superscript"/>
        <sz val="10"/>
        <color theme="1"/>
        <rFont val="Times New Roman"/>
        <family val="1"/>
      </rPr>
      <t>b</t>
    </r>
  </si>
  <si>
    <t>Capital/Startup vs. Operation and Maintenance (O&amp;M) Costs</t>
  </si>
  <si>
    <t>(A)</t>
  </si>
  <si>
    <t>(B)</t>
  </si>
  <si>
    <t>(C)</t>
  </si>
  <si>
    <t>(D)</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</si>
  <si>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</si>
  <si>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</si>
  <si>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</si>
  <si>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</si>
  <si>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</si>
  <si>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</si>
  <si>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</si>
  <si>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</si>
  <si>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</si>
  <si>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</si>
  <si>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</si>
  <si>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</si>
  <si>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</si>
  <si>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</si>
  <si>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</si>
  <si>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</si>
  <si>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t>Number of Responses</t>
  </si>
  <si>
    <t>Total</t>
  </si>
  <si>
    <t xml:space="preserve">Subtotal for Reporting Requirements  </t>
  </si>
  <si>
    <r>
      <t xml:space="preserve">(D) Plants per year </t>
    </r>
    <r>
      <rPr>
        <vertAlign val="superscript"/>
        <sz val="10"/>
        <rFont val="Times New Roman"/>
        <family val="1"/>
      </rPr>
      <t>a</t>
    </r>
  </si>
  <si>
    <r>
      <t xml:space="preserve">(H) Cost per year ($) </t>
    </r>
    <r>
      <rPr>
        <vertAlign val="superscript"/>
        <sz val="10"/>
        <rFont val="Times New Roman"/>
        <family val="1"/>
      </rPr>
      <t>b</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</si>
  <si>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</si>
  <si>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1.  Applications</t>
  </si>
  <si>
    <t>N/A</t>
  </si>
  <si>
    <t>2.  Survey and Studies</t>
  </si>
  <si>
    <t>3.  Reporting Requirements</t>
  </si>
  <si>
    <t xml:space="preserve">     a.  Familiarization with the regulatory requirements</t>
  </si>
  <si>
    <t xml:space="preserve">     b.  Required activities</t>
  </si>
  <si>
    <r>
      <t xml:space="preserve">          i.  Initial performance test </t>
    </r>
    <r>
      <rPr>
        <vertAlign val="superscript"/>
        <sz val="10"/>
        <color rgb="FF000000"/>
        <rFont val="Times New Roman"/>
        <family val="1"/>
      </rPr>
      <t>c</t>
    </r>
  </si>
  <si>
    <r>
      <t xml:space="preserve">         ii.  Repeat performance test </t>
    </r>
    <r>
      <rPr>
        <vertAlign val="superscript"/>
        <sz val="10"/>
        <color rgb="FF000000"/>
        <rFont val="Times New Roman"/>
        <family val="1"/>
      </rPr>
      <t>d</t>
    </r>
  </si>
  <si>
    <r>
      <t xml:space="preserve">        iii.  Compile and process data </t>
    </r>
    <r>
      <rPr>
        <vertAlign val="superscript"/>
        <sz val="10"/>
        <color rgb="FF000000"/>
        <rFont val="Times New Roman"/>
        <family val="1"/>
      </rPr>
      <t>e</t>
    </r>
  </si>
  <si>
    <t xml:space="preserve">     c.  Write reports</t>
  </si>
  <si>
    <t xml:space="preserve">          i.  Initial notification</t>
  </si>
  <si>
    <t>ii.  Notification of compliance status</t>
  </si>
  <si>
    <t>iii.  Notification of construction/ reconstruction</t>
  </si>
  <si>
    <t xml:space="preserve">          iv.  Notification of actual startup</t>
  </si>
  <si>
    <t xml:space="preserve">ii. Compliance calculation </t>
  </si>
  <si>
    <r>
      <t xml:space="preserve">1. Initial performance test </t>
    </r>
    <r>
      <rPr>
        <vertAlign val="superscript"/>
        <sz val="10"/>
        <rFont val="Times New Roman"/>
        <family val="1"/>
      </rPr>
      <t>c</t>
    </r>
    <r>
      <rPr>
        <sz val="10"/>
        <rFont val="Times New Roman"/>
        <family val="1"/>
      </rPr>
      <t xml:space="preserve"> </t>
    </r>
  </si>
  <si>
    <t>Technical Hours</t>
  </si>
  <si>
    <t>Management Hours</t>
  </si>
  <si>
    <t>Clerical Hours</t>
  </si>
  <si>
    <t>Total Labor Hours</t>
  </si>
  <si>
    <t>Labor Costs</t>
  </si>
  <si>
    <t>Non-Labor (Capital/Startup and O&amp;M) Costs</t>
  </si>
  <si>
    <t>Total Costs</t>
  </si>
  <si>
    <t>Reporting Hours</t>
  </si>
  <si>
    <t>Recordkeeping Hours</t>
  </si>
  <si>
    <t>Total Hours</t>
  </si>
  <si>
    <t>Hours per Response</t>
  </si>
  <si>
    <t>Hours Per Respondent</t>
  </si>
  <si>
    <t>-</t>
  </si>
  <si>
    <t>Average annual additional costs per respondent:</t>
  </si>
  <si>
    <t>Average annual additional hours per respondent:</t>
  </si>
  <si>
    <t>Average annual additional hours per response:</t>
  </si>
  <si>
    <t>Non-Labor Costs</t>
  </si>
  <si>
    <t xml:space="preserve">Average annual hours per response:  </t>
  </si>
  <si>
    <t>Performance Testing</t>
  </si>
  <si>
    <t>Capital Startup Cost for One Performance Test</t>
  </si>
  <si>
    <t>Number of Respondents Doing Testing</t>
  </si>
  <si>
    <t>Total Capital/ Startup Cost 
(B x C)</t>
  </si>
  <si>
    <t>Total O&amp;M, 
(E x F)</t>
  </si>
  <si>
    <t>Totals (rounded)</t>
  </si>
  <si>
    <t>Table 1: Annual Respondent Burden and Cost – NESHAP for Automobile and Light-duty Truck Surface Coating (40 CFR Part 63, Subpart IIII) (Amendments)</t>
  </si>
  <si>
    <t>Year 1</t>
  </si>
  <si>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</si>
  <si>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        iv.  Add-on control performance test </t>
    </r>
    <r>
      <rPr>
        <vertAlign val="superscript"/>
        <sz val="10"/>
        <color rgb="FF000000"/>
        <rFont val="Times New Roman"/>
        <family val="1"/>
      </rPr>
      <t>f</t>
    </r>
  </si>
  <si>
    <r>
      <t xml:space="preserve">        v.  Repeat add-on control performance test </t>
    </r>
    <r>
      <rPr>
        <vertAlign val="superscript"/>
        <sz val="10"/>
        <color rgb="FF000000"/>
        <rFont val="Times New Roman"/>
        <family val="1"/>
      </rPr>
      <t>f</t>
    </r>
  </si>
  <si>
    <r>
      <t xml:space="preserve">v.  Notification of performance test/re-test </t>
    </r>
    <r>
      <rPr>
        <vertAlign val="superscript"/>
        <sz val="10"/>
        <color rgb="FF000000"/>
        <rFont val="Times New Roman"/>
        <family val="1"/>
      </rPr>
      <t>d,f</t>
    </r>
  </si>
  <si>
    <r>
      <t xml:space="preserve">          vi.  Report of performance test/re-test </t>
    </r>
    <r>
      <rPr>
        <vertAlign val="superscript"/>
        <sz val="10"/>
        <color rgb="FF000000"/>
        <rFont val="Times New Roman"/>
        <family val="1"/>
      </rPr>
      <t>d,f</t>
    </r>
  </si>
  <si>
    <r>
      <t xml:space="preserve">         vii.  Semiannual report </t>
    </r>
    <r>
      <rPr>
        <vertAlign val="superscript"/>
        <sz val="10"/>
        <color rgb="FF000000"/>
        <rFont val="Times New Roman"/>
        <family val="1"/>
      </rPr>
      <t>g</t>
    </r>
  </si>
  <si>
    <r>
      <t xml:space="preserve">         viii.  Excess emissions report </t>
    </r>
    <r>
      <rPr>
        <vertAlign val="superscript"/>
        <sz val="10"/>
        <color rgb="FF000000"/>
        <rFont val="Times New Roman"/>
        <family val="1"/>
      </rPr>
      <t>h</t>
    </r>
  </si>
  <si>
    <r>
      <t xml:space="preserve">ix.  Startup, shutdown, malfunction report </t>
    </r>
    <r>
      <rPr>
        <vertAlign val="superscript"/>
        <sz val="10"/>
        <color rgb="FF000000"/>
        <rFont val="Times New Roman"/>
        <family val="1"/>
      </rPr>
      <t>i</t>
    </r>
  </si>
  <si>
    <r>
      <t xml:space="preserve">d. Maintain record system for material used </t>
    </r>
    <r>
      <rPr>
        <vertAlign val="superscript"/>
        <sz val="10"/>
        <color rgb="FF000000"/>
        <rFont val="Times New Roman"/>
        <family val="1"/>
      </rPr>
      <t>j</t>
    </r>
  </si>
  <si>
    <r>
      <t xml:space="preserve">i. Material usage </t>
    </r>
    <r>
      <rPr>
        <vertAlign val="superscript"/>
        <sz val="10"/>
        <color rgb="FF000000"/>
        <rFont val="Times New Roman"/>
        <family val="1"/>
      </rPr>
      <t>k</t>
    </r>
  </si>
  <si>
    <r>
      <t xml:space="preserve">g. Store, file, and maintain records </t>
    </r>
    <r>
      <rPr>
        <vertAlign val="superscript"/>
        <sz val="10"/>
        <color rgb="FF000000"/>
        <rFont val="Times New Roman"/>
        <family val="1"/>
      </rPr>
      <t>l</t>
    </r>
  </si>
  <si>
    <r>
      <t xml:space="preserve">h. Retrieve records/reports </t>
    </r>
    <r>
      <rPr>
        <vertAlign val="superscript"/>
        <sz val="10"/>
        <color rgb="FF000000"/>
        <rFont val="Times New Roman"/>
        <family val="1"/>
      </rPr>
      <t>m</t>
    </r>
  </si>
  <si>
    <r>
      <t>a</t>
    </r>
    <r>
      <rPr>
        <sz val="10"/>
        <color rgb="FF000000"/>
        <rFont val="Times New Roman"/>
        <family val="1"/>
      </rPr>
      <t xml:space="preserve">  We estimate that 43 existing sources will be subject to the rule over the three-year period of this ICR, and no new sources will become subject.                                                                                                                                                                                                                                                                                                                                                                                                                                                                                                                                                                                                                                                                                                                                                                                                                                                                                                                                                                                                                                                                                                                                                                                                                                                                                                                                                                                                                                                                                                                                                                                                                                                                                                                                                                                                                                                                                                                                                                                                                                                                                                                                                                                                                                                                                                                                                                                                                                                                                                                                                                                                                                                                                                                                                                                                                                                                                                                                                                                                                                                                                                                                                                                                                                                                                                                                                                                                                                                                                                                                                                                                                                                                                                                                                                                                                                                                                                                                                                                                                                                                                                                         </t>
    </r>
  </si>
  <si>
    <r>
      <t>c</t>
    </r>
    <r>
      <rPr>
        <sz val="10"/>
        <color rgb="FF000000"/>
        <rFont val="Times New Roman"/>
        <family val="1"/>
      </rPr>
      <t xml:space="preserve">  We assume it will take 24 hours to complete the initial performance test.</t>
    </r>
  </si>
  <si>
    <r>
      <t>d</t>
    </r>
    <r>
      <rPr>
        <sz val="10"/>
        <color rgb="FF000000"/>
        <rFont val="Times New Roman"/>
        <family val="1"/>
      </rPr>
      <t xml:space="preserve">  We assume 5 percent of respondents will need to repeat the performance test.  </t>
    </r>
  </si>
  <si>
    <r>
      <t>e</t>
    </r>
    <r>
      <rPr>
        <sz val="10"/>
        <color rgb="FF000000"/>
        <rFont val="Times New Roman"/>
        <family val="1"/>
      </rPr>
      <t xml:space="preserve">  We assume each respondent will take four hours to compile and process data.  This will occur four times per year.</t>
    </r>
  </si>
  <si>
    <r>
      <t>g</t>
    </r>
    <r>
      <rPr>
        <sz val="10"/>
        <color rgb="FF000000"/>
        <rFont val="Times New Roman"/>
        <family val="1"/>
      </rPr>
      <t xml:space="preserve">  We assume each respondent will take six hours to complete each semiannual report.</t>
    </r>
  </si>
  <si>
    <r>
      <t>h</t>
    </r>
    <r>
      <rPr>
        <sz val="10"/>
        <color rgb="FF000000"/>
        <rFont val="Times New Roman"/>
        <family val="1"/>
      </rPr>
      <t xml:space="preserve">  We assume each respondent will take two hours to complete excess emissions reports.  This will occur two times per year.</t>
    </r>
  </si>
  <si>
    <r>
      <t>i</t>
    </r>
    <r>
      <rPr>
        <sz val="10"/>
        <color rgb="FF000000"/>
        <rFont val="Times New Roman"/>
        <family val="1"/>
      </rPr>
      <t xml:space="preserve">  We assume 25 percent of respondents will use add-on controls, and that each will take two hours per year to complete the startup, shutdown, malfunction report.</t>
    </r>
  </si>
  <si>
    <r>
      <t>j</t>
    </r>
    <r>
      <rPr>
        <sz val="10"/>
        <color rgb="FF000000"/>
        <rFont val="Times New Roman"/>
        <family val="1"/>
      </rPr>
      <t xml:space="preserve">  We assume it will take each respondent twenty hours to maintain the record system for materials used.  This will occur two times per year.</t>
    </r>
  </si>
  <si>
    <r>
      <t>k</t>
    </r>
    <r>
      <rPr>
        <sz val="10"/>
        <color rgb="FF000000"/>
        <rFont val="Times New Roman"/>
        <family val="1"/>
      </rPr>
      <t xml:space="preserve">  We assume each respondent will take 30 minutes to enter information on material usage. This will occur 365 times per year.</t>
    </r>
  </si>
  <si>
    <r>
      <t>l</t>
    </r>
    <r>
      <rPr>
        <sz val="10"/>
        <color rgb="FF000000"/>
        <rFont val="Times New Roman"/>
        <family val="1"/>
      </rPr>
      <t xml:space="preserve">  We assume it will take each respondent two hours to store, file, and maintain records.  This will occur twelve times per year.</t>
    </r>
  </si>
  <si>
    <r>
      <t>m</t>
    </r>
    <r>
      <rPr>
        <sz val="10"/>
        <color rgb="FF000000"/>
        <rFont val="Times New Roman"/>
        <family val="1"/>
      </rPr>
      <t xml:space="preserve">  We assume it will take each respondent one hour to retrieve records or reports. This will occur twelve times per year.</t>
    </r>
  </si>
  <si>
    <r>
      <t xml:space="preserve">g. Semiannual report </t>
    </r>
    <r>
      <rPr>
        <vertAlign val="superscript"/>
        <sz val="10"/>
        <rFont val="Times New Roman"/>
        <family val="1"/>
      </rPr>
      <t>f</t>
    </r>
  </si>
  <si>
    <r>
      <t xml:space="preserve">h. Excess emissions report </t>
    </r>
    <r>
      <rPr>
        <vertAlign val="superscript"/>
        <sz val="10"/>
        <rFont val="Times New Roman"/>
        <family val="1"/>
      </rPr>
      <t>g</t>
    </r>
  </si>
  <si>
    <r>
      <t xml:space="preserve">i. Startup, shutdown, malfunction report </t>
    </r>
    <r>
      <rPr>
        <vertAlign val="superscript"/>
        <sz val="10"/>
        <rFont val="Times New Roman"/>
        <family val="1"/>
      </rPr>
      <t>h</t>
    </r>
    <r>
      <rPr>
        <sz val="10"/>
        <rFont val="Times New Roman"/>
        <family val="1"/>
      </rPr>
      <t xml:space="preserve"> </t>
    </r>
  </si>
  <si>
    <r>
      <t>c</t>
    </r>
    <r>
      <rPr>
        <sz val="10"/>
        <color rgb="FF000000"/>
        <rFont val="Times New Roman"/>
        <family val="1"/>
      </rPr>
      <t xml:space="preserve">  We assume it will take 24 hours to complete the initial performance test review.</t>
    </r>
  </si>
  <si>
    <r>
      <t>f</t>
    </r>
    <r>
      <rPr>
        <sz val="10"/>
        <color rgb="FF000000"/>
        <rFont val="Times New Roman"/>
        <family val="1"/>
      </rPr>
      <t xml:space="preserve">  We assume it will take twelve hours to review semiannual reports.</t>
    </r>
  </si>
  <si>
    <r>
      <t>g</t>
    </r>
    <r>
      <rPr>
        <sz val="10"/>
        <color rgb="FF000000"/>
        <rFont val="Times New Roman"/>
        <family val="1"/>
      </rPr>
      <t xml:space="preserve">  We assume it will take four hours to review excess emissions reports.  This will occur twice per year.</t>
    </r>
  </si>
  <si>
    <r>
      <t>h</t>
    </r>
    <r>
      <rPr>
        <sz val="10"/>
        <color rgb="FF000000"/>
        <rFont val="Times New Roman"/>
        <family val="1"/>
      </rPr>
      <t xml:space="preserve">  We assume 25 percent of respondents will use add-on controls, and that each report will take eight hours to review.</t>
    </r>
  </si>
  <si>
    <r>
      <t>a</t>
    </r>
    <r>
      <rPr>
        <sz val="10"/>
        <color rgb="FF000000"/>
        <rFont val="Times New Roman"/>
        <family val="1"/>
      </rPr>
      <t xml:space="preserve">  We estimate that 43 existing sources will be subject to the rule over the three-year period of this ICR, and that no new sources will become subject to the standard.</t>
    </r>
  </si>
  <si>
    <r>
      <t>d</t>
    </r>
    <r>
      <rPr>
        <sz val="10"/>
        <color rgb="FF000000"/>
        <rFont val="Times New Roman"/>
        <family val="1"/>
      </rPr>
      <t xml:space="preserve">  We assume 5 percent of respondents will need to repeat the performance test.</t>
    </r>
  </si>
  <si>
    <r>
      <t xml:space="preserve">e. Notification of performance test/add-on control peformance test </t>
    </r>
    <r>
      <rPr>
        <vertAlign val="superscript"/>
        <sz val="10"/>
        <rFont val="Times New Roman"/>
        <family val="1"/>
      </rPr>
      <t>d, e</t>
    </r>
    <r>
      <rPr>
        <sz val="10"/>
        <rFont val="Times New Roman"/>
        <family val="1"/>
      </rPr>
      <t xml:space="preserve"> </t>
    </r>
  </si>
  <si>
    <r>
      <t xml:space="preserve">f. Report of performance test/re-test/ add-on control preformance test/re-test </t>
    </r>
    <r>
      <rPr>
        <vertAlign val="superscript"/>
        <sz val="10"/>
        <rFont val="Times New Roman"/>
        <family val="1"/>
      </rPr>
      <t>d, e</t>
    </r>
    <r>
      <rPr>
        <sz val="10"/>
        <rFont val="Times New Roman"/>
        <family val="1"/>
      </rPr>
      <t xml:space="preserve"> </t>
    </r>
  </si>
  <si>
    <t>(A) 
EPA Person hours per occurrence</t>
  </si>
  <si>
    <r>
      <t xml:space="preserve">2. Repeat initial performance test </t>
    </r>
    <r>
      <rPr>
        <vertAlign val="superscript"/>
        <sz val="10"/>
        <rFont val="Times New Roman"/>
        <family val="1"/>
      </rPr>
      <t>d</t>
    </r>
  </si>
  <si>
    <r>
      <t xml:space="preserve">Total (rounded) </t>
    </r>
    <r>
      <rPr>
        <b/>
        <vertAlign val="superscript"/>
        <sz val="10"/>
        <rFont val="Times New Roman"/>
        <family val="1"/>
      </rPr>
      <t>j</t>
    </r>
  </si>
  <si>
    <t>Table 2: Annual Respondent Burden and Cost – NESHAP for Automobile and Light-duty Truck Surface Coating (40 CFR Part 63, Subpart IIII) (Amendments)</t>
  </si>
  <si>
    <t>Year 2</t>
  </si>
  <si>
    <t>Table 3: Annual Respondent Burden and Cost – NESHAP for Automobile and Light-duty Truck Surface Coating (40 CFR Part 63, Subpart IIII) (Amendments)</t>
  </si>
  <si>
    <t>Year 3</t>
  </si>
  <si>
    <t>Table 4 - Summary of Annual Respondent Burden and Cost - NESHAP for Automobile and Light-duty Truck Surface Coating (40 CFR Part 63, Subpart IIII) (Amendments)</t>
  </si>
  <si>
    <t>Table 5:  Average Annual EPA Burden and Cost - NESHAP for Automobile and Light-duty Truck Surface Coating (40 CFR Part 63, Subpart IIII) (Amendments)</t>
  </si>
  <si>
    <t>Table 8 - Summary of Annual Agency Burden and Cost - NESHAP for Automobile and Light-duty Truck Surface Coating (40 CFR Part 63, Subpart IIII) (Amendments)</t>
  </si>
  <si>
    <t>Table 6:  Average Annual EPA Burden and Cost - NESHAP for Automobile and Light-duty Truck Surface Coating (40 CFR Part 63, Subpart IIII) (Amendments)</t>
  </si>
  <si>
    <t>Table 7:  Average Annual EPA Burden and Cost - NESHAP for Automobile and Light-duty Truck Surface Coating (40 CFR Part 63, Subpart IIII) (Amendments)</t>
  </si>
  <si>
    <r>
      <t xml:space="preserve">Total Labor Burden and Cost (rounded) </t>
    </r>
    <r>
      <rPr>
        <b/>
        <vertAlign val="superscript"/>
        <sz val="10"/>
        <rFont val="Times New Roman"/>
        <family val="1"/>
      </rPr>
      <t>p</t>
    </r>
    <r>
      <rPr>
        <b/>
        <sz val="10"/>
        <rFont val="Times New Roman"/>
        <family val="1"/>
      </rPr>
      <t xml:space="preserve"> </t>
    </r>
  </si>
  <si>
    <r>
      <t xml:space="preserve">Total Capital and O&amp;M Cost (rounded) </t>
    </r>
    <r>
      <rPr>
        <b/>
        <vertAlign val="superscript"/>
        <sz val="10"/>
        <rFont val="Times New Roman"/>
        <family val="1"/>
      </rPr>
      <t>p</t>
    </r>
  </si>
  <si>
    <r>
      <t xml:space="preserve">Grand Total (rounded) </t>
    </r>
    <r>
      <rPr>
        <b/>
        <vertAlign val="superscript"/>
        <sz val="10"/>
        <rFont val="Times New Roman"/>
        <family val="1"/>
      </rPr>
      <t>p</t>
    </r>
  </si>
  <si>
    <r>
      <rPr>
        <vertAlign val="superscript"/>
        <sz val="10"/>
        <rFont val="Times New Roman"/>
        <family val="1"/>
      </rPr>
      <t>o</t>
    </r>
    <r>
      <rPr>
        <sz val="10"/>
        <rFont val="Times New Roman"/>
        <family val="1"/>
      </rPr>
      <t xml:space="preserve">  Responses in year one associated with the use of electronic reporting include becoming familiar with CEDRI and the semi-annual reporting form.</t>
    </r>
  </si>
  <si>
    <r>
      <t xml:space="preserve">p  </t>
    </r>
    <r>
      <rPr>
        <sz val="10"/>
        <color rgb="FF000000"/>
        <rFont val="Times New Roman"/>
        <family val="1"/>
      </rPr>
      <t>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</si>
  <si>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The performance test requirement will affect 5 facilities in the third year. These facilities do not already have a testing requirement in their permits. We assume a 5% failure and re-test rate (5 x 0.05 = 0.25). Since the fraction of re-tests (0.25) rounds down to zero, we assume no re-tests will be done.</t>
    </r>
  </si>
  <si>
    <t>Note: In year 3, five sources test one control device each at a cost of $19,000. We assume a 5% failure rate for the test. Since the fraction of re-tests (0.25) rounds down to zero, we assume no cost for re-tests. Totals have been rounded to three significant figures.</t>
  </si>
  <si>
    <r>
      <rPr>
        <vertAlign val="superscript"/>
        <sz val="10"/>
        <rFont val="Times New Roman"/>
        <family val="1"/>
      </rPr>
      <t xml:space="preserve">n </t>
    </r>
    <r>
      <rPr>
        <sz val="10"/>
        <rFont val="Times New Roman"/>
        <family val="1"/>
      </rPr>
      <t xml:space="preserve"> We assume that costs associated with elimination of the SSM exemption include time for re-evaluating previously developed SSM record systems in year one. </t>
    </r>
  </si>
  <si>
    <r>
      <t>e</t>
    </r>
    <r>
      <rPr>
        <sz val="10"/>
        <color rgb="FF000000"/>
        <rFont val="Times New Roman"/>
        <family val="1"/>
      </rPr>
      <t xml:space="preserve">  Assumes that the 5 facilities with add-on controls but without periodic testing requirements in their permits will do performance testing in year 3. We assume a 5% failure and re-test rate (5 x 0.05 = 0.25). Since the fraction of re-tests (0.25) rounds down to zero, we assume no re-tests will be done.  </t>
    </r>
  </si>
  <si>
    <r>
      <t xml:space="preserve">Total (rounded) </t>
    </r>
    <r>
      <rPr>
        <b/>
        <vertAlign val="superscript"/>
        <sz val="10"/>
        <rFont val="Times New Roman"/>
        <family val="1"/>
      </rPr>
      <t>i</t>
    </r>
  </si>
  <si>
    <r>
      <t xml:space="preserve">i  </t>
    </r>
    <r>
      <rPr>
        <sz val="10"/>
        <color rgb="FF000000"/>
        <rFont val="Times New Roman"/>
        <family val="1"/>
      </rPr>
      <t>Totals have been rounded to 3 significant figures. Figures may not add exactly due to rounding.</t>
    </r>
  </si>
  <si>
    <r>
      <t>i. Revise record systems due to SSM revisions</t>
    </r>
    <r>
      <rPr>
        <vertAlign val="superscript"/>
        <sz val="10"/>
        <rFont val="Times New Roman"/>
        <family val="1"/>
      </rPr>
      <t xml:space="preserve"> n</t>
    </r>
  </si>
  <si>
    <r>
      <t xml:space="preserve">j. Become familiar with CEDRI for electronic filing of notifications and reports </t>
    </r>
    <r>
      <rPr>
        <vertAlign val="superscript"/>
        <sz val="10"/>
        <rFont val="Times New Roman"/>
        <family val="1"/>
      </rPr>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</si>
</sst>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00"/>
    <numFmt numFmtId="166" formatCode="&quot;$&quot;#,##0"/>
    <numFmt numFmtId="167" formatCode="0.0"/>
    <numFmt numFmtId="168" formatCode="0.000"/>
    <numFmt numFmtId="169" formatCode="General_)"/>
  </numFmts>
  <fonts count="23"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i/>
      <sz val="10"/>
      <color rgb="FF000000"/>
      <name val="Times New Roman"/>
      <family val="1"/>
    </font>
    <font>
      <sz val="10"/>
      <color rgb="FFFF0000"/>
      <name val="Arial"/>
      <family val="2"/>
    </font>
    <font>
      <sz val="10"/>
      <color rgb="FFFF0000"/>
      <name val="Times New Roman"/>
      <family val="1"/>
    </font>
    <font>
      <vertAlign val="superscript"/>
      <sz val="10"/>
      <color theme="1"/>
      <name val="Times New Roman"/>
      <family val="1"/>
    </font>
    <font>
      <sz val="10"/>
      <name val="Times New Roman"/>
      <family val="1"/>
    </font>
    <font>
      <b/>
      <i/>
      <sz val="10"/>
      <name val="Times New Roman"/>
      <family val="1"/>
    </font>
    <font>
      <b/>
      <sz val="12"/>
      <color theme="1"/>
      <name val="Times New Roman"/>
      <family val="1"/>
    </font>
    <font>
      <vertAlign val="superscript"/>
      <sz val="10"/>
      <name val="Times New Roman"/>
      <family val="1"/>
    </font>
    <font>
      <b/>
      <sz val="10"/>
      <name val="Times New Roman"/>
      <family val="1"/>
    </font>
    <font>
      <b/>
      <vertAlign val="superscript"/>
      <sz val="10"/>
      <name val="Times New Roman"/>
      <family val="1"/>
    </font>
    <font>
      <sz val="12"/>
      <color rgb="FF000000"/>
      <name val="Times New Roman"/>
      <family val="1"/>
    </font>
    <font>
      <b/>
      <sz val="12"/>
      <color rgb="FF000000"/>
      <name val="Times New Roman"/>
      <family val="1"/>
    </font>
    <font>
      <vertAlign val="superscript"/>
      <sz val="12"/>
      <color rgb="FF000000"/>
      <name val="Times New Roman"/>
      <family val="1"/>
    </font>
    <font>
      <sz val="9"/>
      <color rgb="FF000000"/>
      <name val="Times New Roman"/>
      <family val="1"/>
    </font>
    <font>
      <b/>
      <sz val="12"/>
      <name val="Times New Roman"/>
      <family val="1"/>
    </font>
    <font>
      <sz val="9"/>
      <name val="Times New Roman"/>
      <family val="1"/>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s>
  <cellStyleXfs count="1">
    <xf numFmtId="0" fontId="0" fillId="0" borderId="0"/>
  </cellStyleXfs>
  <cellXfs count="146">
    <xf numFmtId="0" fontId="0" fillId="0" borderId="0" xfId="0"/>
    <xf numFmtId="0" fontId="1" fillId="0" borderId="0" xfId="0" applyFont="1"/>
    <xf numFmtId="0" fontId="18"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top" wrapText="1"/>
    </xf>
    <xf numFmtId="0" fontId="19" fillId="0" borderId="0" xfId="0" applyFont="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4" fillId="0" borderId="1" xfId="0" applyFont="1" applyFill="1" applyBorder="1" applyAlignment="1">
      <alignment horizontal="left" vertical="center" indent="1"/>
    </xf>
    <xf numFmtId="169" fontId="11" fillId="2" borderId="8" xfId="0" applyNumberFormat="1" applyFont="1" applyFill="1" applyBorder="1" applyAlignment="1">
      <alignment horizontal="center" vertical="center"/>
    </xf>
    <xf numFmtId="169" fontId="11" fillId="2" borderId="9" xfId="0" applyNumberFormat="1" applyFont="1" applyFill="1" applyBorder="1" applyAlignment="1">
      <alignment horizontal="center" vertical="center" wrapText="1"/>
    </xf>
    <xf numFmtId="169" fontId="11" fillId="2" borderId="10" xfId="0" applyNumberFormat="1" applyFont="1" applyFill="1" applyBorder="1" applyAlignment="1">
      <alignment horizontal="center" vertical="center" wrapText="1"/>
    </xf>
    <xf numFmtId="169" fontId="11" fillId="2" borderId="11" xfId="0" applyNumberFormat="1" applyFont="1" applyFill="1" applyBorder="1" applyAlignment="1">
      <alignment horizontal="center"/>
    </xf>
    <xf numFmtId="3" fontId="11" fillId="2" borderId="5" xfId="0" applyNumberFormat="1" applyFont="1" applyFill="1" applyBorder="1" applyAlignment="1">
      <alignment horizontal="center"/>
    </xf>
    <xf numFmtId="3" fontId="11" fillId="2" borderId="1" xfId="0" applyNumberFormat="1" applyFont="1" applyFill="1" applyBorder="1" applyAlignment="1">
      <alignment horizontal="center"/>
    </xf>
    <xf numFmtId="166" fontId="11" fillId="2" borderId="5" xfId="0" applyNumberFormat="1" applyFont="1" applyFill="1" applyBorder="1" applyAlignment="1">
      <alignment horizontal="center"/>
    </xf>
    <xf numFmtId="166" fontId="11" fillId="2" borderId="1" xfId="0" applyNumberFormat="1" applyFont="1" applyFill="1" applyBorder="1" applyAlignment="1">
      <alignment horizontal="center"/>
    </xf>
    <xf numFmtId="166" fontId="11" fillId="2" borderId="12" xfId="0" applyNumberFormat="1" applyFont="1" applyFill="1" applyBorder="1" applyAlignment="1">
      <alignment horizontal="center"/>
    </xf>
    <xf numFmtId="169" fontId="11" fillId="2" borderId="13" xfId="0" applyNumberFormat="1" applyFont="1" applyFill="1" applyBorder="1" applyAlignment="1">
      <alignment horizontal="center"/>
    </xf>
    <xf numFmtId="169" fontId="11" fillId="2" borderId="14" xfId="0" applyNumberFormat="1" applyFont="1" applyFill="1" applyBorder="1" applyAlignment="1">
      <alignment horizontal="center"/>
    </xf>
    <xf numFmtId="3" fontId="11" fillId="2" borderId="15" xfId="0" applyNumberFormat="1" applyFont="1" applyFill="1" applyBorder="1" applyAlignment="1">
      <alignment horizontal="center"/>
    </xf>
    <xf numFmtId="166" fontId="11" fillId="2" borderId="15" xfId="0" applyNumberFormat="1" applyFont="1" applyFill="1" applyBorder="1" applyAlignment="1">
      <alignment horizontal="center"/>
    </xf>
    <xf numFmtId="166" fontId="11" fillId="2" borderId="16" xfId="0" applyNumberFormat="1" applyFont="1" applyFill="1" applyBorder="1" applyAlignment="1">
      <alignment horizontal="center"/>
    </xf>
    <xf numFmtId="169" fontId="11" fillId="2" borderId="17" xfId="0" applyNumberFormat="1" applyFont="1" applyFill="1" applyBorder="1" applyAlignment="1">
      <alignment horizontal="center"/>
    </xf>
    <xf numFmtId="3" fontId="11" fillId="2" borderId="18" xfId="0" applyNumberFormat="1" applyFont="1" applyFill="1" applyBorder="1" applyAlignment="1">
      <alignment horizontal="center"/>
    </xf>
    <xf numFmtId="164" fontId="11" fillId="2" borderId="18" xfId="0" applyNumberFormat="1" applyFont="1" applyFill="1" applyBorder="1" applyAlignment="1">
      <alignment horizontal="center"/>
    </xf>
    <xf numFmtId="166" fontId="11" fillId="0" borderId="18" xfId="0" applyNumberFormat="1" applyFont="1" applyBorder="1" applyAlignment="1">
      <alignment horizontal="center"/>
    </xf>
    <xf numFmtId="166" fontId="11" fillId="2" borderId="19" xfId="0" applyNumberFormat="1" applyFont="1" applyFill="1" applyBorder="1" applyAlignment="1">
      <alignment horizontal="center"/>
    </xf>
    <xf numFmtId="0" fontId="1" fillId="0" borderId="20" xfId="0" applyFont="1" applyBorder="1"/>
    <xf numFmtId="0" fontId="1" fillId="0" borderId="21" xfId="0" applyFont="1" applyBorder="1"/>
    <xf numFmtId="169" fontId="11" fillId="2" borderId="8" xfId="0" applyNumberFormat="1" applyFont="1" applyFill="1" applyBorder="1" applyAlignment="1">
      <alignment horizontal="center"/>
    </xf>
    <xf numFmtId="169" fontId="11" fillId="2" borderId="9" xfId="0" applyNumberFormat="1" applyFont="1" applyFill="1" applyBorder="1" applyAlignment="1">
      <alignment horizontal="center" wrapText="1"/>
    </xf>
    <xf numFmtId="169" fontId="11" fillId="0" borderId="22" xfId="0" applyNumberFormat="1" applyFont="1" applyBorder="1" applyAlignment="1">
      <alignment horizontal="center" wrapText="1"/>
    </xf>
    <xf numFmtId="3" fontId="11" fillId="0" borderId="5" xfId="0" applyNumberFormat="1" applyFont="1" applyBorder="1" applyAlignment="1">
      <alignment horizontal="center"/>
    </xf>
    <xf numFmtId="3" fontId="11" fillId="0" borderId="5" xfId="0" quotePrefix="1" applyNumberFormat="1" applyFont="1" applyBorder="1" applyAlignment="1">
      <alignment horizontal="center"/>
    </xf>
    <xf numFmtId="3" fontId="11" fillId="0" borderId="23" xfId="0" applyNumberFormat="1" applyFont="1" applyBorder="1" applyAlignment="1">
      <alignment horizontal="center"/>
    </xf>
    <xf numFmtId="164" fontId="11" fillId="0" borderId="23" xfId="0" applyNumberFormat="1" applyFont="1" applyBorder="1" applyAlignment="1">
      <alignment horizontal="center"/>
    </xf>
    <xf numFmtId="3" fontId="11" fillId="0" borderId="24" xfId="0" applyNumberFormat="1" applyFont="1" applyBorder="1" applyAlignment="1">
      <alignment horizontal="center"/>
    </xf>
    <xf numFmtId="3" fontId="11" fillId="0" borderId="1" xfId="0" applyNumberFormat="1" applyFont="1" applyBorder="1" applyAlignment="1">
      <alignment horizontal="center"/>
    </xf>
    <xf numFmtId="3" fontId="11" fillId="0" borderId="15" xfId="0" applyNumberFormat="1" applyFont="1" applyBorder="1" applyAlignment="1">
      <alignment horizontal="center"/>
    </xf>
    <xf numFmtId="3" fontId="11" fillId="0" borderId="16" xfId="0" applyNumberFormat="1" applyFont="1" applyBorder="1" applyAlignment="1">
      <alignment horizontal="center"/>
    </xf>
    <xf numFmtId="164" fontId="11" fillId="2" borderId="5" xfId="0" applyNumberFormat="1" applyFont="1" applyFill="1" applyBorder="1" applyAlignment="1">
      <alignment horizontal="center"/>
    </xf>
    <xf numFmtId="3" fontId="11" fillId="2" borderId="25" xfId="0" applyNumberFormat="1" applyFont="1" applyFill="1" applyBorder="1" applyAlignment="1">
      <alignment horizontal="center"/>
    </xf>
    <xf numFmtId="3" fontId="11" fillId="0" borderId="18" xfId="0" applyNumberFormat="1" applyFont="1" applyBorder="1" applyAlignment="1">
      <alignment horizontal="center"/>
    </xf>
    <xf numFmtId="164" fontId="11" fillId="2" borderId="26" xfId="0" applyNumberFormat="1" applyFont="1" applyFill="1" applyBorder="1" applyAlignment="1">
      <alignment horizontal="center"/>
    </xf>
    <xf numFmtId="166" fontId="1" fillId="0" borderId="0" xfId="0" applyNumberFormat="1" applyFont="1" applyAlignment="1">
      <alignment horizontal="center"/>
    </xf>
    <xf numFmtId="166" fontId="11" fillId="2" borderId="18" xfId="0" applyNumberFormat="1" applyFont="1" applyFill="1" applyBorder="1" applyAlignment="1">
      <alignment horizontal="center"/>
    </xf>
    <xf numFmtId="0" fontId="1" fillId="0" borderId="0" xfId="0" applyFont="1" applyBorder="1"/>
    <xf numFmtId="1" fontId="11" fillId="2" borderId="12" xfId="0" applyNumberFormat="1" applyFont="1" applyFill="1" applyBorder="1" applyAlignment="1">
      <alignment horizontal="center"/>
    </xf>
    <xf numFmtId="1" fontId="11" fillId="2" borderId="16" xfId="0" applyNumberFormat="1" applyFont="1" applyFill="1" applyBorder="1" applyAlignment="1">
      <alignment horizontal="center"/>
    </xf>
    <xf numFmtId="1" fontId="11" fillId="2" borderId="23" xfId="0" applyNumberFormat="1" applyFont="1" applyFill="1" applyBorder="1" applyAlignment="1">
      <alignment horizontal="center"/>
    </xf>
    <xf numFmtId="1" fontId="11" fillId="2" borderId="24" xfId="0" applyNumberFormat="1" applyFont="1" applyFill="1" applyBorder="1" applyAlignment="1">
      <alignment horizontal="center"/>
    </xf>
    <xf numFmtId="3" fontId="11" fillId="2" borderId="19" xfId="0" applyNumberFormat="1" applyFont="1" applyFill="1" applyBorder="1" applyAlignment="1">
      <alignment horizontal="center"/>
    </xf>
    <xf numFmtId="0" fontId="0" fillId="0" borderId="0" xfId="0" applyBorder="1"/>
    <xf numFmtId="0" fontId="1" fillId="0" borderId="0" xfId="0" applyFont="1" applyBorder="1" applyAlignment="1">
      <alignment vertical="center"/>
    </xf>
    <xf numFmtId="6" fontId="0" fillId="0" borderId="0" xfId="0" applyNumberFormat="1"/>
    <xf numFmtId="0" fontId="4" fillId="0" borderId="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28" xfId="0" applyFill="1" applyBorder="1" applyAlignment="1">
      <alignment vertical="top" wrapText="1"/>
    </xf>
    <xf numFmtId="0" fontId="4" fillId="0" borderId="28" xfId="0" applyFont="1" applyFill="1" applyBorder="1" applyAlignment="1">
      <alignment horizontal="center" vertical="center" wrapText="1"/>
    </xf>
    <xf numFmtId="0" fontId="4" fillId="0" borderId="5" xfId="0" applyFont="1" applyFill="1" applyBorder="1" applyAlignment="1">
      <alignment horizontal="center" vertical="center" wrapText="1"/>
    </xf>
    <xf numFmtId="6" fontId="4"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6" fontId="1" fillId="0" borderId="1" xfId="0" applyNumberFormat="1" applyFont="1" applyFill="1" applyBorder="1" applyAlignment="1">
      <alignment horizontal="center" vertical="center" wrapText="1"/>
    </xf>
    <xf numFmtId="0" fontId="0" fillId="0" borderId="0" xfId="0" applyFill="1"/>
    <xf numFmtId="0" fontId="13" fillId="0" borderId="0" xfId="0" applyFont="1" applyFill="1"/>
    <xf numFmtId="0" fontId="1" fillId="0" borderId="0" xfId="0" applyFont="1" applyFill="1"/>
    <xf numFmtId="0" fontId="9" fillId="0" borderId="0" xfId="0" applyFont="1" applyFill="1"/>
    <xf numFmtId="0" fontId="4" fillId="0" borderId="1" xfId="0" applyFont="1" applyFill="1" applyBorder="1" applyAlignment="1">
      <alignment vertical="center" wrapText="1"/>
    </xf>
    <xf numFmtId="0" fontId="1" fillId="0" borderId="4" xfId="0" applyFont="1" applyFill="1" applyBorder="1"/>
    <xf numFmtId="0" fontId="1" fillId="0" borderId="1" xfId="0" applyFont="1" applyFill="1" applyBorder="1"/>
    <xf numFmtId="0" fontId="11" fillId="0" borderId="4" xfId="0" applyFont="1" applyFill="1" applyBorder="1" applyAlignment="1">
      <alignment horizontal="right"/>
    </xf>
    <xf numFmtId="3" fontId="11" fillId="0" borderId="1" xfId="0" applyNumberFormat="1" applyFont="1" applyFill="1" applyBorder="1" applyAlignment="1">
      <alignment horizontal="right"/>
    </xf>
    <xf numFmtId="0" fontId="11" fillId="0" borderId="1" xfId="0" applyFont="1" applyFill="1" applyBorder="1" applyAlignment="1">
      <alignment horizontal="right"/>
    </xf>
    <xf numFmtId="165" fontId="1" fillId="0" borderId="1" xfId="0" applyNumberFormat="1" applyFont="1" applyFill="1" applyBorder="1" applyAlignment="1">
      <alignment horizontal="right"/>
    </xf>
    <xf numFmtId="0" fontId="11" fillId="0" borderId="1" xfId="0" applyFont="1" applyFill="1" applyBorder="1"/>
    <xf numFmtId="165" fontId="1" fillId="0" borderId="1" xfId="0" applyNumberFormat="1" applyFont="1" applyFill="1" applyBorder="1"/>
    <xf numFmtId="164" fontId="11" fillId="0" borderId="1" xfId="0" applyNumberFormat="1" applyFont="1" applyFill="1" applyBorder="1" applyAlignment="1">
      <alignment horizontal="right"/>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166" fontId="1" fillId="0" borderId="1" xfId="0" applyNumberFormat="1" applyFont="1" applyFill="1" applyBorder="1" applyAlignment="1">
      <alignment horizontal="right"/>
    </xf>
    <xf numFmtId="0" fontId="22" fillId="0" borderId="1" xfId="0" applyFont="1" applyFill="1" applyBorder="1" applyAlignment="1">
      <alignment horizontal="center" vertical="center"/>
    </xf>
    <xf numFmtId="0" fontId="4" fillId="0" borderId="1" xfId="0" applyFont="1" applyFill="1" applyBorder="1" applyAlignment="1">
      <alignment horizontal="left" vertical="center" wrapText="1" indent="4"/>
    </xf>
    <xf numFmtId="168" fontId="1" fillId="0" borderId="0" xfId="0" applyNumberFormat="1" applyFont="1" applyFill="1"/>
    <xf numFmtId="0" fontId="4" fillId="0" borderId="5" xfId="0" applyFont="1" applyFill="1" applyBorder="1" applyAlignment="1">
      <alignment horizontal="left" vertical="center" indent="2"/>
    </xf>
    <xf numFmtId="0" fontId="1" fillId="0" borderId="6" xfId="0" applyFont="1" applyFill="1" applyBorder="1" applyAlignment="1">
      <alignment horizontal="right"/>
    </xf>
    <xf numFmtId="0" fontId="11" fillId="0" borderId="5" xfId="0" applyFont="1" applyFill="1" applyBorder="1" applyAlignment="1">
      <alignment horizontal="right"/>
    </xf>
    <xf numFmtId="0" fontId="11" fillId="0" borderId="5" xfId="0" applyFont="1" applyFill="1" applyBorder="1"/>
    <xf numFmtId="1" fontId="11" fillId="0" borderId="5" xfId="0" applyNumberFormat="1" applyFont="1" applyFill="1" applyBorder="1" applyAlignment="1">
      <alignment horizontal="right"/>
    </xf>
    <xf numFmtId="0" fontId="7" fillId="0" borderId="1" xfId="0" applyFont="1" applyFill="1" applyBorder="1" applyAlignment="1">
      <alignment vertical="center"/>
    </xf>
    <xf numFmtId="0" fontId="6" fillId="0" borderId="4" xfId="0" applyFont="1" applyFill="1" applyBorder="1"/>
    <xf numFmtId="0" fontId="12" fillId="0" borderId="1" xfId="0" applyFont="1" applyFill="1" applyBorder="1"/>
    <xf numFmtId="166" fontId="6" fillId="0" borderId="1" xfId="0" applyNumberFormat="1" applyFont="1" applyFill="1" applyBorder="1" applyAlignment="1">
      <alignment horizontal="right"/>
    </xf>
    <xf numFmtId="0" fontId="4" fillId="0" borderId="1" xfId="0" applyFont="1" applyFill="1" applyBorder="1" applyAlignment="1">
      <alignment vertical="center"/>
    </xf>
    <xf numFmtId="3" fontId="11" fillId="0" borderId="4" xfId="0" applyNumberFormat="1" applyFont="1" applyFill="1" applyBorder="1" applyAlignment="1">
      <alignment horizontal="center" vertical="center"/>
    </xf>
    <xf numFmtId="0" fontId="4" fillId="0" borderId="1" xfId="0" applyFont="1" applyFill="1" applyBorder="1" applyAlignment="1">
      <alignment horizontal="left" vertical="center" indent="2"/>
    </xf>
    <xf numFmtId="0" fontId="11" fillId="0" borderId="1" xfId="0" applyFont="1" applyFill="1" applyBorder="1" applyAlignment="1">
      <alignment horizontal="left" vertical="center" wrapText="1" indent="1"/>
    </xf>
    <xf numFmtId="0" fontId="12" fillId="0" borderId="5" xfId="0" applyFont="1" applyFill="1" applyBorder="1" applyAlignment="1">
      <alignment vertical="center"/>
    </xf>
    <xf numFmtId="0" fontId="1" fillId="0" borderId="5" xfId="0" applyFont="1" applyFill="1" applyBorder="1"/>
    <xf numFmtId="0" fontId="11" fillId="0" borderId="5" xfId="0" applyFont="1" applyFill="1" applyBorder="1" applyAlignment="1">
      <alignment wrapText="1"/>
    </xf>
    <xf numFmtId="3" fontId="1" fillId="0" borderId="0" xfId="0" applyNumberFormat="1" applyFont="1" applyFill="1"/>
    <xf numFmtId="0" fontId="15" fillId="0" borderId="1" xfId="0" applyFont="1" applyFill="1" applyBorder="1" applyAlignment="1">
      <alignment vertical="center"/>
    </xf>
    <xf numFmtId="166" fontId="5" fillId="0" borderId="1" xfId="0" applyNumberFormat="1" applyFont="1" applyFill="1" applyBorder="1" applyAlignment="1">
      <alignment horizontal="right"/>
    </xf>
    <xf numFmtId="1" fontId="1" fillId="0" borderId="0" xfId="0" applyNumberFormat="1" applyFont="1" applyFill="1"/>
    <xf numFmtId="166" fontId="5" fillId="0" borderId="1" xfId="0" applyNumberFormat="1" applyFont="1" applyFill="1" applyBorder="1"/>
    <xf numFmtId="0" fontId="2" fillId="0" borderId="0" xfId="0" applyFont="1" applyFill="1" applyAlignment="1">
      <alignment vertical="center"/>
    </xf>
    <xf numFmtId="164" fontId="11" fillId="2" borderId="1" xfId="0" applyNumberFormat="1" applyFont="1" applyFill="1" applyBorder="1" applyAlignment="1">
      <alignment horizontal="center"/>
    </xf>
    <xf numFmtId="0" fontId="8" fillId="0" borderId="0" xfId="0" applyFont="1" applyFill="1"/>
    <xf numFmtId="0" fontId="11" fillId="0" borderId="1" xfId="0" applyFont="1" applyFill="1" applyBorder="1" applyAlignment="1">
      <alignment horizontal="center" vertical="center" wrapText="1"/>
    </xf>
    <xf numFmtId="166" fontId="11" fillId="0" borderId="1" xfId="0" applyNumberFormat="1" applyFont="1" applyFill="1" applyBorder="1" applyAlignment="1">
      <alignment horizontal="right"/>
    </xf>
    <xf numFmtId="166" fontId="11" fillId="0" borderId="1" xfId="0" applyNumberFormat="1" applyFont="1" applyFill="1" applyBorder="1"/>
    <xf numFmtId="0" fontId="11" fillId="0" borderId="1" xfId="0" applyFont="1" applyFill="1" applyBorder="1" applyAlignment="1">
      <alignment horizontal="left" indent="1"/>
    </xf>
    <xf numFmtId="0" fontId="11" fillId="0" borderId="1" xfId="0" applyFont="1" applyFill="1" applyBorder="1" applyAlignment="1">
      <alignment horizontal="left" wrapText="1" indent="1"/>
    </xf>
    <xf numFmtId="1" fontId="11" fillId="0" borderId="1" xfId="0" applyNumberFormat="1" applyFont="1" applyFill="1" applyBorder="1" applyAlignment="1">
      <alignment horizontal="center" vertical="center"/>
    </xf>
    <xf numFmtId="167" fontId="11" fillId="0" borderId="1" xfId="0" applyNumberFormat="1" applyFont="1" applyFill="1" applyBorder="1" applyAlignment="1">
      <alignment horizontal="center" vertical="center"/>
    </xf>
    <xf numFmtId="0" fontId="15" fillId="0" borderId="1" xfId="0" applyFont="1" applyFill="1" applyBorder="1"/>
    <xf numFmtId="6" fontId="15" fillId="0" borderId="1" xfId="0" applyNumberFormat="1" applyFont="1" applyFill="1" applyBorder="1" applyAlignment="1">
      <alignment horizontal="right"/>
    </xf>
    <xf numFmtId="0" fontId="11" fillId="0" borderId="0" xfId="0" applyFont="1" applyFill="1"/>
    <xf numFmtId="0" fontId="15" fillId="0" borderId="0" xfId="0" applyFont="1" applyFill="1" applyAlignment="1">
      <alignment vertical="center"/>
    </xf>
    <xf numFmtId="165" fontId="11" fillId="0" borderId="1" xfId="0" applyNumberFormat="1" applyFont="1" applyFill="1" applyBorder="1" applyAlignment="1">
      <alignment horizontal="right" vertical="center"/>
    </xf>
    <xf numFmtId="0" fontId="3" fillId="0" borderId="0" xfId="0" applyFont="1" applyFill="1" applyAlignment="1">
      <alignment horizontal="left" vertical="center"/>
    </xf>
    <xf numFmtId="0" fontId="14" fillId="0" borderId="0" xfId="0" applyFont="1" applyFill="1" applyAlignment="1">
      <alignment vertical="top" wrapText="1"/>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1" xfId="0" applyNumberFormat="1" applyFont="1" applyFill="1" applyBorder="1" applyAlignment="1">
      <alignment horizontal="center"/>
    </xf>
    <xf numFmtId="3" fontId="15" fillId="0" borderId="1" xfId="0" applyNumberFormat="1" applyFont="1" applyFill="1" applyBorder="1" applyAlignment="1">
      <alignment horizontal="center"/>
    </xf>
    <xf numFmtId="0" fontId="3" fillId="0" borderId="0" xfId="0" applyFont="1" applyFill="1" applyAlignment="1">
      <alignment horizontal="left" vertical="top"/>
    </xf>
    <xf numFmtId="0" fontId="13" fillId="0" borderId="0" xfId="0" applyFont="1" applyFill="1" applyAlignment="1">
      <alignment horizontal="left" vertical="top" wrapText="1"/>
    </xf>
    <xf numFmtId="0" fontId="11" fillId="0" borderId="1" xfId="0" applyFont="1" applyFill="1" applyBorder="1" applyAlignment="1">
      <alignment horizontal="center" vertical="top"/>
    </xf>
    <xf numFmtId="0" fontId="11" fillId="0" borderId="0" xfId="0" applyFont="1" applyFill="1" applyBorder="1" applyAlignment="1">
      <alignment horizontal="left" vertical="top" wrapText="1"/>
    </xf>
    <xf numFmtId="0" fontId="1" fillId="0" borderId="0" xfId="0" applyFont="1" applyFill="1" applyAlignment="1">
      <alignment horizontal="left" vertical="top" wrapText="1"/>
    </xf>
    <xf numFmtId="0" fontId="3" fillId="0" borderId="0" xfId="0" applyFont="1" applyFill="1" applyAlignment="1">
      <alignment horizontal="left" vertical="top" wrapText="1"/>
    </xf>
    <xf numFmtId="0" fontId="13" fillId="0" borderId="7" xfId="0" applyFont="1" applyBorder="1" applyAlignment="1">
      <alignment horizontal="left" vertical="top" wrapText="1"/>
    </xf>
    <xf numFmtId="3" fontId="15" fillId="0" borderId="2" xfId="0" applyNumberFormat="1" applyFont="1" applyFill="1" applyBorder="1" applyAlignment="1">
      <alignment horizontal="center"/>
    </xf>
    <xf numFmtId="3" fontId="15" fillId="0" borderId="3" xfId="0" applyNumberFormat="1" applyFont="1" applyFill="1" applyBorder="1" applyAlignment="1">
      <alignment horizontal="center"/>
    </xf>
    <xf numFmtId="3" fontId="15" fillId="0" borderId="4" xfId="0" applyNumberFormat="1" applyFont="1" applyFill="1" applyBorder="1" applyAlignment="1">
      <alignment horizontal="center"/>
    </xf>
    <xf numFmtId="0" fontId="14" fillId="0" borderId="0" xfId="0" applyFont="1" applyFill="1" applyAlignment="1">
      <alignment horizontal="left" vertical="top" wrapText="1"/>
    </xf>
    <xf numFmtId="169" fontId="21" fillId="2" borderId="0" xfId="0" applyNumberFormat="1" applyFont="1" applyFill="1" applyAlignment="1">
      <alignment horizontal="left" vertical="top"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vertical="center" wrapText="1"/>
    </xf>
    <xf numFmtId="0" fontId="4" fillId="0" borderId="29"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zoomScaleNormal="100" workbookViewId="0">
      <pane xSplit="1" ySplit="3" topLeftCell="B4" activePane="bottomRight" state="frozen"/>
      <selection pane="topRight" activeCell="B1" sqref="B1"/>
      <selection pane="bottomLeft" activeCell="A4" sqref="A4"/>
      <selection pane="bottomRight" activeCell="F26" sqref="F26"/>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95</v>
      </c>
      <c r="B1" s="131"/>
      <c r="C1" s="131"/>
      <c r="D1" s="131"/>
      <c r="E1" s="131"/>
      <c r="F1" s="131"/>
      <c r="G1" s="131"/>
      <c r="H1" s="131"/>
      <c r="I1" s="131"/>
    </row>
    <row r="2" spans="1:12" ht="15.75" x14ac:dyDescent="0.25">
      <c r="A2" s="67" t="s">
        <v>96</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43</v>
      </c>
      <c r="F7" s="80">
        <f t="shared" ref="F7:F23" si="0">D7*E7</f>
        <v>172</v>
      </c>
      <c r="G7" s="81">
        <f t="shared" ref="G7:G23" si="1">F7*0.05</f>
        <v>8.6</v>
      </c>
      <c r="H7" s="82">
        <f t="shared" ref="H7:H23" si="2">F7*0.1</f>
        <v>17.2</v>
      </c>
      <c r="I7" s="76">
        <f t="shared" ref="I7:I23" si="3">F7*L$6+G7*L$5+H7*L$7</f>
        <v>22530.624</v>
      </c>
      <c r="J7" s="68"/>
      <c r="K7" s="77" t="s">
        <v>23</v>
      </c>
      <c r="L7" s="78">
        <v>57.02</v>
      </c>
    </row>
    <row r="8" spans="1:12" x14ac:dyDescent="0.25">
      <c r="A8" s="70" t="s">
        <v>60</v>
      </c>
      <c r="B8" s="57"/>
      <c r="C8" s="57"/>
      <c r="D8" s="57"/>
      <c r="E8" s="57"/>
      <c r="F8" s="80"/>
      <c r="G8" s="81"/>
      <c r="H8" s="82"/>
      <c r="I8" s="76"/>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0</v>
      </c>
      <c r="F12" s="80">
        <f t="shared" ref="F12:F13" si="5">D12*E12</f>
        <v>0</v>
      </c>
      <c r="G12" s="81">
        <f t="shared" ref="G12:G13" si="6">F12*0.05</f>
        <v>0</v>
      </c>
      <c r="H12" s="80">
        <f t="shared" ref="H12:H13" si="7">F12*0.1</f>
        <v>0</v>
      </c>
      <c r="I12" s="83">
        <f t="shared" ref="I12:I13" si="8">F12*L$6+G12*L$5+H12*L$7</f>
        <v>0</v>
      </c>
      <c r="J12" s="68"/>
      <c r="K12" s="68"/>
      <c r="L12" s="68"/>
    </row>
    <row r="13" spans="1:12" ht="15.75" x14ac:dyDescent="0.25">
      <c r="A13" s="70" t="s">
        <v>99</v>
      </c>
      <c r="B13" s="84">
        <v>30</v>
      </c>
      <c r="C13" s="84">
        <v>1</v>
      </c>
      <c r="D13" s="84">
        <f t="shared" si="4"/>
        <v>30</v>
      </c>
      <c r="E13" s="57">
        <v>0</v>
      </c>
      <c r="F13" s="80">
        <f t="shared" si="5"/>
        <v>0</v>
      </c>
      <c r="G13" s="81">
        <f t="shared" si="6"/>
        <v>0</v>
      </c>
      <c r="H13" s="80">
        <f t="shared" si="7"/>
        <v>0</v>
      </c>
      <c r="I13" s="83">
        <f t="shared" si="8"/>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0</v>
      </c>
      <c r="F19" s="80">
        <f t="shared" si="0"/>
        <v>0</v>
      </c>
      <c r="G19" s="81">
        <f t="shared" si="1"/>
        <v>0</v>
      </c>
      <c r="H19" s="80">
        <f t="shared" si="2"/>
        <v>0</v>
      </c>
      <c r="I19" s="83">
        <f t="shared" si="3"/>
        <v>0</v>
      </c>
      <c r="J19" s="68"/>
      <c r="K19" s="86"/>
      <c r="L19" s="68"/>
    </row>
    <row r="20" spans="1:12" ht="15.75" x14ac:dyDescent="0.25">
      <c r="A20" s="70" t="s">
        <v>101</v>
      </c>
      <c r="B20" s="57">
        <v>10</v>
      </c>
      <c r="C20" s="57">
        <v>1</v>
      </c>
      <c r="D20" s="57">
        <f t="shared" si="4"/>
        <v>10</v>
      </c>
      <c r="E20" s="57">
        <v>0</v>
      </c>
      <c r="F20" s="80">
        <f t="shared" si="0"/>
        <v>0</v>
      </c>
      <c r="G20" s="81">
        <f t="shared" si="1"/>
        <v>0</v>
      </c>
      <c r="H20" s="80">
        <f t="shared" si="2"/>
        <v>0</v>
      </c>
      <c r="I20" s="83">
        <f t="shared" si="3"/>
        <v>0</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197.79999999999998</v>
      </c>
      <c r="G25" s="126"/>
      <c r="H25" s="127"/>
      <c r="I25" s="95">
        <f>SUM(I4:I24)</f>
        <v>22530.624</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6" si="9">D29*E29</f>
        <v>0</v>
      </c>
      <c r="G29" s="81">
        <f t="shared" ref="G29:G36" si="10">F29*0.05</f>
        <v>0</v>
      </c>
      <c r="H29" s="81">
        <f t="shared" ref="H29:H36" si="11">F29*0.1</f>
        <v>0</v>
      </c>
      <c r="I29" s="83">
        <f t="shared" ref="I29:I38" si="12">F29*L$6+G29*L$5+H29*L$7</f>
        <v>0</v>
      </c>
      <c r="J29" s="68"/>
      <c r="K29" s="68"/>
      <c r="L29" s="68"/>
    </row>
    <row r="30" spans="1:12" ht="15.75" x14ac:dyDescent="0.25">
      <c r="A30" s="9" t="s">
        <v>105</v>
      </c>
      <c r="B30" s="57">
        <v>20</v>
      </c>
      <c r="C30" s="57">
        <v>2</v>
      </c>
      <c r="D30" s="57">
        <v>40</v>
      </c>
      <c r="E30" s="57">
        <v>0</v>
      </c>
      <c r="F30" s="97">
        <f t="shared" si="9"/>
        <v>0</v>
      </c>
      <c r="G30" s="81">
        <f t="shared" si="10"/>
        <v>0</v>
      </c>
      <c r="H30" s="81">
        <f t="shared" si="11"/>
        <v>0</v>
      </c>
      <c r="I30" s="83">
        <f t="shared" si="12"/>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9"/>
        <v>0</v>
      </c>
      <c r="G32" s="81">
        <f t="shared" si="10"/>
        <v>0</v>
      </c>
      <c r="H32" s="81">
        <f t="shared" si="11"/>
        <v>0</v>
      </c>
      <c r="I32" s="83">
        <f t="shared" si="12"/>
        <v>0</v>
      </c>
      <c r="J32" s="68"/>
      <c r="K32" s="68"/>
      <c r="L32" s="68"/>
    </row>
    <row r="33" spans="1:12" x14ac:dyDescent="0.25">
      <c r="A33" s="98" t="s">
        <v>69</v>
      </c>
      <c r="B33" s="57">
        <v>2</v>
      </c>
      <c r="C33" s="57">
        <v>12</v>
      </c>
      <c r="D33" s="57">
        <v>24</v>
      </c>
      <c r="E33" s="57">
        <v>0</v>
      </c>
      <c r="F33" s="97">
        <f t="shared" si="9"/>
        <v>0</v>
      </c>
      <c r="G33" s="81">
        <f t="shared" si="10"/>
        <v>0</v>
      </c>
      <c r="H33" s="81">
        <f t="shared" si="11"/>
        <v>0</v>
      </c>
      <c r="I33" s="83">
        <f t="shared" si="12"/>
        <v>0</v>
      </c>
      <c r="J33" s="68"/>
      <c r="K33" s="68"/>
      <c r="L33" s="68"/>
    </row>
    <row r="34" spans="1:12" x14ac:dyDescent="0.25">
      <c r="A34" s="9" t="s">
        <v>5</v>
      </c>
      <c r="B34" s="57">
        <v>10</v>
      </c>
      <c r="C34" s="57">
        <v>1</v>
      </c>
      <c r="D34" s="57">
        <v>10</v>
      </c>
      <c r="E34" s="57">
        <v>0</v>
      </c>
      <c r="F34" s="97">
        <f t="shared" si="9"/>
        <v>0</v>
      </c>
      <c r="G34" s="81">
        <f t="shared" si="10"/>
        <v>0</v>
      </c>
      <c r="H34" s="81">
        <f t="shared" si="11"/>
        <v>0</v>
      </c>
      <c r="I34" s="83">
        <f t="shared" si="12"/>
        <v>0</v>
      </c>
      <c r="J34" s="68"/>
      <c r="K34" s="68"/>
      <c r="L34" s="68"/>
    </row>
    <row r="35" spans="1:12" ht="15.75" x14ac:dyDescent="0.25">
      <c r="A35" s="9" t="s">
        <v>107</v>
      </c>
      <c r="B35" s="57">
        <v>2</v>
      </c>
      <c r="C35" s="57">
        <v>12</v>
      </c>
      <c r="D35" s="57">
        <v>24</v>
      </c>
      <c r="E35" s="57">
        <v>0</v>
      </c>
      <c r="F35" s="97">
        <f t="shared" si="9"/>
        <v>0</v>
      </c>
      <c r="G35" s="81">
        <f t="shared" si="10"/>
        <v>0</v>
      </c>
      <c r="H35" s="81">
        <f t="shared" si="11"/>
        <v>0</v>
      </c>
      <c r="I35" s="83">
        <f t="shared" si="12"/>
        <v>0</v>
      </c>
      <c r="J35" s="68"/>
      <c r="K35" s="68"/>
      <c r="L35" s="68"/>
    </row>
    <row r="36" spans="1:12" ht="15.75" x14ac:dyDescent="0.25">
      <c r="A36" s="9" t="s">
        <v>108</v>
      </c>
      <c r="B36" s="57">
        <v>1</v>
      </c>
      <c r="C36" s="57">
        <v>12</v>
      </c>
      <c r="D36" s="57">
        <v>12</v>
      </c>
      <c r="E36" s="57">
        <v>0</v>
      </c>
      <c r="F36" s="97">
        <f t="shared" si="9"/>
        <v>0</v>
      </c>
      <c r="G36" s="81">
        <f t="shared" si="10"/>
        <v>0</v>
      </c>
      <c r="H36" s="81">
        <f t="shared" si="11"/>
        <v>0</v>
      </c>
      <c r="I36" s="83">
        <f t="shared" si="12"/>
        <v>0</v>
      </c>
      <c r="J36" s="68"/>
      <c r="K36" s="68"/>
      <c r="L36" s="68"/>
    </row>
    <row r="37" spans="1:12" ht="15.75" x14ac:dyDescent="0.25">
      <c r="A37" s="99" t="s">
        <v>154</v>
      </c>
      <c r="B37" s="84">
        <v>8</v>
      </c>
      <c r="C37" s="84">
        <v>1</v>
      </c>
      <c r="D37" s="57">
        <f t="shared" ref="D37:D38" si="13">B37*C37</f>
        <v>8</v>
      </c>
      <c r="E37" s="57">
        <v>43</v>
      </c>
      <c r="F37" s="97">
        <f t="shared" ref="F37:F38" si="14">D37*E37</f>
        <v>344</v>
      </c>
      <c r="G37" s="81">
        <f t="shared" ref="G37:G38" si="15">F37*0.05</f>
        <v>17.2</v>
      </c>
      <c r="H37" s="81">
        <f t="shared" ref="H37:H38" si="16">F37*0.1</f>
        <v>34.4</v>
      </c>
      <c r="I37" s="76">
        <f t="shared" si="12"/>
        <v>45061.248</v>
      </c>
      <c r="J37" s="68"/>
      <c r="K37" s="68"/>
      <c r="L37" s="68"/>
    </row>
    <row r="38" spans="1:12" ht="28.5" x14ac:dyDescent="0.25">
      <c r="A38" s="99" t="s">
        <v>155</v>
      </c>
      <c r="B38" s="84">
        <v>8</v>
      </c>
      <c r="C38" s="84">
        <v>1</v>
      </c>
      <c r="D38" s="57">
        <f t="shared" si="13"/>
        <v>8</v>
      </c>
      <c r="E38" s="57">
        <v>43</v>
      </c>
      <c r="F38" s="97">
        <f t="shared" si="14"/>
        <v>344</v>
      </c>
      <c r="G38" s="81">
        <f t="shared" si="15"/>
        <v>17.2</v>
      </c>
      <c r="H38" s="81">
        <f t="shared" si="16"/>
        <v>34.4</v>
      </c>
      <c r="I38" s="76">
        <f t="shared" si="12"/>
        <v>45061.248</v>
      </c>
      <c r="J38" s="68"/>
      <c r="K38" s="68"/>
      <c r="L38" s="68"/>
    </row>
    <row r="39" spans="1:12" x14ac:dyDescent="0.25">
      <c r="A39" s="100" t="s">
        <v>17</v>
      </c>
      <c r="B39" s="101"/>
      <c r="C39" s="90"/>
      <c r="D39" s="90"/>
      <c r="E39" s="102"/>
      <c r="F39" s="128">
        <f>SUM(F27:H38)</f>
        <v>791.19999999999993</v>
      </c>
      <c r="G39" s="128"/>
      <c r="H39" s="128"/>
      <c r="I39" s="95">
        <f>SUM(I26:I38)</f>
        <v>90122.495999999999</v>
      </c>
      <c r="J39" s="68"/>
      <c r="K39" s="103"/>
      <c r="L39" s="68"/>
    </row>
    <row r="40" spans="1:12" ht="15.75" x14ac:dyDescent="0.25">
      <c r="A40" s="104" t="s">
        <v>143</v>
      </c>
      <c r="B40" s="72"/>
      <c r="C40" s="77"/>
      <c r="D40" s="77"/>
      <c r="E40" s="77"/>
      <c r="F40" s="129">
        <f>ROUND(F25+F39,0)</f>
        <v>989</v>
      </c>
      <c r="G40" s="129"/>
      <c r="H40" s="129"/>
      <c r="I40" s="105">
        <f>ROUND(I39+I25,-3)</f>
        <v>113000</v>
      </c>
      <c r="J40" s="68"/>
      <c r="K40" s="106"/>
      <c r="L40" s="68"/>
    </row>
    <row r="41" spans="1:12" ht="15.75" x14ac:dyDescent="0.25">
      <c r="A41" s="104" t="s">
        <v>144</v>
      </c>
      <c r="B41" s="72"/>
      <c r="C41" s="77"/>
      <c r="D41" s="77"/>
      <c r="E41" s="77"/>
      <c r="F41" s="77"/>
      <c r="G41" s="77"/>
      <c r="H41" s="77"/>
      <c r="I41" s="107">
        <f>'TBL4-Summary'!G3</f>
        <v>0</v>
      </c>
      <c r="J41" s="68"/>
      <c r="K41" s="68"/>
      <c r="L41" s="68"/>
    </row>
    <row r="42" spans="1:12" ht="15.75" x14ac:dyDescent="0.25">
      <c r="A42" s="104" t="s">
        <v>145</v>
      </c>
      <c r="B42" s="72"/>
      <c r="C42" s="77"/>
      <c r="D42" s="77"/>
      <c r="E42" s="77"/>
      <c r="F42" s="77"/>
      <c r="G42" s="77"/>
      <c r="H42" s="77"/>
      <c r="I42" s="107">
        <f>ROUND(I41+I40,-3)</f>
        <v>113000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3" customHeight="1" x14ac:dyDescent="0.25">
      <c r="A50" s="134" t="s">
        <v>148</v>
      </c>
      <c r="B50" s="134"/>
      <c r="C50" s="134"/>
      <c r="D50" s="134"/>
      <c r="E50" s="134"/>
      <c r="F50" s="134"/>
      <c r="G50" s="134"/>
      <c r="H50" s="134"/>
      <c r="I50" s="134"/>
      <c r="J50" s="68"/>
      <c r="K50" s="68"/>
      <c r="L50" s="68"/>
    </row>
    <row r="51" spans="1:12" ht="15.75" x14ac:dyDescent="0.25">
      <c r="A51" s="130" t="s">
        <v>113</v>
      </c>
      <c r="B51" s="130"/>
      <c r="C51" s="130"/>
      <c r="D51" s="130"/>
      <c r="E51" s="130"/>
      <c r="F51" s="130"/>
      <c r="G51" s="130"/>
      <c r="H51" s="130"/>
      <c r="I51" s="130"/>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ht="23.25" customHeight="1" x14ac:dyDescent="0.25">
      <c r="A58" s="133" t="s">
        <v>150</v>
      </c>
      <c r="B58" s="133"/>
      <c r="C58" s="133"/>
      <c r="D58" s="133"/>
      <c r="E58" s="133"/>
      <c r="F58" s="133"/>
      <c r="G58" s="133"/>
      <c r="H58" s="133"/>
      <c r="I58" s="133"/>
      <c r="J58" s="68"/>
      <c r="K58" s="68"/>
      <c r="L58" s="68"/>
    </row>
    <row r="59" spans="1:12"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7:I57"/>
    <mergeCell ref="A1:I1"/>
    <mergeCell ref="K4:L4"/>
    <mergeCell ref="A60:I60"/>
    <mergeCell ref="A58:I58"/>
    <mergeCell ref="A59:I59"/>
    <mergeCell ref="A47:I47"/>
    <mergeCell ref="A48:I48"/>
    <mergeCell ref="A49:I49"/>
    <mergeCell ref="A50:I50"/>
    <mergeCell ref="A51:I51"/>
    <mergeCell ref="A52:I52"/>
    <mergeCell ref="A53:I53"/>
    <mergeCell ref="A54:I54"/>
    <mergeCell ref="A55:I55"/>
    <mergeCell ref="A56:I56"/>
    <mergeCell ref="A45:I45"/>
    <mergeCell ref="A46:I46"/>
    <mergeCell ref="F25:H25"/>
    <mergeCell ref="F39:H39"/>
    <mergeCell ref="F40:H40"/>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zoomScaleNormal="100" workbookViewId="0">
      <pane xSplit="1" ySplit="3" topLeftCell="B25" activePane="bottomRight" state="frozen"/>
      <selection pane="topRight" activeCell="B1" sqref="B1"/>
      <selection pane="bottomLeft" activeCell="A4" sqref="A4"/>
      <selection pane="bottomRight" activeCell="A37" sqref="A37:A38"/>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134</v>
      </c>
      <c r="B1" s="131"/>
      <c r="C1" s="131"/>
      <c r="D1" s="131"/>
      <c r="E1" s="131"/>
      <c r="F1" s="131"/>
      <c r="G1" s="131"/>
      <c r="H1" s="131"/>
      <c r="I1" s="131"/>
    </row>
    <row r="2" spans="1:12" ht="15.75" x14ac:dyDescent="0.25">
      <c r="A2" s="67" t="s">
        <v>135</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0</v>
      </c>
      <c r="F7" s="80">
        <f t="shared" ref="F7:F23" si="0">D7*E7</f>
        <v>0</v>
      </c>
      <c r="G7" s="81">
        <f t="shared" ref="G7:G23" si="1">F7*0.05</f>
        <v>0</v>
      </c>
      <c r="H7" s="80">
        <f t="shared" ref="H7:H23" si="2">F7*0.1</f>
        <v>0</v>
      </c>
      <c r="I7" s="83">
        <f t="shared" ref="I7:I23" si="3">F7*L$6+G7*L$5+H7*L$7</f>
        <v>0</v>
      </c>
      <c r="J7" s="68"/>
      <c r="K7" s="77" t="s">
        <v>23</v>
      </c>
      <c r="L7" s="78">
        <v>57.02</v>
      </c>
    </row>
    <row r="8" spans="1:12" x14ac:dyDescent="0.25">
      <c r="A8" s="70" t="s">
        <v>60</v>
      </c>
      <c r="B8" s="57"/>
      <c r="C8" s="57"/>
      <c r="D8" s="57"/>
      <c r="E8" s="57"/>
      <c r="F8" s="80"/>
      <c r="G8" s="81"/>
      <c r="H8" s="80"/>
      <c r="I8" s="83"/>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0</v>
      </c>
      <c r="F12" s="80">
        <f t="shared" si="0"/>
        <v>0</v>
      </c>
      <c r="G12" s="81">
        <f t="shared" si="1"/>
        <v>0</v>
      </c>
      <c r="H12" s="80">
        <f t="shared" si="2"/>
        <v>0</v>
      </c>
      <c r="I12" s="83">
        <f t="shared" si="3"/>
        <v>0</v>
      </c>
      <c r="J12" s="68"/>
      <c r="K12" s="68"/>
      <c r="L12" s="68"/>
    </row>
    <row r="13" spans="1:12" ht="15.75" x14ac:dyDescent="0.25">
      <c r="A13" s="70" t="s">
        <v>99</v>
      </c>
      <c r="B13" s="84">
        <v>30</v>
      </c>
      <c r="C13" s="84">
        <v>1</v>
      </c>
      <c r="D13" s="84">
        <f t="shared" si="4"/>
        <v>30</v>
      </c>
      <c r="E13" s="57">
        <v>0</v>
      </c>
      <c r="F13" s="80">
        <f t="shared" si="0"/>
        <v>0</v>
      </c>
      <c r="G13" s="81">
        <f t="shared" si="1"/>
        <v>0</v>
      </c>
      <c r="H13" s="80">
        <f t="shared" si="2"/>
        <v>0</v>
      </c>
      <c r="I13" s="83">
        <f t="shared" si="3"/>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0</v>
      </c>
      <c r="F19" s="80">
        <f t="shared" si="0"/>
        <v>0</v>
      </c>
      <c r="G19" s="81">
        <f t="shared" si="1"/>
        <v>0</v>
      </c>
      <c r="H19" s="80">
        <f t="shared" si="2"/>
        <v>0</v>
      </c>
      <c r="I19" s="83">
        <f t="shared" si="3"/>
        <v>0</v>
      </c>
      <c r="J19" s="68"/>
      <c r="K19" s="86"/>
      <c r="L19" s="68"/>
    </row>
    <row r="20" spans="1:12" ht="15.75" x14ac:dyDescent="0.25">
      <c r="A20" s="70" t="s">
        <v>101</v>
      </c>
      <c r="B20" s="57">
        <v>10</v>
      </c>
      <c r="C20" s="57">
        <v>1</v>
      </c>
      <c r="D20" s="57">
        <f t="shared" si="4"/>
        <v>10</v>
      </c>
      <c r="E20" s="57">
        <v>0</v>
      </c>
      <c r="F20" s="80">
        <f t="shared" si="0"/>
        <v>0</v>
      </c>
      <c r="G20" s="81">
        <f t="shared" si="1"/>
        <v>0</v>
      </c>
      <c r="H20" s="80">
        <f t="shared" si="2"/>
        <v>0</v>
      </c>
      <c r="I20" s="83">
        <f t="shared" si="3"/>
        <v>0</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0</v>
      </c>
      <c r="G25" s="126"/>
      <c r="H25" s="127"/>
      <c r="I25" s="95">
        <f>SUM(I4:I24)</f>
        <v>0</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8" si="5">D29*E29</f>
        <v>0</v>
      </c>
      <c r="G29" s="81">
        <f t="shared" ref="G29:G38" si="6">F29*0.05</f>
        <v>0</v>
      </c>
      <c r="H29" s="81">
        <f t="shared" ref="H29:H38" si="7">F29*0.1</f>
        <v>0</v>
      </c>
      <c r="I29" s="83">
        <f t="shared" ref="I29:I38" si="8">F29*L$6+G29*L$5+H29*L$7</f>
        <v>0</v>
      </c>
      <c r="J29" s="68"/>
      <c r="K29" s="68"/>
      <c r="L29" s="68"/>
    </row>
    <row r="30" spans="1:12" ht="15.75" x14ac:dyDescent="0.25">
      <c r="A30" s="9" t="s">
        <v>105</v>
      </c>
      <c r="B30" s="57">
        <v>20</v>
      </c>
      <c r="C30" s="57">
        <v>2</v>
      </c>
      <c r="D30" s="57">
        <v>40</v>
      </c>
      <c r="E30" s="57">
        <v>0</v>
      </c>
      <c r="F30" s="97">
        <f t="shared" si="5"/>
        <v>0</v>
      </c>
      <c r="G30" s="81">
        <f t="shared" si="6"/>
        <v>0</v>
      </c>
      <c r="H30" s="81">
        <f t="shared" si="7"/>
        <v>0</v>
      </c>
      <c r="I30" s="83">
        <f t="shared" si="8"/>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5"/>
        <v>0</v>
      </c>
      <c r="G32" s="81">
        <f t="shared" si="6"/>
        <v>0</v>
      </c>
      <c r="H32" s="81">
        <f t="shared" si="7"/>
        <v>0</v>
      </c>
      <c r="I32" s="83">
        <f t="shared" si="8"/>
        <v>0</v>
      </c>
      <c r="J32" s="68"/>
      <c r="K32" s="68"/>
      <c r="L32" s="68"/>
    </row>
    <row r="33" spans="1:12" x14ac:dyDescent="0.25">
      <c r="A33" s="98" t="s">
        <v>69</v>
      </c>
      <c r="B33" s="57">
        <v>2</v>
      </c>
      <c r="C33" s="57">
        <v>12</v>
      </c>
      <c r="D33" s="57">
        <v>24</v>
      </c>
      <c r="E33" s="57">
        <v>0</v>
      </c>
      <c r="F33" s="97">
        <f t="shared" si="5"/>
        <v>0</v>
      </c>
      <c r="G33" s="81">
        <f t="shared" si="6"/>
        <v>0</v>
      </c>
      <c r="H33" s="81">
        <f t="shared" si="7"/>
        <v>0</v>
      </c>
      <c r="I33" s="83">
        <f t="shared" si="8"/>
        <v>0</v>
      </c>
      <c r="J33" s="68"/>
      <c r="K33" s="68"/>
      <c r="L33" s="68"/>
    </row>
    <row r="34" spans="1:12" x14ac:dyDescent="0.25">
      <c r="A34" s="9" t="s">
        <v>5</v>
      </c>
      <c r="B34" s="57">
        <v>10</v>
      </c>
      <c r="C34" s="57">
        <v>1</v>
      </c>
      <c r="D34" s="57">
        <v>10</v>
      </c>
      <c r="E34" s="57">
        <v>0</v>
      </c>
      <c r="F34" s="97">
        <f t="shared" si="5"/>
        <v>0</v>
      </c>
      <c r="G34" s="81">
        <f t="shared" si="6"/>
        <v>0</v>
      </c>
      <c r="H34" s="81">
        <f t="shared" si="7"/>
        <v>0</v>
      </c>
      <c r="I34" s="83">
        <f t="shared" si="8"/>
        <v>0</v>
      </c>
      <c r="J34" s="68"/>
      <c r="K34" s="68"/>
      <c r="L34" s="68"/>
    </row>
    <row r="35" spans="1:12" ht="15.75" x14ac:dyDescent="0.25">
      <c r="A35" s="9" t="s">
        <v>107</v>
      </c>
      <c r="B35" s="57">
        <v>2</v>
      </c>
      <c r="C35" s="57">
        <v>12</v>
      </c>
      <c r="D35" s="57">
        <v>24</v>
      </c>
      <c r="E35" s="57">
        <v>0</v>
      </c>
      <c r="F35" s="97">
        <f t="shared" si="5"/>
        <v>0</v>
      </c>
      <c r="G35" s="81">
        <f t="shared" si="6"/>
        <v>0</v>
      </c>
      <c r="H35" s="81">
        <f t="shared" si="7"/>
        <v>0</v>
      </c>
      <c r="I35" s="83">
        <f t="shared" si="8"/>
        <v>0</v>
      </c>
      <c r="J35" s="68"/>
      <c r="K35" s="68"/>
      <c r="L35" s="68"/>
    </row>
    <row r="36" spans="1:12" ht="15.75" x14ac:dyDescent="0.25">
      <c r="A36" s="9" t="s">
        <v>108</v>
      </c>
      <c r="B36" s="57">
        <v>1</v>
      </c>
      <c r="C36" s="57">
        <v>12</v>
      </c>
      <c r="D36" s="57">
        <v>12</v>
      </c>
      <c r="E36" s="57">
        <v>0</v>
      </c>
      <c r="F36" s="97">
        <f t="shared" si="5"/>
        <v>0</v>
      </c>
      <c r="G36" s="81">
        <f t="shared" si="6"/>
        <v>0</v>
      </c>
      <c r="H36" s="81">
        <f t="shared" si="7"/>
        <v>0</v>
      </c>
      <c r="I36" s="83">
        <f t="shared" si="8"/>
        <v>0</v>
      </c>
      <c r="J36" s="68"/>
      <c r="K36" s="68"/>
      <c r="L36" s="68"/>
    </row>
    <row r="37" spans="1:12" ht="15.75" x14ac:dyDescent="0.25">
      <c r="A37" s="99" t="s">
        <v>154</v>
      </c>
      <c r="B37" s="84">
        <v>8</v>
      </c>
      <c r="C37" s="84">
        <v>1</v>
      </c>
      <c r="D37" s="57">
        <f t="shared" ref="D37:D38" si="9">B37*C37</f>
        <v>8</v>
      </c>
      <c r="E37" s="57">
        <v>0</v>
      </c>
      <c r="F37" s="97">
        <f t="shared" si="5"/>
        <v>0</v>
      </c>
      <c r="G37" s="81">
        <f t="shared" si="6"/>
        <v>0</v>
      </c>
      <c r="H37" s="81">
        <f t="shared" si="7"/>
        <v>0</v>
      </c>
      <c r="I37" s="83">
        <f t="shared" si="8"/>
        <v>0</v>
      </c>
      <c r="J37" s="68"/>
      <c r="K37" s="68"/>
      <c r="L37" s="68"/>
    </row>
    <row r="38" spans="1:12" ht="28.5" x14ac:dyDescent="0.25">
      <c r="A38" s="99" t="s">
        <v>155</v>
      </c>
      <c r="B38" s="84">
        <v>8</v>
      </c>
      <c r="C38" s="84">
        <v>1</v>
      </c>
      <c r="D38" s="57">
        <f t="shared" si="9"/>
        <v>8</v>
      </c>
      <c r="E38" s="57">
        <v>0</v>
      </c>
      <c r="F38" s="97">
        <f t="shared" si="5"/>
        <v>0</v>
      </c>
      <c r="G38" s="81">
        <f t="shared" si="6"/>
        <v>0</v>
      </c>
      <c r="H38" s="81">
        <f t="shared" si="7"/>
        <v>0</v>
      </c>
      <c r="I38" s="83">
        <f t="shared" si="8"/>
        <v>0</v>
      </c>
      <c r="J38" s="68"/>
      <c r="K38" s="68"/>
      <c r="L38" s="68"/>
    </row>
    <row r="39" spans="1:12" x14ac:dyDescent="0.25">
      <c r="A39" s="100" t="s">
        <v>17</v>
      </c>
      <c r="B39" s="101"/>
      <c r="C39" s="90"/>
      <c r="D39" s="90"/>
      <c r="E39" s="102"/>
      <c r="F39" s="128">
        <f>SUM(F27:H38)</f>
        <v>0</v>
      </c>
      <c r="G39" s="128"/>
      <c r="H39" s="128"/>
      <c r="I39" s="95">
        <f>SUM(I26:I38)</f>
        <v>0</v>
      </c>
      <c r="J39" s="68"/>
      <c r="K39" s="103"/>
      <c r="L39" s="68"/>
    </row>
    <row r="40" spans="1:12" ht="15.75" x14ac:dyDescent="0.25">
      <c r="A40" s="104" t="s">
        <v>143</v>
      </c>
      <c r="B40" s="72"/>
      <c r="C40" s="77"/>
      <c r="D40" s="77"/>
      <c r="E40" s="77"/>
      <c r="F40" s="129">
        <f>ROUND(F25+F39,0)</f>
        <v>0</v>
      </c>
      <c r="G40" s="129"/>
      <c r="H40" s="129"/>
      <c r="I40" s="105">
        <f>ROUND(I39+I25,-1)</f>
        <v>0</v>
      </c>
      <c r="J40" s="68"/>
      <c r="K40" s="106"/>
      <c r="L40" s="68"/>
    </row>
    <row r="41" spans="1:12" ht="15.75" x14ac:dyDescent="0.25">
      <c r="A41" s="104" t="s">
        <v>144</v>
      </c>
      <c r="B41" s="72"/>
      <c r="C41" s="77"/>
      <c r="D41" s="77"/>
      <c r="E41" s="77"/>
      <c r="F41" s="77"/>
      <c r="G41" s="77"/>
      <c r="H41" s="77"/>
      <c r="I41" s="107">
        <f>'TBL4-Summary'!G4</f>
        <v>0</v>
      </c>
      <c r="J41" s="68"/>
      <c r="K41" s="68"/>
      <c r="L41" s="68"/>
    </row>
    <row r="42" spans="1:12" ht="15.75" x14ac:dyDescent="0.25">
      <c r="A42" s="104" t="s">
        <v>145</v>
      </c>
      <c r="B42" s="72"/>
      <c r="C42" s="77"/>
      <c r="D42" s="77"/>
      <c r="E42" s="77"/>
      <c r="F42" s="77"/>
      <c r="G42" s="77"/>
      <c r="H42" s="77"/>
      <c r="I42" s="107">
        <f>ROUND(I41+I40,-1)</f>
        <v>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0.75" customHeight="1" x14ac:dyDescent="0.25">
      <c r="A50" s="134" t="s">
        <v>148</v>
      </c>
      <c r="B50" s="134"/>
      <c r="C50" s="134"/>
      <c r="D50" s="134"/>
      <c r="E50" s="134"/>
      <c r="F50" s="134"/>
      <c r="G50" s="134"/>
      <c r="H50" s="134"/>
      <c r="I50" s="134"/>
      <c r="J50" s="68"/>
      <c r="K50" s="68"/>
      <c r="L50" s="68"/>
    </row>
    <row r="51" spans="1:12" ht="15.75" x14ac:dyDescent="0.25">
      <c r="A51" s="135" t="s">
        <v>113</v>
      </c>
      <c r="B51" s="135"/>
      <c r="C51" s="135"/>
      <c r="D51" s="135"/>
      <c r="E51" s="135"/>
      <c r="F51" s="135"/>
      <c r="G51" s="135"/>
      <c r="H51" s="135"/>
      <c r="I51" s="135"/>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ht="18" customHeight="1" x14ac:dyDescent="0.25">
      <c r="A58" s="133" t="s">
        <v>150</v>
      </c>
      <c r="B58" s="133"/>
      <c r="C58" s="133"/>
      <c r="D58" s="133"/>
      <c r="E58" s="133"/>
      <c r="F58" s="133"/>
      <c r="G58" s="133"/>
      <c r="H58" s="133"/>
      <c r="I58" s="133"/>
      <c r="J58" s="68"/>
      <c r="K58" s="68"/>
      <c r="L58" s="68"/>
    </row>
    <row r="59" spans="1:12" ht="15" customHeight="1"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8:I58"/>
    <mergeCell ref="A59:I59"/>
    <mergeCell ref="A60:I60"/>
    <mergeCell ref="A52:I52"/>
    <mergeCell ref="A53:I53"/>
    <mergeCell ref="A54:I54"/>
    <mergeCell ref="A55:I55"/>
    <mergeCell ref="A56:I56"/>
    <mergeCell ref="A57:I57"/>
    <mergeCell ref="A51:I51"/>
    <mergeCell ref="A1:I1"/>
    <mergeCell ref="K4:L4"/>
    <mergeCell ref="F25:H25"/>
    <mergeCell ref="F39:H39"/>
    <mergeCell ref="F40:H40"/>
    <mergeCell ref="A45:I45"/>
    <mergeCell ref="A46:I46"/>
    <mergeCell ref="A47:I47"/>
    <mergeCell ref="A48:I48"/>
    <mergeCell ref="A49:I49"/>
    <mergeCell ref="A50:I50"/>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6"/>
  <sheetViews>
    <sheetView zoomScaleNormal="100" workbookViewId="0">
      <pane xSplit="1" ySplit="3" topLeftCell="B4" activePane="bottomRight" state="frozen"/>
      <selection pane="topRight" activeCell="B1" sqref="B1"/>
      <selection pane="bottomLeft" activeCell="A4" sqref="A4"/>
      <selection pane="bottomRight" sqref="A1:I1"/>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136</v>
      </c>
      <c r="B1" s="131"/>
      <c r="C1" s="131"/>
      <c r="D1" s="131"/>
      <c r="E1" s="131"/>
      <c r="F1" s="131"/>
      <c r="G1" s="131"/>
      <c r="H1" s="131"/>
      <c r="I1" s="131"/>
    </row>
    <row r="2" spans="1:12" ht="15.75" x14ac:dyDescent="0.25">
      <c r="A2" s="67" t="s">
        <v>137</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0</v>
      </c>
      <c r="F7" s="80">
        <f t="shared" ref="F7:F23" si="0">D7*E7</f>
        <v>0</v>
      </c>
      <c r="G7" s="81">
        <f t="shared" ref="G7:G23" si="1">F7*0.05</f>
        <v>0</v>
      </c>
      <c r="H7" s="80">
        <f t="shared" ref="H7:H23" si="2">F7*0.1</f>
        <v>0</v>
      </c>
      <c r="I7" s="83">
        <f t="shared" ref="I7:I23" si="3">F7*L$6+G7*L$5+H7*L$7</f>
        <v>0</v>
      </c>
      <c r="J7" s="68"/>
      <c r="K7" s="77" t="s">
        <v>23</v>
      </c>
      <c r="L7" s="78">
        <v>57.02</v>
      </c>
    </row>
    <row r="8" spans="1:12" x14ac:dyDescent="0.25">
      <c r="A8" s="70" t="s">
        <v>60</v>
      </c>
      <c r="B8" s="57"/>
      <c r="C8" s="57"/>
      <c r="D8" s="57"/>
      <c r="E8" s="57"/>
      <c r="F8" s="80"/>
      <c r="G8" s="81"/>
      <c r="H8" s="80"/>
      <c r="I8" s="83"/>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5</v>
      </c>
      <c r="F12" s="80">
        <f t="shared" si="0"/>
        <v>150</v>
      </c>
      <c r="G12" s="81">
        <f t="shared" si="1"/>
        <v>7.5</v>
      </c>
      <c r="H12" s="80">
        <f t="shared" si="2"/>
        <v>15</v>
      </c>
      <c r="I12" s="76">
        <f t="shared" si="3"/>
        <v>19648.8</v>
      </c>
      <c r="J12" s="68"/>
      <c r="K12" s="68"/>
      <c r="L12" s="68"/>
    </row>
    <row r="13" spans="1:12" ht="15.75" x14ac:dyDescent="0.25">
      <c r="A13" s="70" t="s">
        <v>99</v>
      </c>
      <c r="B13" s="84">
        <v>30</v>
      </c>
      <c r="C13" s="84">
        <v>1</v>
      </c>
      <c r="D13" s="84">
        <f t="shared" si="4"/>
        <v>30</v>
      </c>
      <c r="E13" s="57">
        <v>0</v>
      </c>
      <c r="F13" s="80">
        <f t="shared" si="0"/>
        <v>0</v>
      </c>
      <c r="G13" s="81">
        <f t="shared" si="1"/>
        <v>0</v>
      </c>
      <c r="H13" s="80">
        <f t="shared" si="2"/>
        <v>0</v>
      </c>
      <c r="I13" s="83">
        <f t="shared" si="3"/>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5</v>
      </c>
      <c r="F19" s="80">
        <f t="shared" si="0"/>
        <v>10</v>
      </c>
      <c r="G19" s="81">
        <f t="shared" si="1"/>
        <v>0.5</v>
      </c>
      <c r="H19" s="82">
        <f t="shared" si="2"/>
        <v>1</v>
      </c>
      <c r="I19" s="76">
        <f t="shared" si="3"/>
        <v>1309.92</v>
      </c>
      <c r="J19" s="68"/>
      <c r="K19" s="86"/>
      <c r="L19" s="68"/>
    </row>
    <row r="20" spans="1:12" ht="15.75" x14ac:dyDescent="0.25">
      <c r="A20" s="70" t="s">
        <v>101</v>
      </c>
      <c r="B20" s="57">
        <v>10</v>
      </c>
      <c r="C20" s="57">
        <v>1</v>
      </c>
      <c r="D20" s="57">
        <f t="shared" si="4"/>
        <v>10</v>
      </c>
      <c r="E20" s="57">
        <v>5</v>
      </c>
      <c r="F20" s="80">
        <f t="shared" si="0"/>
        <v>50</v>
      </c>
      <c r="G20" s="81">
        <f t="shared" si="1"/>
        <v>2.5</v>
      </c>
      <c r="H20" s="82">
        <f t="shared" si="2"/>
        <v>5</v>
      </c>
      <c r="I20" s="76">
        <f t="shared" si="3"/>
        <v>6549.6</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241.5</v>
      </c>
      <c r="G25" s="126"/>
      <c r="H25" s="127"/>
      <c r="I25" s="95">
        <f>SUM(I4:I24)</f>
        <v>27508.32</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8" si="5">D29*E29</f>
        <v>0</v>
      </c>
      <c r="G29" s="81">
        <f t="shared" ref="G29:G38" si="6">F29*0.05</f>
        <v>0</v>
      </c>
      <c r="H29" s="81">
        <f t="shared" ref="H29:H38" si="7">F29*0.1</f>
        <v>0</v>
      </c>
      <c r="I29" s="83">
        <f t="shared" ref="I29:I38" si="8">F29*L$6+G29*L$5+H29*L$7</f>
        <v>0</v>
      </c>
      <c r="J29" s="68"/>
      <c r="K29" s="68"/>
      <c r="L29" s="68"/>
    </row>
    <row r="30" spans="1:12" ht="15.75" x14ac:dyDescent="0.25">
      <c r="A30" s="9" t="s">
        <v>105</v>
      </c>
      <c r="B30" s="57">
        <v>20</v>
      </c>
      <c r="C30" s="57">
        <v>2</v>
      </c>
      <c r="D30" s="57">
        <v>40</v>
      </c>
      <c r="E30" s="57">
        <v>0</v>
      </c>
      <c r="F30" s="97">
        <f t="shared" si="5"/>
        <v>0</v>
      </c>
      <c r="G30" s="81">
        <f t="shared" si="6"/>
        <v>0</v>
      </c>
      <c r="H30" s="81">
        <f t="shared" si="7"/>
        <v>0</v>
      </c>
      <c r="I30" s="83">
        <f t="shared" si="8"/>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5"/>
        <v>0</v>
      </c>
      <c r="G32" s="81">
        <f t="shared" si="6"/>
        <v>0</v>
      </c>
      <c r="H32" s="81">
        <f t="shared" si="7"/>
        <v>0</v>
      </c>
      <c r="I32" s="83">
        <f t="shared" si="8"/>
        <v>0</v>
      </c>
      <c r="J32" s="68"/>
      <c r="K32" s="68"/>
      <c r="L32" s="68"/>
    </row>
    <row r="33" spans="1:12" x14ac:dyDescent="0.25">
      <c r="A33" s="98" t="s">
        <v>69</v>
      </c>
      <c r="B33" s="57">
        <v>2</v>
      </c>
      <c r="C33" s="57">
        <v>12</v>
      </c>
      <c r="D33" s="57">
        <v>24</v>
      </c>
      <c r="E33" s="57">
        <v>0</v>
      </c>
      <c r="F33" s="97">
        <f t="shared" si="5"/>
        <v>0</v>
      </c>
      <c r="G33" s="81">
        <f t="shared" si="6"/>
        <v>0</v>
      </c>
      <c r="H33" s="81">
        <f t="shared" si="7"/>
        <v>0</v>
      </c>
      <c r="I33" s="83">
        <f t="shared" si="8"/>
        <v>0</v>
      </c>
      <c r="J33" s="68"/>
      <c r="K33" s="68"/>
      <c r="L33" s="68"/>
    </row>
    <row r="34" spans="1:12" x14ac:dyDescent="0.25">
      <c r="A34" s="9" t="s">
        <v>5</v>
      </c>
      <c r="B34" s="57">
        <v>10</v>
      </c>
      <c r="C34" s="57">
        <v>1</v>
      </c>
      <c r="D34" s="57">
        <v>10</v>
      </c>
      <c r="E34" s="57">
        <v>0</v>
      </c>
      <c r="F34" s="97">
        <f t="shared" si="5"/>
        <v>0</v>
      </c>
      <c r="G34" s="81">
        <f t="shared" si="6"/>
        <v>0</v>
      </c>
      <c r="H34" s="81">
        <f t="shared" si="7"/>
        <v>0</v>
      </c>
      <c r="I34" s="83">
        <f t="shared" si="8"/>
        <v>0</v>
      </c>
      <c r="J34" s="68"/>
      <c r="K34" s="68"/>
      <c r="L34" s="68"/>
    </row>
    <row r="35" spans="1:12" ht="15.75" x14ac:dyDescent="0.25">
      <c r="A35" s="9" t="s">
        <v>107</v>
      </c>
      <c r="B35" s="57">
        <v>2</v>
      </c>
      <c r="C35" s="57">
        <v>12</v>
      </c>
      <c r="D35" s="57">
        <v>24</v>
      </c>
      <c r="E35" s="57">
        <v>0</v>
      </c>
      <c r="F35" s="97">
        <f t="shared" si="5"/>
        <v>0</v>
      </c>
      <c r="G35" s="81">
        <f t="shared" si="6"/>
        <v>0</v>
      </c>
      <c r="H35" s="81">
        <f t="shared" si="7"/>
        <v>0</v>
      </c>
      <c r="I35" s="83">
        <f t="shared" si="8"/>
        <v>0</v>
      </c>
      <c r="J35" s="68"/>
      <c r="K35" s="68"/>
      <c r="L35" s="68"/>
    </row>
    <row r="36" spans="1:12" ht="15.75" x14ac:dyDescent="0.25">
      <c r="A36" s="9" t="s">
        <v>108</v>
      </c>
      <c r="B36" s="57">
        <v>1</v>
      </c>
      <c r="C36" s="57">
        <v>12</v>
      </c>
      <c r="D36" s="57">
        <v>12</v>
      </c>
      <c r="E36" s="57">
        <v>0</v>
      </c>
      <c r="F36" s="97">
        <f t="shared" si="5"/>
        <v>0</v>
      </c>
      <c r="G36" s="81">
        <f t="shared" si="6"/>
        <v>0</v>
      </c>
      <c r="H36" s="81">
        <f t="shared" si="7"/>
        <v>0</v>
      </c>
      <c r="I36" s="83">
        <f t="shared" si="8"/>
        <v>0</v>
      </c>
      <c r="J36" s="68"/>
      <c r="K36" s="68"/>
      <c r="L36" s="68"/>
    </row>
    <row r="37" spans="1:12" ht="15.75" x14ac:dyDescent="0.25">
      <c r="A37" s="99" t="s">
        <v>154</v>
      </c>
      <c r="B37" s="84">
        <v>8</v>
      </c>
      <c r="C37" s="84">
        <v>1</v>
      </c>
      <c r="D37" s="57">
        <f t="shared" ref="D37:D38" si="9">B37*C37</f>
        <v>8</v>
      </c>
      <c r="E37" s="57">
        <v>0</v>
      </c>
      <c r="F37" s="97">
        <f t="shared" si="5"/>
        <v>0</v>
      </c>
      <c r="G37" s="81">
        <f t="shared" si="6"/>
        <v>0</v>
      </c>
      <c r="H37" s="81">
        <f t="shared" si="7"/>
        <v>0</v>
      </c>
      <c r="I37" s="83">
        <f t="shared" si="8"/>
        <v>0</v>
      </c>
      <c r="J37" s="68"/>
      <c r="K37" s="68"/>
      <c r="L37" s="68"/>
    </row>
    <row r="38" spans="1:12" ht="28.5" x14ac:dyDescent="0.25">
      <c r="A38" s="99" t="s">
        <v>155</v>
      </c>
      <c r="B38" s="84">
        <v>8</v>
      </c>
      <c r="C38" s="84">
        <v>1</v>
      </c>
      <c r="D38" s="57">
        <f t="shared" si="9"/>
        <v>8</v>
      </c>
      <c r="E38" s="57">
        <v>0</v>
      </c>
      <c r="F38" s="97">
        <f t="shared" si="5"/>
        <v>0</v>
      </c>
      <c r="G38" s="81">
        <f t="shared" si="6"/>
        <v>0</v>
      </c>
      <c r="H38" s="81">
        <f t="shared" si="7"/>
        <v>0</v>
      </c>
      <c r="I38" s="83">
        <f t="shared" si="8"/>
        <v>0</v>
      </c>
      <c r="J38" s="68"/>
      <c r="K38" s="68"/>
      <c r="L38" s="68"/>
    </row>
    <row r="39" spans="1:12" x14ac:dyDescent="0.25">
      <c r="A39" s="100" t="s">
        <v>17</v>
      </c>
      <c r="B39" s="101"/>
      <c r="C39" s="90"/>
      <c r="D39" s="90"/>
      <c r="E39" s="102"/>
      <c r="F39" s="128">
        <f>SUM(F27:H38)</f>
        <v>0</v>
      </c>
      <c r="G39" s="128"/>
      <c r="H39" s="128"/>
      <c r="I39" s="95">
        <f>SUM(I26:I38)</f>
        <v>0</v>
      </c>
      <c r="J39" s="68"/>
      <c r="K39" s="103"/>
      <c r="L39" s="68"/>
    </row>
    <row r="40" spans="1:12" ht="15.75" x14ac:dyDescent="0.25">
      <c r="A40" s="104" t="s">
        <v>143</v>
      </c>
      <c r="B40" s="72"/>
      <c r="C40" s="77"/>
      <c r="D40" s="77"/>
      <c r="E40" s="77"/>
      <c r="F40" s="129">
        <f>ROUND(F25+F39,0)</f>
        <v>242</v>
      </c>
      <c r="G40" s="129"/>
      <c r="H40" s="129"/>
      <c r="I40" s="105">
        <f>ROUND(I39+I25,-2)</f>
        <v>27500</v>
      </c>
      <c r="J40" s="68"/>
      <c r="K40" s="106"/>
      <c r="L40" s="68"/>
    </row>
    <row r="41" spans="1:12" ht="15.75" x14ac:dyDescent="0.25">
      <c r="A41" s="104" t="s">
        <v>144</v>
      </c>
      <c r="B41" s="72"/>
      <c r="C41" s="77"/>
      <c r="D41" s="77"/>
      <c r="E41" s="77"/>
      <c r="F41" s="77"/>
      <c r="G41" s="77"/>
      <c r="H41" s="77"/>
      <c r="I41" s="107">
        <f>'Capital and O&amp;M'!D8</f>
        <v>95000</v>
      </c>
      <c r="J41" s="68"/>
      <c r="K41" s="68"/>
      <c r="L41" s="68"/>
    </row>
    <row r="42" spans="1:12" ht="15.75" x14ac:dyDescent="0.25">
      <c r="A42" s="104" t="s">
        <v>145</v>
      </c>
      <c r="B42" s="72"/>
      <c r="C42" s="77"/>
      <c r="D42" s="77"/>
      <c r="E42" s="77"/>
      <c r="F42" s="77"/>
      <c r="G42" s="77"/>
      <c r="H42" s="77"/>
      <c r="I42" s="107">
        <f>ROUND(I41+I40,-3)</f>
        <v>123000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2.25" customHeight="1" x14ac:dyDescent="0.25">
      <c r="A50" s="134" t="s">
        <v>148</v>
      </c>
      <c r="B50" s="134"/>
      <c r="C50" s="134"/>
      <c r="D50" s="134"/>
      <c r="E50" s="134"/>
      <c r="F50" s="134"/>
      <c r="G50" s="134"/>
      <c r="H50" s="134"/>
      <c r="I50" s="134"/>
      <c r="J50" s="68"/>
      <c r="K50" s="68"/>
      <c r="L50" s="68"/>
    </row>
    <row r="51" spans="1:12" ht="15.75" x14ac:dyDescent="0.25">
      <c r="A51" s="130" t="s">
        <v>113</v>
      </c>
      <c r="B51" s="130"/>
      <c r="C51" s="130"/>
      <c r="D51" s="130"/>
      <c r="E51" s="130"/>
      <c r="F51" s="130"/>
      <c r="G51" s="130"/>
      <c r="H51" s="130"/>
      <c r="I51" s="130"/>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x14ac:dyDescent="0.25">
      <c r="A58" s="133" t="s">
        <v>150</v>
      </c>
      <c r="B58" s="133"/>
      <c r="C58" s="133"/>
      <c r="D58" s="133"/>
      <c r="E58" s="133"/>
      <c r="F58" s="133"/>
      <c r="G58" s="133"/>
      <c r="H58" s="133"/>
      <c r="I58" s="133"/>
      <c r="J58" s="68"/>
      <c r="K58" s="68"/>
      <c r="L58" s="68"/>
    </row>
    <row r="59" spans="1:12" ht="15" customHeight="1"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8:I58"/>
    <mergeCell ref="A59:I59"/>
    <mergeCell ref="A60:I60"/>
    <mergeCell ref="A52:I52"/>
    <mergeCell ref="A53:I53"/>
    <mergeCell ref="A54:I54"/>
    <mergeCell ref="A55:I55"/>
    <mergeCell ref="A56:I56"/>
    <mergeCell ref="A57:I57"/>
    <mergeCell ref="A51:I51"/>
    <mergeCell ref="A1:I1"/>
    <mergeCell ref="K4:L4"/>
    <mergeCell ref="F25:H25"/>
    <mergeCell ref="F39:H39"/>
    <mergeCell ref="F40:H40"/>
    <mergeCell ref="A45:I45"/>
    <mergeCell ref="A46:I46"/>
    <mergeCell ref="A47:I47"/>
    <mergeCell ref="A48:I48"/>
    <mergeCell ref="A49:I49"/>
    <mergeCell ref="A50:I50"/>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tabSelected="1" workbookViewId="0">
      <selection activeCell="L4" sqref="L4"/>
    </sheetView>
  </sheetViews>
  <sheetFormatPr defaultRowHeight="15" x14ac:dyDescent="0.25"/>
  <cols>
    <col min="1" max="8" width="13.7109375" customWidth="1"/>
  </cols>
  <sheetData>
    <row r="1" spans="1:8" ht="35.25" customHeight="1" thickBot="1" x14ac:dyDescent="0.3">
      <c r="A1" s="136" t="s">
        <v>138</v>
      </c>
      <c r="B1" s="136"/>
      <c r="C1" s="136"/>
      <c r="D1" s="136"/>
      <c r="E1" s="136"/>
      <c r="F1" s="136"/>
      <c r="G1" s="136"/>
      <c r="H1" s="136"/>
    </row>
    <row r="2" spans="1:8" ht="77.25" thickBot="1" x14ac:dyDescent="0.3">
      <c r="A2" s="10" t="s">
        <v>41</v>
      </c>
      <c r="B2" s="11" t="s">
        <v>71</v>
      </c>
      <c r="C2" s="11" t="s">
        <v>72</v>
      </c>
      <c r="D2" s="11" t="s">
        <v>73</v>
      </c>
      <c r="E2" s="11" t="s">
        <v>74</v>
      </c>
      <c r="F2" s="11" t="s">
        <v>75</v>
      </c>
      <c r="G2" s="11" t="s">
        <v>76</v>
      </c>
      <c r="H2" s="12" t="s">
        <v>77</v>
      </c>
    </row>
    <row r="3" spans="1:8" ht="15.75" thickTop="1" x14ac:dyDescent="0.25">
      <c r="A3" s="13">
        <v>1</v>
      </c>
      <c r="B3" s="14">
        <f>SUM('TBL1-YR1'!F7:F24)+SUM('TBL1-YR1'!F27:F38)</f>
        <v>860</v>
      </c>
      <c r="C3" s="14">
        <f>SUM('TBL1-YR1'!G7:G24)+SUM('TBL1-YR1'!G27:G38)</f>
        <v>43</v>
      </c>
      <c r="D3" s="14">
        <f>SUM('TBL1-YR1'!H7:H24)+SUM('TBL1-YR1'!H27:H38)</f>
        <v>86</v>
      </c>
      <c r="E3" s="15">
        <f>SUM(B3:D3)</f>
        <v>989</v>
      </c>
      <c r="F3" s="16">
        <f>'TBL1-YR1'!I40</f>
        <v>113000</v>
      </c>
      <c r="G3" s="17">
        <v>0</v>
      </c>
      <c r="H3" s="18">
        <f>F3+G3</f>
        <v>113000</v>
      </c>
    </row>
    <row r="4" spans="1:8" x14ac:dyDescent="0.25">
      <c r="A4" s="19">
        <v>2</v>
      </c>
      <c r="B4" s="15">
        <f>SUM('TBL2-YR2'!F7:F24)+SUM('TBL2-YR2'!F27:F38)</f>
        <v>0</v>
      </c>
      <c r="C4" s="15">
        <f>SUM('TBL2-YR2'!G7:G24)+SUM('TBL2-YR2'!G27:G38)</f>
        <v>0</v>
      </c>
      <c r="D4" s="15">
        <f>SUM('TBL2-YR2'!H7:H24)+SUM('TBL2-YR2'!H27:H38)</f>
        <v>0</v>
      </c>
      <c r="E4" s="15">
        <f>SUM(B4:D4)</f>
        <v>0</v>
      </c>
      <c r="F4" s="17">
        <f>'TBL2-YR2'!I40</f>
        <v>0</v>
      </c>
      <c r="G4" s="17">
        <v>0</v>
      </c>
      <c r="H4" s="18">
        <f>F4+G4</f>
        <v>0</v>
      </c>
    </row>
    <row r="5" spans="1:8" ht="15.75" thickBot="1" x14ac:dyDescent="0.3">
      <c r="A5" s="20">
        <v>3</v>
      </c>
      <c r="B5" s="21">
        <f>SUM('TBL3-YR3'!F7:F24)+SUM('TBL3-YR3'!F27:F38)</f>
        <v>210</v>
      </c>
      <c r="C5" s="21">
        <f>SUM('TBL3-YR3'!G7:G24)+SUM('TBL3-YR3'!G27:G38)</f>
        <v>10.5</v>
      </c>
      <c r="D5" s="21">
        <f>SUM('TBL3-YR3'!H7:H24)+SUM('TBL3-YR3'!H27:H38)</f>
        <v>21</v>
      </c>
      <c r="E5" s="21">
        <f>SUM(B5:D5)</f>
        <v>241.5</v>
      </c>
      <c r="F5" s="22">
        <f>'TBL3-YR3'!I40</f>
        <v>27500</v>
      </c>
      <c r="G5" s="22">
        <f>'TBL3-YR3'!I41</f>
        <v>95000</v>
      </c>
      <c r="H5" s="23">
        <f>F5+G5</f>
        <v>122500</v>
      </c>
    </row>
    <row r="6" spans="1:8" ht="15.75" thickTop="1" x14ac:dyDescent="0.25">
      <c r="A6" s="13" t="s">
        <v>50</v>
      </c>
      <c r="B6" s="14">
        <f>SUM(B3:B5)</f>
        <v>1070</v>
      </c>
      <c r="C6" s="14">
        <f>SUM(C3:C5)</f>
        <v>53.5</v>
      </c>
      <c r="D6" s="14">
        <f>SUM(D3:D5)</f>
        <v>107</v>
      </c>
      <c r="E6" s="14">
        <f t="shared" ref="E6:F6" si="0">SUM(E3:E5)</f>
        <v>1230.5</v>
      </c>
      <c r="F6" s="16">
        <f t="shared" si="0"/>
        <v>140500</v>
      </c>
      <c r="G6" s="16">
        <f>ROUND(SUM(G3:G5),-2)</f>
        <v>95000</v>
      </c>
      <c r="H6" s="18">
        <f>ROUND(SUM(H3:H5),-2)</f>
        <v>235500</v>
      </c>
    </row>
    <row r="7" spans="1:8" ht="15.75" thickBot="1" x14ac:dyDescent="0.3">
      <c r="A7" s="24" t="s">
        <v>46</v>
      </c>
      <c r="B7" s="25">
        <f>AVERAGE(B3:B5)</f>
        <v>356.66666666666669</v>
      </c>
      <c r="C7" s="25">
        <f>AVERAGE(C3:C5)</f>
        <v>17.833333333333332</v>
      </c>
      <c r="D7" s="26">
        <f>AVERAGE(D3:D5)</f>
        <v>35.666666666666664</v>
      </c>
      <c r="E7" s="25">
        <f t="shared" ref="E7" si="1">AVERAGE(E3:E5)</f>
        <v>410.16666666666669</v>
      </c>
      <c r="F7" s="27">
        <f>ROUND(AVERAGE(F3:F5),-3)</f>
        <v>47000</v>
      </c>
      <c r="G7" s="27">
        <f>ROUND(AVERAGE(G3:G5),-3)</f>
        <v>32000</v>
      </c>
      <c r="H7" s="28">
        <f>ROUND(AVERAGE(H3:H5),-3)</f>
        <v>79000</v>
      </c>
    </row>
    <row r="8" spans="1:8" ht="15.75" thickBot="1" x14ac:dyDescent="0.3">
      <c r="A8" s="29"/>
      <c r="B8" s="1"/>
      <c r="C8" s="1"/>
      <c r="D8" s="1"/>
      <c r="E8" s="1"/>
      <c r="F8" s="1"/>
      <c r="G8" s="1"/>
      <c r="H8" s="30"/>
    </row>
    <row r="9" spans="1:8" ht="39.75" thickBot="1" x14ac:dyDescent="0.3">
      <c r="A9" s="31" t="s">
        <v>41</v>
      </c>
      <c r="B9" s="32" t="s">
        <v>38</v>
      </c>
      <c r="C9" s="32" t="s">
        <v>49</v>
      </c>
      <c r="D9" s="32" t="s">
        <v>78</v>
      </c>
      <c r="E9" s="32" t="s">
        <v>79</v>
      </c>
      <c r="F9" s="32" t="s">
        <v>80</v>
      </c>
      <c r="G9" s="32" t="s">
        <v>81</v>
      </c>
      <c r="H9" s="33" t="s">
        <v>82</v>
      </c>
    </row>
    <row r="10" spans="1:8" ht="15.75" thickTop="1" x14ac:dyDescent="0.25">
      <c r="A10" s="13">
        <v>1</v>
      </c>
      <c r="B10" s="34">
        <v>43</v>
      </c>
      <c r="C10" s="35">
        <f>'TBL1-YR1'!C7*'TBL1-YR1'!E7+'TBL1-YR1'!C37*'TBL1-YR1'!E37+'TBL1-YR1'!C38*'TBL1-YR1'!E38</f>
        <v>129</v>
      </c>
      <c r="D10" s="34">
        <f>'TBL1-YR1'!F25</f>
        <v>197.79999999999998</v>
      </c>
      <c r="E10" s="34">
        <f>'TBL1-YR1'!F39</f>
        <v>791.19999999999993</v>
      </c>
      <c r="F10" s="36">
        <f>D10+E10</f>
        <v>988.99999999999989</v>
      </c>
      <c r="G10" s="37">
        <f>ROUND(F10/C10,0)</f>
        <v>8</v>
      </c>
      <c r="H10" s="38">
        <f>F10/B10</f>
        <v>22.999999999999996</v>
      </c>
    </row>
    <row r="11" spans="1:8" x14ac:dyDescent="0.25">
      <c r="A11" s="19">
        <v>2</v>
      </c>
      <c r="B11" s="39">
        <v>43</v>
      </c>
      <c r="C11" s="35">
        <v>0</v>
      </c>
      <c r="D11" s="39">
        <f>'TBL2-YR2'!F25</f>
        <v>0</v>
      </c>
      <c r="E11" s="39">
        <f>'TBL2-YR2'!F39</f>
        <v>0</v>
      </c>
      <c r="F11" s="39">
        <f>D11+E11</f>
        <v>0</v>
      </c>
      <c r="G11" s="39" t="s">
        <v>83</v>
      </c>
      <c r="H11" s="38">
        <f>F11/B11</f>
        <v>0</v>
      </c>
    </row>
    <row r="12" spans="1:8" ht="15.75" thickBot="1" x14ac:dyDescent="0.3">
      <c r="A12" s="20">
        <v>3</v>
      </c>
      <c r="B12" s="40">
        <v>43</v>
      </c>
      <c r="C12" s="40">
        <f>'TBL3-YR3'!C19*'TBL3-YR3'!E19+'TBL3-YR3'!C20*'TBL3-YR3'!E20+'TBL3-YR3'!C12*'TBL3-YR3'!E12</f>
        <v>15</v>
      </c>
      <c r="D12" s="40">
        <f>'TBL3-YR3'!F25</f>
        <v>241.5</v>
      </c>
      <c r="E12" s="40">
        <f>'TBL3-YR3'!F39</f>
        <v>0</v>
      </c>
      <c r="F12" s="40">
        <f>D12+E12</f>
        <v>241.5</v>
      </c>
      <c r="G12" s="40">
        <f>ROUND(F12/C12,0)</f>
        <v>16</v>
      </c>
      <c r="H12" s="41">
        <f>F12/B12</f>
        <v>5.6162790697674421</v>
      </c>
    </row>
    <row r="13" spans="1:8" ht="15.75" thickTop="1" x14ac:dyDescent="0.25">
      <c r="A13" s="13" t="s">
        <v>50</v>
      </c>
      <c r="B13" s="14" t="s">
        <v>83</v>
      </c>
      <c r="C13" s="14">
        <f>SUM(C10:C12)</f>
        <v>144</v>
      </c>
      <c r="D13" s="14">
        <f t="shared" ref="D13:F13" si="2">SUM(D10:D12)</f>
        <v>439.29999999999995</v>
      </c>
      <c r="E13" s="14">
        <f t="shared" si="2"/>
        <v>791.19999999999993</v>
      </c>
      <c r="F13" s="14">
        <f t="shared" si="2"/>
        <v>1230.5</v>
      </c>
      <c r="G13" s="42" t="s">
        <v>83</v>
      </c>
      <c r="H13" s="43">
        <f>SUM(H10:H12)</f>
        <v>28.616279069767437</v>
      </c>
    </row>
    <row r="14" spans="1:8" ht="15.75" thickBot="1" x14ac:dyDescent="0.3">
      <c r="A14" s="24" t="s">
        <v>46</v>
      </c>
      <c r="B14" s="25">
        <f t="shared" ref="B14:F14" si="3">AVERAGE(B10:B12)</f>
        <v>43</v>
      </c>
      <c r="C14" s="25">
        <f t="shared" si="3"/>
        <v>48</v>
      </c>
      <c r="D14" s="44">
        <f t="shared" si="3"/>
        <v>146.43333333333331</v>
      </c>
      <c r="E14" s="25">
        <f t="shared" si="3"/>
        <v>263.73333333333329</v>
      </c>
      <c r="F14" s="25">
        <f t="shared" si="3"/>
        <v>410.16666666666669</v>
      </c>
      <c r="G14" s="26">
        <f>F14/C14</f>
        <v>8.5451388888888893</v>
      </c>
      <c r="H14" s="45">
        <f>F14/B14</f>
        <v>9.5387596899224807</v>
      </c>
    </row>
    <row r="15" spans="1:8" x14ac:dyDescent="0.25">
      <c r="A15" s="1" t="s">
        <v>84</v>
      </c>
      <c r="B15" s="1"/>
      <c r="C15" s="1"/>
      <c r="D15" s="1"/>
      <c r="E15" s="46">
        <f>ROUND(H7/B14,-1)</f>
        <v>1840</v>
      </c>
      <c r="F15" s="1"/>
      <c r="G15" s="1"/>
      <c r="H15" s="1"/>
    </row>
    <row r="16" spans="1:8" x14ac:dyDescent="0.25">
      <c r="A16" s="1" t="s">
        <v>85</v>
      </c>
      <c r="E16" s="109">
        <f>F14/B14</f>
        <v>9.5387596899224807</v>
      </c>
    </row>
    <row r="17" spans="1:5" x14ac:dyDescent="0.25">
      <c r="A17" s="1" t="s">
        <v>86</v>
      </c>
      <c r="E17" s="109">
        <f>F14/C14</f>
        <v>8.5451388888888893</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workbookViewId="0">
      <pane xSplit="1" ySplit="3" topLeftCell="B4" activePane="bottomRight" state="frozen"/>
      <selection pane="topRight" activeCell="B1" sqref="B1"/>
      <selection pane="bottomLeft" activeCell="A4" sqref="A4"/>
      <selection pane="bottomRight" activeCell="A4" sqref="A4"/>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139</v>
      </c>
      <c r="B1" s="131"/>
      <c r="C1" s="131"/>
      <c r="D1" s="131"/>
      <c r="E1" s="131"/>
      <c r="F1" s="131"/>
      <c r="G1" s="131"/>
      <c r="H1" s="131"/>
      <c r="I1" s="131"/>
    </row>
    <row r="2" spans="1:12" ht="15.75" x14ac:dyDescent="0.25">
      <c r="A2" s="67" t="s">
        <v>96</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v>0</v>
      </c>
      <c r="F11" s="81">
        <f t="shared" si="1"/>
        <v>0</v>
      </c>
      <c r="G11" s="81">
        <f t="shared" si="2"/>
        <v>0</v>
      </c>
      <c r="H11" s="81">
        <f t="shared" si="3"/>
        <v>0</v>
      </c>
      <c r="I11" s="112">
        <f t="shared" si="4"/>
        <v>0</v>
      </c>
    </row>
    <row r="12" spans="1:12" ht="29.25" x14ac:dyDescent="0.25">
      <c r="A12" s="115" t="s">
        <v>130</v>
      </c>
      <c r="B12" s="81">
        <v>8</v>
      </c>
      <c r="C12" s="81">
        <f>'TBL1-YR1'!C15</f>
        <v>1</v>
      </c>
      <c r="D12" s="81">
        <f t="shared" si="0"/>
        <v>8</v>
      </c>
      <c r="E12" s="81">
        <v>0</v>
      </c>
      <c r="F12" s="81">
        <f t="shared" si="1"/>
        <v>0</v>
      </c>
      <c r="G12" s="81">
        <f t="shared" si="2"/>
        <v>0</v>
      </c>
      <c r="H12" s="81">
        <f t="shared" si="3"/>
        <v>0</v>
      </c>
      <c r="I12" s="112">
        <f t="shared" si="4"/>
        <v>0</v>
      </c>
    </row>
    <row r="13" spans="1:12" ht="16.5" x14ac:dyDescent="0.25">
      <c r="A13" s="114" t="s">
        <v>120</v>
      </c>
      <c r="B13" s="81">
        <v>12</v>
      </c>
      <c r="C13" s="81">
        <v>2</v>
      </c>
      <c r="D13" s="81">
        <f t="shared" si="0"/>
        <v>24</v>
      </c>
      <c r="E13" s="81">
        <v>0</v>
      </c>
      <c r="F13" s="80">
        <f t="shared" si="1"/>
        <v>0</v>
      </c>
      <c r="G13" s="81">
        <f t="shared" si="2"/>
        <v>0</v>
      </c>
      <c r="H13" s="82">
        <f t="shared" si="3"/>
        <v>0</v>
      </c>
      <c r="I13" s="112">
        <f t="shared" si="4"/>
        <v>0</v>
      </c>
    </row>
    <row r="14" spans="1:12" ht="16.5" x14ac:dyDescent="0.25">
      <c r="A14" s="114" t="s">
        <v>121</v>
      </c>
      <c r="B14" s="81">
        <v>4</v>
      </c>
      <c r="C14" s="81">
        <v>2</v>
      </c>
      <c r="D14" s="81">
        <f t="shared" si="0"/>
        <v>8</v>
      </c>
      <c r="E14" s="81">
        <v>0</v>
      </c>
      <c r="F14" s="80">
        <f t="shared" si="1"/>
        <v>0</v>
      </c>
      <c r="G14" s="81">
        <f t="shared" si="2"/>
        <v>0</v>
      </c>
      <c r="H14" s="81">
        <f t="shared" si="3"/>
        <v>0</v>
      </c>
      <c r="I14" s="112">
        <f t="shared" si="4"/>
        <v>0</v>
      </c>
    </row>
    <row r="15" spans="1:12" ht="16.5" x14ac:dyDescent="0.25">
      <c r="A15" s="114" t="s">
        <v>122</v>
      </c>
      <c r="B15" s="81">
        <v>8</v>
      </c>
      <c r="C15" s="81">
        <v>1</v>
      </c>
      <c r="D15" s="81">
        <f t="shared" si="0"/>
        <v>8</v>
      </c>
      <c r="E15" s="116">
        <v>0</v>
      </c>
      <c r="F15" s="80">
        <f t="shared" si="1"/>
        <v>0</v>
      </c>
      <c r="G15" s="81">
        <f t="shared" si="2"/>
        <v>0</v>
      </c>
      <c r="H15" s="117">
        <f t="shared" si="3"/>
        <v>0</v>
      </c>
      <c r="I15" s="112">
        <f t="shared" si="4"/>
        <v>0</v>
      </c>
    </row>
    <row r="16" spans="1:12" ht="16.5" x14ac:dyDescent="0.25">
      <c r="A16" s="118" t="s">
        <v>152</v>
      </c>
      <c r="B16" s="118"/>
      <c r="C16" s="118"/>
      <c r="D16" s="118"/>
      <c r="E16" s="118"/>
      <c r="F16" s="137">
        <f>ROUND(SUM(F4:H15),0)</f>
        <v>0</v>
      </c>
      <c r="G16" s="138"/>
      <c r="H16" s="139"/>
      <c r="I16" s="119">
        <f>ROUND(SUM(I4:I15),-1)</f>
        <v>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4:I24"/>
    <mergeCell ref="A25:I25"/>
    <mergeCell ref="A26:I26"/>
    <mergeCell ref="A27:I27"/>
    <mergeCell ref="A23:I23"/>
    <mergeCell ref="A21:I21"/>
    <mergeCell ref="A22:I22"/>
    <mergeCell ref="F16:H16"/>
    <mergeCell ref="A1:I1"/>
    <mergeCell ref="K4:L4"/>
    <mergeCell ref="A19:I19"/>
    <mergeCell ref="A20:I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workbookViewId="0">
      <pane xSplit="2" ySplit="3" topLeftCell="C27" activePane="bottomRight" state="frozen"/>
      <selection pane="topRight" activeCell="C1" sqref="C1"/>
      <selection pane="bottomLeft" activeCell="A4" sqref="A4"/>
      <selection pane="bottomRight" activeCell="A27" sqref="A27:I27"/>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141</v>
      </c>
      <c r="B1" s="131"/>
      <c r="C1" s="131"/>
      <c r="D1" s="131"/>
      <c r="E1" s="131"/>
      <c r="F1" s="131"/>
      <c r="G1" s="131"/>
      <c r="H1" s="131"/>
      <c r="I1" s="131"/>
    </row>
    <row r="2" spans="1:12" ht="15.75" x14ac:dyDescent="0.25">
      <c r="A2" s="67" t="s">
        <v>135</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v>0</v>
      </c>
      <c r="F11" s="81">
        <f t="shared" si="1"/>
        <v>0</v>
      </c>
      <c r="G11" s="81">
        <f t="shared" si="2"/>
        <v>0</v>
      </c>
      <c r="H11" s="81">
        <f t="shared" si="3"/>
        <v>0</v>
      </c>
      <c r="I11" s="112">
        <f t="shared" si="4"/>
        <v>0</v>
      </c>
    </row>
    <row r="12" spans="1:12" ht="29.25" x14ac:dyDescent="0.25">
      <c r="A12" s="115" t="s">
        <v>130</v>
      </c>
      <c r="B12" s="81">
        <v>8</v>
      </c>
      <c r="C12" s="81">
        <f>'TBL1-YR1'!C15</f>
        <v>1</v>
      </c>
      <c r="D12" s="81">
        <f t="shared" si="0"/>
        <v>8</v>
      </c>
      <c r="E12" s="81">
        <v>0</v>
      </c>
      <c r="F12" s="81">
        <f t="shared" si="1"/>
        <v>0</v>
      </c>
      <c r="G12" s="81">
        <f t="shared" si="2"/>
        <v>0</v>
      </c>
      <c r="H12" s="81">
        <f t="shared" si="3"/>
        <v>0</v>
      </c>
      <c r="I12" s="112">
        <f t="shared" si="4"/>
        <v>0</v>
      </c>
    </row>
    <row r="13" spans="1:12" ht="16.5" x14ac:dyDescent="0.25">
      <c r="A13" s="114" t="s">
        <v>120</v>
      </c>
      <c r="B13" s="81">
        <v>12</v>
      </c>
      <c r="C13" s="81">
        <v>2</v>
      </c>
      <c r="D13" s="81">
        <f t="shared" si="0"/>
        <v>24</v>
      </c>
      <c r="E13" s="81">
        <v>0</v>
      </c>
      <c r="F13" s="80">
        <f t="shared" si="1"/>
        <v>0</v>
      </c>
      <c r="G13" s="81">
        <f t="shared" si="2"/>
        <v>0</v>
      </c>
      <c r="H13" s="80">
        <f t="shared" si="3"/>
        <v>0</v>
      </c>
      <c r="I13" s="112">
        <f t="shared" si="4"/>
        <v>0</v>
      </c>
    </row>
    <row r="14" spans="1:12" ht="16.5" x14ac:dyDescent="0.25">
      <c r="A14" s="114" t="s">
        <v>121</v>
      </c>
      <c r="B14" s="81">
        <v>4</v>
      </c>
      <c r="C14" s="81">
        <v>2</v>
      </c>
      <c r="D14" s="81">
        <f t="shared" si="0"/>
        <v>8</v>
      </c>
      <c r="E14" s="81">
        <v>0</v>
      </c>
      <c r="F14" s="80">
        <f t="shared" si="1"/>
        <v>0</v>
      </c>
      <c r="G14" s="81">
        <f t="shared" si="2"/>
        <v>0</v>
      </c>
      <c r="H14" s="80">
        <f t="shared" si="3"/>
        <v>0</v>
      </c>
      <c r="I14" s="112">
        <f t="shared" si="4"/>
        <v>0</v>
      </c>
    </row>
    <row r="15" spans="1:12" ht="16.5" x14ac:dyDescent="0.25">
      <c r="A15" s="114" t="s">
        <v>122</v>
      </c>
      <c r="B15" s="81">
        <v>8</v>
      </c>
      <c r="C15" s="81">
        <v>1</v>
      </c>
      <c r="D15" s="81">
        <f t="shared" si="0"/>
        <v>8</v>
      </c>
      <c r="E15" s="116">
        <v>0</v>
      </c>
      <c r="F15" s="80">
        <f t="shared" si="1"/>
        <v>0</v>
      </c>
      <c r="G15" s="81">
        <f t="shared" si="2"/>
        <v>0</v>
      </c>
      <c r="H15" s="80">
        <f t="shared" si="3"/>
        <v>0</v>
      </c>
      <c r="I15" s="112">
        <f t="shared" si="4"/>
        <v>0</v>
      </c>
    </row>
    <row r="16" spans="1:12" ht="16.5" x14ac:dyDescent="0.25">
      <c r="A16" s="118" t="s">
        <v>133</v>
      </c>
      <c r="B16" s="118"/>
      <c r="C16" s="118"/>
      <c r="D16" s="118"/>
      <c r="E16" s="118"/>
      <c r="F16" s="137">
        <f>ROUND(SUM(F4:H15),-1)</f>
        <v>0</v>
      </c>
      <c r="G16" s="138"/>
      <c r="H16" s="139"/>
      <c r="I16" s="119">
        <f>ROUND(SUM(I4:I15),0)</f>
        <v>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7:I27"/>
    <mergeCell ref="A22:I22"/>
    <mergeCell ref="A23:I23"/>
    <mergeCell ref="A24:I24"/>
    <mergeCell ref="A25:I25"/>
    <mergeCell ref="A26:I26"/>
    <mergeCell ref="A21:I21"/>
    <mergeCell ref="A1:I1"/>
    <mergeCell ref="K4:L4"/>
    <mergeCell ref="F16:H16"/>
    <mergeCell ref="A19:I19"/>
    <mergeCell ref="A20:I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
  <sheetViews>
    <sheetView workbookViewId="0">
      <pane xSplit="2" ySplit="3" topLeftCell="C4" activePane="bottomRight" state="frozen"/>
      <selection pane="topRight" activeCell="C1" sqref="C1"/>
      <selection pane="bottomLeft" activeCell="A4" sqref="A4"/>
      <selection pane="bottomRight" activeCell="F12" sqref="F12"/>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142</v>
      </c>
      <c r="B1" s="131"/>
      <c r="C1" s="131"/>
      <c r="D1" s="131"/>
      <c r="E1" s="131"/>
      <c r="F1" s="131"/>
      <c r="G1" s="131"/>
      <c r="H1" s="131"/>
      <c r="I1" s="131"/>
    </row>
    <row r="2" spans="1:12" ht="15.75" x14ac:dyDescent="0.25">
      <c r="A2" s="67" t="s">
        <v>137</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f>'TBL3-YR3'!E19</f>
        <v>5</v>
      </c>
      <c r="F11" s="81">
        <f t="shared" si="1"/>
        <v>10</v>
      </c>
      <c r="G11" s="81">
        <f t="shared" si="2"/>
        <v>0.5</v>
      </c>
      <c r="H11" s="81">
        <f t="shared" si="3"/>
        <v>1</v>
      </c>
      <c r="I11" s="122">
        <f t="shared" si="4"/>
        <v>546.73500000000001</v>
      </c>
    </row>
    <row r="12" spans="1:12" ht="29.25" x14ac:dyDescent="0.25">
      <c r="A12" s="115" t="s">
        <v>130</v>
      </c>
      <c r="B12" s="81">
        <v>8</v>
      </c>
      <c r="C12" s="81">
        <f>'TBL1-YR1'!C15</f>
        <v>1</v>
      </c>
      <c r="D12" s="81">
        <f t="shared" si="0"/>
        <v>8</v>
      </c>
      <c r="E12" s="81">
        <f>'TBL3-YR3'!E20</f>
        <v>5</v>
      </c>
      <c r="F12" s="81">
        <f t="shared" si="1"/>
        <v>40</v>
      </c>
      <c r="G12" s="81">
        <f t="shared" si="2"/>
        <v>2</v>
      </c>
      <c r="H12" s="81">
        <f t="shared" si="3"/>
        <v>4</v>
      </c>
      <c r="I12" s="122">
        <f t="shared" si="4"/>
        <v>2186.94</v>
      </c>
    </row>
    <row r="13" spans="1:12" ht="16.5" x14ac:dyDescent="0.25">
      <c r="A13" s="114" t="s">
        <v>120</v>
      </c>
      <c r="B13" s="81">
        <v>12</v>
      </c>
      <c r="C13" s="81">
        <v>2</v>
      </c>
      <c r="D13" s="81">
        <f t="shared" si="0"/>
        <v>24</v>
      </c>
      <c r="E13" s="81">
        <v>0</v>
      </c>
      <c r="F13" s="80">
        <f t="shared" si="1"/>
        <v>0</v>
      </c>
      <c r="G13" s="81">
        <f t="shared" si="2"/>
        <v>0</v>
      </c>
      <c r="H13" s="80">
        <f t="shared" si="3"/>
        <v>0</v>
      </c>
      <c r="I13" s="112">
        <f t="shared" si="4"/>
        <v>0</v>
      </c>
    </row>
    <row r="14" spans="1:12" ht="16.5" x14ac:dyDescent="0.25">
      <c r="A14" s="114" t="s">
        <v>121</v>
      </c>
      <c r="B14" s="81">
        <v>4</v>
      </c>
      <c r="C14" s="81">
        <v>2</v>
      </c>
      <c r="D14" s="81">
        <f t="shared" si="0"/>
        <v>8</v>
      </c>
      <c r="E14" s="81">
        <v>0</v>
      </c>
      <c r="F14" s="80">
        <f t="shared" si="1"/>
        <v>0</v>
      </c>
      <c r="G14" s="81">
        <f t="shared" si="2"/>
        <v>0</v>
      </c>
      <c r="H14" s="80">
        <f t="shared" si="3"/>
        <v>0</v>
      </c>
      <c r="I14" s="112">
        <f t="shared" si="4"/>
        <v>0</v>
      </c>
    </row>
    <row r="15" spans="1:12" ht="16.5" x14ac:dyDescent="0.25">
      <c r="A15" s="114" t="s">
        <v>122</v>
      </c>
      <c r="B15" s="81">
        <v>8</v>
      </c>
      <c r="C15" s="81">
        <v>1</v>
      </c>
      <c r="D15" s="81">
        <f t="shared" si="0"/>
        <v>8</v>
      </c>
      <c r="E15" s="116">
        <v>0</v>
      </c>
      <c r="F15" s="80">
        <f t="shared" si="1"/>
        <v>0</v>
      </c>
      <c r="G15" s="81">
        <f t="shared" si="2"/>
        <v>0</v>
      </c>
      <c r="H15" s="80">
        <f t="shared" si="3"/>
        <v>0</v>
      </c>
      <c r="I15" s="112">
        <f t="shared" si="4"/>
        <v>0</v>
      </c>
    </row>
    <row r="16" spans="1:12" ht="16.5" x14ac:dyDescent="0.25">
      <c r="A16" s="118" t="s">
        <v>133</v>
      </c>
      <c r="B16" s="118"/>
      <c r="C16" s="118"/>
      <c r="D16" s="118"/>
      <c r="E16" s="118"/>
      <c r="F16" s="137">
        <f>ROUND(SUM(F4:H15),0)</f>
        <v>58</v>
      </c>
      <c r="G16" s="138"/>
      <c r="H16" s="139"/>
      <c r="I16" s="119">
        <f>ROUND(SUM(I4:I15),-1)</f>
        <v>2730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7:I27"/>
    <mergeCell ref="A22:I22"/>
    <mergeCell ref="A23:I23"/>
    <mergeCell ref="A24:I24"/>
    <mergeCell ref="A25:I25"/>
    <mergeCell ref="A26:I26"/>
    <mergeCell ref="A21:I21"/>
    <mergeCell ref="A1:I1"/>
    <mergeCell ref="K4:L4"/>
    <mergeCell ref="F16:H16"/>
    <mergeCell ref="A19:I19"/>
    <mergeCell ref="A20:I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F23" sqref="F23"/>
    </sheetView>
  </sheetViews>
  <sheetFormatPr defaultRowHeight="15" x14ac:dyDescent="0.25"/>
  <cols>
    <col min="1" max="8" width="13.42578125" customWidth="1"/>
  </cols>
  <sheetData>
    <row r="1" spans="1:8" ht="34.5" customHeight="1" thickBot="1" x14ac:dyDescent="0.3">
      <c r="A1" s="141" t="s">
        <v>140</v>
      </c>
      <c r="B1" s="141"/>
      <c r="C1" s="141"/>
      <c r="D1" s="141"/>
      <c r="E1" s="141"/>
      <c r="F1" s="141"/>
      <c r="G1" s="141"/>
      <c r="H1" s="141"/>
    </row>
    <row r="2" spans="1:8" ht="39" thickBot="1" x14ac:dyDescent="0.3">
      <c r="A2" s="10" t="s">
        <v>41</v>
      </c>
      <c r="B2" s="11" t="s">
        <v>71</v>
      </c>
      <c r="C2" s="11" t="s">
        <v>72</v>
      </c>
      <c r="D2" s="11" t="s">
        <v>73</v>
      </c>
      <c r="E2" s="11" t="s">
        <v>80</v>
      </c>
      <c r="F2" s="11" t="s">
        <v>75</v>
      </c>
      <c r="G2" s="11" t="s">
        <v>87</v>
      </c>
      <c r="H2" s="12" t="s">
        <v>77</v>
      </c>
    </row>
    <row r="3" spans="1:8" ht="15.75" thickTop="1" x14ac:dyDescent="0.25">
      <c r="A3" s="13">
        <v>1</v>
      </c>
      <c r="B3" s="14">
        <f>SUM('TBL5-YR1'!F4:F15)</f>
        <v>0</v>
      </c>
      <c r="C3" s="14">
        <f>SUM('TBL5-YR1'!G4:G15)</f>
        <v>0</v>
      </c>
      <c r="D3" s="14">
        <f>SUM('TBL5-YR1'!H4:H15)</f>
        <v>0</v>
      </c>
      <c r="E3" s="14">
        <f>SUM(B3:D3)</f>
        <v>0</v>
      </c>
      <c r="F3" s="16">
        <f>'TBL5-YR1'!I16</f>
        <v>0</v>
      </c>
      <c r="G3" s="16">
        <v>0</v>
      </c>
      <c r="H3" s="18">
        <f>+F3+G3</f>
        <v>0</v>
      </c>
    </row>
    <row r="4" spans="1:8" x14ac:dyDescent="0.25">
      <c r="A4" s="19">
        <v>2</v>
      </c>
      <c r="B4" s="15">
        <f>SUM('TBL6-YR2'!F4:F15)</f>
        <v>0</v>
      </c>
      <c r="C4" s="15">
        <f>SUM('TBL6-YR2'!G4:G15)</f>
        <v>0</v>
      </c>
      <c r="D4" s="15">
        <f>SUM('TBL6-YR2'!H4:H15)</f>
        <v>0</v>
      </c>
      <c r="E4" s="14">
        <f t="shared" ref="E4:E5" si="0">SUM(B4:D4)</f>
        <v>0</v>
      </c>
      <c r="F4" s="17">
        <f>'TBL6-YR2'!I16</f>
        <v>0</v>
      </c>
      <c r="G4" s="17">
        <v>0</v>
      </c>
      <c r="H4" s="18">
        <f>+F4+G4</f>
        <v>0</v>
      </c>
    </row>
    <row r="5" spans="1:8" ht="15.75" thickBot="1" x14ac:dyDescent="0.3">
      <c r="A5" s="20">
        <v>3</v>
      </c>
      <c r="B5" s="21">
        <f>SUM('TBL7-YR3'!F4:F15)</f>
        <v>50</v>
      </c>
      <c r="C5" s="21">
        <f>SUM('TBL7-YR3'!G4:G15)</f>
        <v>2.5</v>
      </c>
      <c r="D5" s="21">
        <f>SUM('TBL7-YR3'!H4:H15)</f>
        <v>5</v>
      </c>
      <c r="E5" s="21">
        <f t="shared" si="0"/>
        <v>57.5</v>
      </c>
      <c r="F5" s="22">
        <f>'TBL7-YR3'!I16</f>
        <v>2730</v>
      </c>
      <c r="G5" s="22">
        <v>0</v>
      </c>
      <c r="H5" s="23">
        <f>F5+G5</f>
        <v>2730</v>
      </c>
    </row>
    <row r="6" spans="1:8" ht="15.75" thickTop="1" x14ac:dyDescent="0.25">
      <c r="A6" s="13" t="s">
        <v>50</v>
      </c>
      <c r="B6" s="14">
        <f t="shared" ref="B6:H6" si="1">SUM(B3:B5)</f>
        <v>50</v>
      </c>
      <c r="C6" s="42">
        <f t="shared" si="1"/>
        <v>2.5</v>
      </c>
      <c r="D6" s="42">
        <f t="shared" si="1"/>
        <v>5</v>
      </c>
      <c r="E6" s="14">
        <f>SUM(E3:E5)</f>
        <v>57.5</v>
      </c>
      <c r="F6" s="16">
        <f>ROUND(SUM(F3:F5),-2)</f>
        <v>2700</v>
      </c>
      <c r="G6" s="16">
        <f t="shared" si="1"/>
        <v>0</v>
      </c>
      <c r="H6" s="18">
        <f t="shared" si="1"/>
        <v>2730</v>
      </c>
    </row>
    <row r="7" spans="1:8" ht="15.75" thickBot="1" x14ac:dyDescent="0.3">
      <c r="A7" s="24" t="s">
        <v>46</v>
      </c>
      <c r="B7" s="26">
        <f>AVERAGE(B3:B5)</f>
        <v>16.666666666666668</v>
      </c>
      <c r="C7" s="26">
        <f>AVERAGE(C3:C5)</f>
        <v>0.83333333333333337</v>
      </c>
      <c r="D7" s="26">
        <f>AVERAGE(D3:D5)</f>
        <v>1.6666666666666667</v>
      </c>
      <c r="E7" s="25">
        <f>AVERAGE(E3:E5)</f>
        <v>19.166666666666668</v>
      </c>
      <c r="F7" s="47">
        <f>ROUND(AVERAGE(F3:F5),-1)</f>
        <v>910</v>
      </c>
      <c r="G7" s="47">
        <f>AVERAGE(G3:G5)</f>
        <v>0</v>
      </c>
      <c r="H7" s="28">
        <f>ROUND(AVERAGE(H3:H5),-1)</f>
        <v>910</v>
      </c>
    </row>
    <row r="8" spans="1:8" ht="15.75" thickBot="1" x14ac:dyDescent="0.3">
      <c r="A8" s="48"/>
      <c r="B8" s="1"/>
      <c r="C8" s="1"/>
      <c r="D8" s="1"/>
      <c r="E8" s="1"/>
      <c r="F8" s="1"/>
      <c r="G8" s="1"/>
      <c r="H8" s="48"/>
    </row>
    <row r="9" spans="1:8" ht="39" thickBot="1" x14ac:dyDescent="0.3">
      <c r="A9" s="10" t="s">
        <v>41</v>
      </c>
      <c r="B9" s="11" t="s">
        <v>49</v>
      </c>
      <c r="C9" s="12" t="str">
        <f>E2</f>
        <v>Total Hours</v>
      </c>
      <c r="D9" s="1"/>
      <c r="E9" s="1"/>
      <c r="F9" s="1"/>
      <c r="G9" s="1"/>
      <c r="H9" s="1"/>
    </row>
    <row r="10" spans="1:8" ht="15.75" thickTop="1" x14ac:dyDescent="0.25">
      <c r="A10" s="13">
        <v>1</v>
      </c>
      <c r="B10" s="34">
        <v>0</v>
      </c>
      <c r="C10" s="49">
        <f>E3</f>
        <v>0</v>
      </c>
      <c r="D10" s="1"/>
      <c r="E10" s="1"/>
      <c r="F10" s="1"/>
      <c r="G10" s="1"/>
      <c r="H10" s="1"/>
    </row>
    <row r="11" spans="1:8" x14ac:dyDescent="0.25">
      <c r="A11" s="19">
        <v>2</v>
      </c>
      <c r="B11" s="39">
        <v>0</v>
      </c>
      <c r="C11" s="49">
        <f>E4</f>
        <v>0</v>
      </c>
      <c r="D11" s="1"/>
      <c r="E11" s="1"/>
      <c r="F11" s="1"/>
      <c r="G11" s="1"/>
      <c r="H11" s="1"/>
    </row>
    <row r="12" spans="1:8" ht="15.75" thickBot="1" x14ac:dyDescent="0.3">
      <c r="A12" s="20">
        <v>3</v>
      </c>
      <c r="B12" s="40">
        <f>'TBL7-YR3'!C11*'TBL7-YR3'!E11+'TBL7-YR3'!C12*'TBL7-YR3'!E12</f>
        <v>10</v>
      </c>
      <c r="C12" s="50">
        <f>E5</f>
        <v>57.5</v>
      </c>
      <c r="D12" s="1"/>
      <c r="E12" s="1"/>
      <c r="F12" s="1"/>
      <c r="G12" s="1"/>
      <c r="H12" s="1"/>
    </row>
    <row r="13" spans="1:8" ht="15.75" thickTop="1" x14ac:dyDescent="0.25">
      <c r="A13" s="13" t="s">
        <v>50</v>
      </c>
      <c r="B13" s="51">
        <f t="shared" ref="B13" si="2">SUM(B10:B12)</f>
        <v>10</v>
      </c>
      <c r="C13" s="52">
        <f>SUM(C10:C12)</f>
        <v>57.5</v>
      </c>
      <c r="D13" s="1"/>
      <c r="E13" s="1"/>
      <c r="F13" s="1"/>
      <c r="G13" s="1"/>
      <c r="H13" s="1"/>
    </row>
    <row r="14" spans="1:8" ht="15.75" thickBot="1" x14ac:dyDescent="0.3">
      <c r="A14" s="24" t="s">
        <v>46</v>
      </c>
      <c r="B14" s="26">
        <f>AVERAGE(B10:B12)</f>
        <v>3.3333333333333335</v>
      </c>
      <c r="C14" s="53">
        <f>AVERAGE(C10:C12)</f>
        <v>19.166666666666668</v>
      </c>
      <c r="D14" s="1"/>
      <c r="E14" s="1"/>
      <c r="F14" s="1"/>
      <c r="G14" s="1"/>
      <c r="H14" s="1"/>
    </row>
    <row r="15" spans="1:8" x14ac:dyDescent="0.25">
      <c r="A15" s="1"/>
      <c r="B15" s="1"/>
      <c r="C15" s="1"/>
      <c r="D15" s="1"/>
      <c r="E15" s="1"/>
      <c r="F15" s="1"/>
      <c r="G15" s="1"/>
      <c r="H15" s="1"/>
    </row>
    <row r="16" spans="1:8" x14ac:dyDescent="0.25">
      <c r="A16" s="1" t="s">
        <v>88</v>
      </c>
      <c r="B16" s="1"/>
      <c r="C16" s="1"/>
      <c r="D16" s="1">
        <f>ROUND(C13/B13,1)</f>
        <v>5.8</v>
      </c>
      <c r="E16" s="1"/>
      <c r="F16" s="1"/>
      <c r="G16" s="1"/>
      <c r="H16" s="1"/>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I23"/>
  <sheetViews>
    <sheetView workbookViewId="0">
      <selection activeCell="D7" sqref="D7"/>
    </sheetView>
  </sheetViews>
  <sheetFormatPr defaultRowHeight="15" x14ac:dyDescent="0.25"/>
  <cols>
    <col min="1" max="1" width="23.5703125" customWidth="1"/>
    <col min="2" max="7" width="15" customWidth="1"/>
  </cols>
  <sheetData>
    <row r="3" spans="1:9" ht="15.75" customHeight="1" x14ac:dyDescent="0.25">
      <c r="A3" s="142" t="s">
        <v>28</v>
      </c>
      <c r="B3" s="142"/>
      <c r="C3" s="142"/>
      <c r="D3" s="142"/>
      <c r="E3" s="142"/>
      <c r="F3" s="142"/>
      <c r="G3" s="142"/>
    </row>
    <row r="4" spans="1:9" x14ac:dyDescent="0.25">
      <c r="A4" s="58" t="s">
        <v>29</v>
      </c>
      <c r="B4" s="58" t="s">
        <v>30</v>
      </c>
      <c r="C4" s="58" t="s">
        <v>31</v>
      </c>
      <c r="D4" s="58" t="s">
        <v>32</v>
      </c>
      <c r="E4" s="58" t="s">
        <v>33</v>
      </c>
      <c r="F4" s="58" t="s">
        <v>35</v>
      </c>
      <c r="G4" s="58" t="s">
        <v>37</v>
      </c>
    </row>
    <row r="5" spans="1:9" ht="38.25" x14ac:dyDescent="0.25">
      <c r="A5" s="58" t="s">
        <v>89</v>
      </c>
      <c r="B5" s="58" t="s">
        <v>90</v>
      </c>
      <c r="C5" s="58" t="s">
        <v>91</v>
      </c>
      <c r="D5" s="58" t="s">
        <v>92</v>
      </c>
      <c r="E5" s="58" t="s">
        <v>34</v>
      </c>
      <c r="F5" s="58" t="s">
        <v>36</v>
      </c>
      <c r="G5" s="58" t="s">
        <v>93</v>
      </c>
    </row>
    <row r="6" spans="1:9" x14ac:dyDescent="0.25">
      <c r="A6" s="59"/>
      <c r="B6" s="60"/>
      <c r="C6" s="59"/>
      <c r="D6" s="60"/>
      <c r="E6" s="59"/>
      <c r="F6" s="59"/>
      <c r="G6" s="60"/>
    </row>
    <row r="7" spans="1:9" x14ac:dyDescent="0.25">
      <c r="A7" s="61" t="s">
        <v>89</v>
      </c>
      <c r="B7" s="62">
        <f>ROUND(18750,-3)</f>
        <v>19000</v>
      </c>
      <c r="C7" s="61">
        <v>5</v>
      </c>
      <c r="D7" s="62">
        <f>B7*C7</f>
        <v>95000</v>
      </c>
      <c r="E7" s="62">
        <v>0</v>
      </c>
      <c r="F7" s="61">
        <v>0</v>
      </c>
      <c r="G7" s="62">
        <f>E7*F7</f>
        <v>0</v>
      </c>
    </row>
    <row r="8" spans="1:9" x14ac:dyDescent="0.25">
      <c r="A8" s="63" t="s">
        <v>94</v>
      </c>
      <c r="B8" s="63"/>
      <c r="C8" s="64"/>
      <c r="D8" s="65">
        <f>ROUND(D7,-2)</f>
        <v>95000</v>
      </c>
      <c r="E8" s="64"/>
      <c r="F8" s="64"/>
      <c r="G8" s="65">
        <f>ROUND(SUM(G7:G7),-3)</f>
        <v>0</v>
      </c>
      <c r="H8" t="s">
        <v>50</v>
      </c>
      <c r="I8" s="56">
        <f>D8+G8</f>
        <v>95000</v>
      </c>
    </row>
    <row r="9" spans="1:9" ht="29.25" customHeight="1" x14ac:dyDescent="0.25">
      <c r="A9" s="145" t="s">
        <v>149</v>
      </c>
      <c r="B9" s="145"/>
      <c r="C9" s="145"/>
      <c r="D9" s="145"/>
      <c r="E9" s="145"/>
      <c r="F9" s="145"/>
      <c r="G9" s="145"/>
    </row>
    <row r="10" spans="1:9" x14ac:dyDescent="0.25">
      <c r="A10" s="55"/>
      <c r="B10" s="54"/>
      <c r="C10" s="54"/>
      <c r="D10" s="54"/>
      <c r="E10" s="54"/>
      <c r="F10" s="54"/>
      <c r="G10" s="54"/>
    </row>
    <row r="14" spans="1:9" ht="15.75" x14ac:dyDescent="0.25">
      <c r="A14" s="143" t="s">
        <v>38</v>
      </c>
      <c r="B14" s="143"/>
      <c r="C14" s="143"/>
      <c r="D14" s="143"/>
      <c r="E14" s="143"/>
      <c r="F14" s="143"/>
    </row>
    <row r="15" spans="1:9" ht="36" x14ac:dyDescent="0.25">
      <c r="A15" s="2"/>
      <c r="B15" s="144" t="s">
        <v>39</v>
      </c>
      <c r="C15" s="144"/>
      <c r="D15" s="7" t="s">
        <v>40</v>
      </c>
      <c r="E15" s="7"/>
      <c r="F15" s="7"/>
    </row>
    <row r="16" spans="1:9" x14ac:dyDescent="0.25">
      <c r="A16" s="3"/>
      <c r="B16" s="4" t="s">
        <v>29</v>
      </c>
      <c r="C16" s="4" t="s">
        <v>30</v>
      </c>
      <c r="D16" s="4" t="s">
        <v>31</v>
      </c>
      <c r="E16" s="4" t="s">
        <v>32</v>
      </c>
      <c r="F16" s="4" t="s">
        <v>33</v>
      </c>
    </row>
    <row r="17" spans="1:6" ht="76.5" x14ac:dyDescent="0.25">
      <c r="A17" s="4" t="s">
        <v>41</v>
      </c>
      <c r="B17" s="4" t="s">
        <v>42</v>
      </c>
      <c r="C17" s="4" t="s">
        <v>43</v>
      </c>
      <c r="D17" s="4" t="s">
        <v>44</v>
      </c>
      <c r="E17" s="4" t="s">
        <v>45</v>
      </c>
      <c r="F17" s="4" t="s">
        <v>48</v>
      </c>
    </row>
    <row r="18" spans="1:6" x14ac:dyDescent="0.25">
      <c r="A18" s="5"/>
      <c r="B18" s="5"/>
      <c r="C18" s="5"/>
      <c r="D18" s="5"/>
      <c r="E18" s="5"/>
      <c r="F18" s="3"/>
    </row>
    <row r="19" spans="1:6" x14ac:dyDescent="0.25">
      <c r="A19" s="8">
        <v>1</v>
      </c>
      <c r="B19" s="8">
        <v>0</v>
      </c>
      <c r="C19" s="8">
        <v>43</v>
      </c>
      <c r="D19" s="8">
        <v>0</v>
      </c>
      <c r="E19" s="8">
        <v>0</v>
      </c>
      <c r="F19" s="8">
        <f>B19+C19+D19-E19</f>
        <v>43</v>
      </c>
    </row>
    <row r="20" spans="1:6" x14ac:dyDescent="0.25">
      <c r="A20" s="8">
        <v>2</v>
      </c>
      <c r="B20" s="8">
        <v>0</v>
      </c>
      <c r="C20" s="8">
        <v>43</v>
      </c>
      <c r="D20" s="8">
        <v>0</v>
      </c>
      <c r="E20" s="8">
        <v>0</v>
      </c>
      <c r="F20" s="8">
        <f t="shared" ref="F20:F21" si="0">B20+C20+D20-E20</f>
        <v>43</v>
      </c>
    </row>
    <row r="21" spans="1:6" x14ac:dyDescent="0.25">
      <c r="A21" s="8">
        <v>3</v>
      </c>
      <c r="B21" s="8">
        <v>0</v>
      </c>
      <c r="C21" s="8">
        <v>43</v>
      </c>
      <c r="D21" s="8">
        <v>0</v>
      </c>
      <c r="E21" s="8">
        <v>0</v>
      </c>
      <c r="F21" s="8">
        <f t="shared" si="0"/>
        <v>43</v>
      </c>
    </row>
    <row r="22" spans="1:6" x14ac:dyDescent="0.25">
      <c r="A22" s="8" t="s">
        <v>46</v>
      </c>
      <c r="B22" s="8">
        <f>AVERAGE(B19:B21)</f>
        <v>0</v>
      </c>
      <c r="C22" s="8">
        <v>43</v>
      </c>
      <c r="D22" s="8">
        <v>0</v>
      </c>
      <c r="E22" s="8">
        <v>0</v>
      </c>
      <c r="F22" s="8">
        <f>AVERAGE(F19:F21)</f>
        <v>43</v>
      </c>
    </row>
    <row r="23" spans="1:6" ht="18.75" x14ac:dyDescent="0.25">
      <c r="A23" s="6" t="s">
        <v>47</v>
      </c>
    </row>
  </sheetData>
  <mergeCells count="4">
    <mergeCell ref="A3:G3"/>
    <mergeCell ref="A14:F14"/>
    <mergeCell ref="B15:C15"/>
    <mergeCell ref="A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and O&amp;M</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Courtney Kerwin</cp:lastModifiedBy>
  <dcterms:created xsi:type="dcterms:W3CDTF">2013-01-16T01:14:04Z</dcterms:created>
  <dcterms:modified xsi:type="dcterms:W3CDTF">2020-03-06T02:11:41Z</dcterms:modified>
</cp:coreProperties>
</file>