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Kerwin\Downloads\"/>
    </mc:Choice>
  </mc:AlternateContent>
  <xr:revisionPtr revIDLastSave="0" documentId="8_{C3B6B02E-B14F-4E9A-ACF4-C88FCF3F3120}" xr6:coauthVersionLast="41" xr6:coauthVersionMax="41" xr10:uidLastSave="{00000000-0000-0000-0000-000000000000}"/>
  <bookViews>
    <workbookView xWindow="-120" yWindow="-120" windowWidth="19440" windowHeight="15150" activeTab="1" xr2:uid="{00000000-000D-0000-FFFF-FFFF00000000}"/>
  </bookViews>
  <sheets>
    <sheet name="# Responses" sheetId="4" r:id="rId1"/>
    <sheet name="Table 1" sheetId="6" r:id="rId2"/>
    <sheet name="Table 2" sheetId="12" r:id="rId3"/>
    <sheet name="O&amp;M Cost"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3" l="1"/>
  <c r="C18" i="3" l="1"/>
  <c r="D7" i="3" l="1"/>
  <c r="D6" i="3"/>
  <c r="D5" i="3"/>
  <c r="B7" i="3"/>
  <c r="B6" i="3"/>
  <c r="D18" i="3"/>
  <c r="F18" i="3" s="1"/>
  <c r="G18" i="3" s="1"/>
  <c r="F19" i="3"/>
  <c r="G19" i="3" s="1"/>
  <c r="E19" i="3"/>
  <c r="E18" i="3"/>
  <c r="D19" i="3"/>
  <c r="C19" i="3"/>
  <c r="B17" i="6" l="1"/>
  <c r="C5" i="4" l="1"/>
  <c r="E7" i="12" l="1"/>
  <c r="B26" i="6"/>
  <c r="B14" i="6"/>
  <c r="B11" i="6"/>
  <c r="B7" i="12" l="1"/>
  <c r="D7" i="12" s="1"/>
  <c r="M18" i="6"/>
  <c r="H3" i="6" s="1"/>
  <c r="M17" i="6"/>
  <c r="F3" i="6" s="1"/>
  <c r="D14" i="6" l="1"/>
  <c r="F14" i="6" s="1"/>
  <c r="F7" i="12"/>
  <c r="M9" i="12"/>
  <c r="H3" i="12" s="1"/>
  <c r="M8" i="12"/>
  <c r="G3" i="12" s="1"/>
  <c r="M7" i="12"/>
  <c r="F3" i="12" s="1"/>
  <c r="H7" i="12" l="1"/>
  <c r="G7" i="12"/>
  <c r="H14" i="6"/>
  <c r="G14" i="6"/>
  <c r="B20" i="3"/>
  <c r="I7" i="12" l="1"/>
  <c r="I8" i="12" s="1"/>
  <c r="F8" i="12"/>
  <c r="G20" i="3" l="1"/>
  <c r="E11" i="6"/>
  <c r="D26" i="6" l="1"/>
  <c r="F26" i="6" s="1"/>
  <c r="G26" i="6" s="1"/>
  <c r="D17" i="6"/>
  <c r="F17" i="6" s="1"/>
  <c r="G17" i="6" s="1"/>
  <c r="M16" i="6"/>
  <c r="G3" i="6" s="1"/>
  <c r="D11" i="6"/>
  <c r="F11" i="6" s="1"/>
  <c r="I14" i="6" l="1"/>
  <c r="H11" i="6"/>
  <c r="G11" i="6"/>
  <c r="H17" i="6"/>
  <c r="I17" i="6" s="1"/>
  <c r="H26" i="6"/>
  <c r="I26" i="6" s="1"/>
  <c r="I11" i="6" l="1"/>
  <c r="F29" i="6" l="1"/>
  <c r="F19" i="6"/>
  <c r="F30" i="6" s="1"/>
  <c r="I29" i="6"/>
  <c r="I19" i="6"/>
  <c r="I30" i="6" l="1"/>
  <c r="E6" i="4"/>
  <c r="E5" i="4"/>
  <c r="E7" i="4" l="1"/>
  <c r="H33" i="6" s="1"/>
  <c r="D8" i="3" l="1"/>
  <c r="I31" i="6" s="1"/>
  <c r="I32" i="6" s="1"/>
</calcChain>
</file>

<file path=xl/sharedStrings.xml><?xml version="1.0" encoding="utf-8"?>
<sst xmlns="http://schemas.openxmlformats.org/spreadsheetml/2006/main" count="210" uniqueCount="164">
  <si>
    <t>Total Annual Responses</t>
  </si>
  <si>
    <t>(A)</t>
  </si>
  <si>
    <t>(B)</t>
  </si>
  <si>
    <t>(C)</t>
  </si>
  <si>
    <t>(D)</t>
  </si>
  <si>
    <t>(E)</t>
  </si>
  <si>
    <t>Information Collection Activity</t>
  </si>
  <si>
    <t xml:space="preserve">Number of Respondents  </t>
  </si>
  <si>
    <t>Number of Responses</t>
  </si>
  <si>
    <t>Number of Existing Respondents That Keep Records But Do Not Submit Reports</t>
  </si>
  <si>
    <t xml:space="preserve">Total Annual  Responses </t>
  </si>
  <si>
    <t>Notification of periodic performance test</t>
  </si>
  <si>
    <t>Report of periodic performance test results</t>
  </si>
  <si>
    <t>Total</t>
  </si>
  <si>
    <t>New Respondents</t>
  </si>
  <si>
    <t>Existing Respondents</t>
  </si>
  <si>
    <t>Table 1: Average Annual Respondent Burden and Cost – NESHAP for Asphalt Processing and Asphalt Roofing Manufacturing (40 CFR Part 63, Subpart LLLLL)(Residual Risk and Technology Review Amendments)</t>
  </si>
  <si>
    <t>Burden item</t>
  </si>
  <si>
    <t xml:space="preserve">(A) </t>
  </si>
  <si>
    <t xml:space="preserve">(B) </t>
  </si>
  <si>
    <t xml:space="preserve">(C) </t>
  </si>
  <si>
    <t xml:space="preserve">(D) </t>
  </si>
  <si>
    <t xml:space="preserve">(F) </t>
  </si>
  <si>
    <t xml:space="preserve">(G) </t>
  </si>
  <si>
    <t xml:space="preserve">(H) </t>
  </si>
  <si>
    <t>Person-hours per occurrence</t>
  </si>
  <si>
    <t>No.  Of occurrences per respondent per year</t>
  </si>
  <si>
    <t>Person-hours per respondent per year (C=AxB)</t>
  </si>
  <si>
    <r>
      <t xml:space="preserve">Respondents per year </t>
    </r>
    <r>
      <rPr>
        <b/>
        <vertAlign val="superscript"/>
        <sz val="10"/>
        <rFont val="Times New Roman"/>
        <family val="1"/>
      </rPr>
      <t>a</t>
    </r>
  </si>
  <si>
    <t>Technical person-hour/ year
(E=CxD)</t>
  </si>
  <si>
    <t>Management person-hour/ year
(Ex0.05)</t>
  </si>
  <si>
    <t>Clerical
(Ex0.1)</t>
  </si>
  <si>
    <r>
      <t xml:space="preserve">Cost, $ </t>
    </r>
    <r>
      <rPr>
        <b/>
        <vertAlign val="superscript"/>
        <sz val="10"/>
        <color rgb="FF000000"/>
        <rFont val="Times New Roman"/>
        <family val="1"/>
      </rPr>
      <t>b</t>
    </r>
  </si>
  <si>
    <t xml:space="preserve"> 1.  Applications</t>
  </si>
  <si>
    <t>N/A</t>
  </si>
  <si>
    <t xml:space="preserve"> 2.  Survey and Studies</t>
  </si>
  <si>
    <t xml:space="preserve"> 3.  Acquisition, Installation, and Utilization of  Technology and  Systems</t>
  </si>
  <si>
    <t xml:space="preserve"> 4.  Reporting Requirements</t>
  </si>
  <si>
    <t xml:space="preserve">     A.  Familiarization with rule amendments:</t>
  </si>
  <si>
    <r>
      <t xml:space="preserve">     Existing Respondents </t>
    </r>
    <r>
      <rPr>
        <vertAlign val="superscript"/>
        <sz val="10"/>
        <rFont val="Times New Roman"/>
        <family val="1"/>
      </rPr>
      <t>c</t>
    </r>
  </si>
  <si>
    <t xml:space="preserve">     B.  Required activities:</t>
  </si>
  <si>
    <t xml:space="preserve">           New and Existing Respondents</t>
  </si>
  <si>
    <r>
      <t xml:space="preserve">                Periodic 5-year performance testing </t>
    </r>
    <r>
      <rPr>
        <vertAlign val="superscript"/>
        <sz val="10"/>
        <rFont val="Times New Roman"/>
        <family val="1"/>
      </rPr>
      <t>d</t>
    </r>
  </si>
  <si>
    <t xml:space="preserve">Respondent Rates (Source: United States Department of Labor, Bureau of Labor Statistics, June 2017, “Table 2. Civilian Workers, by occupational and industry group.”)
</t>
  </si>
  <si>
    <t xml:space="preserve">     C.  Gather Existing Information</t>
  </si>
  <si>
    <t>Included in 5D, 5E</t>
  </si>
  <si>
    <t>Labor Type</t>
  </si>
  <si>
    <r>
      <t>Total Compensation ($/hr)</t>
    </r>
    <r>
      <rPr>
        <sz val="10"/>
        <rFont val="Times New Roman"/>
        <family val="1"/>
      </rPr>
      <t xml:space="preserve"> </t>
    </r>
  </si>
  <si>
    <r>
      <t>Loaded Rate</t>
    </r>
    <r>
      <rPr>
        <sz val="10"/>
        <rFont val="Times New Roman"/>
        <family val="1"/>
      </rPr>
      <t xml:space="preserve"> (Rate + 110%rate)</t>
    </r>
  </si>
  <si>
    <t xml:space="preserve">     D.  Write report</t>
  </si>
  <si>
    <t>Mgmt.</t>
  </si>
  <si>
    <r>
      <t xml:space="preserve">               Notification of periodic 5-year of performance test </t>
    </r>
    <r>
      <rPr>
        <vertAlign val="superscript"/>
        <sz val="10"/>
        <color rgb="FF000000"/>
        <rFont val="Times New Roman"/>
        <family val="1"/>
      </rPr>
      <t>d</t>
    </r>
  </si>
  <si>
    <t>Tech.</t>
  </si>
  <si>
    <r>
      <t xml:space="preserve">               Reports of  periodic 5-year performance test results </t>
    </r>
    <r>
      <rPr>
        <vertAlign val="superscript"/>
        <sz val="10"/>
        <color rgb="FF000000"/>
        <rFont val="Times New Roman"/>
        <family val="1"/>
      </rPr>
      <t>d</t>
    </r>
  </si>
  <si>
    <t>Included in 4B, 5E</t>
  </si>
  <si>
    <t>Cler.</t>
  </si>
  <si>
    <t xml:space="preserve">  Subtotal for Reporting Requirements</t>
  </si>
  <si>
    <t xml:space="preserve"> 5.  Recordkeeping Requirements</t>
  </si>
  <si>
    <t xml:space="preserve">      A.  Read instructions</t>
  </si>
  <si>
    <t>Included in 4A</t>
  </si>
  <si>
    <t xml:space="preserve">      B.  Plan activities</t>
  </si>
  <si>
    <t>Included in 4B</t>
  </si>
  <si>
    <t xml:space="preserve">      C.  Implement activities</t>
  </si>
  <si>
    <t xml:space="preserve">      D.  Develop record system</t>
  </si>
  <si>
    <t>NA</t>
  </si>
  <si>
    <t xml:space="preserve">      E.  Time to enter and transmit all information into record system</t>
  </si>
  <si>
    <r>
      <t xml:space="preserve">              Record of periodic performance tests </t>
    </r>
    <r>
      <rPr>
        <vertAlign val="superscript"/>
        <sz val="10"/>
        <color rgb="FF000000"/>
        <rFont val="Times New Roman"/>
        <family val="1"/>
      </rPr>
      <t>d</t>
    </r>
  </si>
  <si>
    <t xml:space="preserve">      F.  Time to train personnel</t>
  </si>
  <si>
    <t xml:space="preserve">      G. Time for audits</t>
  </si>
  <si>
    <t xml:space="preserve">  Subtotal for Recordkeeping Requirements</t>
  </si>
  <si>
    <r>
      <t xml:space="preserve">TOTAL LABOR  BURDEN AND COST (rounded) </t>
    </r>
    <r>
      <rPr>
        <b/>
        <vertAlign val="superscript"/>
        <sz val="10"/>
        <color rgb="FF000000"/>
        <rFont val="Times New Roman"/>
        <family val="1"/>
      </rPr>
      <t>e</t>
    </r>
  </si>
  <si>
    <r>
      <t xml:space="preserve">CAPITAL AND O&amp;M COST </t>
    </r>
    <r>
      <rPr>
        <b/>
        <sz val="10"/>
        <rFont val="Times New Roman"/>
        <family val="1"/>
      </rPr>
      <t>(see Section 6(b)(iii))</t>
    </r>
    <r>
      <rPr>
        <b/>
        <sz val="10"/>
        <color rgb="FFFF0000"/>
        <rFont val="Times New Roman"/>
        <family val="1"/>
      </rPr>
      <t xml:space="preserve"> </t>
    </r>
    <r>
      <rPr>
        <b/>
        <vertAlign val="superscript"/>
        <sz val="10"/>
        <color rgb="FF000000"/>
        <rFont val="Times New Roman"/>
        <family val="1"/>
      </rPr>
      <t>e</t>
    </r>
  </si>
  <si>
    <r>
      <t xml:space="preserve">TOTAL COST (rounded) </t>
    </r>
    <r>
      <rPr>
        <b/>
        <vertAlign val="superscript"/>
        <sz val="10"/>
        <color rgb="FF000000"/>
        <rFont val="Times New Roman"/>
        <family val="1"/>
      </rPr>
      <t>e</t>
    </r>
  </si>
  <si>
    <t>hr/response</t>
  </si>
  <si>
    <r>
      <t>a</t>
    </r>
    <r>
      <rPr>
        <sz val="10"/>
        <rFont val="Times New Roman"/>
        <family val="1"/>
      </rPr>
      <t xml:space="preserve">  Assumes an average of 8 respondents per year over the next three years of this ICR and that no new facility per year will become subject to this regulation.</t>
    </r>
    <r>
      <rPr>
        <sz val="12"/>
        <rFont val="Times New Roman"/>
        <family val="1"/>
      </rPr>
      <t xml:space="preserve">  </t>
    </r>
  </si>
  <si>
    <r>
      <t>b</t>
    </r>
    <r>
      <rPr>
        <sz val="10"/>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  The rates have been increased by 110% to account for the benefit packages available to those employed by private industry.</t>
    </r>
  </si>
  <si>
    <r>
      <rPr>
        <vertAlign val="superscript"/>
        <sz val="10"/>
        <rFont val="Times New Roman"/>
        <family val="1"/>
      </rPr>
      <t>c</t>
    </r>
    <r>
      <rPr>
        <sz val="10"/>
        <rFont val="Times New Roman"/>
        <family val="1"/>
      </rPr>
      <t xml:space="preserve">  Assumes 4 hours in the first year of this information collection for familiarization with the final rule amendments under the risk and technology review, annualized over the 3 years of this information collection. </t>
    </r>
  </si>
  <si>
    <r>
      <t xml:space="preserve">d </t>
    </r>
    <r>
      <rPr>
        <sz val="10"/>
        <rFont val="Times New Roman"/>
        <family val="1"/>
      </rPr>
      <t xml:space="preserve"> All costs related to periodic testing are shown annualized over the 3 years of this information collection. Assumes that periodic testing will occur once every 5 years, and the first periodic performance test would occur within 3 years of the promulgation date of the final rule amendments. Assumes that the testing and reporting are conducted by an emissions testing contractor, and facility personnel will work on-site to assist the contractor. Assumes an average of 8 respondents would perform the following tests: (1) 4 asphalt roofing manufacturing facilities would conduct an EPA Method 5A test of the PM control device, an EPA Method 25A test of the thermal oxidizer, and an EPA Method 9 opacity test; and (2) 4 asphalt processing facilities would conduct an EPA Method 25A test of the thermal oxidizer and an EPA Method 9 opacity test. Assumes that 3 of the 4 asphalt roofing manufacturing facilities and 1 of the 4 asphalt processing facilities already perform all periodic performance testing under State Agency permits; therefore, this information collection includes the cost for only the 4 remaining facilities not currently required to conduct periodic testing under State Agency permits (1 asphalt roofing manufacturing facility and 3 asphalt processing facilities). Assumes that 20 percent of new respondents will repeat the performance tests due to failure. </t>
    </r>
  </si>
  <si>
    <r>
      <t>e</t>
    </r>
    <r>
      <rPr>
        <sz val="10"/>
        <rFont val="Times New Roman"/>
        <family val="1"/>
      </rPr>
      <t xml:space="preserve">  Total cost has been rounded to 3 significant figures. Figures may not add exactly due to rounding. </t>
    </r>
  </si>
  <si>
    <r>
      <t xml:space="preserve">Table 2: Average Annual EPA Burden and Cost – </t>
    </r>
    <r>
      <rPr>
        <b/>
        <sz val="12"/>
        <color theme="1"/>
        <rFont val="Times New Roman"/>
        <family val="1"/>
      </rPr>
      <t>NESHAP for Asphalt Processing and Asphalt Roofing Manufacturing (40 CFR Part 63, Subpart LLLLL)(Residual Risk and Technology Review Amendments)</t>
    </r>
  </si>
  <si>
    <t xml:space="preserve">(E) </t>
  </si>
  <si>
    <r>
      <t xml:space="preserve">Respondents per year </t>
    </r>
    <r>
      <rPr>
        <vertAlign val="superscript"/>
        <sz val="10"/>
        <color rgb="FF000000"/>
        <rFont val="Times New Roman"/>
        <family val="1"/>
      </rPr>
      <t>a</t>
    </r>
  </si>
  <si>
    <t>Technical person-hours per year (E=CxD)</t>
  </si>
  <si>
    <t>Management person-hours per year (Ex0.05)</t>
  </si>
  <si>
    <t>Clerical person-hours per  year (Ex0.1)</t>
  </si>
  <si>
    <r>
      <t xml:space="preserve">Agency Rates
</t>
    </r>
    <r>
      <rPr>
        <sz val="10"/>
        <rFont val="Times New Roman"/>
        <family val="1"/>
      </rPr>
      <t>Source: Office of Personnel Management (OPM), 2017 General Schedule</t>
    </r>
  </si>
  <si>
    <t>New and Existing Respondents</t>
  </si>
  <si>
    <t>Hourly Mean Wage</t>
  </si>
  <si>
    <t>With  Fringe &amp; Overhead</t>
  </si>
  <si>
    <r>
      <t xml:space="preserve">       Report of periodic 5-Year performance testing </t>
    </r>
    <r>
      <rPr>
        <vertAlign val="superscript"/>
        <sz val="10"/>
        <rFont val="Times New Roman"/>
        <family val="1"/>
      </rPr>
      <t>c</t>
    </r>
  </si>
  <si>
    <t>(GS- 12, step 1) - Tech.</t>
  </si>
  <si>
    <r>
      <t xml:space="preserve">TOTAL ANNUAL BURDEN AND COST (rounded) </t>
    </r>
    <r>
      <rPr>
        <b/>
        <vertAlign val="superscript"/>
        <sz val="10"/>
        <rFont val="Times New Roman"/>
        <family val="1"/>
      </rPr>
      <t>d</t>
    </r>
  </si>
  <si>
    <t>(GS- 13, step 5) - Mgmt.</t>
  </si>
  <si>
    <t>(GS-6, step 3) - Cler.</t>
  </si>
  <si>
    <t>Assumptions:</t>
  </si>
  <si>
    <r>
      <t xml:space="preserve">b  </t>
    </r>
    <r>
      <rPr>
        <sz val="10"/>
        <rFont val="Times New Roman"/>
        <family val="1"/>
      </rPr>
      <t xml:space="preserve">This cost is based on the following labor rates which incorporates a 1.6 benefits multiplication factor to account for government overhead expenses:  Managerial rate of $64.80 (GS-13, Step 5), Technical rate of $48.08 (GS-12, Step 1), and Clerical rate of $26.02 (GS-6, Step 3).  These rates are from the Office of Personnel Management (OPM) 2017 General Schedule which excludes locality rates of pay.  </t>
    </r>
  </si>
  <si>
    <r>
      <t xml:space="preserve">c </t>
    </r>
    <r>
      <rPr>
        <sz val="10"/>
        <rFont val="Times New Roman"/>
        <family val="1"/>
      </rPr>
      <t xml:space="preserve"> The EPA is requiring periodic performance testing once every 5 years, with the first periodic performance test required within 3 years of the promulgation date of the final rule. Assumes 20 hours for periodic performance test report review, annualized over the 3 years of this information collection. We have assumed that 20 percent of periodic performance tests will be repeated due to failure. </t>
    </r>
  </si>
  <si>
    <r>
      <rPr>
        <vertAlign val="superscript"/>
        <sz val="12"/>
        <rFont val="Times New Roman"/>
        <family val="1"/>
      </rPr>
      <t>d</t>
    </r>
    <r>
      <rPr>
        <sz val="10"/>
        <rFont val="Times New Roman"/>
        <family val="1"/>
      </rPr>
      <t xml:space="preserve"> </t>
    </r>
    <r>
      <rPr>
        <sz val="10"/>
        <color rgb="FFFF0000"/>
        <rFont val="Times New Roman"/>
        <family val="1"/>
      </rPr>
      <t xml:space="preserve"> </t>
    </r>
    <r>
      <rPr>
        <sz val="10"/>
        <color theme="1"/>
        <rFont val="Times New Roman"/>
        <family val="1"/>
      </rPr>
      <t xml:space="preserve">Total cost has been rounded to 3 significant figures. Figures may not add exactly due to rounding. </t>
    </r>
  </si>
  <si>
    <t>Operation and Maintenance (O&amp;M) Costs</t>
  </si>
  <si>
    <t>Periodic 5-Year Test</t>
  </si>
  <si>
    <r>
      <t xml:space="preserve">Cost, Annualized </t>
    </r>
    <r>
      <rPr>
        <vertAlign val="superscript"/>
        <sz val="10"/>
        <rFont val="Times New Roman"/>
        <family val="1"/>
      </rPr>
      <t>a</t>
    </r>
  </si>
  <si>
    <r>
      <t xml:space="preserve">Number of Respondents </t>
    </r>
    <r>
      <rPr>
        <vertAlign val="superscript"/>
        <sz val="10"/>
        <rFont val="Times New Roman"/>
        <family val="1"/>
      </rPr>
      <t>b</t>
    </r>
  </si>
  <si>
    <r>
      <t>PM control device</t>
    </r>
    <r>
      <rPr>
        <vertAlign val="superscript"/>
        <sz val="10"/>
        <rFont val="Times New Roman"/>
        <family val="1"/>
      </rPr>
      <t xml:space="preserve"> c</t>
    </r>
  </si>
  <si>
    <r>
      <t xml:space="preserve">Thermal oxidizer </t>
    </r>
    <r>
      <rPr>
        <vertAlign val="superscript"/>
        <sz val="10"/>
        <rFont val="Times New Roman"/>
        <family val="1"/>
      </rPr>
      <t>d</t>
    </r>
  </si>
  <si>
    <r>
      <t xml:space="preserve">Opacity Testing </t>
    </r>
    <r>
      <rPr>
        <vertAlign val="superscript"/>
        <sz val="10"/>
        <rFont val="Times New Roman"/>
        <family val="1"/>
      </rPr>
      <t>e</t>
    </r>
  </si>
  <si>
    <r>
      <rPr>
        <vertAlign val="superscript"/>
        <sz val="10"/>
        <rFont val="Times New Roman"/>
        <family val="1"/>
      </rPr>
      <t>a</t>
    </r>
    <r>
      <rPr>
        <sz val="10"/>
        <rFont val="Times New Roman"/>
        <family val="1"/>
      </rPr>
      <t xml:space="preserve"> Assumes periodic testing of once per 5 years, with the first periodic test required within 3 years of the publication date of the final RTR amendments. Assumes the first periodic performance test would occur in the third year of this information collection, and this cost includes any contractor costs associated with repeat testing. </t>
    </r>
  </si>
  <si>
    <r>
      <rPr>
        <vertAlign val="superscript"/>
        <sz val="10"/>
        <rFont val="Times New Roman"/>
        <family val="1"/>
      </rPr>
      <t>b</t>
    </r>
    <r>
      <rPr>
        <sz val="10"/>
        <rFont val="Times New Roman"/>
        <family val="1"/>
      </rPr>
      <t xml:space="preserve"> Assumes an average of 8 respondents per year would perform the following tests: (1) 4 asphalt roofing manufacturing facilities would conduct an EPA Method 5A test of the PM control device, an EPA Method 25A test of the thermal oxidizer, and an EPA Method 9 opacity test; and (2) 4 asphalt processing facilities would conduct an EPA Method 25A test of the thermal oxidizer and an EPA Method 9 opacity test. Assumes that 3 of the 4 asphalt roofing manufacturing facilities and 1 of the 4 asphalt processing facilities already perform all periodic performance testing under State Agency permits; therefore, this information collection includes the cost for only the 4 remaining facilities not currently required to conduct periodic testing under State Agency permits (1 asphalt roofing manufacturing facility and 3 asphalt processing facilities). </t>
    </r>
  </si>
  <si>
    <r>
      <t>d</t>
    </r>
    <r>
      <rPr>
        <sz val="10"/>
        <rFont val="Times New Roman"/>
        <family val="1"/>
      </rPr>
      <t xml:space="preserve"> Assumes the contractor cost for total hydrocarbon (THC) performance testing of a thermal oxidizer using EPA Method 25A is $44,000. </t>
    </r>
  </si>
  <si>
    <r>
      <rPr>
        <vertAlign val="superscript"/>
        <sz val="10"/>
        <rFont val="Times New Roman"/>
        <family val="1"/>
      </rPr>
      <t xml:space="preserve">e </t>
    </r>
    <r>
      <rPr>
        <sz val="10"/>
        <rFont val="Times New Roman"/>
        <family val="1"/>
      </rPr>
      <t>Assumes the contractor cost for opacity testing using EPA Method 9 is $1,500.</t>
    </r>
  </si>
  <si>
    <t>5-Year Periodic Testing Costs For Facilities Not Currently Required to Test Under State Permit</t>
  </si>
  <si>
    <t>Industry Sub-Group</t>
  </si>
  <si>
    <r>
      <t>Number of Facilities Not Currently Required to Test Under State Permit</t>
    </r>
    <r>
      <rPr>
        <b/>
        <vertAlign val="superscript"/>
        <sz val="10"/>
        <rFont val="Times New Roman"/>
        <family val="1"/>
      </rPr>
      <t xml:space="preserve"> a</t>
    </r>
    <r>
      <rPr>
        <b/>
        <sz val="10"/>
        <rFont val="Times New Roman"/>
        <family val="1"/>
      </rPr>
      <t xml:space="preserve"> ($)</t>
    </r>
  </si>
  <si>
    <t>Average PM Test Cost per Facility ($)</t>
  </si>
  <si>
    <t>Average VE or Opacity
Test Cost per Facility ($)</t>
  </si>
  <si>
    <t>Average THC Test Cost per Facility ($)</t>
  </si>
  <si>
    <t>Total Average Test Cost Per Facility ($)</t>
  </si>
  <si>
    <r>
      <t xml:space="preserve">Total Cost for Facilities Not Currently Required to Test Under State Permit </t>
    </r>
    <r>
      <rPr>
        <b/>
        <vertAlign val="superscript"/>
        <sz val="10"/>
        <rFont val="Times New Roman"/>
        <family val="1"/>
      </rPr>
      <t>a</t>
    </r>
    <r>
      <rPr>
        <b/>
        <sz val="10"/>
        <rFont val="Times New Roman"/>
        <family val="1"/>
      </rPr>
      <t xml:space="preserve"> ($)</t>
    </r>
  </si>
  <si>
    <t>Asphalt roofing manufacturing facilities</t>
  </si>
  <si>
    <t>Asphalt processing facilities</t>
  </si>
  <si>
    <t>Total - Asphalt roofing manufacturing facilities and Asphalt processing facilities</t>
  </si>
  <si>
    <r>
      <rPr>
        <vertAlign val="superscript"/>
        <sz val="10"/>
        <rFont val="Times New Roman"/>
        <family val="1"/>
      </rPr>
      <t>a</t>
    </r>
    <r>
      <rPr>
        <sz val="10"/>
        <rFont val="Times New Roman"/>
        <family val="1"/>
      </rPr>
      <t xml:space="preserve"> Includes Hunt Southland Refining Co. - Sandersville, Certainteed Corp. (Oxford, NC),Wynnewood Refining Co., and Valero Refining Co. </t>
    </r>
  </si>
  <si>
    <t>Source: Appendix A from memo "Cost Impacts for the Asphalt Processing and Asphalt Roofing Manufacturing Risk and Technology Review Proposal", September 2018</t>
  </si>
  <si>
    <t>Facility Name</t>
  </si>
  <si>
    <t>City</t>
  </si>
  <si>
    <t>State</t>
  </si>
  <si>
    <t>State Required 5-yr Tests</t>
  </si>
  <si>
    <r>
      <t>Asphalt Storage Tanks</t>
    </r>
    <r>
      <rPr>
        <b/>
        <vertAlign val="superscript"/>
        <sz val="10"/>
        <rFont val="Times New Roman"/>
        <family val="1"/>
      </rPr>
      <t>1</t>
    </r>
  </si>
  <si>
    <t>Number of PM Control Devices</t>
  </si>
  <si>
    <t>Number of Thermal Oxidizers</t>
  </si>
  <si>
    <r>
      <t>VE or Opacity Test Cost</t>
    </r>
    <r>
      <rPr>
        <b/>
        <vertAlign val="superscript"/>
        <sz val="10"/>
        <rFont val="Times New Roman"/>
        <family val="1"/>
      </rPr>
      <t>1</t>
    </r>
    <r>
      <rPr>
        <b/>
        <sz val="10"/>
        <rFont val="Times New Roman"/>
        <family val="1"/>
      </rPr>
      <t xml:space="preserve"> ($)</t>
    </r>
  </si>
  <si>
    <r>
      <t>PM Test Cost</t>
    </r>
    <r>
      <rPr>
        <b/>
        <vertAlign val="superscript"/>
        <sz val="10"/>
        <rFont val="Times New Roman"/>
        <family val="1"/>
      </rPr>
      <t>2</t>
    </r>
    <r>
      <rPr>
        <b/>
        <sz val="10"/>
        <rFont val="Times New Roman"/>
        <family val="1"/>
      </rPr>
      <t xml:space="preserve"> ($)</t>
    </r>
  </si>
  <si>
    <r>
      <t>THC Test Cost</t>
    </r>
    <r>
      <rPr>
        <b/>
        <vertAlign val="superscript"/>
        <sz val="10"/>
        <rFont val="Times New Roman"/>
        <family val="1"/>
      </rPr>
      <t>3</t>
    </r>
    <r>
      <rPr>
        <b/>
        <sz val="10"/>
        <rFont val="Times New Roman"/>
        <family val="1"/>
      </rPr>
      <t xml:space="preserve"> ($)</t>
    </r>
  </si>
  <si>
    <t>Total Test Cost ($)</t>
  </si>
  <si>
    <t>Hunt Refining Company</t>
  </si>
  <si>
    <t>Tuscaloosa</t>
  </si>
  <si>
    <t>AL</t>
  </si>
  <si>
    <t>Yes</t>
  </si>
  <si>
    <t>see footnote 4</t>
  </si>
  <si>
    <t>Owens-Corning</t>
  </si>
  <si>
    <t>Minneapolis</t>
  </si>
  <si>
    <t>MN</t>
  </si>
  <si>
    <t>Hunt Southland Refining Co. - Sandersville</t>
  </si>
  <si>
    <t>Heidelberg</t>
  </si>
  <si>
    <t>MS</t>
  </si>
  <si>
    <t>No</t>
  </si>
  <si>
    <t>Certainteed Corp.</t>
  </si>
  <si>
    <t>Oxford</t>
  </si>
  <si>
    <t>NC</t>
  </si>
  <si>
    <t>Owens-Corning Fiberglass Trumball</t>
  </si>
  <si>
    <t>Medina</t>
  </si>
  <si>
    <t>OH</t>
  </si>
  <si>
    <t>Wynnewood Refining Co.</t>
  </si>
  <si>
    <t>Wynnewood</t>
  </si>
  <si>
    <t>OK</t>
  </si>
  <si>
    <t>Valero Refining Co.</t>
  </si>
  <si>
    <t>Ardmore</t>
  </si>
  <si>
    <t>Shakopee</t>
  </si>
  <si>
    <t>TOTAL COST OVER 5-YR PERIOD</t>
  </si>
  <si>
    <r>
      <t>1</t>
    </r>
    <r>
      <rPr>
        <sz val="10"/>
        <rFont val="Times New Roman"/>
        <family val="1"/>
      </rPr>
      <t xml:space="preserve"> Cost of opacity testing using EPA Test Method 9 is estimated to be $1,500. For each facility that has asphalt storage tanks, it was assumed that the facility would have at least one Method 9 test.</t>
    </r>
  </si>
  <si>
    <r>
      <t>2</t>
    </r>
    <r>
      <rPr>
        <sz val="10"/>
        <rFont val="Times New Roman"/>
        <family val="1"/>
      </rPr>
      <t xml:space="preserve"> Cost of PM performance testing using EPA Test Method 5A is estimated to be $16,500 for first filter and an add-on charge of $11,100 for each additional filter.</t>
    </r>
  </si>
  <si>
    <r>
      <t>3</t>
    </r>
    <r>
      <rPr>
        <sz val="10"/>
        <rFont val="Times New Roman"/>
        <family val="1"/>
      </rPr>
      <t xml:space="preserve"> Cost of THC performance testing using EPA Test Method 25A is estimated to range from $16,200 (concentration) to $44,000 (efficiency). We chose to be conservative and apply the higher cost of $44,000.</t>
    </r>
  </si>
  <si>
    <r>
      <t>4</t>
    </r>
    <r>
      <rPr>
        <sz val="10"/>
        <rFont val="Times New Roman"/>
        <family val="1"/>
      </rPr>
      <t xml:space="preserve"> Costs not included for these facilities because they are already required to test every 5-yrs by the State permitting agency and will not incur additional testing costs with the new testing requirements.</t>
    </r>
  </si>
  <si>
    <t>Total Cost, Annualized 
(B X C)</t>
  </si>
  <si>
    <r>
      <t>c</t>
    </r>
    <r>
      <rPr>
        <sz val="10"/>
        <rFont val="Times New Roman"/>
        <family val="1"/>
      </rPr>
      <t xml:space="preserve"> Assumes the contractor cost for PM control device performance testing using EPA Method 5A at a facility with 7 PM filters is $83,100, based on a cost of $16,500 for first filter and an add-on charge of $11,100 for each additional filter.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</si>
</sst>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General_)"/>
    <numFmt numFmtId="166" formatCode="&quot;$&quot;#,##0"/>
  </numFmts>
  <fonts count="31" x14ac:knownFonts="1">
    <font>
      <sz val="11"/>
      <color theme="1"/>
      <name val="Calibri"/>
      <family val="2"/>
      <scheme val="minor"/>
    </font>
    <font>
      <sz val="10"/>
      <color theme="1"/>
      <name val="Times New Roman"/>
      <family val="1"/>
    </font>
    <font>
      <sz val="10"/>
      <name val="Times New Roman"/>
      <family val="1"/>
    </font>
    <font>
      <b/>
      <sz val="10"/>
      <color rgb="FF000000"/>
      <name val="Times New Roman"/>
      <family val="1"/>
    </font>
    <font>
      <b/>
      <sz val="1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sz val="12"/>
      <color rgb="FF000000"/>
      <name val="Times New Roman"/>
      <family val="1"/>
    </font>
    <font>
      <b/>
      <sz val="12"/>
      <color rgb="FF000000"/>
      <name val="Times New Roman"/>
      <family val="1"/>
    </font>
    <font>
      <sz val="9"/>
      <color rgb="FF000000"/>
      <name val="Times New Roman"/>
      <family val="1"/>
    </font>
    <font>
      <vertAlign val="superscript"/>
      <sz val="12"/>
      <color theme="1"/>
      <name val="Times New Roman"/>
      <family val="1"/>
    </font>
    <font>
      <sz val="8"/>
      <name val="Helv"/>
    </font>
    <font>
      <sz val="10"/>
      <color rgb="FFFF0000"/>
      <name val="Times New Roman"/>
      <family val="1"/>
    </font>
    <font>
      <sz val="11"/>
      <name val="Calibri"/>
      <family val="2"/>
      <scheme val="minor"/>
    </font>
    <font>
      <sz val="10"/>
      <name val="Arial"/>
      <family val="2"/>
    </font>
    <font>
      <sz val="8"/>
      <name val="Courier"/>
      <family val="3"/>
    </font>
    <font>
      <b/>
      <sz val="10"/>
      <color rgb="FFFF0000"/>
      <name val="Times New Roman"/>
      <family val="1"/>
    </font>
    <font>
      <b/>
      <vertAlign val="superscript"/>
      <sz val="10"/>
      <color rgb="FF000000"/>
      <name val="Times New Roman"/>
      <family val="1"/>
    </font>
    <font>
      <b/>
      <vertAlign val="superscript"/>
      <sz val="10"/>
      <name val="Times New Roman"/>
      <family val="1"/>
    </font>
    <font>
      <i/>
      <sz val="10"/>
      <color rgb="FF000000"/>
      <name val="Times New Roman"/>
      <family val="1"/>
    </font>
    <font>
      <vertAlign val="superscript"/>
      <sz val="12"/>
      <name val="Times New Roman"/>
      <family val="1"/>
    </font>
    <font>
      <sz val="12"/>
      <color rgb="FFFF0000"/>
      <name val="Times New Roman"/>
      <family val="1"/>
    </font>
    <font>
      <b/>
      <sz val="12"/>
      <name val="Times New Roman"/>
      <family val="1"/>
    </font>
    <font>
      <b/>
      <sz val="12"/>
      <color theme="1"/>
      <name val="Times New Roman"/>
      <family val="1"/>
    </font>
    <font>
      <vertAlign val="superscript"/>
      <sz val="10"/>
      <name val="Times New Roman"/>
      <family val="1"/>
    </font>
    <font>
      <sz val="12"/>
      <name val="Times New Roman"/>
      <family val="1"/>
    </font>
    <font>
      <sz val="10"/>
      <name val="Calibri"/>
      <family val="2"/>
      <scheme val="minor"/>
    </font>
    <font>
      <b/>
      <u/>
      <sz val="10"/>
      <name val="Times New Roman"/>
      <family val="1"/>
    </font>
    <font>
      <sz val="12"/>
      <name val="Calibri"/>
      <family val="2"/>
      <scheme val="minor"/>
    </font>
    <font>
      <b/>
      <sz val="9"/>
      <name val="Times New Roman"/>
      <family val="1"/>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165" fontId="12" fillId="0" borderId="0"/>
    <xf numFmtId="0" fontId="15" fillId="0" borderId="0"/>
    <xf numFmtId="0" fontId="16" fillId="0" borderId="0"/>
  </cellStyleXfs>
  <cellXfs count="197">
    <xf numFmtId="0" fontId="0" fillId="0" borderId="0" xfId="0"/>
    <xf numFmtId="0" fontId="1" fillId="0" borderId="0" xfId="0" applyFont="1"/>
    <xf numFmtId="0" fontId="2" fillId="0" borderId="0" xfId="0" applyFont="1"/>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xf>
    <xf numFmtId="8"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5"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6" fontId="3" fillId="0" borderId="1" xfId="0" applyNumberFormat="1" applyFont="1" applyBorder="1" applyAlignment="1">
      <alignment horizontal="right" vertical="center"/>
    </xf>
    <xf numFmtId="0" fontId="5" fillId="0" borderId="1" xfId="0" applyFont="1" applyFill="1" applyBorder="1" applyAlignment="1">
      <alignment vertical="center" wrapText="1"/>
    </xf>
    <xf numFmtId="0" fontId="1" fillId="0" borderId="1" xfId="0" applyFont="1" applyBorder="1"/>
    <xf numFmtId="0" fontId="2" fillId="0" borderId="1" xfId="0" applyFont="1" applyBorder="1"/>
    <xf numFmtId="0" fontId="3" fillId="0" borderId="1" xfId="0" applyFont="1" applyFill="1" applyBorder="1" applyAlignment="1">
      <alignment vertical="center" wrapText="1"/>
    </xf>
    <xf numFmtId="6" fontId="7" fillId="0" borderId="1" xfId="0" applyNumberFormat="1" applyFont="1" applyBorder="1"/>
    <xf numFmtId="1" fontId="1" fillId="0" borderId="0" xfId="0" applyNumberFormat="1" applyFont="1"/>
    <xf numFmtId="8" fontId="5" fillId="0" borderId="1" xfId="0" applyNumberFormat="1" applyFont="1" applyBorder="1" applyAlignment="1">
      <alignment horizontal="right" vertical="center" wrapText="1"/>
    </xf>
    <xf numFmtId="0" fontId="1" fillId="0" borderId="1" xfId="0" applyFont="1" applyBorder="1" applyAlignment="1">
      <alignment vertical="center" wrapText="1"/>
    </xf>
    <xf numFmtId="6" fontId="3"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1"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13" fillId="0" borderId="0" xfId="0" applyFont="1"/>
    <xf numFmtId="0" fontId="1" fillId="0" borderId="0" xfId="0" applyFont="1" applyFill="1"/>
    <xf numFmtId="0" fontId="13" fillId="0" borderId="0" xfId="0" applyFont="1" applyFill="1"/>
    <xf numFmtId="0" fontId="0" fillId="0" borderId="0" xfId="0" applyFill="1"/>
    <xf numFmtId="0" fontId="13" fillId="0" borderId="0" xfId="0" applyFont="1" applyFill="1" applyAlignment="1">
      <alignment wrapText="1"/>
    </xf>
    <xf numFmtId="0" fontId="13" fillId="0" borderId="0" xfId="0" applyFont="1" applyAlignment="1">
      <alignment wrapText="1"/>
    </xf>
    <xf numFmtId="8" fontId="1" fillId="0" borderId="0" xfId="0" applyNumberFormat="1" applyFont="1" applyAlignment="1">
      <alignment wrapText="1"/>
    </xf>
    <xf numFmtId="0" fontId="0" fillId="0" borderId="0" xfId="0" applyFill="1" applyAlignment="1">
      <alignment wrapText="1"/>
    </xf>
    <xf numFmtId="0" fontId="2" fillId="0" borderId="0" xfId="0" applyFont="1" applyAlignment="1">
      <alignment horizontal="center" vertical="center"/>
    </xf>
    <xf numFmtId="0" fontId="3" fillId="0" borderId="1" xfId="0" applyFont="1" applyBorder="1" applyAlignment="1">
      <alignment vertical="center" wrapText="1"/>
    </xf>
    <xf numFmtId="0" fontId="0" fillId="0" borderId="0" xfId="0" applyBorder="1"/>
    <xf numFmtId="0" fontId="5" fillId="0" borderId="20" xfId="0" applyFont="1" applyBorder="1" applyAlignment="1">
      <alignment horizontal="center" vertical="center" wrapText="1"/>
    </xf>
    <xf numFmtId="0" fontId="13" fillId="0" borderId="0" xfId="0" applyFont="1" applyFill="1" applyBorder="1" applyAlignment="1">
      <alignment wrapText="1"/>
    </xf>
    <xf numFmtId="0" fontId="2" fillId="0" borderId="20" xfId="0" applyFont="1" applyBorder="1" applyAlignment="1">
      <alignment horizontal="center" vertical="center" wrapText="1"/>
    </xf>
    <xf numFmtId="6" fontId="1" fillId="0" borderId="0" xfId="0" applyNumberFormat="1" applyFont="1" applyAlignment="1">
      <alignment wrapText="1"/>
    </xf>
    <xf numFmtId="0" fontId="13" fillId="0" borderId="0" xfId="0" applyFont="1" applyFill="1" applyBorder="1" applyAlignment="1"/>
    <xf numFmtId="0" fontId="17" fillId="0" borderId="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9" fillId="0" borderId="0" xfId="0" applyFont="1" applyAlignment="1">
      <alignment horizontal="left" vertical="center"/>
    </xf>
    <xf numFmtId="0" fontId="23" fillId="0" borderId="0" xfId="0" applyFont="1"/>
    <xf numFmtId="0" fontId="2" fillId="0" borderId="19" xfId="0" applyFont="1" applyBorder="1" applyAlignment="1">
      <alignment horizontal="center" vertical="center" wrapText="1"/>
    </xf>
    <xf numFmtId="0" fontId="0" fillId="0" borderId="0" xfId="0" applyBorder="1" applyAlignment="1">
      <alignment horizontal="left" vertical="center" wrapText="1"/>
    </xf>
    <xf numFmtId="0" fontId="2" fillId="0" borderId="1" xfId="0" applyFont="1" applyBorder="1" applyAlignment="1">
      <alignment vertical="center" wrapText="1"/>
    </xf>
    <xf numFmtId="0" fontId="5" fillId="0" borderId="1" xfId="0" applyFont="1" applyFill="1" applyBorder="1" applyAlignment="1">
      <alignment horizontal="center" vertical="center"/>
    </xf>
    <xf numFmtId="165" fontId="28" fillId="0" borderId="20" xfId="1" applyFont="1" applyFill="1" applyBorder="1" applyAlignment="1">
      <alignment horizontal="center" vertical="center" wrapText="1"/>
    </xf>
    <xf numFmtId="165" fontId="2" fillId="0" borderId="20" xfId="1" applyFont="1" applyFill="1" applyBorder="1" applyAlignment="1">
      <alignment horizontal="center" vertical="center" wrapText="1"/>
    </xf>
    <xf numFmtId="164" fontId="2" fillId="0" borderId="20" xfId="1" applyNumberFormat="1" applyFont="1" applyFill="1" applyBorder="1" applyAlignment="1">
      <alignment horizontal="right" wrapText="1"/>
    </xf>
    <xf numFmtId="0" fontId="5" fillId="0" borderId="24" xfId="0" applyFont="1" applyBorder="1" applyAlignment="1">
      <alignment vertical="center" wrapText="1"/>
    </xf>
    <xf numFmtId="0" fontId="5" fillId="0" borderId="24" xfId="0" applyFont="1" applyBorder="1" applyAlignment="1">
      <alignment horizontal="center" vertical="center" wrapText="1"/>
    </xf>
    <xf numFmtId="6" fontId="5" fillId="0" borderId="24" xfId="0" applyNumberFormat="1" applyFont="1" applyBorder="1" applyAlignment="1">
      <alignment horizontal="right" vertical="center" wrapText="1"/>
    </xf>
    <xf numFmtId="0" fontId="17" fillId="0" borderId="12" xfId="0" applyFont="1" applyFill="1" applyBorder="1" applyAlignment="1">
      <alignment horizontal="center" vertical="center" wrapText="1"/>
    </xf>
    <xf numFmtId="0" fontId="2" fillId="0" borderId="8" xfId="2" applyFont="1" applyFill="1" applyBorder="1" applyAlignment="1">
      <alignment wrapText="1"/>
    </xf>
    <xf numFmtId="0" fontId="4" fillId="0" borderId="9" xfId="2" applyFont="1" applyFill="1" applyBorder="1" applyAlignment="1">
      <alignment vertical="center" wrapText="1"/>
    </xf>
    <xf numFmtId="0" fontId="4" fillId="0" borderId="10" xfId="2" applyFont="1" applyFill="1" applyBorder="1" applyAlignment="1">
      <alignment vertical="center" wrapText="1"/>
    </xf>
    <xf numFmtId="0" fontId="2" fillId="0" borderId="11" xfId="2" applyFont="1" applyFill="1" applyBorder="1"/>
    <xf numFmtId="164" fontId="2" fillId="0" borderId="11" xfId="3" applyNumberFormat="1" applyFont="1" applyBorder="1"/>
    <xf numFmtId="0" fontId="2" fillId="0" borderId="1" xfId="3" applyFont="1" applyFill="1" applyBorder="1"/>
    <xf numFmtId="164" fontId="2" fillId="0" borderId="1" xfId="3" applyNumberFormat="1" applyFont="1" applyBorder="1"/>
    <xf numFmtId="0" fontId="2" fillId="0" borderId="1" xfId="2" applyFont="1" applyFill="1" applyBorder="1"/>
    <xf numFmtId="2"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0" fontId="2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6" fontId="5" fillId="0" borderId="0" xfId="0" applyNumberFormat="1" applyFont="1" applyFill="1" applyBorder="1" applyAlignment="1">
      <alignment horizontal="center" vertical="center" wrapText="1"/>
    </xf>
    <xf numFmtId="166" fontId="5" fillId="0" borderId="0" xfId="0"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6" fontId="3" fillId="0" borderId="0"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13" fillId="0" borderId="0" xfId="0" applyFont="1" applyBorder="1" applyAlignment="1">
      <alignment horizontal="center" vertical="center" wrapText="1"/>
    </xf>
    <xf numFmtId="4" fontId="13" fillId="0" borderId="0" xfId="0" applyNumberFormat="1" applyFont="1" applyBorder="1" applyAlignment="1">
      <alignment horizontal="center" vertical="center" wrapText="1"/>
    </xf>
    <xf numFmtId="0" fontId="0" fillId="0" borderId="0" xfId="0" applyBorder="1" applyAlignment="1">
      <alignment horizontal="center" vertical="center" wrapText="1"/>
    </xf>
    <xf numFmtId="2"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13" fillId="0" borderId="0" xfId="0" applyFont="1" applyFill="1" applyBorder="1" applyAlignment="1">
      <alignment horizontal="left" vertical="center"/>
    </xf>
    <xf numFmtId="0" fontId="0" fillId="0" borderId="0" xfId="0" applyBorder="1" applyAlignment="1">
      <alignment horizontal="center" wrapText="1"/>
    </xf>
    <xf numFmtId="0" fontId="2" fillId="0" borderId="0" xfId="0" applyFont="1" applyFill="1"/>
    <xf numFmtId="0" fontId="2" fillId="0" borderId="20" xfId="0" applyFont="1" applyBorder="1" applyAlignment="1">
      <alignment horizontal="center" vertical="center"/>
    </xf>
    <xf numFmtId="0" fontId="4" fillId="0" borderId="20" xfId="0" applyFont="1" applyBorder="1" applyAlignment="1">
      <alignment horizontal="center" vertical="center" wrapText="1"/>
    </xf>
    <xf numFmtId="164" fontId="14" fillId="0" borderId="0" xfId="0" applyNumberFormat="1" applyFont="1"/>
    <xf numFmtId="164" fontId="2" fillId="0" borderId="0" xfId="0" applyNumberFormat="1" applyFont="1"/>
    <xf numFmtId="0" fontId="2" fillId="0" borderId="13" xfId="0" applyFont="1" applyBorder="1" applyAlignment="1">
      <alignment horizontal="center" vertical="center" wrapText="1"/>
    </xf>
    <xf numFmtId="8" fontId="2" fillId="0" borderId="2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9" xfId="0" applyFont="1" applyFill="1" applyBorder="1" applyAlignment="1">
      <alignment horizontal="center" vertical="center" wrapText="1"/>
    </xf>
    <xf numFmtId="8" fontId="2" fillId="0" borderId="19" xfId="0" applyNumberFormat="1" applyFont="1" applyFill="1" applyBorder="1" applyAlignment="1">
      <alignment horizontal="center" vertical="center"/>
    </xf>
    <xf numFmtId="166" fontId="4" fillId="0" borderId="19" xfId="0" applyNumberFormat="1" applyFont="1" applyFill="1" applyBorder="1" applyAlignment="1">
      <alignment horizontal="center" vertical="center" wrapText="1"/>
    </xf>
    <xf numFmtId="0" fontId="10" fillId="0" borderId="11" xfId="0" applyFont="1" applyBorder="1" applyAlignment="1">
      <alignment horizontal="center" vertical="center" wrapText="1"/>
    </xf>
    <xf numFmtId="2" fontId="5" fillId="0" borderId="1" xfId="0" applyNumberFormat="1" applyFont="1" applyFill="1" applyBorder="1" applyAlignment="1">
      <alignment horizontal="center" vertical="center"/>
    </xf>
    <xf numFmtId="0" fontId="14" fillId="0" borderId="0" xfId="0" applyFont="1"/>
    <xf numFmtId="0" fontId="4" fillId="0" borderId="20" xfId="0" applyFont="1" applyBorder="1" applyAlignment="1">
      <alignment horizontal="center" vertic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 fillId="0" borderId="20" xfId="0" applyFont="1" applyFill="1" applyBorder="1"/>
    <xf numFmtId="0" fontId="2" fillId="0" borderId="20" xfId="0" applyFont="1" applyBorder="1"/>
    <xf numFmtId="164" fontId="2" fillId="0" borderId="20" xfId="0" applyNumberFormat="1" applyFont="1" applyFill="1" applyBorder="1"/>
    <xf numFmtId="164" fontId="2" fillId="0" borderId="20" xfId="0" applyNumberFormat="1" applyFont="1" applyBorder="1"/>
    <xf numFmtId="166" fontId="2" fillId="0" borderId="20" xfId="0" applyNumberFormat="1" applyFont="1" applyBorder="1"/>
    <xf numFmtId="0" fontId="2" fillId="0" borderId="20" xfId="0" applyFont="1" applyBorder="1" applyAlignment="1">
      <alignment vertical="center" wrapText="1"/>
    </xf>
    <xf numFmtId="166" fontId="2" fillId="0" borderId="20" xfId="0" applyNumberFormat="1" applyFont="1" applyFill="1" applyBorder="1"/>
    <xf numFmtId="0" fontId="2" fillId="0" borderId="0" xfId="0" applyFont="1" applyFill="1" applyBorder="1" applyAlignment="1">
      <alignment vertical="center"/>
    </xf>
    <xf numFmtId="0" fontId="14" fillId="0" borderId="0" xfId="0" applyFont="1" applyBorder="1"/>
    <xf numFmtId="166" fontId="14" fillId="0" borderId="0" xfId="0" applyNumberFormat="1" applyFont="1" applyBorder="1"/>
    <xf numFmtId="0" fontId="26" fillId="0" borderId="0" xfId="0" applyFont="1" applyFill="1" applyBorder="1" applyAlignment="1">
      <alignment vertical="center" wrapText="1"/>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3" fontId="2" fillId="0" borderId="17"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xf>
    <xf numFmtId="1" fontId="14" fillId="0" borderId="0" xfId="0" applyNumberFormat="1" applyFont="1" applyFill="1"/>
    <xf numFmtId="0" fontId="14" fillId="0" borderId="0" xfId="0" applyFont="1" applyFill="1"/>
    <xf numFmtId="8" fontId="0" fillId="0" borderId="0" xfId="0" applyNumberFormat="1"/>
    <xf numFmtId="8" fontId="2"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6" fontId="5" fillId="0" borderId="1" xfId="0" applyNumberFormat="1" applyFont="1" applyFill="1" applyBorder="1" applyAlignment="1">
      <alignment horizontal="right" vertical="center"/>
    </xf>
    <xf numFmtId="1" fontId="4" fillId="0" borderId="1" xfId="0" applyNumberFormat="1" applyFont="1" applyBorder="1" applyAlignment="1">
      <alignment horizontal="center" vertical="center" wrapText="1"/>
    </xf>
    <xf numFmtId="0" fontId="1" fillId="0" borderId="0" xfId="0" applyFont="1" applyFill="1" applyAlignment="1">
      <alignment wrapText="1"/>
    </xf>
    <xf numFmtId="0" fontId="4" fillId="0" borderId="0" xfId="0" applyFont="1" applyFill="1" applyBorder="1" applyAlignment="1">
      <alignment horizontal="center" vertical="center" wrapText="1"/>
    </xf>
    <xf numFmtId="0" fontId="2" fillId="0" borderId="19" xfId="0" applyFont="1" applyBorder="1"/>
    <xf numFmtId="3" fontId="14" fillId="0" borderId="0" xfId="0" applyNumberFormat="1" applyFont="1"/>
    <xf numFmtId="0" fontId="2" fillId="0" borderId="0" xfId="0" applyFont="1" applyBorder="1"/>
    <xf numFmtId="0" fontId="4" fillId="0" borderId="0" xfId="0" applyFont="1" applyBorder="1" applyAlignment="1">
      <alignment horizontal="center" vertical="center" wrapText="1"/>
    </xf>
    <xf numFmtId="164" fontId="2" fillId="0" borderId="19" xfId="0" applyNumberFormat="1" applyFont="1" applyFill="1" applyBorder="1"/>
    <xf numFmtId="164" fontId="2" fillId="0" borderId="0" xfId="0" applyNumberFormat="1" applyFont="1" applyBorder="1"/>
    <xf numFmtId="164" fontId="2" fillId="0" borderId="19" xfId="0" applyNumberFormat="1" applyFont="1" applyBorder="1"/>
    <xf numFmtId="8" fontId="0" fillId="0" borderId="0" xfId="0" applyNumberFormat="1" applyBorder="1"/>
    <xf numFmtId="0" fontId="29" fillId="0" borderId="19" xfId="0" applyFont="1" applyBorder="1" applyAlignment="1">
      <alignment horizontal="center" wrapText="1"/>
    </xf>
    <xf numFmtId="0" fontId="29" fillId="0" borderId="0" xfId="0" applyFont="1" applyBorder="1" applyAlignment="1">
      <alignment horizontal="center" wrapText="1"/>
    </xf>
    <xf numFmtId="0" fontId="14" fillId="0" borderId="0" xfId="0" applyFont="1" applyBorder="1" applyAlignment="1"/>
    <xf numFmtId="8" fontId="1" fillId="0" borderId="20" xfId="0" applyNumberFormat="1" applyFont="1" applyBorder="1" applyAlignment="1">
      <alignment horizontal="center" vertical="center"/>
    </xf>
    <xf numFmtId="8" fontId="7" fillId="0" borderId="20" xfId="0" applyNumberFormat="1" applyFont="1" applyBorder="1" applyAlignment="1">
      <alignment horizontal="center" vertical="center"/>
    </xf>
    <xf numFmtId="0" fontId="5" fillId="0" borderId="1" xfId="0" applyFont="1" applyBorder="1" applyAlignment="1"/>
    <xf numFmtId="6" fontId="1" fillId="0" borderId="1" xfId="0" applyNumberFormat="1" applyFont="1" applyFill="1" applyBorder="1" applyAlignment="1">
      <alignment vertical="center"/>
    </xf>
    <xf numFmtId="0" fontId="2" fillId="0" borderId="1" xfId="0" applyFont="1" applyBorder="1" applyAlignment="1">
      <alignment horizontal="left" indent="2"/>
    </xf>
    <xf numFmtId="0" fontId="30" fillId="0" borderId="12" xfId="0" applyFont="1" applyFill="1" applyBorder="1" applyAlignment="1">
      <alignment horizontal="center" vertical="center" wrapText="1"/>
    </xf>
    <xf numFmtId="6" fontId="1" fillId="0" borderId="1" xfId="0" applyNumberFormat="1" applyFont="1" applyBorder="1" applyAlignment="1">
      <alignment vertical="center"/>
    </xf>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3"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22" fillId="0" borderId="5" xfId="0" applyFont="1" applyFill="1" applyBorder="1" applyAlignment="1">
      <alignment vertical="center" wrapText="1"/>
    </xf>
    <xf numFmtId="0" fontId="22" fillId="0" borderId="6" xfId="0" applyFont="1" applyFill="1" applyBorder="1" applyAlignment="1">
      <alignment vertical="center" wrapText="1"/>
    </xf>
    <xf numFmtId="0" fontId="3" fillId="0" borderId="1" xfId="0" applyFont="1" applyBorder="1" applyAlignment="1">
      <alignment horizontal="center" vertical="center" wrapText="1"/>
    </xf>
    <xf numFmtId="0" fontId="20" fillId="0" borderId="1" xfId="0" applyFont="1" applyBorder="1" applyAlignment="1">
      <alignment vertical="center" wrapText="1"/>
    </xf>
    <xf numFmtId="3" fontId="5" fillId="0" borderId="1" xfId="0" applyNumberFormat="1" applyFont="1" applyBorder="1" applyAlignment="1">
      <alignment horizontal="center" vertical="center"/>
    </xf>
    <xf numFmtId="0" fontId="21" fillId="0" borderId="0" xfId="0" applyFont="1" applyAlignment="1">
      <alignment vertical="center" wrapText="1"/>
    </xf>
    <xf numFmtId="0" fontId="14" fillId="0" borderId="0" xfId="0" applyFont="1" applyAlignment="1">
      <alignment wrapText="1"/>
    </xf>
    <xf numFmtId="0" fontId="2" fillId="0" borderId="0" xfId="0" applyFont="1" applyAlignment="1">
      <alignment vertical="center" wrapText="1"/>
    </xf>
    <xf numFmtId="165" fontId="4" fillId="0" borderId="20" xfId="1" applyFont="1" applyFill="1" applyBorder="1" applyAlignment="1">
      <alignment horizontal="left" vertical="top" wrapText="1"/>
    </xf>
    <xf numFmtId="3" fontId="3" fillId="0" borderId="1" xfId="0" applyNumberFormat="1" applyFont="1" applyBorder="1" applyAlignment="1">
      <alignment horizontal="center" vertical="center"/>
    </xf>
    <xf numFmtId="0" fontId="25" fillId="0" borderId="0" xfId="0" applyFont="1" applyAlignment="1">
      <alignment vertical="center" wrapText="1"/>
    </xf>
    <xf numFmtId="0" fontId="27" fillId="0" borderId="0" xfId="0" applyFont="1" applyAlignment="1">
      <alignment wrapText="1"/>
    </xf>
    <xf numFmtId="0" fontId="11" fillId="0" borderId="0" xfId="0" applyFont="1" applyAlignment="1">
      <alignment vertical="center" wrapText="1"/>
    </xf>
    <xf numFmtId="0" fontId="0" fillId="0" borderId="0" xfId="0" applyAlignment="1">
      <alignment wrapText="1"/>
    </xf>
    <xf numFmtId="0" fontId="4" fillId="0" borderId="7" xfId="2" applyFont="1" applyFill="1" applyBorder="1" applyAlignment="1">
      <alignment horizontal="left" wrapText="1"/>
    </xf>
    <xf numFmtId="0" fontId="4" fillId="0" borderId="1" xfId="0" applyFont="1" applyBorder="1" applyAlignment="1">
      <alignment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0" fillId="0" borderId="22" xfId="0" applyBorder="1" applyAlignment="1">
      <alignment horizontal="center" wrapText="1"/>
    </xf>
    <xf numFmtId="0" fontId="0" fillId="0" borderId="23" xfId="0" applyBorder="1" applyAlignment="1">
      <alignment horizontal="center" wrapText="1"/>
    </xf>
    <xf numFmtId="0" fontId="2" fillId="0" borderId="18" xfId="0" applyFont="1" applyBorder="1" applyAlignment="1">
      <alignment wrapText="1"/>
    </xf>
    <xf numFmtId="0" fontId="0" fillId="0" borderId="18" xfId="0" applyBorder="1" applyAlignment="1">
      <alignment wrapText="1"/>
    </xf>
    <xf numFmtId="0" fontId="2" fillId="0" borderId="0" xfId="0" applyFont="1" applyAlignment="1">
      <alignment wrapText="1"/>
    </xf>
    <xf numFmtId="0" fontId="25" fillId="0" borderId="0" xfId="0" applyFont="1" applyAlignment="1">
      <alignment horizontal="left" vertical="center" indent="1"/>
    </xf>
    <xf numFmtId="0" fontId="4" fillId="0" borderId="18" xfId="0" applyFont="1" applyFill="1" applyBorder="1" applyAlignment="1">
      <alignment horizontal="right" vertical="center"/>
    </xf>
    <xf numFmtId="0" fontId="4" fillId="0" borderId="16" xfId="0" applyFont="1" applyFill="1" applyBorder="1" applyAlignment="1">
      <alignment horizontal="right" vertical="center"/>
    </xf>
    <xf numFmtId="0" fontId="4" fillId="0" borderId="13" xfId="0" applyFont="1" applyBorder="1" applyAlignment="1">
      <alignment horizontal="center" vertical="center" wrapText="1"/>
    </xf>
    <xf numFmtId="0" fontId="27" fillId="0" borderId="14" xfId="0" applyFont="1" applyBorder="1" applyAlignment="1">
      <alignment wrapText="1"/>
    </xf>
    <xf numFmtId="0" fontId="27" fillId="0" borderId="15" xfId="0" applyFont="1" applyBorder="1" applyAlignment="1">
      <alignment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0" xfId="0" applyFont="1" applyFill="1" applyBorder="1" applyAlignment="1">
      <alignment vertical="center" wrapText="1"/>
    </xf>
    <xf numFmtId="0" fontId="23" fillId="0" borderId="21" xfId="0" applyFont="1" applyBorder="1" applyAlignment="1">
      <alignment horizontal="center" vertical="center" wrapText="1"/>
    </xf>
    <xf numFmtId="0" fontId="14" fillId="0" borderId="19" xfId="0" applyFont="1" applyBorder="1" applyAlignment="1">
      <alignment wrapText="1"/>
    </xf>
    <xf numFmtId="0" fontId="6" fillId="0" borderId="0" xfId="0" applyFont="1" applyAlignment="1">
      <alignment vertical="center" wrapText="1"/>
    </xf>
    <xf numFmtId="0" fontId="1" fillId="0" borderId="0" xfId="0" applyFont="1" applyAlignment="1">
      <alignment wrapText="1"/>
    </xf>
  </cellXfs>
  <cellStyles count="4">
    <cellStyle name="Normal" xfId="0" builtinId="0"/>
    <cellStyle name="Normal_HMIWI EG SS" xfId="3" xr:uid="{00000000-0005-0000-0000-000001000000}"/>
    <cellStyle name="Normal_ICR Cost Inputs" xfId="2" xr:uid="{00000000-0005-0000-0000-000002000000}"/>
    <cellStyle name="Normal_SSI Burden Estimate BML 060710" xfId="1"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workbookViewId="0">
      <selection activeCell="C9" sqref="C9"/>
    </sheetView>
  </sheetViews>
  <sheetFormatPr defaultRowHeight="15" x14ac:dyDescent="0.25"/>
  <cols>
    <col min="1" max="1" width="25.28515625" customWidth="1"/>
    <col min="2" max="2" width="11.42578125" customWidth="1"/>
    <col min="3" max="3" width="11.28515625" customWidth="1"/>
    <col min="4" max="4" width="16" customWidth="1"/>
    <col min="5" max="5" width="13.7109375" customWidth="1"/>
  </cols>
  <sheetData>
    <row r="1" spans="1:14" ht="16.5" thickBot="1" x14ac:dyDescent="0.3">
      <c r="A1" s="157"/>
      <c r="B1" s="158"/>
      <c r="C1" s="158"/>
      <c r="D1" s="158"/>
      <c r="E1" s="158"/>
      <c r="F1" s="158"/>
      <c r="G1" s="158"/>
    </row>
    <row r="2" spans="1:14" ht="16.5" thickBot="1" x14ac:dyDescent="0.3">
      <c r="A2" s="154" t="s">
        <v>0</v>
      </c>
      <c r="B2" s="155"/>
      <c r="C2" s="155"/>
      <c r="D2" s="155"/>
      <c r="E2" s="156"/>
    </row>
    <row r="3" spans="1:14" x14ac:dyDescent="0.25">
      <c r="A3" s="102" t="s">
        <v>1</v>
      </c>
      <c r="B3" s="102" t="s">
        <v>2</v>
      </c>
      <c r="C3" s="102" t="s">
        <v>3</v>
      </c>
      <c r="D3" s="102" t="s">
        <v>4</v>
      </c>
      <c r="E3" s="102" t="s">
        <v>5</v>
      </c>
      <c r="F3" s="148"/>
    </row>
    <row r="4" spans="1:14" ht="60" x14ac:dyDescent="0.25">
      <c r="A4" s="25" t="s">
        <v>6</v>
      </c>
      <c r="B4" s="25" t="s">
        <v>7</v>
      </c>
      <c r="C4" s="25" t="s">
        <v>8</v>
      </c>
      <c r="D4" s="25" t="s">
        <v>9</v>
      </c>
      <c r="E4" s="25" t="s">
        <v>10</v>
      </c>
      <c r="F4" s="34"/>
    </row>
    <row r="5" spans="1:14" ht="25.5" x14ac:dyDescent="0.25">
      <c r="A5" s="23" t="s">
        <v>11</v>
      </c>
      <c r="B5" s="86">
        <v>4</v>
      </c>
      <c r="C5" s="26">
        <f>'Table 1'!C17</f>
        <v>1</v>
      </c>
      <c r="D5" s="26">
        <v>0</v>
      </c>
      <c r="E5" s="86">
        <f t="shared" ref="E5:E6" si="0">B5*C5+D5</f>
        <v>4</v>
      </c>
      <c r="F5" s="34"/>
    </row>
    <row r="6" spans="1:14" ht="25.5" x14ac:dyDescent="0.25">
      <c r="A6" s="23" t="s">
        <v>12</v>
      </c>
      <c r="B6" s="86">
        <v>4</v>
      </c>
      <c r="C6" s="26">
        <v>1</v>
      </c>
      <c r="D6" s="26">
        <v>0</v>
      </c>
      <c r="E6" s="86">
        <f t="shared" si="0"/>
        <v>4</v>
      </c>
      <c r="F6" s="32"/>
      <c r="G6" s="34"/>
      <c r="H6" s="34"/>
      <c r="I6" s="34"/>
      <c r="J6" s="34"/>
      <c r="K6" s="34"/>
      <c r="L6" s="34"/>
      <c r="M6" s="34"/>
      <c r="N6" s="34"/>
    </row>
    <row r="7" spans="1:14" x14ac:dyDescent="0.25">
      <c r="A7" s="23"/>
      <c r="B7" s="23"/>
      <c r="C7" s="23"/>
      <c r="D7" s="26" t="s">
        <v>13</v>
      </c>
      <c r="E7" s="129">
        <f>SUM(E5:E6)</f>
        <v>8</v>
      </c>
      <c r="F7" s="91"/>
      <c r="G7" s="34"/>
      <c r="H7" s="34"/>
      <c r="I7" s="34"/>
      <c r="J7" s="34"/>
      <c r="K7" s="34"/>
      <c r="L7" s="34"/>
      <c r="M7" s="34"/>
      <c r="N7" s="34"/>
    </row>
    <row r="8" spans="1:14" x14ac:dyDescent="0.25">
      <c r="E8" s="27"/>
      <c r="G8" s="34"/>
      <c r="H8" s="34"/>
      <c r="I8" s="34"/>
      <c r="J8" s="34"/>
      <c r="K8" s="34"/>
      <c r="L8" s="34"/>
      <c r="M8" s="34"/>
      <c r="N8" s="34"/>
    </row>
    <row r="9" spans="1:14" x14ac:dyDescent="0.25">
      <c r="E9" s="27"/>
    </row>
    <row r="10" spans="1:14" x14ac:dyDescent="0.25">
      <c r="D10" s="1" t="s">
        <v>14</v>
      </c>
      <c r="E10" s="1">
        <v>0</v>
      </c>
    </row>
    <row r="11" spans="1:14" x14ac:dyDescent="0.25">
      <c r="D11" s="1" t="s">
        <v>15</v>
      </c>
      <c r="E11" s="2">
        <v>8</v>
      </c>
    </row>
    <row r="12" spans="1:14" x14ac:dyDescent="0.25">
      <c r="E12" s="27"/>
    </row>
  </sheetData>
  <mergeCells count="2">
    <mergeCell ref="A2:E2"/>
    <mergeCell ref="A1:G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tabSelected="1" topLeftCell="A13" workbookViewId="0">
      <selection activeCell="H33" sqref="H33"/>
    </sheetView>
  </sheetViews>
  <sheetFormatPr defaultRowHeight="15" x14ac:dyDescent="0.25"/>
  <cols>
    <col min="1" max="1" width="29.42578125" customWidth="1"/>
    <col min="2" max="2" width="9.5703125" customWidth="1"/>
    <col min="3" max="3" width="10.7109375" customWidth="1"/>
    <col min="4" max="4" width="9.7109375" customWidth="1"/>
    <col min="5" max="5" width="10.5703125" customWidth="1"/>
    <col min="6" max="6" width="10" customWidth="1"/>
    <col min="7" max="7" width="10.7109375" customWidth="1"/>
    <col min="8" max="8" width="7.85546875" customWidth="1"/>
    <col min="9" max="9" width="8.28515625" customWidth="1"/>
    <col min="10" max="10" width="18.140625" customWidth="1"/>
    <col min="11" max="11" width="16.28515625" customWidth="1"/>
    <col min="12" max="12" width="16.42578125" customWidth="1"/>
    <col min="13" max="13" width="16" customWidth="1"/>
  </cols>
  <sheetData>
    <row r="1" spans="1:13" ht="15.75" x14ac:dyDescent="0.25">
      <c r="A1" s="157"/>
      <c r="B1" s="158"/>
      <c r="C1" s="158"/>
      <c r="D1" s="158"/>
      <c r="E1" s="158"/>
      <c r="F1" s="158"/>
      <c r="G1" s="158"/>
    </row>
    <row r="2" spans="1:13" ht="15.75" x14ac:dyDescent="0.25">
      <c r="A2" s="50" t="s">
        <v>16</v>
      </c>
      <c r="J2" s="150"/>
    </row>
    <row r="3" spans="1:13" x14ac:dyDescent="0.25">
      <c r="A3" s="1"/>
      <c r="B3" s="1"/>
      <c r="C3" s="1"/>
      <c r="D3" s="1"/>
      <c r="E3" s="2"/>
      <c r="F3" s="95">
        <f>M17</f>
        <v>112.97999999999999</v>
      </c>
      <c r="G3" s="95">
        <f>M16</f>
        <v>149.35200000000003</v>
      </c>
      <c r="H3" s="95">
        <f>M18</f>
        <v>54.81</v>
      </c>
      <c r="I3" s="1"/>
      <c r="J3" s="151"/>
      <c r="K3" s="1"/>
      <c r="L3" s="1"/>
      <c r="M3" s="1"/>
    </row>
    <row r="4" spans="1:13" x14ac:dyDescent="0.25">
      <c r="A4" s="159" t="s">
        <v>17</v>
      </c>
      <c r="B4" s="153" t="s">
        <v>18</v>
      </c>
      <c r="C4" s="153" t="s">
        <v>19</v>
      </c>
      <c r="D4" s="153" t="s">
        <v>20</v>
      </c>
      <c r="E4" s="3" t="s">
        <v>21</v>
      </c>
      <c r="F4" s="153" t="s">
        <v>5</v>
      </c>
      <c r="G4" s="153" t="s">
        <v>22</v>
      </c>
      <c r="H4" s="153" t="s">
        <v>23</v>
      </c>
      <c r="I4" s="153" t="s">
        <v>24</v>
      </c>
      <c r="J4" s="35"/>
      <c r="K4" s="1"/>
      <c r="L4" s="1"/>
      <c r="M4" s="1"/>
    </row>
    <row r="5" spans="1:13" ht="63.75" x14ac:dyDescent="0.25">
      <c r="A5" s="159"/>
      <c r="B5" s="153" t="s">
        <v>25</v>
      </c>
      <c r="C5" s="153" t="s">
        <v>26</v>
      </c>
      <c r="D5" s="153" t="s">
        <v>27</v>
      </c>
      <c r="E5" s="4" t="s">
        <v>28</v>
      </c>
      <c r="F5" s="153" t="s">
        <v>29</v>
      </c>
      <c r="G5" s="153" t="s">
        <v>30</v>
      </c>
      <c r="H5" s="153" t="s">
        <v>31</v>
      </c>
      <c r="I5" s="153" t="s">
        <v>32</v>
      </c>
      <c r="J5" s="151"/>
      <c r="K5" s="1"/>
      <c r="L5" s="1"/>
      <c r="M5" s="1"/>
    </row>
    <row r="6" spans="1:13" x14ac:dyDescent="0.25">
      <c r="A6" s="5" t="s">
        <v>33</v>
      </c>
      <c r="B6" s="6" t="s">
        <v>34</v>
      </c>
      <c r="C6" s="6"/>
      <c r="D6" s="6"/>
      <c r="E6" s="7"/>
      <c r="F6" s="6"/>
      <c r="G6" s="6"/>
      <c r="H6" s="6"/>
      <c r="I6" s="6"/>
      <c r="J6" s="151"/>
      <c r="K6" s="1"/>
      <c r="L6" s="1"/>
      <c r="M6" s="1"/>
    </row>
    <row r="7" spans="1:13" x14ac:dyDescent="0.25">
      <c r="A7" s="5" t="s">
        <v>35</v>
      </c>
      <c r="B7" s="6" t="s">
        <v>34</v>
      </c>
      <c r="C7" s="6"/>
      <c r="D7" s="6"/>
      <c r="E7" s="7"/>
      <c r="F7" s="6"/>
      <c r="G7" s="6"/>
      <c r="H7" s="6"/>
      <c r="I7" s="6"/>
      <c r="J7" s="151"/>
      <c r="K7" s="1"/>
      <c r="L7" s="1"/>
      <c r="M7" s="1"/>
    </row>
    <row r="8" spans="1:13" ht="38.25" x14ac:dyDescent="0.25">
      <c r="A8" s="5" t="s">
        <v>36</v>
      </c>
      <c r="B8" s="6" t="s">
        <v>34</v>
      </c>
      <c r="C8" s="6"/>
      <c r="D8" s="6"/>
      <c r="E8" s="7"/>
      <c r="F8" s="6"/>
      <c r="G8" s="6"/>
      <c r="H8" s="6"/>
      <c r="I8" s="6"/>
      <c r="J8" s="151"/>
      <c r="K8" s="1"/>
      <c r="L8" s="1"/>
      <c r="M8" s="1"/>
    </row>
    <row r="9" spans="1:13" x14ac:dyDescent="0.25">
      <c r="A9" s="5" t="s">
        <v>37</v>
      </c>
      <c r="B9" s="8"/>
      <c r="C9" s="8"/>
      <c r="D9" s="8"/>
      <c r="E9" s="9"/>
      <c r="F9" s="8"/>
      <c r="G9" s="8"/>
      <c r="H9" s="8"/>
      <c r="I9" s="8"/>
      <c r="J9" s="151"/>
      <c r="K9" s="1" t="s">
        <v>14</v>
      </c>
      <c r="L9" s="1">
        <v>0</v>
      </c>
      <c r="M9" s="1"/>
    </row>
    <row r="10" spans="1:13" ht="24" customHeight="1" x14ac:dyDescent="0.25">
      <c r="A10" s="53" t="s">
        <v>38</v>
      </c>
      <c r="B10" s="8"/>
      <c r="C10" s="8"/>
      <c r="D10" s="8"/>
      <c r="E10" s="9"/>
      <c r="F10" s="8"/>
      <c r="G10" s="8"/>
      <c r="H10" s="8"/>
      <c r="I10" s="8"/>
      <c r="J10" s="151"/>
      <c r="K10" s="1" t="s">
        <v>15</v>
      </c>
      <c r="L10" s="2">
        <v>8</v>
      </c>
      <c r="M10" s="31"/>
    </row>
    <row r="11" spans="1:13" ht="18" customHeight="1" x14ac:dyDescent="0.25">
      <c r="A11" s="147" t="s">
        <v>39</v>
      </c>
      <c r="B11" s="87">
        <f>4/3</f>
        <v>1.3333333333333333</v>
      </c>
      <c r="C11" s="9">
        <v>1</v>
      </c>
      <c r="D11" s="88">
        <f>B11*C11</f>
        <v>1.3333333333333333</v>
      </c>
      <c r="E11" s="39">
        <f>L10</f>
        <v>8</v>
      </c>
      <c r="F11" s="88">
        <f>D11*E11</f>
        <v>10.666666666666666</v>
      </c>
      <c r="G11" s="88">
        <f>F11*0.05</f>
        <v>0.53333333333333333</v>
      </c>
      <c r="H11" s="88">
        <f>F11*0.1</f>
        <v>1.0666666666666667</v>
      </c>
      <c r="I11" s="10">
        <f>F11*$F$3+G11*$G$3+H11*$H$3</f>
        <v>1343.2383999999997</v>
      </c>
      <c r="J11" s="35"/>
      <c r="K11" s="2"/>
      <c r="L11" s="2"/>
      <c r="M11" s="2"/>
    </row>
    <row r="12" spans="1:13" x14ac:dyDescent="0.25">
      <c r="A12" s="5" t="s">
        <v>40</v>
      </c>
      <c r="B12" s="8"/>
      <c r="C12" s="8"/>
      <c r="D12" s="8"/>
      <c r="E12" s="9"/>
      <c r="F12" s="8"/>
      <c r="G12" s="8"/>
      <c r="H12" s="8"/>
      <c r="I12" s="11"/>
      <c r="J12" s="37"/>
      <c r="K12" s="1"/>
      <c r="L12" s="1"/>
      <c r="M12" s="1"/>
    </row>
    <row r="13" spans="1:13" ht="26.25" thickBot="1" x14ac:dyDescent="0.3">
      <c r="A13" s="5" t="s">
        <v>41</v>
      </c>
      <c r="B13" s="8"/>
      <c r="C13" s="8"/>
      <c r="D13" s="8"/>
      <c r="E13" s="9"/>
      <c r="F13" s="8"/>
      <c r="G13" s="8"/>
      <c r="H13" s="8"/>
      <c r="I13" s="11"/>
      <c r="J13" s="151"/>
      <c r="K13" s="1"/>
      <c r="L13" s="1"/>
      <c r="M13" s="1"/>
    </row>
    <row r="14" spans="1:13" ht="27.75" customHeight="1" thickBot="1" x14ac:dyDescent="0.3">
      <c r="A14" s="53" t="s">
        <v>42</v>
      </c>
      <c r="B14" s="9">
        <f>24/3</f>
        <v>8</v>
      </c>
      <c r="C14" s="9">
        <v>1.2</v>
      </c>
      <c r="D14" s="9">
        <f t="shared" ref="D14" si="0">B14*C14</f>
        <v>9.6</v>
      </c>
      <c r="E14" s="9">
        <v>4</v>
      </c>
      <c r="F14" s="9">
        <f t="shared" ref="F14" si="1">D14*E14</f>
        <v>38.4</v>
      </c>
      <c r="G14" s="9">
        <f t="shared" ref="G14" si="2">F14*0.05</f>
        <v>1.92</v>
      </c>
      <c r="H14" s="9">
        <f t="shared" ref="H14" si="3">F14*0.1</f>
        <v>3.84</v>
      </c>
      <c r="I14" s="126">
        <f t="shared" ref="I14" si="4">F14*$F$3+G14*$G$3+H14*$H$3</f>
        <v>4835.6582399999998</v>
      </c>
      <c r="J14" s="36"/>
      <c r="K14" s="165" t="s">
        <v>43</v>
      </c>
      <c r="L14" s="165"/>
      <c r="M14" s="165"/>
    </row>
    <row r="15" spans="1:13" ht="19.5" customHeight="1" thickBot="1" x14ac:dyDescent="0.3">
      <c r="A15" s="5" t="s">
        <v>44</v>
      </c>
      <c r="B15" s="12" t="s">
        <v>45</v>
      </c>
      <c r="C15" s="12"/>
      <c r="D15" s="8"/>
      <c r="E15" s="9"/>
      <c r="F15" s="8"/>
      <c r="G15" s="8"/>
      <c r="H15" s="8"/>
      <c r="I15" s="127"/>
      <c r="J15" s="151"/>
      <c r="K15" s="55" t="s">
        <v>46</v>
      </c>
      <c r="L15" s="55" t="s">
        <v>47</v>
      </c>
      <c r="M15" s="55" t="s">
        <v>48</v>
      </c>
    </row>
    <row r="16" spans="1:13" ht="15.75" thickBot="1" x14ac:dyDescent="0.3">
      <c r="A16" s="5" t="s">
        <v>49</v>
      </c>
      <c r="B16" s="8"/>
      <c r="C16" s="8"/>
      <c r="D16" s="8"/>
      <c r="E16" s="9"/>
      <c r="F16" s="8"/>
      <c r="G16" s="8"/>
      <c r="H16" s="8"/>
      <c r="I16" s="127"/>
      <c r="J16" s="151"/>
      <c r="K16" s="56" t="s">
        <v>50</v>
      </c>
      <c r="L16" s="57">
        <v>71.12</v>
      </c>
      <c r="M16" s="57">
        <f>L16+1.1*L16</f>
        <v>149.35200000000003</v>
      </c>
    </row>
    <row r="17" spans="1:13" ht="29.25" thickBot="1" x14ac:dyDescent="0.3">
      <c r="A17" s="16" t="s">
        <v>51</v>
      </c>
      <c r="B17" s="103">
        <f>4/3</f>
        <v>1.3333333333333333</v>
      </c>
      <c r="C17" s="54">
        <v>1</v>
      </c>
      <c r="D17" s="103">
        <f t="shared" ref="D17" si="5">B17*C17</f>
        <v>1.3333333333333333</v>
      </c>
      <c r="E17" s="98">
        <v>4</v>
      </c>
      <c r="F17" s="88">
        <f t="shared" ref="F17" si="6">D17*E17</f>
        <v>5.333333333333333</v>
      </c>
      <c r="G17" s="88">
        <f t="shared" ref="G17" si="7">F17*0.05</f>
        <v>0.26666666666666666</v>
      </c>
      <c r="H17" s="88">
        <f t="shared" ref="H17" si="8">F17*0.1</f>
        <v>0.53333333333333333</v>
      </c>
      <c r="I17" s="128">
        <f t="shared" ref="I17" si="9">F17*$F$3+G17*$G$3+H17*$H$3</f>
        <v>671.61919999999986</v>
      </c>
      <c r="J17" s="130"/>
      <c r="K17" s="56" t="s">
        <v>52</v>
      </c>
      <c r="L17" s="57">
        <v>53.8</v>
      </c>
      <c r="M17" s="57">
        <f>L17+1.1*L17</f>
        <v>112.97999999999999</v>
      </c>
    </row>
    <row r="18" spans="1:13" ht="29.25" thickBot="1" x14ac:dyDescent="0.3">
      <c r="A18" s="5" t="s">
        <v>53</v>
      </c>
      <c r="B18" s="12" t="s">
        <v>54</v>
      </c>
      <c r="C18" s="12"/>
      <c r="D18" s="8"/>
      <c r="E18" s="9"/>
      <c r="F18" s="8"/>
      <c r="G18" s="8"/>
      <c r="H18" s="8"/>
      <c r="I18" s="127"/>
      <c r="J18" s="151"/>
      <c r="K18" s="56" t="s">
        <v>55</v>
      </c>
      <c r="L18" s="57">
        <v>26.1</v>
      </c>
      <c r="M18" s="57">
        <f>L18+1.1*L18</f>
        <v>54.81</v>
      </c>
    </row>
    <row r="19" spans="1:13" x14ac:dyDescent="0.25">
      <c r="A19" s="160" t="s">
        <v>56</v>
      </c>
      <c r="B19" s="160"/>
      <c r="C19" s="160"/>
      <c r="D19" s="160"/>
      <c r="E19" s="160"/>
      <c r="F19" s="161">
        <f>SUM(F6:H18)</f>
        <v>62.559999999999995</v>
      </c>
      <c r="G19" s="161"/>
      <c r="H19" s="161"/>
      <c r="I19" s="146">
        <f>SUM(I6:I18)</f>
        <v>6850.5158399999991</v>
      </c>
      <c r="J19" s="150"/>
      <c r="K19" s="1"/>
      <c r="L19" s="1"/>
      <c r="M19" s="1"/>
    </row>
    <row r="20" spans="1:13" x14ac:dyDescent="0.25">
      <c r="A20" s="5" t="s">
        <v>57</v>
      </c>
      <c r="B20" s="8"/>
      <c r="C20" s="8"/>
      <c r="D20" s="8"/>
      <c r="E20" s="9"/>
      <c r="F20" s="8"/>
      <c r="G20" s="8"/>
      <c r="H20" s="8"/>
      <c r="I20" s="54"/>
      <c r="J20" s="151"/>
      <c r="K20" s="1"/>
      <c r="L20" s="1"/>
      <c r="M20" s="1"/>
    </row>
    <row r="21" spans="1:13" x14ac:dyDescent="0.25">
      <c r="A21" s="5" t="s">
        <v>58</v>
      </c>
      <c r="B21" s="12" t="s">
        <v>59</v>
      </c>
      <c r="C21" s="8"/>
      <c r="D21" s="8"/>
      <c r="E21" s="9"/>
      <c r="F21" s="8"/>
      <c r="G21" s="8"/>
      <c r="H21" s="8"/>
      <c r="I21" s="54"/>
      <c r="J21" s="151"/>
      <c r="K21" s="1"/>
      <c r="L21" s="1"/>
      <c r="M21" s="1"/>
    </row>
    <row r="22" spans="1:13" x14ac:dyDescent="0.25">
      <c r="A22" s="5" t="s">
        <v>60</v>
      </c>
      <c r="B22" s="145" t="s">
        <v>61</v>
      </c>
      <c r="C22" s="8"/>
      <c r="D22" s="8"/>
      <c r="E22" s="9"/>
      <c r="F22" s="8"/>
      <c r="G22" s="8"/>
      <c r="H22" s="8"/>
      <c r="I22" s="54"/>
      <c r="J22" s="151"/>
      <c r="K22" s="1"/>
      <c r="L22" s="1"/>
      <c r="M22" s="1"/>
    </row>
    <row r="23" spans="1:13" x14ac:dyDescent="0.25">
      <c r="A23" s="5" t="s">
        <v>62</v>
      </c>
      <c r="B23" s="12" t="s">
        <v>61</v>
      </c>
      <c r="C23" s="8"/>
      <c r="D23" s="8"/>
      <c r="E23" s="9"/>
      <c r="F23" s="8"/>
      <c r="G23" s="8"/>
      <c r="H23" s="8"/>
      <c r="I23" s="54"/>
      <c r="J23" s="151"/>
      <c r="K23" s="1"/>
      <c r="L23" s="1"/>
      <c r="M23" s="1"/>
    </row>
    <row r="24" spans="1:13" x14ac:dyDescent="0.25">
      <c r="A24" s="5" t="s">
        <v>63</v>
      </c>
      <c r="B24" s="8" t="s">
        <v>64</v>
      </c>
      <c r="C24" s="8"/>
      <c r="D24" s="8"/>
      <c r="E24" s="9"/>
      <c r="F24" s="8"/>
      <c r="G24" s="8"/>
      <c r="H24" s="8"/>
      <c r="I24" s="54"/>
      <c r="J24" s="151"/>
      <c r="K24" s="1"/>
      <c r="L24" s="1"/>
      <c r="M24" s="1"/>
    </row>
    <row r="25" spans="1:13" ht="25.5" x14ac:dyDescent="0.25">
      <c r="A25" s="5" t="s">
        <v>65</v>
      </c>
      <c r="B25" s="8"/>
      <c r="C25" s="8"/>
      <c r="D25" s="8"/>
      <c r="E25" s="9"/>
      <c r="F25" s="8"/>
      <c r="G25" s="8"/>
      <c r="H25" s="8"/>
      <c r="I25" s="127"/>
      <c r="J25" s="151"/>
      <c r="K25" s="1"/>
      <c r="L25" s="1"/>
      <c r="M25" s="1"/>
    </row>
    <row r="26" spans="1:13" ht="26.25" customHeight="1" x14ac:dyDescent="0.25">
      <c r="A26" s="16" t="s">
        <v>66</v>
      </c>
      <c r="B26" s="103">
        <f>4/3</f>
        <v>1.3333333333333333</v>
      </c>
      <c r="C26" s="54">
        <v>1</v>
      </c>
      <c r="D26" s="103">
        <f t="shared" ref="D26" si="10">B26*C26</f>
        <v>1.3333333333333333</v>
      </c>
      <c r="E26" s="98">
        <v>4</v>
      </c>
      <c r="F26" s="88">
        <f t="shared" ref="F26" si="11">D26*E26</f>
        <v>5.333333333333333</v>
      </c>
      <c r="G26" s="88">
        <f t="shared" ref="G26" si="12">F26*0.05</f>
        <v>0.26666666666666666</v>
      </c>
      <c r="H26" s="88">
        <f t="shared" ref="H26" si="13">F26*0.1</f>
        <v>0.53333333333333333</v>
      </c>
      <c r="I26" s="128">
        <f t="shared" ref="I26" si="14">F26*$F$3+G26*$G$3+H26*$H$3</f>
        <v>671.61919999999986</v>
      </c>
      <c r="J26" s="151"/>
      <c r="K26" s="1"/>
      <c r="L26" s="1"/>
      <c r="M26" s="1"/>
    </row>
    <row r="27" spans="1:13" ht="18.75" customHeight="1" x14ac:dyDescent="0.25">
      <c r="A27" s="5" t="s">
        <v>67</v>
      </c>
      <c r="B27" s="145" t="s">
        <v>61</v>
      </c>
      <c r="C27" s="54"/>
      <c r="D27" s="103"/>
      <c r="E27" s="98"/>
      <c r="F27" s="88"/>
      <c r="G27" s="88"/>
      <c r="H27" s="88"/>
      <c r="I27" s="128"/>
      <c r="J27" s="151"/>
      <c r="K27" s="1"/>
      <c r="L27" s="1"/>
      <c r="M27" s="1"/>
    </row>
    <row r="28" spans="1:13" ht="18" customHeight="1" x14ac:dyDescent="0.25">
      <c r="A28" s="5" t="s">
        <v>68</v>
      </c>
      <c r="B28" s="8" t="s">
        <v>34</v>
      </c>
      <c r="C28" s="54"/>
      <c r="D28" s="103"/>
      <c r="E28" s="98"/>
      <c r="F28" s="88"/>
      <c r="G28" s="88"/>
      <c r="H28" s="88"/>
      <c r="I28" s="128"/>
      <c r="J28" s="151"/>
      <c r="K28" s="1"/>
      <c r="L28" s="1"/>
      <c r="M28" s="1"/>
    </row>
    <row r="29" spans="1:13" x14ac:dyDescent="0.25">
      <c r="A29" s="160" t="s">
        <v>69</v>
      </c>
      <c r="B29" s="160"/>
      <c r="C29" s="160"/>
      <c r="D29" s="160"/>
      <c r="E29" s="160"/>
      <c r="F29" s="161">
        <f>SUM(F20:H26)</f>
        <v>6.1333333333333329</v>
      </c>
      <c r="G29" s="161"/>
      <c r="H29" s="161"/>
      <c r="I29" s="149">
        <f>SUM(I20:I26)</f>
        <v>671.61919999999986</v>
      </c>
      <c r="J29" s="45"/>
      <c r="K29" s="1"/>
      <c r="L29" s="1"/>
      <c r="M29" s="1"/>
    </row>
    <row r="30" spans="1:13" ht="28.5" x14ac:dyDescent="0.25">
      <c r="A30" s="40" t="s">
        <v>70</v>
      </c>
      <c r="B30" s="13"/>
      <c r="C30" s="13"/>
      <c r="D30" s="13"/>
      <c r="E30" s="14"/>
      <c r="F30" s="166">
        <f>F19+F29</f>
        <v>68.693333333333328</v>
      </c>
      <c r="G30" s="166"/>
      <c r="H30" s="166"/>
      <c r="I30" s="15">
        <f>ROUND(I19+I29, -1)</f>
        <v>7520</v>
      </c>
      <c r="J30" s="91"/>
      <c r="L30" s="1"/>
      <c r="M30" s="1"/>
    </row>
    <row r="31" spans="1:13" ht="28.5" x14ac:dyDescent="0.25">
      <c r="A31" s="19" t="s">
        <v>71</v>
      </c>
      <c r="B31" s="17"/>
      <c r="C31" s="17"/>
      <c r="D31" s="17"/>
      <c r="E31" s="18"/>
      <c r="F31" s="17"/>
      <c r="G31" s="17"/>
      <c r="H31" s="17"/>
      <c r="I31" s="20">
        <f>'O&amp;M Cost'!D8</f>
        <v>88400</v>
      </c>
      <c r="J31" s="31"/>
      <c r="K31" s="125"/>
      <c r="L31" s="1"/>
      <c r="M31" s="1"/>
    </row>
    <row r="32" spans="1:13" ht="15.75" x14ac:dyDescent="0.25">
      <c r="A32" s="19" t="s">
        <v>72</v>
      </c>
      <c r="B32" s="17"/>
      <c r="C32" s="17"/>
      <c r="D32" s="17"/>
      <c r="E32" s="18"/>
      <c r="F32" s="17"/>
      <c r="G32" s="17"/>
      <c r="H32" s="17"/>
      <c r="I32" s="20">
        <f>ROUND(I30+I31, -2)</f>
        <v>95900</v>
      </c>
      <c r="J32" s="31"/>
      <c r="K32" s="125"/>
      <c r="L32" s="1"/>
      <c r="M32" s="1"/>
    </row>
    <row r="33" spans="1:13" x14ac:dyDescent="0.25">
      <c r="B33" s="1"/>
      <c r="C33" s="1"/>
      <c r="D33" s="1"/>
      <c r="E33" s="2"/>
      <c r="F33" s="1"/>
      <c r="G33" s="1"/>
      <c r="H33" s="21">
        <f>F30/'# Responses'!E7</f>
        <v>8.586666666666666</v>
      </c>
      <c r="I33" s="1" t="s">
        <v>73</v>
      </c>
      <c r="J33" s="36"/>
      <c r="K33" s="1"/>
      <c r="L33" s="1"/>
      <c r="M33" s="1"/>
    </row>
    <row r="34" spans="1:13" ht="30.75" customHeight="1" x14ac:dyDescent="0.25">
      <c r="A34" s="162" t="s">
        <v>74</v>
      </c>
      <c r="B34" s="163"/>
      <c r="C34" s="163"/>
      <c r="D34" s="163"/>
      <c r="E34" s="163"/>
      <c r="F34" s="163"/>
      <c r="G34" s="163"/>
      <c r="H34" s="163"/>
      <c r="I34" s="163"/>
      <c r="J34" s="36"/>
    </row>
    <row r="35" spans="1:13" ht="59.25" customHeight="1" x14ac:dyDescent="0.25">
      <c r="A35" s="162" t="s">
        <v>75</v>
      </c>
      <c r="B35" s="163"/>
      <c r="C35" s="163"/>
      <c r="D35" s="163"/>
      <c r="E35" s="163"/>
      <c r="F35" s="163"/>
      <c r="G35" s="163"/>
      <c r="H35" s="163"/>
      <c r="I35" s="163"/>
      <c r="J35" s="150"/>
    </row>
    <row r="36" spans="1:13" ht="31.5" customHeight="1" x14ac:dyDescent="0.25">
      <c r="A36" s="164" t="s">
        <v>76</v>
      </c>
      <c r="B36" s="163"/>
      <c r="C36" s="163"/>
      <c r="D36" s="163"/>
      <c r="E36" s="163"/>
      <c r="F36" s="163"/>
      <c r="G36" s="163"/>
      <c r="H36" s="163"/>
      <c r="I36" s="163"/>
      <c r="J36" s="150"/>
    </row>
    <row r="37" spans="1:13" ht="142.5" customHeight="1" x14ac:dyDescent="0.25">
      <c r="A37" s="167" t="s">
        <v>77</v>
      </c>
      <c r="B37" s="168"/>
      <c r="C37" s="168"/>
      <c r="D37" s="168"/>
      <c r="E37" s="168"/>
      <c r="F37" s="168"/>
      <c r="G37" s="168"/>
      <c r="H37" s="168"/>
      <c r="I37" s="168"/>
      <c r="J37" s="150"/>
    </row>
    <row r="38" spans="1:13" ht="19.5" customHeight="1" x14ac:dyDescent="0.25">
      <c r="A38" s="162" t="s">
        <v>78</v>
      </c>
      <c r="B38" s="163"/>
      <c r="C38" s="163"/>
      <c r="D38" s="163"/>
      <c r="E38" s="163"/>
      <c r="F38" s="163"/>
      <c r="G38" s="163"/>
      <c r="H38" s="163"/>
      <c r="I38" s="163"/>
    </row>
  </sheetData>
  <mergeCells count="13">
    <mergeCell ref="A38:I38"/>
    <mergeCell ref="A36:I36"/>
    <mergeCell ref="K14:M14"/>
    <mergeCell ref="F30:H30"/>
    <mergeCell ref="A34:I34"/>
    <mergeCell ref="A35:I35"/>
    <mergeCell ref="A37:I37"/>
    <mergeCell ref="A1:G1"/>
    <mergeCell ref="A4:A5"/>
    <mergeCell ref="A19:E19"/>
    <mergeCell ref="F19:H19"/>
    <mergeCell ref="A29:E29"/>
    <mergeCell ref="F29:H29"/>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workbookViewId="0">
      <selection activeCell="A13" sqref="A13:I13"/>
    </sheetView>
  </sheetViews>
  <sheetFormatPr defaultRowHeight="15" x14ac:dyDescent="0.25"/>
  <cols>
    <col min="1" max="1" width="27.7109375" customWidth="1"/>
    <col min="2" max="2" width="10" customWidth="1"/>
    <col min="3" max="3" width="10.5703125" customWidth="1"/>
    <col min="4" max="4" width="10" customWidth="1"/>
    <col min="5" max="5" width="10.85546875" customWidth="1"/>
    <col min="6" max="9" width="9.140625" customWidth="1"/>
    <col min="10" max="10" width="14.140625" customWidth="1"/>
    <col min="11" max="11" width="19.85546875" customWidth="1"/>
  </cols>
  <sheetData>
    <row r="1" spans="1:13" ht="15.75" x14ac:dyDescent="0.25">
      <c r="A1" s="157"/>
      <c r="B1" s="158"/>
      <c r="C1" s="158"/>
      <c r="D1" s="158"/>
      <c r="E1" s="158"/>
      <c r="F1" s="158"/>
      <c r="G1" s="158"/>
    </row>
    <row r="2" spans="1:13" ht="15.75" x14ac:dyDescent="0.25">
      <c r="A2" s="49" t="s">
        <v>79</v>
      </c>
    </row>
    <row r="3" spans="1:13" x14ac:dyDescent="0.25">
      <c r="F3" s="94">
        <f>M7</f>
        <v>48.080000000000005</v>
      </c>
      <c r="G3" s="94">
        <f>M8</f>
        <v>64.8</v>
      </c>
      <c r="H3" s="94">
        <f>M9</f>
        <v>26.016000000000005</v>
      </c>
    </row>
    <row r="4" spans="1:13" x14ac:dyDescent="0.25">
      <c r="A4" s="159" t="s">
        <v>17</v>
      </c>
      <c r="B4" s="153" t="s">
        <v>18</v>
      </c>
      <c r="C4" s="153" t="s">
        <v>19</v>
      </c>
      <c r="D4" s="153" t="s">
        <v>20</v>
      </c>
      <c r="E4" s="153" t="s">
        <v>21</v>
      </c>
      <c r="F4" s="153" t="s">
        <v>80</v>
      </c>
      <c r="G4" s="153" t="s">
        <v>22</v>
      </c>
      <c r="H4" s="153" t="s">
        <v>23</v>
      </c>
      <c r="I4" s="153" t="s">
        <v>24</v>
      </c>
      <c r="J4" s="61"/>
    </row>
    <row r="5" spans="1:13" ht="65.25" thickBot="1" x14ac:dyDescent="0.3">
      <c r="A5" s="159"/>
      <c r="B5" s="153" t="s">
        <v>25</v>
      </c>
      <c r="C5" s="153" t="s">
        <v>26</v>
      </c>
      <c r="D5" s="153" t="s">
        <v>27</v>
      </c>
      <c r="E5" s="153" t="s">
        <v>81</v>
      </c>
      <c r="F5" s="153" t="s">
        <v>82</v>
      </c>
      <c r="G5" s="153" t="s">
        <v>83</v>
      </c>
      <c r="H5" s="153" t="s">
        <v>84</v>
      </c>
      <c r="I5" s="153" t="s">
        <v>32</v>
      </c>
      <c r="K5" s="171" t="s">
        <v>85</v>
      </c>
      <c r="L5" s="171"/>
      <c r="M5" s="171"/>
    </row>
    <row r="6" spans="1:13" ht="21" customHeight="1" thickBot="1" x14ac:dyDescent="0.3">
      <c r="A6" s="5" t="s">
        <v>86</v>
      </c>
      <c r="B6" s="6"/>
      <c r="C6" s="6"/>
      <c r="D6" s="23"/>
      <c r="E6" s="6"/>
      <c r="F6" s="23"/>
      <c r="G6" s="23"/>
      <c r="H6" s="23"/>
      <c r="I6" s="22"/>
      <c r="J6" s="31"/>
      <c r="K6" s="62"/>
      <c r="L6" s="63" t="s">
        <v>87</v>
      </c>
      <c r="M6" s="64" t="s">
        <v>88</v>
      </c>
    </row>
    <row r="7" spans="1:13" ht="28.5" x14ac:dyDescent="0.25">
      <c r="A7" s="53" t="s">
        <v>89</v>
      </c>
      <c r="B7" s="70">
        <f>20/3</f>
        <v>6.666666666666667</v>
      </c>
      <c r="C7" s="7">
        <v>1.2</v>
      </c>
      <c r="D7" s="70">
        <f>B7*C7</f>
        <v>8</v>
      </c>
      <c r="E7" s="7">
        <f>'Table 1'!E14</f>
        <v>4</v>
      </c>
      <c r="F7" s="71">
        <f>D7*E7</f>
        <v>32</v>
      </c>
      <c r="G7" s="71">
        <f>F7*0.05</f>
        <v>1.6</v>
      </c>
      <c r="H7" s="71">
        <f>F7*0.1</f>
        <v>3.2</v>
      </c>
      <c r="I7" s="72">
        <f>F7*$F$3+G7*$G$3+H7*$H$3</f>
        <v>1725.4912000000002</v>
      </c>
      <c r="K7" s="65" t="s">
        <v>90</v>
      </c>
      <c r="L7" s="65">
        <v>30.05</v>
      </c>
      <c r="M7" s="66">
        <f>L7*1.6</f>
        <v>48.080000000000005</v>
      </c>
    </row>
    <row r="8" spans="1:13" x14ac:dyDescent="0.25">
      <c r="A8" s="172" t="s">
        <v>91</v>
      </c>
      <c r="B8" s="172"/>
      <c r="C8" s="172"/>
      <c r="D8" s="172"/>
      <c r="E8" s="172"/>
      <c r="F8" s="173">
        <f>SUM(F7:H7)</f>
        <v>36.800000000000004</v>
      </c>
      <c r="G8" s="174"/>
      <c r="H8" s="175"/>
      <c r="I8" s="24">
        <f>ROUND(I7, -1)</f>
        <v>1730</v>
      </c>
      <c r="K8" s="67" t="s">
        <v>92</v>
      </c>
      <c r="L8" s="67">
        <v>40.5</v>
      </c>
      <c r="M8" s="68">
        <f>L8*1.6</f>
        <v>64.8</v>
      </c>
    </row>
    <row r="9" spans="1:13" x14ac:dyDescent="0.25">
      <c r="A9" s="58"/>
      <c r="B9" s="59"/>
      <c r="C9" s="59"/>
      <c r="D9" s="59"/>
      <c r="E9" s="59"/>
      <c r="F9" s="59"/>
      <c r="G9" s="59"/>
      <c r="H9" s="59"/>
      <c r="I9" s="60"/>
      <c r="J9" s="2"/>
      <c r="K9" s="69" t="s">
        <v>93</v>
      </c>
      <c r="L9" s="69">
        <v>16.260000000000002</v>
      </c>
      <c r="M9" s="68">
        <f>L9*1.6</f>
        <v>26.016000000000005</v>
      </c>
    </row>
    <row r="10" spans="1:13" x14ac:dyDescent="0.25">
      <c r="A10" s="28" t="s">
        <v>94</v>
      </c>
    </row>
    <row r="11" spans="1:13" ht="30" customHeight="1" x14ac:dyDescent="0.25">
      <c r="A11" s="162" t="s">
        <v>74</v>
      </c>
      <c r="B11" s="163"/>
      <c r="C11" s="163"/>
      <c r="D11" s="163"/>
      <c r="E11" s="163"/>
      <c r="F11" s="163"/>
      <c r="G11" s="163"/>
      <c r="H11" s="163"/>
      <c r="I11" s="163"/>
      <c r="J11" s="36"/>
    </row>
    <row r="12" spans="1:13" ht="44.25" customHeight="1" x14ac:dyDescent="0.25">
      <c r="A12" s="162" t="s">
        <v>95</v>
      </c>
      <c r="B12" s="163"/>
      <c r="C12" s="163"/>
      <c r="D12" s="163"/>
      <c r="E12" s="163"/>
      <c r="F12" s="163"/>
      <c r="G12" s="163"/>
      <c r="H12" s="163"/>
      <c r="I12" s="163"/>
    </row>
    <row r="13" spans="1:13" ht="43.5" customHeight="1" x14ac:dyDescent="0.25">
      <c r="A13" s="167" t="s">
        <v>96</v>
      </c>
      <c r="B13" s="168"/>
      <c r="C13" s="168"/>
      <c r="D13" s="168"/>
      <c r="E13" s="168"/>
      <c r="F13" s="168"/>
      <c r="G13" s="168"/>
      <c r="H13" s="168"/>
      <c r="I13" s="168"/>
      <c r="J13" s="31"/>
    </row>
    <row r="14" spans="1:13" ht="19.5" customHeight="1" x14ac:dyDescent="0.25">
      <c r="A14" s="169" t="s">
        <v>97</v>
      </c>
      <c r="B14" s="170"/>
      <c r="C14" s="170"/>
      <c r="D14" s="170"/>
      <c r="E14" s="170"/>
      <c r="F14" s="170"/>
      <c r="G14" s="170"/>
      <c r="H14" s="170"/>
      <c r="I14" s="170"/>
    </row>
    <row r="15" spans="1:13" ht="15.75" x14ac:dyDescent="0.25">
      <c r="A15" s="29"/>
    </row>
  </sheetData>
  <mergeCells count="9">
    <mergeCell ref="A12:I12"/>
    <mergeCell ref="A14:I14"/>
    <mergeCell ref="A13:I13"/>
    <mergeCell ref="A1:G1"/>
    <mergeCell ref="K5:M5"/>
    <mergeCell ref="A8:E8"/>
    <mergeCell ref="F8:H8"/>
    <mergeCell ref="A11:I11"/>
    <mergeCell ref="A4: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9"/>
  <sheetViews>
    <sheetView topLeftCell="A16" workbookViewId="0">
      <selection activeCell="A11" sqref="A11:D11"/>
    </sheetView>
  </sheetViews>
  <sheetFormatPr defaultRowHeight="15" x14ac:dyDescent="0.25"/>
  <cols>
    <col min="1" max="1" width="20" customWidth="1"/>
    <col min="2" max="2" width="19.5703125" customWidth="1"/>
    <col min="3" max="3" width="20.42578125" customWidth="1"/>
    <col min="4" max="4" width="20.7109375" customWidth="1"/>
    <col min="5" max="5" width="14.5703125" customWidth="1"/>
    <col min="6" max="6" width="13.28515625" customWidth="1"/>
    <col min="7" max="7" width="12.85546875" customWidth="1"/>
    <col min="8" max="8" width="12" customWidth="1"/>
    <col min="9" max="9" width="13.42578125" customWidth="1"/>
    <col min="10" max="11" width="12" customWidth="1"/>
    <col min="12" max="12" width="15.28515625" customWidth="1"/>
  </cols>
  <sheetData>
    <row r="1" spans="1:25" ht="12" customHeight="1" thickBot="1" x14ac:dyDescent="0.3">
      <c r="B1" s="52"/>
      <c r="C1" s="52"/>
      <c r="D1" s="52"/>
      <c r="E1" s="52"/>
      <c r="F1" s="52"/>
      <c r="G1" s="52"/>
      <c r="H1" s="52"/>
      <c r="I1" s="52"/>
      <c r="J1" s="52"/>
      <c r="K1" s="52"/>
      <c r="L1" s="31"/>
    </row>
    <row r="2" spans="1:25" ht="34.5" customHeight="1" thickBot="1" x14ac:dyDescent="0.3">
      <c r="A2" s="176" t="s">
        <v>98</v>
      </c>
      <c r="B2" s="177"/>
      <c r="C2" s="177"/>
      <c r="D2" s="178"/>
      <c r="E2" s="90"/>
      <c r="F2" s="85"/>
      <c r="G2" s="85"/>
      <c r="H2" s="85"/>
      <c r="I2" s="73"/>
      <c r="J2" s="73"/>
      <c r="K2" s="73"/>
    </row>
    <row r="3" spans="1:25" ht="15.75" thickBot="1" x14ac:dyDescent="0.3">
      <c r="A3" s="42" t="s">
        <v>1</v>
      </c>
      <c r="B3" s="44" t="s">
        <v>2</v>
      </c>
      <c r="C3" s="44" t="s">
        <v>3</v>
      </c>
      <c r="D3" s="44" t="s">
        <v>4</v>
      </c>
      <c r="E3" s="51"/>
      <c r="H3" s="41"/>
      <c r="I3" s="74"/>
      <c r="J3" s="74"/>
      <c r="K3" s="75"/>
      <c r="L3" s="47"/>
    </row>
    <row r="4" spans="1:25" ht="39" customHeight="1" thickBot="1" x14ac:dyDescent="0.3">
      <c r="A4" s="96" t="s">
        <v>99</v>
      </c>
      <c r="B4" s="48" t="s">
        <v>100</v>
      </c>
      <c r="C4" s="48" t="s">
        <v>101</v>
      </c>
      <c r="D4" s="48" t="s">
        <v>162</v>
      </c>
      <c r="E4" s="99"/>
      <c r="F4" s="89"/>
      <c r="H4" s="41"/>
      <c r="I4" s="82"/>
      <c r="J4" s="76"/>
      <c r="K4" s="41"/>
    </row>
    <row r="5" spans="1:25" ht="33.75" customHeight="1" thickBot="1" x14ac:dyDescent="0.3">
      <c r="A5" s="44" t="s">
        <v>102</v>
      </c>
      <c r="B5" s="97">
        <f>C18/3</f>
        <v>27700</v>
      </c>
      <c r="C5" s="92">
        <v>1</v>
      </c>
      <c r="D5" s="143">
        <f>B5*C5</f>
        <v>27700</v>
      </c>
      <c r="E5" s="100"/>
      <c r="H5" s="41"/>
      <c r="I5" s="83"/>
      <c r="J5" s="77"/>
      <c r="K5" s="41"/>
      <c r="L5" s="46"/>
      <c r="M5" s="43"/>
      <c r="N5" s="43"/>
    </row>
    <row r="6" spans="1:25" ht="30.75" customHeight="1" thickBot="1" x14ac:dyDescent="0.3">
      <c r="A6" s="44" t="s">
        <v>103</v>
      </c>
      <c r="B6" s="97">
        <f>E19/3</f>
        <v>14666.666666666666</v>
      </c>
      <c r="C6" s="92">
        <v>4</v>
      </c>
      <c r="D6" s="143">
        <f>B6*C6</f>
        <v>58666.666666666664</v>
      </c>
      <c r="E6" s="100"/>
      <c r="H6" s="41"/>
      <c r="I6" s="84"/>
      <c r="J6" s="78"/>
      <c r="K6" s="41"/>
      <c r="L6" s="33"/>
      <c r="M6" s="34"/>
      <c r="N6" s="34"/>
    </row>
    <row r="7" spans="1:25" ht="31.5" customHeight="1" thickBot="1" x14ac:dyDescent="0.3">
      <c r="A7" s="44" t="s">
        <v>104</v>
      </c>
      <c r="B7" s="97">
        <f>D19/3</f>
        <v>500</v>
      </c>
      <c r="C7" s="92">
        <v>4</v>
      </c>
      <c r="D7" s="143">
        <f>B7*C7</f>
        <v>2000</v>
      </c>
      <c r="E7" s="100"/>
      <c r="H7" s="41"/>
      <c r="I7" s="84"/>
      <c r="J7" s="79"/>
      <c r="K7" s="41"/>
      <c r="L7" s="32"/>
      <c r="M7" s="34"/>
      <c r="N7" s="34"/>
    </row>
    <row r="8" spans="1:25" ht="15.75" thickBot="1" x14ac:dyDescent="0.3">
      <c r="A8" s="93" t="s">
        <v>13</v>
      </c>
      <c r="B8" s="92"/>
      <c r="C8" s="92"/>
      <c r="D8" s="144">
        <f>ROUND(SUM(D5:D7), -2)</f>
        <v>88400</v>
      </c>
      <c r="E8" s="101"/>
      <c r="F8" s="139"/>
      <c r="G8" s="41"/>
      <c r="H8" s="41"/>
      <c r="I8" s="81"/>
      <c r="J8" s="80"/>
      <c r="K8" s="41"/>
    </row>
    <row r="9" spans="1:25" ht="53.25" customHeight="1" x14ac:dyDescent="0.25">
      <c r="A9" s="179" t="s">
        <v>105</v>
      </c>
      <c r="B9" s="180"/>
      <c r="C9" s="180"/>
      <c r="D9" s="180"/>
      <c r="E9" s="152"/>
      <c r="L9" s="33"/>
    </row>
    <row r="10" spans="1:25" ht="104.25" customHeight="1" x14ac:dyDescent="0.25">
      <c r="A10" s="181" t="s">
        <v>106</v>
      </c>
      <c r="B10" s="170"/>
      <c r="C10" s="170"/>
      <c r="D10" s="170"/>
      <c r="E10" s="38"/>
      <c r="F10" s="34"/>
      <c r="L10" s="33"/>
    </row>
    <row r="11" spans="1:25" ht="43.5" customHeight="1" x14ac:dyDescent="0.25">
      <c r="A11" s="167" t="s">
        <v>163</v>
      </c>
      <c r="B11" s="170"/>
      <c r="C11" s="170"/>
      <c r="D11" s="170"/>
      <c r="E11" s="152"/>
      <c r="F11" s="91"/>
    </row>
    <row r="12" spans="1:25" ht="28.5" customHeight="1" x14ac:dyDescent="0.25">
      <c r="A12" s="167" t="s">
        <v>107</v>
      </c>
      <c r="B12" s="170"/>
      <c r="C12" s="170"/>
      <c r="D12" s="170"/>
      <c r="E12" s="152"/>
      <c r="F12" s="33"/>
    </row>
    <row r="13" spans="1:25" ht="20.25" customHeight="1" x14ac:dyDescent="0.25">
      <c r="A13" s="164" t="s">
        <v>108</v>
      </c>
      <c r="B13" s="170"/>
      <c r="C13" s="170"/>
      <c r="D13" s="170"/>
      <c r="E13" s="152"/>
    </row>
    <row r="14" spans="1:25" ht="30.75" customHeight="1" x14ac:dyDescent="0.25">
      <c r="A14" s="195"/>
      <c r="B14" s="196"/>
      <c r="C14" s="196"/>
      <c r="D14" s="196"/>
      <c r="E14" s="196"/>
    </row>
    <row r="15" spans="1:25" ht="16.5" thickBot="1" x14ac:dyDescent="0.3">
      <c r="A15" s="30"/>
    </row>
    <row r="16" spans="1:25" ht="28.5" customHeight="1" thickBot="1" x14ac:dyDescent="0.3">
      <c r="A16" s="193" t="s">
        <v>109</v>
      </c>
      <c r="B16" s="177"/>
      <c r="C16" s="177"/>
      <c r="D16" s="177"/>
      <c r="E16" s="177"/>
      <c r="F16" s="177"/>
      <c r="G16" s="177"/>
      <c r="H16" s="140"/>
      <c r="I16" s="141"/>
      <c r="J16" s="142"/>
      <c r="K16" s="104"/>
      <c r="L16" s="104"/>
      <c r="M16" s="104"/>
      <c r="N16" s="104"/>
      <c r="O16" s="104"/>
      <c r="P16" s="104"/>
      <c r="Q16" s="104"/>
      <c r="R16" s="104"/>
      <c r="S16" s="104"/>
      <c r="T16" s="104"/>
      <c r="U16" s="104"/>
      <c r="V16" s="104"/>
      <c r="W16" s="104"/>
      <c r="X16" s="104"/>
      <c r="Y16" s="104"/>
    </row>
    <row r="17" spans="1:25" ht="97.5" customHeight="1" thickBot="1" x14ac:dyDescent="0.3">
      <c r="A17" s="105" t="s">
        <v>110</v>
      </c>
      <c r="B17" s="93" t="s">
        <v>111</v>
      </c>
      <c r="C17" s="106" t="s">
        <v>112</v>
      </c>
      <c r="D17" s="106" t="s">
        <v>113</v>
      </c>
      <c r="E17" s="106" t="s">
        <v>114</v>
      </c>
      <c r="F17" s="106" t="s">
        <v>115</v>
      </c>
      <c r="G17" s="106" t="s">
        <v>116</v>
      </c>
      <c r="H17" s="107"/>
      <c r="I17" s="41"/>
      <c r="J17" s="135"/>
      <c r="K17" s="41"/>
      <c r="L17" s="131"/>
      <c r="M17" s="104"/>
      <c r="N17" s="104"/>
      <c r="O17" s="104"/>
      <c r="P17" s="104"/>
      <c r="Q17" s="104"/>
      <c r="R17" s="104"/>
      <c r="S17" s="104"/>
      <c r="T17" s="104"/>
      <c r="U17" s="104"/>
      <c r="V17" s="104"/>
      <c r="W17" s="104"/>
      <c r="X17" s="104"/>
      <c r="Y17" s="104"/>
    </row>
    <row r="18" spans="1:25" ht="15.75" thickBot="1" x14ac:dyDescent="0.3">
      <c r="A18" s="108" t="s">
        <v>117</v>
      </c>
      <c r="B18" s="109">
        <v>1</v>
      </c>
      <c r="C18" s="110">
        <f>I30</f>
        <v>83100</v>
      </c>
      <c r="D18" s="110">
        <f>AVERAGE(H28,H30,H31,H34)</f>
        <v>1500</v>
      </c>
      <c r="E18" s="110">
        <f>AVERAGE(J28,J30,J31,J34)</f>
        <v>55000</v>
      </c>
      <c r="F18" s="110">
        <f>C18+D18+E18</f>
        <v>139600</v>
      </c>
      <c r="G18" s="112">
        <f>F18*B18</f>
        <v>139600</v>
      </c>
      <c r="H18" s="136"/>
      <c r="I18" s="41"/>
      <c r="J18" s="137"/>
      <c r="K18" s="41"/>
      <c r="L18" s="134"/>
      <c r="M18" s="104"/>
      <c r="N18" s="104"/>
      <c r="O18" s="104"/>
      <c r="P18" s="104"/>
      <c r="Q18" s="104"/>
      <c r="R18" s="104"/>
      <c r="S18" s="104"/>
      <c r="T18" s="104"/>
      <c r="U18" s="104"/>
      <c r="V18" s="104"/>
      <c r="W18" s="104"/>
      <c r="X18" s="104"/>
      <c r="Y18" s="104"/>
    </row>
    <row r="19" spans="1:25" ht="15.75" thickBot="1" x14ac:dyDescent="0.3">
      <c r="A19" s="108" t="s">
        <v>118</v>
      </c>
      <c r="B19" s="109">
        <v>3</v>
      </c>
      <c r="C19" s="111">
        <f>AVERAGE(I27+I29+I32+I33)</f>
        <v>0</v>
      </c>
      <c r="D19" s="111">
        <f>AVERAGE(H27,H29,H32,H33)</f>
        <v>1500</v>
      </c>
      <c r="E19" s="111">
        <f>AVERAGE(J27,J29,J32,J33)</f>
        <v>44000</v>
      </c>
      <c r="F19" s="111">
        <f>C19+D19+E19</f>
        <v>45500</v>
      </c>
      <c r="G19" s="112">
        <f>F19*B19</f>
        <v>136500</v>
      </c>
      <c r="H19" s="138"/>
      <c r="I19" s="41"/>
      <c r="J19" s="137"/>
      <c r="K19" s="41"/>
      <c r="L19" s="134"/>
      <c r="M19" s="104"/>
      <c r="N19" s="104"/>
      <c r="O19" s="104"/>
      <c r="P19" s="104"/>
      <c r="Q19" s="104"/>
      <c r="R19" s="104"/>
      <c r="S19" s="104"/>
      <c r="T19" s="104"/>
      <c r="U19" s="104"/>
      <c r="V19" s="104"/>
      <c r="W19" s="104"/>
      <c r="X19" s="104"/>
      <c r="Y19" s="104"/>
    </row>
    <row r="20" spans="1:25" ht="38.25" customHeight="1" thickBot="1" x14ac:dyDescent="0.3">
      <c r="A20" s="113" t="s">
        <v>119</v>
      </c>
      <c r="B20" s="109">
        <f>SUM(B18:B19)</f>
        <v>4</v>
      </c>
      <c r="C20" s="109"/>
      <c r="D20" s="109"/>
      <c r="E20" s="109"/>
      <c r="F20" s="109"/>
      <c r="G20" s="114">
        <f>SUM(G18:G19)</f>
        <v>276100</v>
      </c>
      <c r="H20" s="132"/>
      <c r="I20" s="41"/>
      <c r="J20" s="134"/>
      <c r="K20" s="41"/>
      <c r="L20" s="134"/>
      <c r="M20" s="104"/>
      <c r="N20" s="104"/>
      <c r="O20" s="104"/>
      <c r="P20" s="104"/>
      <c r="Q20" s="104"/>
      <c r="R20" s="104"/>
      <c r="S20" s="104"/>
      <c r="T20" s="104"/>
      <c r="U20" s="104"/>
      <c r="V20" s="104"/>
      <c r="W20" s="104"/>
      <c r="X20" s="104"/>
      <c r="Y20" s="104"/>
    </row>
    <row r="21" spans="1:25" ht="14.25" customHeight="1" x14ac:dyDescent="0.25">
      <c r="A21" s="115" t="s">
        <v>120</v>
      </c>
      <c r="B21" s="116"/>
      <c r="C21" s="116"/>
      <c r="D21" s="116"/>
      <c r="E21" s="116"/>
      <c r="F21" s="116"/>
      <c r="G21" s="116"/>
      <c r="H21" s="116"/>
      <c r="I21" s="117"/>
      <c r="J21" s="104"/>
      <c r="K21" s="104"/>
      <c r="L21" s="104"/>
      <c r="M21" s="104"/>
      <c r="N21" s="104"/>
      <c r="O21" s="104"/>
      <c r="P21" s="104"/>
      <c r="Q21" s="104"/>
      <c r="R21" s="104"/>
      <c r="S21" s="104"/>
      <c r="T21" s="104"/>
      <c r="U21" s="104"/>
      <c r="V21" s="104"/>
      <c r="W21" s="104"/>
      <c r="X21" s="104"/>
      <c r="Y21" s="104"/>
    </row>
    <row r="22" spans="1:25" ht="15" customHeight="1" x14ac:dyDescent="0.25">
      <c r="A22" s="118"/>
      <c r="B22" s="116"/>
      <c r="C22" s="116"/>
      <c r="D22" s="116"/>
      <c r="E22" s="116"/>
      <c r="F22" s="116"/>
      <c r="G22" s="116"/>
      <c r="H22" s="116"/>
      <c r="I22" s="117"/>
      <c r="J22" s="104"/>
      <c r="K22" s="104"/>
      <c r="L22" s="104"/>
      <c r="M22" s="104"/>
      <c r="N22" s="104"/>
      <c r="O22" s="104"/>
      <c r="P22" s="104"/>
      <c r="Q22" s="104"/>
      <c r="R22" s="104"/>
      <c r="S22" s="104"/>
      <c r="T22" s="104"/>
      <c r="U22" s="104"/>
      <c r="V22" s="104"/>
      <c r="W22" s="104"/>
      <c r="X22" s="104"/>
      <c r="Y22" s="104"/>
    </row>
    <row r="23" spans="1:25" ht="25.5" customHeight="1" thickBot="1" x14ac:dyDescent="0.3">
      <c r="A23" s="192" t="s">
        <v>121</v>
      </c>
      <c r="B23" s="163"/>
      <c r="C23" s="163"/>
      <c r="D23" s="163"/>
      <c r="E23" s="163"/>
      <c r="F23" s="163"/>
      <c r="G23" s="163"/>
      <c r="H23" s="104"/>
      <c r="I23" s="104"/>
      <c r="J23" s="104"/>
      <c r="K23" s="104"/>
      <c r="L23" s="104"/>
      <c r="M23" s="104"/>
      <c r="N23" s="104"/>
      <c r="O23" s="104"/>
      <c r="P23" s="104"/>
      <c r="Q23" s="104"/>
      <c r="R23" s="104"/>
      <c r="S23" s="104"/>
      <c r="T23" s="104"/>
      <c r="U23" s="104"/>
      <c r="V23" s="104"/>
      <c r="W23" s="104"/>
      <c r="X23" s="104"/>
      <c r="Y23" s="104"/>
    </row>
    <row r="24" spans="1:25" ht="33.75" customHeight="1" x14ac:dyDescent="0.25">
      <c r="A24" s="185" t="s">
        <v>122</v>
      </c>
      <c r="B24" s="185" t="s">
        <v>123</v>
      </c>
      <c r="C24" s="185" t="s">
        <v>124</v>
      </c>
      <c r="D24" s="185" t="s">
        <v>125</v>
      </c>
      <c r="E24" s="185" t="s">
        <v>126</v>
      </c>
      <c r="F24" s="185" t="s">
        <v>127</v>
      </c>
      <c r="G24" s="185" t="s">
        <v>128</v>
      </c>
      <c r="H24" s="185" t="s">
        <v>129</v>
      </c>
      <c r="I24" s="185" t="s">
        <v>130</v>
      </c>
      <c r="J24" s="185" t="s">
        <v>131</v>
      </c>
      <c r="K24" s="185" t="s">
        <v>132</v>
      </c>
      <c r="L24" s="194"/>
      <c r="M24" s="104"/>
      <c r="N24" s="104"/>
      <c r="O24" s="104"/>
      <c r="P24" s="104"/>
      <c r="Q24" s="104"/>
      <c r="R24" s="104"/>
      <c r="S24" s="104"/>
      <c r="T24" s="104"/>
      <c r="U24" s="104"/>
      <c r="V24" s="104"/>
      <c r="W24" s="104"/>
      <c r="X24" s="104"/>
      <c r="Y24" s="104"/>
    </row>
    <row r="25" spans="1:25" x14ac:dyDescent="0.25">
      <c r="A25" s="190"/>
      <c r="B25" s="190"/>
      <c r="C25" s="190"/>
      <c r="D25" s="186"/>
      <c r="E25" s="190"/>
      <c r="F25" s="190"/>
      <c r="G25" s="190"/>
      <c r="H25" s="188"/>
      <c r="I25" s="188"/>
      <c r="J25" s="188"/>
      <c r="K25" s="188"/>
      <c r="L25" s="194"/>
      <c r="M25" s="104"/>
      <c r="N25" s="104"/>
      <c r="O25" s="104"/>
      <c r="P25" s="104"/>
      <c r="Q25" s="104"/>
      <c r="R25" s="104"/>
      <c r="S25" s="104"/>
      <c r="T25" s="104"/>
      <c r="U25" s="104"/>
      <c r="V25" s="104"/>
      <c r="W25" s="104"/>
      <c r="X25" s="104"/>
      <c r="Y25" s="104"/>
    </row>
    <row r="26" spans="1:25" ht="29.25" customHeight="1" thickBot="1" x14ac:dyDescent="0.3">
      <c r="A26" s="191"/>
      <c r="B26" s="191"/>
      <c r="C26" s="191"/>
      <c r="D26" s="187"/>
      <c r="E26" s="191"/>
      <c r="F26" s="191"/>
      <c r="G26" s="191"/>
      <c r="H26" s="189"/>
      <c r="I26" s="189"/>
      <c r="J26" s="189"/>
      <c r="K26" s="189"/>
      <c r="L26" s="194"/>
      <c r="M26" s="104"/>
      <c r="N26" s="104"/>
      <c r="O26" s="104"/>
      <c r="P26" s="104"/>
      <c r="Q26" s="104"/>
      <c r="R26" s="104"/>
      <c r="S26" s="104"/>
      <c r="T26" s="104"/>
      <c r="U26" s="104"/>
      <c r="V26" s="104"/>
      <c r="W26" s="104"/>
      <c r="X26" s="104"/>
      <c r="Y26" s="104"/>
    </row>
    <row r="27" spans="1:25" ht="15.75" thickBot="1" x14ac:dyDescent="0.3">
      <c r="A27" s="119" t="s">
        <v>133</v>
      </c>
      <c r="B27" s="120" t="s">
        <v>134</v>
      </c>
      <c r="C27" s="120" t="s">
        <v>135</v>
      </c>
      <c r="D27" s="120" t="s">
        <v>136</v>
      </c>
      <c r="E27" s="120" t="s">
        <v>136</v>
      </c>
      <c r="F27" s="120">
        <v>0</v>
      </c>
      <c r="G27" s="120">
        <v>1</v>
      </c>
      <c r="H27" s="121">
        <v>1500</v>
      </c>
      <c r="I27" s="120">
        <v>0</v>
      </c>
      <c r="J27" s="121">
        <v>44000</v>
      </c>
      <c r="K27" s="120" t="s">
        <v>137</v>
      </c>
      <c r="L27" s="104"/>
      <c r="M27" s="104"/>
      <c r="N27" s="104"/>
      <c r="O27" s="104"/>
      <c r="P27" s="104"/>
      <c r="Q27" s="104"/>
      <c r="R27" s="104"/>
      <c r="S27" s="104"/>
      <c r="T27" s="104"/>
      <c r="U27" s="104"/>
      <c r="V27" s="104"/>
      <c r="W27" s="104"/>
      <c r="X27" s="104"/>
      <c r="Y27" s="104"/>
    </row>
    <row r="28" spans="1:25" ht="15.75" thickBot="1" x14ac:dyDescent="0.3">
      <c r="A28" s="119" t="s">
        <v>138</v>
      </c>
      <c r="B28" s="120" t="s">
        <v>139</v>
      </c>
      <c r="C28" s="120" t="s">
        <v>140</v>
      </c>
      <c r="D28" s="120" t="s">
        <v>136</v>
      </c>
      <c r="E28" s="120" t="s">
        <v>136</v>
      </c>
      <c r="F28" s="120">
        <v>3</v>
      </c>
      <c r="G28" s="120">
        <v>1</v>
      </c>
      <c r="H28" s="121">
        <v>1500</v>
      </c>
      <c r="I28" s="121">
        <v>38700</v>
      </c>
      <c r="J28" s="121">
        <v>44000</v>
      </c>
      <c r="K28" s="120" t="s">
        <v>137</v>
      </c>
      <c r="L28" s="104"/>
      <c r="M28" s="104"/>
      <c r="N28" s="104"/>
      <c r="O28" s="104"/>
      <c r="P28" s="104"/>
      <c r="Q28" s="104"/>
      <c r="R28" s="104"/>
      <c r="S28" s="104"/>
      <c r="T28" s="104"/>
      <c r="U28" s="104"/>
      <c r="V28" s="104"/>
      <c r="W28" s="104"/>
      <c r="X28" s="104"/>
      <c r="Y28" s="104"/>
    </row>
    <row r="29" spans="1:25" ht="15.75" thickBot="1" x14ac:dyDescent="0.3">
      <c r="A29" s="119" t="s">
        <v>141</v>
      </c>
      <c r="B29" s="120" t="s">
        <v>142</v>
      </c>
      <c r="C29" s="120" t="s">
        <v>143</v>
      </c>
      <c r="D29" s="120" t="s">
        <v>144</v>
      </c>
      <c r="E29" s="120" t="s">
        <v>136</v>
      </c>
      <c r="F29" s="120">
        <v>0</v>
      </c>
      <c r="G29" s="120">
        <v>1</v>
      </c>
      <c r="H29" s="121">
        <v>1500</v>
      </c>
      <c r="I29" s="120">
        <v>0</v>
      </c>
      <c r="J29" s="121">
        <v>44000</v>
      </c>
      <c r="K29" s="121">
        <v>45500</v>
      </c>
      <c r="L29" s="133"/>
      <c r="M29" s="104"/>
      <c r="N29" s="104"/>
      <c r="O29" s="104"/>
      <c r="P29" s="104"/>
      <c r="Q29" s="104"/>
      <c r="R29" s="104"/>
      <c r="S29" s="104"/>
      <c r="T29" s="104"/>
      <c r="U29" s="104"/>
      <c r="V29" s="104"/>
      <c r="W29" s="104"/>
      <c r="X29" s="104"/>
      <c r="Y29" s="104"/>
    </row>
    <row r="30" spans="1:25" ht="15.75" thickBot="1" x14ac:dyDescent="0.3">
      <c r="A30" s="119" t="s">
        <v>145</v>
      </c>
      <c r="B30" s="120" t="s">
        <v>146</v>
      </c>
      <c r="C30" s="120" t="s">
        <v>147</v>
      </c>
      <c r="D30" s="120" t="s">
        <v>144</v>
      </c>
      <c r="E30" s="120" t="s">
        <v>136</v>
      </c>
      <c r="F30" s="120">
        <v>7</v>
      </c>
      <c r="G30" s="120">
        <v>2</v>
      </c>
      <c r="H30" s="121">
        <v>1500</v>
      </c>
      <c r="I30" s="121">
        <v>83100</v>
      </c>
      <c r="J30" s="121">
        <v>88000</v>
      </c>
      <c r="K30" s="121">
        <v>172600</v>
      </c>
      <c r="L30" s="133"/>
      <c r="M30" s="104"/>
      <c r="N30" s="104"/>
      <c r="O30" s="104"/>
      <c r="P30" s="104"/>
      <c r="Q30" s="104"/>
      <c r="R30" s="104"/>
      <c r="S30" s="104"/>
      <c r="T30" s="104"/>
      <c r="U30" s="104"/>
      <c r="V30" s="104"/>
      <c r="W30" s="104"/>
      <c r="X30" s="104"/>
      <c r="Y30" s="104"/>
    </row>
    <row r="31" spans="1:25" ht="15.75" thickBot="1" x14ac:dyDescent="0.3">
      <c r="A31" s="119" t="s">
        <v>148</v>
      </c>
      <c r="B31" s="120" t="s">
        <v>149</v>
      </c>
      <c r="C31" s="120" t="s">
        <v>150</v>
      </c>
      <c r="D31" s="120" t="s">
        <v>136</v>
      </c>
      <c r="E31" s="120" t="s">
        <v>136</v>
      </c>
      <c r="F31" s="120">
        <v>4</v>
      </c>
      <c r="G31" s="120">
        <v>1</v>
      </c>
      <c r="H31" s="121">
        <v>1500</v>
      </c>
      <c r="I31" s="121">
        <v>49800</v>
      </c>
      <c r="J31" s="121">
        <v>44000</v>
      </c>
      <c r="K31" s="120" t="s">
        <v>137</v>
      </c>
      <c r="L31" s="104"/>
      <c r="M31" s="104"/>
      <c r="N31" s="104"/>
      <c r="O31" s="104"/>
      <c r="P31" s="104"/>
      <c r="Q31" s="104"/>
      <c r="R31" s="104"/>
      <c r="S31" s="104"/>
      <c r="T31" s="104"/>
      <c r="U31" s="104"/>
      <c r="V31" s="104"/>
      <c r="W31" s="104"/>
      <c r="X31" s="104"/>
      <c r="Y31" s="104"/>
    </row>
    <row r="32" spans="1:25" ht="15.75" thickBot="1" x14ac:dyDescent="0.3">
      <c r="A32" s="119" t="s">
        <v>151</v>
      </c>
      <c r="B32" s="120" t="s">
        <v>152</v>
      </c>
      <c r="C32" s="120" t="s">
        <v>153</v>
      </c>
      <c r="D32" s="120" t="s">
        <v>144</v>
      </c>
      <c r="E32" s="120" t="s">
        <v>136</v>
      </c>
      <c r="F32" s="120">
        <v>0</v>
      </c>
      <c r="G32" s="120">
        <v>1</v>
      </c>
      <c r="H32" s="121">
        <v>1500</v>
      </c>
      <c r="I32" s="120">
        <v>0</v>
      </c>
      <c r="J32" s="121">
        <v>44000</v>
      </c>
      <c r="K32" s="121">
        <v>45500</v>
      </c>
      <c r="L32" s="133"/>
      <c r="M32" s="104"/>
      <c r="N32" s="104"/>
      <c r="O32" s="104"/>
      <c r="P32" s="104"/>
      <c r="Q32" s="104"/>
      <c r="R32" s="104"/>
      <c r="S32" s="104"/>
      <c r="T32" s="104"/>
      <c r="U32" s="104"/>
      <c r="V32" s="104"/>
      <c r="W32" s="104"/>
      <c r="X32" s="104"/>
      <c r="Y32" s="104"/>
    </row>
    <row r="33" spans="1:25" ht="15.75" thickBot="1" x14ac:dyDescent="0.3">
      <c r="A33" s="119" t="s">
        <v>154</v>
      </c>
      <c r="B33" s="120" t="s">
        <v>155</v>
      </c>
      <c r="C33" s="120" t="s">
        <v>153</v>
      </c>
      <c r="D33" s="120" t="s">
        <v>144</v>
      </c>
      <c r="E33" s="120" t="s">
        <v>136</v>
      </c>
      <c r="F33" s="120">
        <v>0</v>
      </c>
      <c r="G33" s="120">
        <v>1</v>
      </c>
      <c r="H33" s="121">
        <v>1500</v>
      </c>
      <c r="I33" s="120">
        <v>0</v>
      </c>
      <c r="J33" s="121">
        <v>44000</v>
      </c>
      <c r="K33" s="121">
        <v>45500</v>
      </c>
      <c r="L33" s="133"/>
      <c r="M33" s="104"/>
      <c r="N33" s="104"/>
      <c r="O33" s="104"/>
      <c r="P33" s="104"/>
      <c r="Q33" s="104"/>
      <c r="R33" s="104"/>
      <c r="S33" s="104"/>
      <c r="T33" s="104"/>
      <c r="U33" s="104"/>
      <c r="V33" s="104"/>
      <c r="W33" s="104"/>
      <c r="X33" s="104"/>
      <c r="Y33" s="104"/>
    </row>
    <row r="34" spans="1:25" ht="15.75" thickBot="1" x14ac:dyDescent="0.3">
      <c r="A34" s="119" t="s">
        <v>145</v>
      </c>
      <c r="B34" s="120" t="s">
        <v>156</v>
      </c>
      <c r="C34" s="120" t="s">
        <v>140</v>
      </c>
      <c r="D34" s="120" t="s">
        <v>136</v>
      </c>
      <c r="E34" s="120" t="s">
        <v>136</v>
      </c>
      <c r="F34" s="120">
        <v>3</v>
      </c>
      <c r="G34" s="120">
        <v>1</v>
      </c>
      <c r="H34" s="121">
        <v>1500</v>
      </c>
      <c r="I34" s="121">
        <v>38700</v>
      </c>
      <c r="J34" s="121">
        <v>44000</v>
      </c>
      <c r="K34" s="120" t="s">
        <v>137</v>
      </c>
      <c r="L34" s="91"/>
      <c r="M34" s="104"/>
      <c r="N34" s="104"/>
      <c r="O34" s="104"/>
      <c r="P34" s="104"/>
      <c r="Q34" s="104"/>
      <c r="R34" s="104"/>
      <c r="S34" s="104"/>
      <c r="T34" s="104"/>
      <c r="U34" s="104"/>
      <c r="V34" s="104"/>
      <c r="W34" s="104"/>
      <c r="X34" s="104"/>
      <c r="Y34" s="104"/>
    </row>
    <row r="35" spans="1:25" ht="15.75" thickBot="1" x14ac:dyDescent="0.3">
      <c r="A35" s="183" t="s">
        <v>157</v>
      </c>
      <c r="B35" s="183"/>
      <c r="C35" s="183"/>
      <c r="D35" s="183"/>
      <c r="E35" s="183"/>
      <c r="F35" s="183"/>
      <c r="G35" s="183"/>
      <c r="H35" s="183"/>
      <c r="I35" s="183"/>
      <c r="J35" s="184"/>
      <c r="K35" s="122">
        <v>309100</v>
      </c>
      <c r="L35" s="133"/>
      <c r="M35" s="104"/>
      <c r="N35" s="104"/>
      <c r="O35" s="104"/>
      <c r="P35" s="104"/>
      <c r="Q35" s="104"/>
      <c r="R35" s="104"/>
      <c r="S35" s="104"/>
      <c r="T35" s="104"/>
      <c r="U35" s="104"/>
      <c r="V35" s="104"/>
      <c r="W35" s="104"/>
      <c r="X35" s="104"/>
      <c r="Y35" s="104"/>
    </row>
    <row r="36" spans="1:25" ht="15.75" x14ac:dyDescent="0.25">
      <c r="A36" s="182" t="s">
        <v>158</v>
      </c>
      <c r="B36" s="182"/>
      <c r="C36" s="182"/>
      <c r="D36" s="182"/>
      <c r="E36" s="182"/>
      <c r="F36" s="182"/>
      <c r="G36" s="182"/>
      <c r="H36" s="182"/>
      <c r="I36" s="182"/>
      <c r="J36" s="182"/>
      <c r="K36" s="182"/>
      <c r="L36" s="104"/>
      <c r="M36" s="104"/>
      <c r="N36" s="104"/>
      <c r="O36" s="104"/>
      <c r="P36" s="104"/>
      <c r="Q36" s="104"/>
      <c r="R36" s="104"/>
      <c r="S36" s="104"/>
      <c r="T36" s="104"/>
      <c r="U36" s="104"/>
      <c r="V36" s="104"/>
      <c r="W36" s="104"/>
      <c r="X36" s="104"/>
      <c r="Y36" s="104"/>
    </row>
    <row r="37" spans="1:25" ht="15.75" x14ac:dyDescent="0.25">
      <c r="A37" s="182" t="s">
        <v>159</v>
      </c>
      <c r="B37" s="182"/>
      <c r="C37" s="182"/>
      <c r="D37" s="182"/>
      <c r="E37" s="182"/>
      <c r="F37" s="182"/>
      <c r="G37" s="182"/>
      <c r="H37" s="182"/>
      <c r="I37" s="182"/>
      <c r="J37" s="182"/>
      <c r="K37" s="182"/>
      <c r="L37" s="123"/>
      <c r="M37" s="104"/>
      <c r="N37" s="104"/>
      <c r="O37" s="104"/>
      <c r="P37" s="104"/>
      <c r="Q37" s="104"/>
      <c r="R37" s="104"/>
      <c r="S37" s="104"/>
      <c r="T37" s="104"/>
      <c r="U37" s="104"/>
      <c r="V37" s="104"/>
      <c r="W37" s="104"/>
      <c r="X37" s="104"/>
      <c r="Y37" s="104"/>
    </row>
    <row r="38" spans="1:25" ht="15.75" x14ac:dyDescent="0.25">
      <c r="A38" s="182" t="s">
        <v>160</v>
      </c>
      <c r="B38" s="182"/>
      <c r="C38" s="182"/>
      <c r="D38" s="182"/>
      <c r="E38" s="182"/>
      <c r="F38" s="182"/>
      <c r="G38" s="182"/>
      <c r="H38" s="182"/>
      <c r="I38" s="182"/>
      <c r="J38" s="182"/>
      <c r="K38" s="182"/>
      <c r="L38" s="123"/>
      <c r="M38" s="104"/>
      <c r="N38" s="104"/>
      <c r="O38" s="104"/>
      <c r="P38" s="104"/>
      <c r="Q38" s="104"/>
      <c r="R38" s="104"/>
      <c r="S38" s="104"/>
      <c r="T38" s="104"/>
      <c r="U38" s="104"/>
      <c r="V38" s="104"/>
      <c r="W38" s="104"/>
      <c r="X38" s="104"/>
      <c r="Y38" s="104"/>
    </row>
    <row r="39" spans="1:25" ht="15.75" x14ac:dyDescent="0.25">
      <c r="A39" s="182" t="s">
        <v>161</v>
      </c>
      <c r="B39" s="182"/>
      <c r="C39" s="182"/>
      <c r="D39" s="182"/>
      <c r="E39" s="182"/>
      <c r="F39" s="182"/>
      <c r="G39" s="182"/>
      <c r="H39" s="182"/>
      <c r="I39" s="182"/>
      <c r="J39" s="182"/>
      <c r="K39" s="182"/>
      <c r="L39" s="123"/>
      <c r="M39" s="104"/>
      <c r="N39" s="104"/>
      <c r="O39" s="104"/>
      <c r="P39" s="104"/>
      <c r="Q39" s="104"/>
      <c r="R39" s="104"/>
      <c r="S39" s="104"/>
      <c r="T39" s="104"/>
      <c r="U39" s="104"/>
      <c r="V39" s="104"/>
      <c r="W39" s="104"/>
      <c r="X39" s="104"/>
      <c r="Y39" s="104"/>
    </row>
    <row r="40" spans="1:25" x14ac:dyDescent="0.25">
      <c r="A40" s="104"/>
      <c r="B40" s="104"/>
      <c r="C40" s="104"/>
      <c r="D40" s="104"/>
      <c r="E40" s="104"/>
      <c r="F40" s="104"/>
      <c r="G40" s="104"/>
      <c r="H40" s="104"/>
      <c r="I40" s="104"/>
      <c r="J40" s="104"/>
      <c r="K40" s="104"/>
      <c r="L40" s="123"/>
      <c r="M40" s="104"/>
      <c r="N40" s="104"/>
      <c r="O40" s="104"/>
      <c r="P40" s="104"/>
      <c r="Q40" s="104"/>
      <c r="R40" s="104"/>
      <c r="S40" s="104"/>
      <c r="T40" s="104"/>
      <c r="U40" s="104"/>
      <c r="V40" s="104"/>
      <c r="W40" s="104"/>
      <c r="X40" s="104"/>
      <c r="Y40" s="104"/>
    </row>
    <row r="41" spans="1:25" x14ac:dyDescent="0.25">
      <c r="A41" s="104"/>
      <c r="B41" s="104"/>
      <c r="C41" s="104"/>
      <c r="D41" s="104"/>
      <c r="E41" s="104"/>
      <c r="F41" s="104"/>
      <c r="G41" s="104"/>
      <c r="H41" s="104"/>
      <c r="I41" s="104"/>
      <c r="J41" s="104"/>
      <c r="K41" s="104"/>
      <c r="L41" s="123"/>
      <c r="M41" s="104"/>
      <c r="N41" s="104"/>
      <c r="O41" s="104"/>
      <c r="P41" s="104"/>
      <c r="Q41" s="104"/>
      <c r="R41" s="104"/>
      <c r="S41" s="104"/>
      <c r="T41" s="104"/>
      <c r="U41" s="104"/>
      <c r="V41" s="104"/>
      <c r="W41" s="104"/>
      <c r="X41" s="104"/>
      <c r="Y41" s="104"/>
    </row>
    <row r="42" spans="1:25" x14ac:dyDescent="0.25">
      <c r="A42" s="104"/>
      <c r="B42" s="104"/>
      <c r="C42" s="104"/>
      <c r="D42" s="104"/>
      <c r="E42" s="104"/>
      <c r="F42" s="104"/>
      <c r="G42" s="104"/>
      <c r="H42" s="104"/>
      <c r="I42" s="104"/>
      <c r="J42" s="104"/>
      <c r="K42" s="104"/>
      <c r="L42" s="123"/>
      <c r="M42" s="104"/>
      <c r="N42" s="104"/>
      <c r="O42" s="104"/>
      <c r="P42" s="104"/>
      <c r="Q42" s="104"/>
      <c r="R42" s="104"/>
      <c r="S42" s="104"/>
      <c r="T42" s="104"/>
      <c r="U42" s="104"/>
      <c r="V42" s="104"/>
      <c r="W42" s="104"/>
      <c r="X42" s="104"/>
      <c r="Y42" s="104"/>
    </row>
    <row r="43" spans="1:25" x14ac:dyDescent="0.25">
      <c r="A43" s="104"/>
      <c r="B43" s="104"/>
      <c r="C43" s="104"/>
      <c r="D43" s="104"/>
      <c r="E43" s="104"/>
      <c r="F43" s="104"/>
      <c r="G43" s="104"/>
      <c r="H43" s="104"/>
      <c r="I43" s="104"/>
      <c r="J43" s="104"/>
      <c r="K43" s="104"/>
      <c r="L43" s="124"/>
      <c r="M43" s="104"/>
      <c r="N43" s="104"/>
      <c r="O43" s="104"/>
      <c r="P43" s="104"/>
      <c r="Q43" s="104"/>
      <c r="R43" s="104"/>
      <c r="S43" s="104"/>
      <c r="T43" s="104"/>
      <c r="U43" s="104"/>
      <c r="V43" s="104"/>
      <c r="W43" s="104"/>
      <c r="X43" s="104"/>
      <c r="Y43" s="104"/>
    </row>
    <row r="44" spans="1:25" x14ac:dyDescent="0.25">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row>
    <row r="45" spans="1:25" x14ac:dyDescent="0.25">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row>
    <row r="46" spans="1:25" x14ac:dyDescent="0.25">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row>
    <row r="47" spans="1:25" x14ac:dyDescent="0.25">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row>
    <row r="48" spans="1:25" x14ac:dyDescent="0.25">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row>
    <row r="49" spans="1:25" x14ac:dyDescent="0.25">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row>
  </sheetData>
  <mergeCells count="26">
    <mergeCell ref="A11:D11"/>
    <mergeCell ref="A12:D12"/>
    <mergeCell ref="A13:D13"/>
    <mergeCell ref="L24:L26"/>
    <mergeCell ref="G24:G26"/>
    <mergeCell ref="A14:E14"/>
    <mergeCell ref="E24:E26"/>
    <mergeCell ref="F24:F26"/>
    <mergeCell ref="K24:K26"/>
    <mergeCell ref="A24:A26"/>
    <mergeCell ref="A2:D2"/>
    <mergeCell ref="A9:D9"/>
    <mergeCell ref="A10:D10"/>
    <mergeCell ref="A39:K39"/>
    <mergeCell ref="A35:J35"/>
    <mergeCell ref="A36:K36"/>
    <mergeCell ref="A37:K37"/>
    <mergeCell ref="A38:K38"/>
    <mergeCell ref="D24:D26"/>
    <mergeCell ref="H24:H26"/>
    <mergeCell ref="I24:I26"/>
    <mergeCell ref="J24:J26"/>
    <mergeCell ref="B24:B26"/>
    <mergeCell ref="C24:C26"/>
    <mergeCell ref="A23:G23"/>
    <mergeCell ref="A16:G16"/>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2019-10-16T04:00:00+00:00</Document_x0020_Creation_x0020_Date>
    <EPA_x0020_Office xmlns="4ffa91fb-a0ff-4ac5-b2db-65c790d184a4">Not Found!</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Jason Renzaglia</DisplayName>
        <AccountId>5438</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Status xmlns="c0273f14-f15b-400e-8c45-4bee00310af3">Pending</Records_x0020_Status>
    <Records_x0020_Date xmlns="c0273f14-f15b-400e-8c45-4bee00310a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FB485B68123A942AED74237ECAC2C63" ma:contentTypeVersion="14" ma:contentTypeDescription="Create a new document." ma:contentTypeScope="" ma:versionID="ec899c44e008430d4065d607b9efdc1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c0273f14-f15b-400e-8c45-4bee00310af3" xmlns:ns7="55b07330-4c24-4d10-894a-ea1a92fb6a08" targetNamespace="http://schemas.microsoft.com/office/2006/metadata/properties" ma:root="true" ma:fieldsID="c55664c6531908015ce81cd835d84005" ns1:_="" ns3:_="" ns4:_="" ns5:_="" ns6:_="" ns7:_="">
    <xsd:import namespace="http://schemas.microsoft.com/sharepoint/v3"/>
    <xsd:import namespace="4ffa91fb-a0ff-4ac5-b2db-65c790d184a4"/>
    <xsd:import namespace="http://schemas.microsoft.com/sharepoint.v3"/>
    <xsd:import namespace="http://schemas.microsoft.com/sharepoint/v3/fields"/>
    <xsd:import namespace="c0273f14-f15b-400e-8c45-4bee00310af3"/>
    <xsd:import namespace="55b07330-4c24-4d10-894a-ea1a92fb6a08"/>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6:Records_x0020_Status" minOccurs="0"/>
                <xsd:element ref="ns6:Records_x0020_Date" minOccurs="0"/>
                <xsd:element ref="ns7:MediaServiceDateTaken" minOccurs="0"/>
                <xsd:element ref="ns7:MediaServiceAutoTags" minOccurs="0"/>
                <xsd:element ref="ns7:MediaServiceOCR" minOccurs="0"/>
                <xsd:element ref="ns7:MediaServiceEventHashCode" minOccurs="0"/>
                <xsd:element ref="ns7: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3"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9"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10"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11"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15"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7"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8"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20" nillable="true" ma:displayName="Other Related Documents" ma:description="Enter any related document." ma:internalName="EPA_x0020_Related_x0020_Documents">
      <xsd:simpleType>
        <xsd:restriction base="dms:Note">
          <xsd:maxLength value="255"/>
        </xsd:restriction>
      </xsd:simpleType>
    </xsd:element>
    <xsd:element name="Rights" ma:index="22"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24"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5"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6" nillable="true" ma:displayName="Taxonomy Catch All Column1" ma:hidden="true" ma:list="{9f289adf-dab1-480c-bc70-8ddde6ee7336}" ma:internalName="TaxCatchAllLabel" ma:readOnly="true" ma:showField="CatchAllDataLabel" ma:web="c0273f14-f15b-400e-8c45-4bee00310af3">
      <xsd:complexType>
        <xsd:complexContent>
          <xsd:extension base="dms:MultiChoiceLookup">
            <xsd:sequence>
              <xsd:element name="Value" type="dms:Lookup" maxOccurs="unbounded" minOccurs="0" nillable="true"/>
            </xsd:sequence>
          </xsd:extension>
        </xsd:complexContent>
      </xsd:complexType>
    </xsd:element>
    <xsd:element name="TaxCatchAll" ma:index="27" nillable="true" ma:displayName="Taxonomy Catch All Column" ma:hidden="true" ma:list="{9f289adf-dab1-480c-bc70-8ddde6ee7336}" ma:internalName="TaxCatchAll" ma:showField="CatchAllData" ma:web="c0273f14-f15b-400e-8c45-4bee00310af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9"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21"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273f14-f15b-400e-8c45-4bee00310af3"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element name="SharingHintHash" ma:index="30"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b07330-4c24-4d10-894a-ea1a92fb6a0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MediaServiceAutoTags" ma:index="36" nillable="true" ma:displayName="MediaServiceAutoTags" ma:internalName="MediaServiceAutoTags" ma:readOnly="true">
      <xsd:simpleType>
        <xsd:restriction base="dms:Text"/>
      </xsd:simpleType>
    </xsd:element>
    <xsd:element name="MediaServiceOCR" ma:index="37" nillable="true" ma:displayName="MediaServiceOCR" ma:internalName="MediaServiceOCR" ma:readOnly="true">
      <xsd:simpleType>
        <xsd:restriction base="dms:Note">
          <xsd:maxLength value="255"/>
        </xsd:restriction>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AE81C3-2C85-4026-A84B-05277AE41545}">
  <ds:schemaRefs>
    <ds:schemaRef ds:uri="http://purl.org/dc/terms/"/>
    <ds:schemaRef ds:uri="4ffa91fb-a0ff-4ac5-b2db-65c790d184a4"/>
    <ds:schemaRef ds:uri="http://schemas.microsoft.com/sharepoint.v3"/>
    <ds:schemaRef ds:uri="http://purl.org/dc/dcmitype/"/>
    <ds:schemaRef ds:uri="http://schemas.microsoft.com/office/2006/documentManagement/types"/>
    <ds:schemaRef ds:uri="http://schemas.microsoft.com/sharepoint/v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5b07330-4c24-4d10-894a-ea1a92fb6a08"/>
    <ds:schemaRef ds:uri="c0273f14-f15b-400e-8c45-4bee00310af3"/>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E1D2AA91-0227-466E-A3A3-E4AB69400749}">
  <ds:schemaRefs>
    <ds:schemaRef ds:uri="http://schemas.microsoft.com/sharepoint/v3/contenttype/forms"/>
  </ds:schemaRefs>
</ds:datastoreItem>
</file>

<file path=customXml/itemProps3.xml><?xml version="1.0" encoding="utf-8"?>
<ds:datastoreItem xmlns:ds="http://schemas.openxmlformats.org/officeDocument/2006/customXml" ds:itemID="{06A0B325-6423-41C8-A728-D964B579EC08}">
  <ds:schemaRefs>
    <ds:schemaRef ds:uri="Microsoft.SharePoint.Taxonomy.ContentTypeSync"/>
  </ds:schemaRefs>
</ds:datastoreItem>
</file>

<file path=customXml/itemProps4.xml><?xml version="1.0" encoding="utf-8"?>
<ds:datastoreItem xmlns:ds="http://schemas.openxmlformats.org/officeDocument/2006/customXml" ds:itemID="{0FCDF84E-4331-4B3B-A548-8D6BA1B97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0273f14-f15b-400e-8c45-4bee00310af3"/>
    <ds:schemaRef ds:uri="55b07330-4c24-4d10-894a-ea1a92fb6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Responses</vt:lpstr>
      <vt:lpstr>Table 1</vt:lpstr>
      <vt:lpstr>Table 2</vt:lpstr>
      <vt:lpstr>O&amp;M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Asphalt RTR Final_ICR Supporting Statement(2029.07)_Calculations_07302019</dc:title>
  <dc:subject/>
  <dc:creator>Denise Bevington</dc:creator>
  <cp:keywords/>
  <dc:description/>
  <cp:lastModifiedBy>Courtney Kerwin</cp:lastModifiedBy>
  <cp:revision/>
  <dcterms:created xsi:type="dcterms:W3CDTF">2018-09-04T16:59:49Z</dcterms:created>
  <dcterms:modified xsi:type="dcterms:W3CDTF">2019-12-31T13:12:55Z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0x010100FFB485B68123A942AED74237ECAC2C63</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