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gencies\0503 OCIO\"/>
    </mc:Choice>
  </mc:AlternateContent>
  <xr:revisionPtr revIDLastSave="0" documentId="8_{A03889F3-9283-4CDD-8930-2A9C412D87F3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FY19" sheetId="2" r:id="rId1"/>
    <sheet name="FY16" sheetId="1" r:id="rId2"/>
    <sheet name="Fed Salary" sheetId="3" r:id="rId3"/>
    <sheet name="Change Analysis" sheetId="4" r:id="rId4"/>
    <sheet name="FY16 Revised" sheetId="5" r:id="rId5"/>
  </sheets>
  <definedNames>
    <definedName name="_xlnm.Print_Area" localSheetId="0">'FY19'!$A$1:$M$26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1" l="1"/>
  <c r="O14" i="2" l="1"/>
  <c r="O15" i="2" s="1"/>
  <c r="N14" i="2"/>
  <c r="N15" i="2" s="1"/>
  <c r="H20" i="2" l="1"/>
  <c r="D18" i="2"/>
  <c r="H22" i="2"/>
  <c r="D22" i="4"/>
  <c r="F7" i="4"/>
  <c r="E3" i="4"/>
  <c r="E8" i="4"/>
  <c r="C4" i="4"/>
  <c r="B4" i="4"/>
  <c r="D5" i="4"/>
  <c r="H19" i="5"/>
  <c r="N19" i="5"/>
  <c r="H18" i="5"/>
  <c r="N18" i="5"/>
  <c r="G21" i="5"/>
  <c r="H21" i="5"/>
  <c r="N21" i="5"/>
  <c r="D14" i="4"/>
  <c r="D10" i="4"/>
  <c r="D9" i="4"/>
  <c r="D8" i="4"/>
  <c r="D7" i="4"/>
  <c r="D3" i="4"/>
  <c r="D2" i="4"/>
  <c r="F21" i="5"/>
  <c r="F20" i="5"/>
  <c r="H20" i="5"/>
  <c r="N20" i="5"/>
  <c r="D21" i="5"/>
  <c r="D20" i="5"/>
  <c r="N16" i="5"/>
  <c r="N16" i="1"/>
  <c r="B14" i="4"/>
  <c r="G7" i="3"/>
  <c r="F7" i="3"/>
  <c r="E7" i="3"/>
  <c r="C7" i="3"/>
  <c r="B7" i="3"/>
  <c r="D16" i="2"/>
  <c r="E16" i="2" s="1"/>
  <c r="G16" i="2" s="1"/>
  <c r="F36" i="5"/>
  <c r="H36" i="5"/>
  <c r="H18" i="2"/>
  <c r="H18" i="1"/>
  <c r="N18" i="1" s="1"/>
  <c r="H19" i="1"/>
  <c r="N19" i="1" s="1"/>
  <c r="H20" i="1"/>
  <c r="N20" i="1" s="1"/>
  <c r="F28" i="1"/>
  <c r="H16" i="2"/>
  <c r="H26" i="2" s="1"/>
  <c r="D19" i="2" l="1"/>
  <c r="E19" i="2" s="1"/>
  <c r="G19" i="2" s="1"/>
  <c r="I19" i="2" s="1"/>
  <c r="N19" i="2" s="1"/>
  <c r="E18" i="2"/>
  <c r="G18" i="2" s="1"/>
  <c r="I18" i="2" s="1"/>
  <c r="N18" i="2" s="1"/>
  <c r="I16" i="2"/>
  <c r="N16" i="2" s="1"/>
  <c r="H25" i="2"/>
  <c r="I25" i="2" s="1"/>
  <c r="N25" i="2" s="1"/>
  <c r="D20" i="2"/>
  <c r="N22" i="1"/>
  <c r="E20" i="2" l="1"/>
  <c r="G20" i="2" s="1"/>
  <c r="I20" i="2" s="1"/>
  <c r="N20" i="2" s="1"/>
  <c r="G22" i="2"/>
  <c r="I22" i="2" s="1"/>
  <c r="N22" i="2" s="1"/>
  <c r="I26" i="2"/>
  <c r="N26" i="2" s="1"/>
  <c r="G30" i="2"/>
  <c r="I30" i="2" l="1"/>
  <c r="N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Patterson, Duane (CTR) - OCIO-CEC, Fort Collins, CO</author>
  </authors>
  <commentList>
    <comment ref="M13" authorId="0" shapeId="0" xr:uid="{A3497545-73C8-4228-82E3-B76CF134114E}">
      <text>
        <r>
          <rPr>
            <b/>
            <sz val="9"/>
            <color indexed="81"/>
            <rFont val="Tahoma"/>
            <family val="2"/>
          </rPr>
          <t>as per Ruth Brown</t>
        </r>
      </text>
    </comment>
  </commentList>
</comments>
</file>

<file path=xl/sharedStrings.xml><?xml version="1.0" encoding="utf-8"?>
<sst xmlns="http://schemas.openxmlformats.org/spreadsheetml/2006/main" count="384" uniqueCount="120">
  <si>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</si>
  <si>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</si>
  <si>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</si>
  <si>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</si>
  <si>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</si>
  <si>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</si>
  <si>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</si>
  <si>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</si>
  <si>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</si>
  <si>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</si>
  <si>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</si>
  <si>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</si>
  <si>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</si>
  <si>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</si>
  <si>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</si>
  <si>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</si>
  <si>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</si>
  <si>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</si>
  <si>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</si>
  <si>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</si>
  <si>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</si>
  <si>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</si>
  <si>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</si>
  <si>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</si>
  <si>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</si>
  <si>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</si>
  <si>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</si>
  <si>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</si>
  <si>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</si>
  <si>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</si>
  <si>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</si>
  <si>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</si>
  <si>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</si>
  <si>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</si>
  <si>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</si>
  <si>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</si>
  <si>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</si>
  <si>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</si>
  <si>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</si>
  <si>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</si>
  <si>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</si>
  <si>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</si>
  <si>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</si>
  <si>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</si>
  <si>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</si>
  <si>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</si>
  <si>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</si>
  <si>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</si>
  <si>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</si>
  <si>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</si>
  <si>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</si>
  <si>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</si>
  <si>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</si>
  <si>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</si>
  <si>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</si>
  <si>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</si>
  <si>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</si>
  <si>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PL-106-222</t>
  </si>
  <si>
    <t>Electronic Self-Registration for a USDA eAuthentication
Level 1 Access Account
Customer registers for a Level 1 Access account
online from the eAuthentication web site.</t>
  </si>
  <si>
    <t>Electronic Self-Registration for a USDA eAuthentication
Level 2 Access Account
Customer registers for a Level 2 Access account
online from the eAuthentication web site.</t>
  </si>
  <si>
    <t>None</t>
  </si>
  <si>
    <t>Travel Time Required to Obtain an Activated Level 2
Access Account.
After registering online for a Level 2 Access Account, customer
travels to a USDA Service Center to manually validate their identity
to a Local Registration Authority.</t>
  </si>
  <si>
    <t>0503-0014</t>
  </si>
  <si>
    <t>USDA eAuthentication Service Customer Registration</t>
  </si>
  <si>
    <t xml:space="preserve">                                                                    USDA - Office of the Chief Information Officer</t>
  </si>
  <si>
    <t>Title of Information Document</t>
  </si>
  <si>
    <t>Total</t>
  </si>
  <si>
    <t>Online Identity Proofing Service for Level 2 Access Accounts that customers registers for.</t>
  </si>
  <si>
    <t>3 minutes</t>
  </si>
  <si>
    <t>1 hour</t>
  </si>
  <si>
    <t>10 minutes</t>
  </si>
  <si>
    <t>40 minutes</t>
  </si>
  <si>
    <t>8 minutes</t>
  </si>
  <si>
    <t>60 minutes</t>
  </si>
  <si>
    <t>Higher Access - LRA</t>
  </si>
  <si>
    <t>Higher Access - OIDP</t>
  </si>
  <si>
    <t>After providing additional information necessary for identity proofing, customer complete the Online Identity Proofing process.</t>
  </si>
  <si>
    <t>15% of users go to LRA</t>
  </si>
  <si>
    <t>85% of users us OIDP</t>
  </si>
  <si>
    <t>Total Cost to the public</t>
  </si>
  <si>
    <t>Average</t>
  </si>
  <si>
    <t>GS05 Step 05</t>
  </si>
  <si>
    <t>GS07 Step 05</t>
  </si>
  <si>
    <t>Accounts</t>
  </si>
  <si>
    <t>Hourly Wage</t>
  </si>
  <si>
    <t>Time (10 minutes)</t>
  </si>
  <si>
    <t>Number of Hours</t>
  </si>
  <si>
    <t>2016 Number</t>
  </si>
  <si>
    <t>2019 Numbers</t>
  </si>
  <si>
    <t>14. Annualized Cost to Federal Government</t>
  </si>
  <si>
    <t>14. GS05/GS07 Hourly Wage</t>
  </si>
  <si>
    <t>Time for Level 1</t>
  </si>
  <si>
    <t>Estimated Level 1 accounts</t>
  </si>
  <si>
    <t>Public Burden costs for Level 1</t>
  </si>
  <si>
    <t>Estimated hours for Level 1</t>
  </si>
  <si>
    <t>Estimated Level 2 accounts</t>
  </si>
  <si>
    <t>Farmer's Hourly Wage</t>
  </si>
  <si>
    <t>Estimated OIDP hours</t>
  </si>
  <si>
    <t>Estimate OIDP costs</t>
  </si>
  <si>
    <t>Time for Level 2 OIDP</t>
  </si>
  <si>
    <t>Time for Level 2 LRA</t>
  </si>
  <si>
    <t>Time to Register for Level 2</t>
  </si>
  <si>
    <t>n/a</t>
  </si>
  <si>
    <t>Difference</t>
  </si>
  <si>
    <t>Electronic Self-Registration for a USDA eAuthentication - Registration for Level 2 regardless of ID verification
Level 2 Access Account
Customer registers for a Level 2 Access account
online from the eAuthentication web site.</t>
  </si>
  <si>
    <t>14. Annual estimated accounts</t>
  </si>
  <si>
    <t>14. Hours</t>
  </si>
  <si>
    <t xml:space="preserve">Assisting customers </t>
  </si>
  <si>
    <t>Farmer</t>
  </si>
  <si>
    <t>GS 5-7</t>
  </si>
  <si>
    <t>30% of users need assistance</t>
  </si>
  <si>
    <r>
      <t xml:space="preserve">Average </t>
    </r>
    <r>
      <rPr>
        <b/>
        <sz val="7"/>
        <color rgb="FF000000"/>
        <rFont val="DUTCH"/>
      </rPr>
      <t>Monthly</t>
    </r>
  </si>
  <si>
    <r>
      <rPr>
        <b/>
        <sz val="7"/>
        <color rgb="FF000000"/>
        <rFont val="DUTCH"/>
      </rPr>
      <t>Annual</t>
    </r>
    <r>
      <rPr>
        <sz val="7"/>
        <color indexed="8"/>
        <rFont val="DUTCH"/>
      </rPr>
      <t xml:space="preserve"> NO.  OF </t>
    </r>
  </si>
  <si>
    <t>Fringe benefit %</t>
  </si>
  <si>
    <t>Fringe benefit cost</t>
  </si>
  <si>
    <t>Base + Fringe Total</t>
  </si>
  <si>
    <t>Average hourly wage</t>
  </si>
  <si>
    <t>Travel Time Required to Identity Proof
After providing additional information necessary for identity proofing, customer travels to a USDA Service Center to manually validate their identity through a Local Registration Authority.</t>
  </si>
  <si>
    <t>Electronic Self-Registration for a USDA Authentication with Identity Proofing Customer provides additional information for identity verification online from the eAuthentication web site.</t>
  </si>
  <si>
    <t>Electronic Self-Registration for a USDA eAuthentication Account Customer registers for an eAuthentication account online from the eAuthentication web 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</si>
</sst>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m/dd/yy_)"/>
    <numFmt numFmtId="165" formatCode="mm/dd/yy;@"/>
    <numFmt numFmtId="166" formatCode="&quot;$&quot;#,##0.00"/>
    <numFmt numFmtId="167" formatCode="_(* #,##0_);_(* \(#,##0\);_(* &quot;-&quot;??_);_(@_)"/>
    <numFmt numFmtId="168" formatCode="#,##0.000_);\(#,##0.000\)"/>
    <numFmt numFmtId="169" formatCode="0.0000"/>
    <numFmt numFmtId="170" formatCode="#,##0.0000000000000"/>
  </numFmts>
  <fonts count="28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DUTCH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name val="Tahoma"/>
      <family val="2"/>
    </font>
    <font>
      <sz val="10"/>
      <color rgb="FF92D050"/>
      <name val="Arial"/>
      <family val="2"/>
    </font>
    <font>
      <sz val="10"/>
      <color theme="3" tint="0.39997558519241921"/>
      <name val="Arial"/>
      <family val="2"/>
    </font>
    <font>
      <sz val="10"/>
      <color theme="8" tint="-0.249977111117893"/>
      <name val="Arial"/>
      <family val="2"/>
    </font>
    <font>
      <b/>
      <sz val="7"/>
      <color rgb="FF000000"/>
      <name val="DUTCH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7" xfId="0" applyNumberFormat="1" applyFont="1" applyBorder="1" applyProtection="1"/>
    <xf numFmtId="37" fontId="4" fillId="0" borderId="8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9" xfId="0" applyNumberFormat="1" applyFont="1" applyBorder="1" applyProtection="1"/>
    <xf numFmtId="164" fontId="4" fillId="0" borderId="0" xfId="0" applyNumberFormat="1" applyFont="1" applyProtection="1"/>
    <xf numFmtId="164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4" fillId="0" borderId="7" xfId="0" applyNumberFormat="1" applyFont="1" applyBorder="1" applyProtection="1"/>
    <xf numFmtId="37" fontId="8" fillId="0" borderId="7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8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10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10" xfId="0" applyNumberFormat="1" applyFont="1" applyBorder="1" applyProtection="1"/>
    <xf numFmtId="37" fontId="10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10" fillId="0" borderId="11" xfId="0" applyNumberFormat="1" applyFont="1" applyBorder="1" applyAlignment="1" applyProtection="1">
      <alignment horizontal="center"/>
    </xf>
    <xf numFmtId="37" fontId="2" fillId="0" borderId="7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37" fontId="2" fillId="0" borderId="11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3" fillId="0" borderId="7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center"/>
    </xf>
    <xf numFmtId="37" fontId="11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1" fillId="0" borderId="10" xfId="0" applyNumberFormat="1" applyFont="1" applyBorder="1" applyAlignment="1" applyProtection="1">
      <alignment horizontal="center"/>
    </xf>
    <xf numFmtId="37" fontId="17" fillId="0" borderId="0" xfId="0" applyNumberFormat="1" applyFont="1" applyProtection="1"/>
    <xf numFmtId="37" fontId="12" fillId="0" borderId="15" xfId="0" applyNumberFormat="1" applyFont="1" applyBorder="1" applyAlignment="1" applyProtection="1">
      <alignment horizontal="center"/>
    </xf>
    <xf numFmtId="37" fontId="19" fillId="0" borderId="15" xfId="0" applyNumberFormat="1" applyFont="1" applyBorder="1" applyAlignment="1" applyProtection="1">
      <alignment horizontal="center"/>
    </xf>
    <xf numFmtId="3" fontId="18" fillId="0" borderId="15" xfId="0" applyNumberFormat="1" applyFont="1" applyBorder="1"/>
    <xf numFmtId="37" fontId="10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Border="1" applyAlignment="1" applyProtection="1">
      <alignment horizontal="center"/>
    </xf>
    <xf numFmtId="0" fontId="0" fillId="0" borderId="15" xfId="0" applyBorder="1"/>
    <xf numFmtId="0" fontId="0" fillId="0" borderId="15" xfId="0" applyBorder="1" applyAlignment="1">
      <alignment wrapText="1"/>
    </xf>
    <xf numFmtId="0" fontId="18" fillId="0" borderId="15" xfId="0" applyFont="1" applyBorder="1" applyAlignment="1">
      <alignment horizontal="center"/>
    </xf>
    <xf numFmtId="1" fontId="18" fillId="0" borderId="15" xfId="0" applyNumberFormat="1" applyFont="1" applyBorder="1" applyAlignment="1">
      <alignment horizontal="center"/>
    </xf>
    <xf numFmtId="2" fontId="18" fillId="0" borderId="15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0" fontId="13" fillId="0" borderId="15" xfId="0" applyFont="1" applyBorder="1" applyAlignment="1">
      <alignment horizontal="left"/>
    </xf>
    <xf numFmtId="2" fontId="19" fillId="0" borderId="15" xfId="0" applyNumberFormat="1" applyFont="1" applyBorder="1" applyAlignment="1" applyProtection="1">
      <alignment horizontal="right"/>
    </xf>
    <xf numFmtId="1" fontId="19" fillId="0" borderId="15" xfId="0" applyNumberFormat="1" applyFont="1" applyBorder="1" applyAlignment="1" applyProtection="1">
      <alignment horizontal="center"/>
    </xf>
    <xf numFmtId="3" fontId="19" fillId="0" borderId="15" xfId="0" applyNumberFormat="1" applyFont="1" applyBorder="1" applyAlignment="1" applyProtection="1">
      <alignment horizontal="right"/>
    </xf>
    <xf numFmtId="37" fontId="19" fillId="0" borderId="15" xfId="0" applyNumberFormat="1" applyFont="1" applyBorder="1" applyAlignment="1" applyProtection="1">
      <alignment wrapText="1"/>
    </xf>
    <xf numFmtId="0" fontId="13" fillId="0" borderId="15" xfId="0" applyFont="1" applyBorder="1" applyAlignment="1">
      <alignment horizontal="left" wrapText="1"/>
    </xf>
    <xf numFmtId="2" fontId="18" fillId="0" borderId="16" xfId="0" applyNumberFormat="1" applyFont="1" applyBorder="1" applyAlignment="1">
      <alignment horizontal="right"/>
    </xf>
    <xf numFmtId="2" fontId="19" fillId="0" borderId="16" xfId="0" applyNumberFormat="1" applyFont="1" applyBorder="1" applyAlignment="1" applyProtection="1">
      <alignment horizontal="right"/>
    </xf>
    <xf numFmtId="37" fontId="10" fillId="0" borderId="10" xfId="0" applyNumberFormat="1" applyFont="1" applyBorder="1" applyAlignment="1" applyProtection="1">
      <alignment horizontal="center"/>
    </xf>
    <xf numFmtId="37" fontId="12" fillId="0" borderId="15" xfId="0" applyNumberFormat="1" applyFont="1" applyBorder="1" applyAlignment="1" applyProtection="1">
      <alignment horizontal="right"/>
    </xf>
    <xf numFmtId="37" fontId="12" fillId="0" borderId="15" xfId="0" applyNumberFormat="1" applyFont="1" applyBorder="1" applyProtection="1"/>
    <xf numFmtId="37" fontId="16" fillId="0" borderId="15" xfId="0" applyNumberFormat="1" applyFont="1" applyBorder="1" applyProtection="1"/>
    <xf numFmtId="3" fontId="15" fillId="0" borderId="15" xfId="0" applyNumberFormat="1" applyFont="1" applyBorder="1"/>
    <xf numFmtId="0" fontId="12" fillId="0" borderId="15" xfId="0" applyNumberFormat="1" applyFont="1" applyBorder="1" applyAlignment="1" applyProtection="1">
      <alignment horizontal="center"/>
    </xf>
    <xf numFmtId="0" fontId="13" fillId="0" borderId="15" xfId="0" applyFont="1" applyBorder="1" applyAlignment="1">
      <alignment wrapText="1"/>
    </xf>
    <xf numFmtId="0" fontId="13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left"/>
    </xf>
    <xf numFmtId="0" fontId="14" fillId="0" borderId="15" xfId="0" applyFont="1" applyBorder="1" applyAlignment="1">
      <alignment wrapText="1"/>
    </xf>
    <xf numFmtId="37" fontId="19" fillId="0" borderId="15" xfId="0" applyNumberFormat="1" applyFont="1" applyBorder="1" applyProtection="1"/>
    <xf numFmtId="39" fontId="16" fillId="0" borderId="15" xfId="0" applyNumberFormat="1" applyFont="1" applyBorder="1" applyProtection="1"/>
    <xf numFmtId="37" fontId="12" fillId="0" borderId="15" xfId="0" applyNumberFormat="1" applyFont="1" applyBorder="1" applyAlignment="1" applyProtection="1">
      <alignment horizontal="left"/>
    </xf>
    <xf numFmtId="0" fontId="14" fillId="0" borderId="15" xfId="0" applyFont="1" applyBorder="1"/>
    <xf numFmtId="0" fontId="14" fillId="0" borderId="15" xfId="0" applyFont="1" applyBorder="1" applyAlignment="1">
      <alignment horizontal="center"/>
    </xf>
    <xf numFmtId="0" fontId="13" fillId="0" borderId="15" xfId="0" applyFont="1" applyBorder="1"/>
    <xf numFmtId="0" fontId="15" fillId="0" borderId="15" xfId="0" applyFont="1" applyBorder="1"/>
    <xf numFmtId="2" fontId="15" fillId="0" borderId="15" xfId="0" applyNumberFormat="1" applyFont="1" applyBorder="1"/>
    <xf numFmtId="37" fontId="12" fillId="2" borderId="15" xfId="0" applyNumberFormat="1" applyFont="1" applyFill="1" applyBorder="1" applyProtection="1"/>
    <xf numFmtId="37" fontId="20" fillId="0" borderId="3" xfId="0" applyNumberFormat="1" applyFont="1" applyBorder="1" applyProtection="1"/>
    <xf numFmtId="37" fontId="6" fillId="0" borderId="9" xfId="0" applyNumberFormat="1" applyFont="1" applyBorder="1" applyAlignment="1" applyProtection="1">
      <alignment horizontal="center"/>
    </xf>
    <xf numFmtId="37" fontId="21" fillId="0" borderId="9" xfId="0" applyNumberFormat="1" applyFont="1" applyBorder="1" applyProtection="1"/>
    <xf numFmtId="4" fontId="18" fillId="0" borderId="15" xfId="0" applyNumberFormat="1" applyFont="1" applyBorder="1"/>
    <xf numFmtId="165" fontId="9" fillId="0" borderId="7" xfId="0" applyNumberFormat="1" applyFont="1" applyBorder="1" applyAlignment="1" applyProtection="1">
      <alignment horizontal="center"/>
    </xf>
    <xf numFmtId="0" fontId="12" fillId="0" borderId="15" xfId="0" applyNumberFormat="1" applyFont="1" applyBorder="1" applyAlignment="1" applyProtection="1">
      <alignment wrapText="1"/>
    </xf>
    <xf numFmtId="0" fontId="12" fillId="0" borderId="15" xfId="0" applyNumberFormat="1" applyFont="1" applyBorder="1" applyAlignment="1" applyProtection="1">
      <alignment horizontal="left" vertical="top"/>
    </xf>
    <xf numFmtId="0" fontId="18" fillId="0" borderId="15" xfId="0" applyFont="1" applyBorder="1" applyAlignment="1">
      <alignment wrapText="1"/>
    </xf>
    <xf numFmtId="0" fontId="18" fillId="0" borderId="0" xfId="0" applyFont="1"/>
    <xf numFmtId="37" fontId="12" fillId="0" borderId="17" xfId="0" applyNumberFormat="1" applyFont="1" applyFill="1" applyBorder="1" applyAlignment="1" applyProtection="1">
      <alignment horizontal="right"/>
    </xf>
    <xf numFmtId="0" fontId="18" fillId="0" borderId="0" xfId="0" applyFont="1" applyFill="1" applyBorder="1"/>
    <xf numFmtId="166" fontId="0" fillId="0" borderId="0" xfId="0" applyNumberFormat="1"/>
    <xf numFmtId="8" fontId="0" fillId="0" borderId="0" xfId="0" applyNumberFormat="1"/>
    <xf numFmtId="37" fontId="12" fillId="0" borderId="18" xfId="0" applyNumberFormat="1" applyFont="1" applyFill="1" applyBorder="1" applyAlignment="1" applyProtection="1">
      <alignment horizontal="right"/>
    </xf>
    <xf numFmtId="43" fontId="19" fillId="0" borderId="15" xfId="1" applyFont="1" applyBorder="1" applyAlignment="1" applyProtection="1">
      <alignment horizontal="right"/>
    </xf>
    <xf numFmtId="166" fontId="0" fillId="3" borderId="0" xfId="0" applyNumberFormat="1" applyFill="1"/>
    <xf numFmtId="6" fontId="0" fillId="0" borderId="0" xfId="0" applyNumberFormat="1"/>
    <xf numFmtId="8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3" fontId="0" fillId="0" borderId="0" xfId="0" applyNumberFormat="1"/>
    <xf numFmtId="2" fontId="0" fillId="0" borderId="0" xfId="0" applyNumberFormat="1"/>
    <xf numFmtId="43" fontId="0" fillId="0" borderId="0" xfId="1" applyFont="1"/>
    <xf numFmtId="167" fontId="0" fillId="0" borderId="0" xfId="1" applyNumberFormat="1" applyFont="1"/>
    <xf numFmtId="4" fontId="0" fillId="0" borderId="0" xfId="0" applyNumberFormat="1"/>
    <xf numFmtId="3" fontId="23" fillId="0" borderId="15" xfId="0" applyNumberFormat="1" applyFont="1" applyFill="1" applyBorder="1"/>
    <xf numFmtId="168" fontId="12" fillId="0" borderId="15" xfId="0" applyNumberFormat="1" applyFont="1" applyBorder="1" applyAlignment="1" applyProtection="1">
      <alignment horizontal="right"/>
    </xf>
    <xf numFmtId="1" fontId="19" fillId="3" borderId="15" xfId="0" applyNumberFormat="1" applyFont="1" applyFill="1" applyBorder="1" applyAlignment="1" applyProtection="1">
      <alignment horizontal="center"/>
    </xf>
    <xf numFmtId="3" fontId="18" fillId="3" borderId="15" xfId="0" applyNumberFormat="1" applyFont="1" applyFill="1" applyBorder="1" applyAlignment="1">
      <alignment horizontal="right"/>
    </xf>
    <xf numFmtId="3" fontId="23" fillId="0" borderId="15" xfId="0" applyNumberFormat="1" applyFont="1" applyBorder="1"/>
    <xf numFmtId="3" fontId="23" fillId="0" borderId="15" xfId="0" applyNumberFormat="1" applyFont="1" applyBorder="1" applyAlignment="1">
      <alignment horizontal="right"/>
    </xf>
    <xf numFmtId="3" fontId="24" fillId="0" borderId="15" xfId="0" applyNumberFormat="1" applyFont="1" applyBorder="1"/>
    <xf numFmtId="1" fontId="24" fillId="0" borderId="15" xfId="0" applyNumberFormat="1" applyFont="1" applyBorder="1" applyAlignment="1">
      <alignment horizontal="center"/>
    </xf>
    <xf numFmtId="2" fontId="24" fillId="0" borderId="16" xfId="0" applyNumberFormat="1" applyFont="1" applyBorder="1" applyAlignment="1">
      <alignment horizontal="right"/>
    </xf>
    <xf numFmtId="3" fontId="24" fillId="0" borderId="15" xfId="0" applyNumberFormat="1" applyFont="1" applyBorder="1" applyAlignment="1">
      <alignment horizontal="right"/>
    </xf>
    <xf numFmtId="0" fontId="24" fillId="0" borderId="15" xfId="0" applyFont="1" applyBorder="1"/>
    <xf numFmtId="0" fontId="24" fillId="0" borderId="0" xfId="0" applyFont="1"/>
    <xf numFmtId="166" fontId="24" fillId="0" borderId="0" xfId="0" applyNumberFormat="1" applyFont="1"/>
    <xf numFmtId="3" fontId="25" fillId="0" borderId="15" xfId="0" applyNumberFormat="1" applyFont="1" applyFill="1" applyBorder="1" applyAlignment="1" applyProtection="1">
      <alignment horizontal="right"/>
    </xf>
    <xf numFmtId="1" fontId="25" fillId="0" borderId="15" xfId="0" applyNumberFormat="1" applyFont="1" applyFill="1" applyBorder="1" applyAlignment="1" applyProtection="1">
      <alignment horizontal="center"/>
    </xf>
    <xf numFmtId="2" fontId="25" fillId="0" borderId="15" xfId="0" applyNumberFormat="1" applyFont="1" applyFill="1" applyBorder="1" applyAlignment="1" applyProtection="1">
      <alignment horizontal="right"/>
    </xf>
    <xf numFmtId="3" fontId="25" fillId="0" borderId="15" xfId="0" applyNumberFormat="1" applyFont="1" applyFill="1" applyBorder="1" applyAlignment="1">
      <alignment horizontal="right"/>
    </xf>
    <xf numFmtId="166" fontId="25" fillId="0" borderId="0" xfId="0" applyNumberFormat="1" applyFont="1"/>
    <xf numFmtId="37" fontId="19" fillId="3" borderId="15" xfId="0" applyNumberFormat="1" applyFont="1" applyFill="1" applyBorder="1" applyAlignment="1" applyProtection="1">
      <alignment wrapText="1"/>
    </xf>
    <xf numFmtId="37" fontId="19" fillId="3" borderId="15" xfId="0" applyNumberFormat="1" applyFont="1" applyFill="1" applyBorder="1" applyAlignment="1" applyProtection="1">
      <alignment horizontal="center"/>
    </xf>
    <xf numFmtId="3" fontId="18" fillId="3" borderId="15" xfId="0" applyNumberFormat="1" applyFont="1" applyFill="1" applyBorder="1"/>
    <xf numFmtId="2" fontId="19" fillId="3" borderId="16" xfId="0" applyNumberFormat="1" applyFont="1" applyFill="1" applyBorder="1" applyAlignment="1" applyProtection="1">
      <alignment horizontal="right"/>
    </xf>
    <xf numFmtId="168" fontId="12" fillId="3" borderId="15" xfId="0" applyNumberFormat="1" applyFont="1" applyFill="1" applyBorder="1" applyAlignment="1" applyProtection="1">
      <alignment horizontal="right"/>
    </xf>
    <xf numFmtId="37" fontId="12" fillId="3" borderId="15" xfId="0" applyNumberFormat="1" applyFont="1" applyFill="1" applyBorder="1" applyAlignment="1" applyProtection="1">
      <alignment horizontal="right"/>
    </xf>
    <xf numFmtId="0" fontId="0" fillId="3" borderId="0" xfId="0" applyFill="1"/>
    <xf numFmtId="0" fontId="0" fillId="3" borderId="15" xfId="0" applyFill="1" applyBorder="1"/>
    <xf numFmtId="43" fontId="18" fillId="0" borderId="0" xfId="1" applyFont="1"/>
    <xf numFmtId="6" fontId="22" fillId="0" borderId="0" xfId="0" applyNumberFormat="1" applyFont="1"/>
    <xf numFmtId="8" fontId="22" fillId="0" borderId="0" xfId="0" applyNumberFormat="1" applyFont="1"/>
    <xf numFmtId="9" fontId="0" fillId="0" borderId="0" xfId="2" applyFont="1"/>
    <xf numFmtId="169" fontId="0" fillId="0" borderId="0" xfId="0" applyNumberFormat="1"/>
    <xf numFmtId="166" fontId="0" fillId="0" borderId="0" xfId="1" applyNumberFormat="1" applyFont="1"/>
    <xf numFmtId="167" fontId="19" fillId="0" borderId="15" xfId="1" applyNumberFormat="1" applyFont="1" applyBorder="1" applyAlignment="1" applyProtection="1">
      <alignment horizontal="right"/>
    </xf>
    <xf numFmtId="0" fontId="18" fillId="0" borderId="0" xfId="0" applyFont="1" applyAlignment="1">
      <alignment horizontal="right"/>
    </xf>
    <xf numFmtId="37" fontId="12" fillId="0" borderId="18" xfId="0" applyNumberFormat="1" applyFont="1" applyFill="1" applyBorder="1" applyAlignment="1" applyProtection="1">
      <alignment horizontal="left"/>
    </xf>
    <xf numFmtId="170" fontId="0" fillId="0" borderId="0" xfId="0" applyNumberFormat="1"/>
    <xf numFmtId="4" fontId="18" fillId="0" borderId="15" xfId="0" applyNumberFormat="1" applyFont="1" applyBorder="1" applyAlignment="1">
      <alignment horizontal="right"/>
    </xf>
    <xf numFmtId="4" fontId="18" fillId="0" borderId="15" xfId="0" applyNumberFormat="1" applyFont="1" applyFill="1" applyBorder="1" applyAlignment="1">
      <alignment horizontal="right"/>
    </xf>
    <xf numFmtId="3" fontId="19" fillId="0" borderId="15" xfId="0" applyNumberFormat="1" applyFont="1" applyFill="1" applyBorder="1" applyAlignment="1" applyProtection="1">
      <alignment horizontal="right"/>
    </xf>
    <xf numFmtId="3" fontId="18" fillId="0" borderId="15" xfId="0" applyNumberFormat="1" applyFont="1" applyFill="1" applyBorder="1" applyAlignment="1">
      <alignment horizontal="right"/>
    </xf>
    <xf numFmtId="8" fontId="0" fillId="4" borderId="15" xfId="0" applyNumberFormat="1" applyFill="1" applyBorder="1"/>
    <xf numFmtId="166" fontId="0" fillId="0" borderId="15" xfId="0" applyNumberFormat="1" applyBorder="1"/>
    <xf numFmtId="37" fontId="2" fillId="0" borderId="0" xfId="0" applyNumberFormat="1" applyFont="1" applyBorder="1" applyAlignment="1" applyProtection="1">
      <alignment horizontal="center"/>
    </xf>
    <xf numFmtId="37" fontId="11" fillId="0" borderId="0" xfId="0" applyNumberFormat="1" applyFont="1" applyBorder="1" applyAlignment="1" applyProtection="1">
      <alignment horizontal="center"/>
    </xf>
    <xf numFmtId="8" fontId="0" fillId="0" borderId="19" xfId="0" applyNumberFormat="1" applyBorder="1"/>
    <xf numFmtId="0" fontId="0" fillId="0" borderId="19" xfId="0" applyBorder="1"/>
    <xf numFmtId="166" fontId="0" fillId="4" borderId="20" xfId="0" applyNumberFormat="1" applyFill="1" applyBorder="1"/>
    <xf numFmtId="0" fontId="0" fillId="3" borderId="15" xfId="0" applyFill="1" applyBorder="1" applyAlignment="1">
      <alignment horizontal="right"/>
    </xf>
    <xf numFmtId="9" fontId="0" fillId="3" borderId="15" xfId="0" applyNumberFormat="1" applyFill="1" applyBorder="1"/>
    <xf numFmtId="8" fontId="0" fillId="3" borderId="21" xfId="0" applyNumberFormat="1" applyFill="1" applyBorder="1"/>
    <xf numFmtId="0" fontId="0" fillId="5" borderId="15" xfId="0" applyFill="1" applyBorder="1" applyAlignment="1">
      <alignment horizontal="right"/>
    </xf>
    <xf numFmtId="8" fontId="0" fillId="5" borderId="20" xfId="0" applyNumberForma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1543050</xdr:colOff>
      <xdr:row>9</xdr:row>
      <xdr:rowOff>38100</xdr:rowOff>
    </xdr:from>
    <xdr:to>
      <xdr:col>6</xdr:col>
      <xdr:colOff>12700</xdr:colOff>
      <xdr:row>27</xdr:row>
      <xdr:rowOff>19050</xdr:rowOff>
    </xdr:to>
    <xdr:pic>
      <xdr:nvPicPr>
        <xdr:cNvPr id="2092" name="Picture 2">
          <a:extLst>
            <a:ext uri="{FF2B5EF4-FFF2-40B4-BE49-F238E27FC236}">
              <a16:creationId xmlns:a16="http://schemas.microsoft.com/office/drawing/2014/main" id="{AC7DED31-6F45-4B1C-BE0E-29407AB8F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466850"/>
          <a:ext cx="5454650" cy="283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zoomScale="110" zoomScaleNormal="110" workbookViewId="0">
      <selection activeCell="F30" sqref="F30"/>
    </sheetView>
  </sheetViews>
  <sheetFormatPr defaultRowHeight="12.5"/>
  <cols>
    <col min="1" max="1" width="20.7265625" customWidth="1"/>
    <col min="2" max="2" width="39" customWidth="1"/>
    <col min="3" max="3" width="8.7265625" customWidth="1"/>
    <col min="4" max="4" width="11.26953125" hidden="1" customWidth="1"/>
    <col min="5" max="5" width="11.26953125" bestFit="1" customWidth="1"/>
    <col min="6" max="6" width="8.7265625" customWidth="1"/>
    <col min="7" max="7" width="10.26953125" bestFit="1" customWidth="1"/>
    <col min="9" max="9" width="12.1796875" customWidth="1"/>
    <col min="10" max="10" width="8.7265625" customWidth="1"/>
    <col min="11" max="11" width="9.7265625" customWidth="1"/>
    <col min="12" max="12" width="8.7265625" customWidth="1"/>
    <col min="13" max="13" width="19.54296875" hidden="1" customWidth="1"/>
    <col min="14" max="14" width="10.81640625" hidden="1" customWidth="1"/>
    <col min="15" max="15" width="11.81640625" hidden="1" customWidth="1"/>
    <col min="16" max="16" width="8.7265625" hidden="1" customWidth="1"/>
    <col min="17" max="17" width="12.26953125" bestFit="1" customWidth="1"/>
    <col min="21" max="21" width="31.26953125" customWidth="1"/>
  </cols>
  <sheetData>
    <row r="1" spans="1:17">
      <c r="A1" s="1" t="s">
        <v>64</v>
      </c>
      <c r="B1" s="2"/>
      <c r="C1" s="91" t="s">
        <v>65</v>
      </c>
      <c r="D1" s="4"/>
      <c r="E1" s="4"/>
      <c r="F1" s="4"/>
      <c r="G1" s="4"/>
      <c r="H1" s="4"/>
      <c r="I1" s="4"/>
      <c r="J1" s="3" t="s">
        <v>0</v>
      </c>
      <c r="K1" s="4"/>
      <c r="L1" s="5"/>
    </row>
    <row r="2" spans="1:17" ht="15.5">
      <c r="A2" s="6"/>
      <c r="B2" s="7"/>
      <c r="C2" s="92" t="s">
        <v>1</v>
      </c>
      <c r="D2" s="7"/>
      <c r="E2" s="7"/>
      <c r="F2" s="7"/>
      <c r="G2" s="7"/>
      <c r="H2" s="7"/>
      <c r="I2" s="7"/>
      <c r="J2" s="8"/>
      <c r="K2" s="9" t="s">
        <v>62</v>
      </c>
      <c r="L2" s="10"/>
    </row>
    <row r="3" spans="1:17" ht="15.5">
      <c r="A3" s="11" t="s">
        <v>2</v>
      </c>
      <c r="B3" s="7"/>
      <c r="C3" s="93" t="s">
        <v>63</v>
      </c>
      <c r="D3" s="51"/>
      <c r="E3" s="51"/>
      <c r="F3" s="7"/>
      <c r="G3" s="7"/>
      <c r="H3" s="7"/>
      <c r="I3" s="7"/>
      <c r="J3" s="12" t="s">
        <v>3</v>
      </c>
      <c r="K3" s="13"/>
      <c r="L3" s="14"/>
    </row>
    <row r="4" spans="1:17" ht="15.5">
      <c r="A4" s="15"/>
      <c r="B4" s="17"/>
      <c r="C4" s="18" t="s">
        <v>1</v>
      </c>
      <c r="D4" s="16"/>
      <c r="E4" s="16"/>
      <c r="F4" s="16"/>
      <c r="G4" s="16"/>
      <c r="H4" s="16"/>
      <c r="I4" s="16"/>
      <c r="J4" s="19"/>
      <c r="K4" s="95">
        <v>43787</v>
      </c>
      <c r="L4" s="20"/>
    </row>
    <row r="5" spans="1:17">
      <c r="A5" s="21" t="s">
        <v>4</v>
      </c>
      <c r="B5" s="23" t="s">
        <v>1</v>
      </c>
      <c r="C5" s="7"/>
      <c r="D5" s="7"/>
      <c r="E5" s="7"/>
      <c r="F5" s="7" t="s">
        <v>5</v>
      </c>
      <c r="G5" s="24" t="s">
        <v>6</v>
      </c>
      <c r="H5" s="25"/>
      <c r="I5" s="24" t="s">
        <v>7</v>
      </c>
      <c r="J5" s="25"/>
      <c r="K5" s="24" t="s">
        <v>8</v>
      </c>
      <c r="L5" s="26"/>
    </row>
    <row r="6" spans="1:17">
      <c r="A6" s="27" t="s">
        <v>9</v>
      </c>
      <c r="B6" s="7"/>
      <c r="C6" s="7"/>
      <c r="D6" s="7"/>
      <c r="E6" s="7"/>
      <c r="F6" s="7" t="s">
        <v>5</v>
      </c>
      <c r="G6" s="28" t="s">
        <v>10</v>
      </c>
      <c r="H6" s="25" t="s">
        <v>11</v>
      </c>
      <c r="I6" s="28" t="s">
        <v>10</v>
      </c>
      <c r="J6" s="25" t="s">
        <v>12</v>
      </c>
      <c r="K6" s="28" t="s">
        <v>10</v>
      </c>
      <c r="L6" s="26" t="s">
        <v>13</v>
      </c>
    </row>
    <row r="7" spans="1:17">
      <c r="A7" s="29" t="s">
        <v>14</v>
      </c>
      <c r="B7" s="16"/>
      <c r="C7" s="16"/>
      <c r="D7" s="16"/>
      <c r="E7" s="16"/>
      <c r="F7" s="16" t="s">
        <v>5</v>
      </c>
      <c r="G7" s="30" t="s">
        <v>15</v>
      </c>
      <c r="H7" s="31"/>
      <c r="I7" s="30" t="s">
        <v>6</v>
      </c>
      <c r="J7" s="31"/>
      <c r="K7" s="30" t="s">
        <v>16</v>
      </c>
      <c r="L7" s="32"/>
    </row>
    <row r="8" spans="1:17">
      <c r="A8" s="33" t="s">
        <v>17</v>
      </c>
      <c r="B8" s="16"/>
      <c r="C8" s="34"/>
      <c r="D8" s="16"/>
      <c r="E8" s="16"/>
      <c r="F8" s="16"/>
      <c r="G8" s="16"/>
      <c r="H8" s="16" t="s">
        <v>18</v>
      </c>
      <c r="I8" s="16"/>
      <c r="J8" s="16"/>
      <c r="K8" s="16"/>
      <c r="L8" s="10"/>
    </row>
    <row r="9" spans="1:17">
      <c r="A9" s="35"/>
      <c r="B9" s="36"/>
      <c r="C9" s="37" t="s">
        <v>19</v>
      </c>
      <c r="D9" s="38"/>
      <c r="E9" s="38"/>
      <c r="F9" s="38"/>
      <c r="G9" s="39" t="s">
        <v>20</v>
      </c>
      <c r="H9" s="38"/>
      <c r="I9" s="38"/>
      <c r="J9" s="40"/>
      <c r="K9" s="39" t="s">
        <v>21</v>
      </c>
      <c r="L9" s="41"/>
    </row>
    <row r="10" spans="1:17">
      <c r="A10" s="35"/>
      <c r="B10" s="36"/>
      <c r="C10" s="37" t="s">
        <v>22</v>
      </c>
      <c r="D10" s="42" t="s">
        <v>111</v>
      </c>
      <c r="E10" s="42" t="s">
        <v>112</v>
      </c>
      <c r="F10" s="42" t="s">
        <v>23</v>
      </c>
      <c r="G10" s="42" t="s">
        <v>24</v>
      </c>
      <c r="H10" s="42" t="s">
        <v>25</v>
      </c>
      <c r="I10" s="24" t="s">
        <v>24</v>
      </c>
      <c r="J10" s="43" t="s">
        <v>23</v>
      </c>
      <c r="K10" s="42" t="s">
        <v>26</v>
      </c>
      <c r="L10" s="44" t="s">
        <v>24</v>
      </c>
    </row>
    <row r="11" spans="1:17">
      <c r="A11" s="45" t="s">
        <v>27</v>
      </c>
      <c r="B11" s="36"/>
      <c r="C11" s="46" t="s">
        <v>28</v>
      </c>
      <c r="D11" s="42" t="s">
        <v>29</v>
      </c>
      <c r="E11" s="42" t="s">
        <v>29</v>
      </c>
      <c r="F11" s="42" t="s">
        <v>30</v>
      </c>
      <c r="G11" s="42" t="s">
        <v>26</v>
      </c>
      <c r="H11" s="42" t="s">
        <v>31</v>
      </c>
      <c r="I11" s="24" t="s">
        <v>25</v>
      </c>
      <c r="J11" s="43" t="s">
        <v>32</v>
      </c>
      <c r="K11" s="42" t="s">
        <v>33</v>
      </c>
      <c r="L11" s="44" t="s">
        <v>32</v>
      </c>
      <c r="N11" s="99" t="s">
        <v>108</v>
      </c>
      <c r="O11" s="99" t="s">
        <v>109</v>
      </c>
    </row>
    <row r="12" spans="1:17">
      <c r="A12" s="45" t="s">
        <v>34</v>
      </c>
      <c r="B12" s="37" t="s">
        <v>35</v>
      </c>
      <c r="C12" s="46" t="s">
        <v>36</v>
      </c>
      <c r="D12" s="42" t="s">
        <v>37</v>
      </c>
      <c r="E12" s="42" t="s">
        <v>37</v>
      </c>
      <c r="F12" s="42" t="s">
        <v>31</v>
      </c>
      <c r="G12" s="42" t="s">
        <v>30</v>
      </c>
      <c r="H12" s="42" t="s">
        <v>38</v>
      </c>
      <c r="I12" s="47" t="s">
        <v>39</v>
      </c>
      <c r="J12" s="43" t="s">
        <v>40</v>
      </c>
      <c r="K12" s="42" t="s">
        <v>32</v>
      </c>
      <c r="L12" s="44" t="s">
        <v>41</v>
      </c>
      <c r="M12" s="148" t="s">
        <v>116</v>
      </c>
      <c r="N12" s="159">
        <v>14.49</v>
      </c>
      <c r="O12" s="160">
        <v>20.71</v>
      </c>
    </row>
    <row r="13" spans="1:17">
      <c r="A13" s="35"/>
      <c r="B13" s="37"/>
      <c r="C13" s="36"/>
      <c r="D13" s="48"/>
      <c r="E13" s="48"/>
      <c r="F13" s="42" t="s">
        <v>29</v>
      </c>
      <c r="G13" s="46" t="s">
        <v>42</v>
      </c>
      <c r="H13" s="36"/>
      <c r="I13" s="22"/>
      <c r="J13" s="49"/>
      <c r="K13" s="42" t="s">
        <v>43</v>
      </c>
      <c r="L13" s="157" t="s">
        <v>25</v>
      </c>
      <c r="M13" s="162" t="s">
        <v>113</v>
      </c>
      <c r="N13" s="163">
        <v>0.31</v>
      </c>
      <c r="O13" s="163">
        <v>0.37</v>
      </c>
    </row>
    <row r="14" spans="1:17" ht="13" thickBot="1">
      <c r="A14" s="35"/>
      <c r="B14" s="37"/>
      <c r="C14" s="36"/>
      <c r="D14" s="48"/>
      <c r="E14" s="48"/>
      <c r="F14" s="42" t="s">
        <v>44</v>
      </c>
      <c r="G14" s="36"/>
      <c r="H14" s="36"/>
      <c r="I14" s="22"/>
      <c r="J14" s="35"/>
      <c r="K14" s="36"/>
      <c r="L14" s="158" t="s">
        <v>45</v>
      </c>
      <c r="M14" s="162" t="s">
        <v>114</v>
      </c>
      <c r="N14" s="164">
        <f>N12*N13</f>
        <v>4.4919000000000002</v>
      </c>
      <c r="O14" s="164">
        <f>O12*O13</f>
        <v>7.6627000000000001</v>
      </c>
    </row>
    <row r="15" spans="1:17" ht="13" thickTop="1">
      <c r="A15" s="55" t="s">
        <v>46</v>
      </c>
      <c r="B15" s="56" t="s">
        <v>47</v>
      </c>
      <c r="C15" s="56" t="s">
        <v>48</v>
      </c>
      <c r="D15" s="56" t="s">
        <v>49</v>
      </c>
      <c r="E15" s="56" t="s">
        <v>49</v>
      </c>
      <c r="F15" s="56" t="s">
        <v>50</v>
      </c>
      <c r="G15" s="56" t="s">
        <v>51</v>
      </c>
      <c r="H15" s="56" t="s">
        <v>52</v>
      </c>
      <c r="I15" s="57" t="s">
        <v>53</v>
      </c>
      <c r="J15" s="55" t="s">
        <v>54</v>
      </c>
      <c r="K15" s="56" t="s">
        <v>55</v>
      </c>
      <c r="L15" s="57" t="s">
        <v>56</v>
      </c>
      <c r="M15" s="165" t="s">
        <v>115</v>
      </c>
      <c r="N15" s="166">
        <f>N12+N14</f>
        <v>18.9819</v>
      </c>
      <c r="O15" s="166">
        <f>O12+O14</f>
        <v>28.372700000000002</v>
      </c>
    </row>
    <row r="16" spans="1:17" ht="50">
      <c r="A16" s="58" t="s">
        <v>57</v>
      </c>
      <c r="B16" s="59" t="s">
        <v>119</v>
      </c>
      <c r="C16" s="60" t="s">
        <v>60</v>
      </c>
      <c r="D16" s="54">
        <f>8642</f>
        <v>8642</v>
      </c>
      <c r="E16" s="54">
        <f>D16*12</f>
        <v>103704</v>
      </c>
      <c r="F16" s="61">
        <v>1</v>
      </c>
      <c r="G16" s="54">
        <f>E16*F16</f>
        <v>103704</v>
      </c>
      <c r="H16" s="70">
        <f>3/60</f>
        <v>0.05</v>
      </c>
      <c r="I16" s="152">
        <f>G16*H16</f>
        <v>5185.2000000000007</v>
      </c>
      <c r="J16" s="58"/>
      <c r="K16" s="58"/>
      <c r="L16" s="58"/>
      <c r="M16" s="99" t="s">
        <v>68</v>
      </c>
      <c r="N16" s="161">
        <f>I16*N15</f>
        <v>98424.947880000007</v>
      </c>
      <c r="Q16" s="103"/>
    </row>
    <row r="17" spans="1:17">
      <c r="A17" s="64"/>
      <c r="B17" s="64"/>
      <c r="C17" s="53"/>
      <c r="D17" s="65"/>
      <c r="E17" s="65"/>
      <c r="F17" s="66"/>
      <c r="G17" s="65"/>
      <c r="H17" s="71"/>
      <c r="I17" s="153"/>
      <c r="J17" s="73" t="s">
        <v>1</v>
      </c>
      <c r="K17" s="73" t="s">
        <v>1</v>
      </c>
      <c r="L17" s="73" t="s">
        <v>1</v>
      </c>
      <c r="N17" s="155"/>
    </row>
    <row r="18" spans="1:17" ht="62.5">
      <c r="A18" s="58" t="s">
        <v>57</v>
      </c>
      <c r="B18" s="68" t="s">
        <v>118</v>
      </c>
      <c r="C18" s="53" t="s">
        <v>60</v>
      </c>
      <c r="D18" s="54">
        <f>2891</f>
        <v>2891</v>
      </c>
      <c r="E18" s="54">
        <f t="shared" ref="E18:E20" si="0">D18*12</f>
        <v>34692</v>
      </c>
      <c r="F18" s="66">
        <v>1</v>
      </c>
      <c r="G18" s="54">
        <f t="shared" ref="G18:G20" si="1">E18*F18</f>
        <v>34692</v>
      </c>
      <c r="H18" s="71">
        <f>3/60</f>
        <v>0.05</v>
      </c>
      <c r="I18" s="152">
        <f>G18*H18</f>
        <v>1734.6000000000001</v>
      </c>
      <c r="J18" s="73"/>
      <c r="K18" s="73"/>
      <c r="L18" s="73" t="s">
        <v>1</v>
      </c>
      <c r="M18" s="99" t="s">
        <v>68</v>
      </c>
      <c r="N18" s="155">
        <f>I18*N15</f>
        <v>32926.00374</v>
      </c>
    </row>
    <row r="19" spans="1:17" ht="75">
      <c r="A19" s="64"/>
      <c r="B19" s="68" t="s">
        <v>117</v>
      </c>
      <c r="C19" s="53" t="s">
        <v>60</v>
      </c>
      <c r="D19" s="54">
        <f>D18*0.15</f>
        <v>433.65</v>
      </c>
      <c r="E19" s="54">
        <f t="shared" si="0"/>
        <v>5203.7999999999993</v>
      </c>
      <c r="F19" s="66">
        <v>1</v>
      </c>
      <c r="G19" s="54">
        <f t="shared" si="1"/>
        <v>5203.7999999999993</v>
      </c>
      <c r="H19" s="71">
        <v>1</v>
      </c>
      <c r="I19" s="154">
        <f>G19*H19</f>
        <v>5203.7999999999993</v>
      </c>
      <c r="J19" s="73" t="s">
        <v>1</v>
      </c>
      <c r="K19" s="73" t="s">
        <v>1</v>
      </c>
      <c r="L19" s="73" t="s">
        <v>1</v>
      </c>
      <c r="M19" s="149" t="s">
        <v>69</v>
      </c>
      <c r="N19" s="155">
        <f>I19*N15</f>
        <v>98778.011219999986</v>
      </c>
      <c r="P19" s="100" t="s">
        <v>77</v>
      </c>
    </row>
    <row r="20" spans="1:17" ht="37.5">
      <c r="A20" s="97" t="s">
        <v>57</v>
      </c>
      <c r="B20" s="96" t="s">
        <v>76</v>
      </c>
      <c r="C20" s="52" t="s">
        <v>60</v>
      </c>
      <c r="D20" s="67">
        <f>D18*0.85</f>
        <v>2457.35</v>
      </c>
      <c r="E20" s="54">
        <f t="shared" si="0"/>
        <v>29488.199999999997</v>
      </c>
      <c r="F20" s="66">
        <v>1</v>
      </c>
      <c r="G20" s="54">
        <f t="shared" si="1"/>
        <v>29488.199999999997</v>
      </c>
      <c r="H20" s="65">
        <f>3/60</f>
        <v>0.05</v>
      </c>
      <c r="I20" s="151">
        <f>G20*H20</f>
        <v>1474.4099999999999</v>
      </c>
      <c r="J20" s="73"/>
      <c r="K20" s="73"/>
      <c r="L20" s="73"/>
      <c r="M20" s="101" t="s">
        <v>68</v>
      </c>
      <c r="N20" s="155">
        <f>I20*N15</f>
        <v>27987.103178999998</v>
      </c>
      <c r="P20" s="100" t="s">
        <v>78</v>
      </c>
      <c r="Q20" s="146"/>
    </row>
    <row r="21" spans="1:17">
      <c r="A21" s="64"/>
      <c r="B21" s="69"/>
      <c r="C21" s="52"/>
      <c r="D21" s="65"/>
      <c r="E21" s="65"/>
      <c r="F21" s="65"/>
      <c r="G21" s="65"/>
      <c r="H21" s="65"/>
      <c r="I21" s="65"/>
      <c r="J21" s="73" t="s">
        <v>1</v>
      </c>
      <c r="K21" s="73" t="s">
        <v>1</v>
      </c>
      <c r="L21" s="73" t="s">
        <v>1</v>
      </c>
    </row>
    <row r="22" spans="1:17" hidden="1">
      <c r="A22" s="74"/>
      <c r="B22" s="74" t="s">
        <v>107</v>
      </c>
      <c r="C22" s="74"/>
      <c r="D22" s="105"/>
      <c r="E22" s="105"/>
      <c r="F22" s="105"/>
      <c r="G22" s="147">
        <f>(G16+G18)*0.3</f>
        <v>41518.799999999996</v>
      </c>
      <c r="H22" s="65">
        <f>ROUND(10/60,2)</f>
        <v>0.17</v>
      </c>
      <c r="I22" s="105">
        <f>G22*H22</f>
        <v>7058.1959999999999</v>
      </c>
      <c r="J22" s="74"/>
      <c r="K22" s="74"/>
      <c r="L22" s="74"/>
      <c r="N22" s="146">
        <f>I22*O12</f>
        <v>146175.23916</v>
      </c>
      <c r="P22" s="148" t="s">
        <v>110</v>
      </c>
    </row>
    <row r="23" spans="1:17" hidden="1">
      <c r="A23" s="64"/>
      <c r="B23" s="78"/>
      <c r="C23" s="79"/>
      <c r="D23" s="62"/>
      <c r="E23" s="62"/>
      <c r="F23" s="62"/>
      <c r="G23" s="62"/>
      <c r="H23" s="62"/>
      <c r="I23" s="62"/>
      <c r="J23" s="74"/>
      <c r="K23" s="74"/>
      <c r="L23" s="74"/>
    </row>
    <row r="24" spans="1:17" hidden="1">
      <c r="A24" s="74"/>
      <c r="B24" s="74"/>
      <c r="C24" s="74"/>
      <c r="D24" s="65"/>
      <c r="E24" s="65"/>
      <c r="F24" s="65"/>
      <c r="G24" s="65"/>
      <c r="H24" s="65"/>
      <c r="I24" s="65"/>
      <c r="J24" s="74"/>
      <c r="K24" s="74"/>
      <c r="L24" s="74"/>
    </row>
    <row r="25" spans="1:17" ht="13" hidden="1">
      <c r="A25" s="80"/>
      <c r="B25" s="84" t="s">
        <v>74</v>
      </c>
      <c r="C25" s="74"/>
      <c r="D25" s="82"/>
      <c r="E25" s="82"/>
      <c r="F25" s="75"/>
      <c r="G25" s="75"/>
      <c r="H25" s="83">
        <f>H16+H18+H19</f>
        <v>1.1000000000000001</v>
      </c>
      <c r="I25" s="75">
        <f>H25*G19</f>
        <v>5724.1799999999994</v>
      </c>
      <c r="J25" s="74"/>
      <c r="K25" s="74"/>
      <c r="L25" s="74"/>
      <c r="N25" s="103">
        <f>I25*N12</f>
        <v>82943.368199999997</v>
      </c>
    </row>
    <row r="26" spans="1:17" ht="13" hidden="1">
      <c r="A26" s="74"/>
      <c r="B26" s="84" t="s">
        <v>75</v>
      </c>
      <c r="C26" s="74"/>
      <c r="D26" s="82"/>
      <c r="E26" s="82"/>
      <c r="F26" s="75"/>
      <c r="G26" s="75"/>
      <c r="H26" s="83">
        <f>H16+H18+H20</f>
        <v>0.15000000000000002</v>
      </c>
      <c r="I26" s="75">
        <f>H26*G20</f>
        <v>4423.2300000000005</v>
      </c>
      <c r="J26" s="74"/>
      <c r="K26" s="74"/>
      <c r="L26" s="74"/>
      <c r="N26" s="103">
        <f>I26*N12</f>
        <v>64092.60270000001</v>
      </c>
    </row>
    <row r="27" spans="1:17" ht="13">
      <c r="A27" s="80"/>
      <c r="B27" s="85"/>
      <c r="C27" s="74"/>
      <c r="D27" s="82"/>
      <c r="E27" s="82"/>
      <c r="F27" s="75"/>
      <c r="G27" s="75"/>
      <c r="H27" s="83"/>
      <c r="I27" s="75"/>
      <c r="J27" s="74"/>
      <c r="K27" s="74"/>
      <c r="L27" s="74"/>
    </row>
    <row r="28" spans="1:17" ht="13">
      <c r="A28" s="74"/>
      <c r="B28" s="84"/>
      <c r="C28" s="74"/>
      <c r="D28" s="82"/>
      <c r="E28" s="82"/>
      <c r="F28" s="75"/>
      <c r="G28" s="75"/>
      <c r="H28" s="75"/>
      <c r="I28" s="75"/>
      <c r="J28" s="74"/>
      <c r="K28" s="74"/>
      <c r="L28" s="74"/>
    </row>
    <row r="29" spans="1:17">
      <c r="A29" s="80"/>
      <c r="B29" s="81"/>
      <c r="C29" s="86"/>
      <c r="D29" s="87"/>
      <c r="E29" s="87"/>
      <c r="F29" s="88"/>
      <c r="G29" s="76"/>
      <c r="H29" s="89"/>
      <c r="I29" s="76"/>
      <c r="J29" s="74"/>
      <c r="K29" s="74"/>
      <c r="L29" s="74"/>
      <c r="M29" t="s">
        <v>79</v>
      </c>
      <c r="N29" s="156">
        <f>N16+N18+N19+N20</f>
        <v>258116.06601899999</v>
      </c>
    </row>
    <row r="30" spans="1:17">
      <c r="A30" s="58" t="s">
        <v>66</v>
      </c>
      <c r="B30" s="81"/>
      <c r="C30" s="90"/>
      <c r="D30" s="54"/>
      <c r="E30" s="54"/>
      <c r="F30" s="54"/>
      <c r="G30" s="54">
        <f>SUM(G16:G20)</f>
        <v>173088</v>
      </c>
      <c r="H30" s="94"/>
      <c r="I30" s="94">
        <f>SUM(I16:I20)</f>
        <v>13598.01</v>
      </c>
      <c r="J30" s="74"/>
      <c r="K30" s="74"/>
      <c r="L30" s="74"/>
      <c r="M30" s="150"/>
    </row>
    <row r="31" spans="1:17">
      <c r="A31" s="58"/>
      <c r="B31" s="52" t="s">
        <v>1</v>
      </c>
      <c r="C31" s="90"/>
      <c r="D31" s="54"/>
      <c r="E31" s="54"/>
      <c r="F31" s="54"/>
      <c r="G31" s="54"/>
      <c r="H31" s="94"/>
      <c r="I31" s="58"/>
      <c r="J31" s="52" t="s">
        <v>1</v>
      </c>
      <c r="K31" s="77" t="s">
        <v>1</v>
      </c>
      <c r="L31" s="52" t="s">
        <v>1</v>
      </c>
    </row>
    <row r="32" spans="1:1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</sheetData>
  <pageMargins left="0.25" right="0.25" top="0.25" bottom="0.25" header="0.5" footer="0.5"/>
  <pageSetup scale="85" orientation="landscape" horizontalDpi="4294967292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topLeftCell="C10" zoomScale="110" zoomScaleNormal="110" workbookViewId="0">
      <selection activeCell="H28" sqref="H28"/>
    </sheetView>
  </sheetViews>
  <sheetFormatPr defaultRowHeight="12.5"/>
  <cols>
    <col min="1" max="1" width="20.7265625" customWidth="1"/>
    <col min="2" max="2" width="48.7265625" customWidth="1"/>
    <col min="10" max="10" width="9.7265625" bestFit="1" customWidth="1"/>
    <col min="13" max="13" width="19.81640625" customWidth="1"/>
    <col min="14" max="14" width="12.81640625" customWidth="1"/>
  </cols>
  <sheetData>
    <row r="1" spans="1:14">
      <c r="A1" s="1" t="s">
        <v>64</v>
      </c>
      <c r="B1" s="2"/>
      <c r="C1" s="91" t="s">
        <v>65</v>
      </c>
      <c r="D1" s="4"/>
      <c r="E1" s="4"/>
      <c r="F1" s="4"/>
      <c r="G1" s="4"/>
      <c r="H1" s="4"/>
      <c r="I1" s="3" t="s">
        <v>0</v>
      </c>
      <c r="J1" s="4"/>
      <c r="K1" s="5"/>
    </row>
    <row r="2" spans="1:14" ht="15.5">
      <c r="A2" s="6"/>
      <c r="B2" s="7"/>
      <c r="C2" s="92" t="s">
        <v>1</v>
      </c>
      <c r="D2" s="7"/>
      <c r="E2" s="7"/>
      <c r="F2" s="7"/>
      <c r="G2" s="7"/>
      <c r="H2" s="7"/>
      <c r="I2" s="8"/>
      <c r="J2" s="9" t="s">
        <v>62</v>
      </c>
      <c r="K2" s="10"/>
    </row>
    <row r="3" spans="1:14" ht="15.5">
      <c r="A3" s="11" t="s">
        <v>2</v>
      </c>
      <c r="B3" s="7"/>
      <c r="C3" s="93" t="s">
        <v>63</v>
      </c>
      <c r="D3" s="51"/>
      <c r="E3" s="7"/>
      <c r="F3" s="7"/>
      <c r="G3" s="7"/>
      <c r="H3" s="7"/>
      <c r="I3" s="12" t="s">
        <v>3</v>
      </c>
      <c r="J3" s="13"/>
      <c r="K3" s="14"/>
    </row>
    <row r="4" spans="1:14" ht="15.5">
      <c r="A4" s="15"/>
      <c r="B4" s="17"/>
      <c r="C4" s="18" t="s">
        <v>1</v>
      </c>
      <c r="D4" s="16"/>
      <c r="E4" s="16"/>
      <c r="F4" s="16"/>
      <c r="G4" s="16"/>
      <c r="H4" s="16"/>
      <c r="I4" s="19"/>
      <c r="J4" s="95">
        <v>42410</v>
      </c>
      <c r="K4" s="20"/>
    </row>
    <row r="5" spans="1:14">
      <c r="A5" s="21" t="s">
        <v>4</v>
      </c>
      <c r="B5" s="23" t="s">
        <v>1</v>
      </c>
      <c r="C5" s="7"/>
      <c r="D5" s="7"/>
      <c r="E5" s="7" t="s">
        <v>5</v>
      </c>
      <c r="F5" s="24" t="s">
        <v>6</v>
      </c>
      <c r="G5" s="25"/>
      <c r="H5" s="24" t="s">
        <v>7</v>
      </c>
      <c r="I5" s="25"/>
      <c r="J5" s="24" t="s">
        <v>8</v>
      </c>
      <c r="K5" s="26"/>
    </row>
    <row r="6" spans="1:14">
      <c r="A6" s="27" t="s">
        <v>9</v>
      </c>
      <c r="B6" s="7"/>
      <c r="C6" s="7"/>
      <c r="D6" s="7"/>
      <c r="E6" s="7" t="s">
        <v>5</v>
      </c>
      <c r="F6" s="28" t="s">
        <v>10</v>
      </c>
      <c r="G6" s="25" t="s">
        <v>11</v>
      </c>
      <c r="H6" s="28" t="s">
        <v>10</v>
      </c>
      <c r="I6" s="25" t="s">
        <v>12</v>
      </c>
      <c r="J6" s="28" t="s">
        <v>10</v>
      </c>
      <c r="K6" s="26" t="s">
        <v>13</v>
      </c>
    </row>
    <row r="7" spans="1:14">
      <c r="A7" s="29" t="s">
        <v>14</v>
      </c>
      <c r="B7" s="16"/>
      <c r="C7" s="16"/>
      <c r="D7" s="16"/>
      <c r="E7" s="16" t="s">
        <v>5</v>
      </c>
      <c r="F7" s="30" t="s">
        <v>15</v>
      </c>
      <c r="G7" s="31"/>
      <c r="H7" s="30" t="s">
        <v>6</v>
      </c>
      <c r="I7" s="31"/>
      <c r="J7" s="30" t="s">
        <v>16</v>
      </c>
      <c r="K7" s="32"/>
    </row>
    <row r="8" spans="1:14">
      <c r="A8" s="33" t="s">
        <v>17</v>
      </c>
      <c r="B8" s="16"/>
      <c r="C8" s="34"/>
      <c r="D8" s="16"/>
      <c r="E8" s="16"/>
      <c r="F8" s="16"/>
      <c r="G8" s="16" t="s">
        <v>18</v>
      </c>
      <c r="H8" s="16"/>
      <c r="I8" s="16"/>
      <c r="J8" s="16"/>
      <c r="K8" s="10"/>
    </row>
    <row r="9" spans="1:14">
      <c r="A9" s="35"/>
      <c r="B9" s="36"/>
      <c r="C9" s="37" t="s">
        <v>19</v>
      </c>
      <c r="D9" s="38"/>
      <c r="E9" s="38"/>
      <c r="F9" s="39" t="s">
        <v>20</v>
      </c>
      <c r="G9" s="38"/>
      <c r="H9" s="38"/>
      <c r="I9" s="40"/>
      <c r="J9" s="39" t="s">
        <v>21</v>
      </c>
      <c r="K9" s="41"/>
    </row>
    <row r="10" spans="1:14">
      <c r="A10" s="35"/>
      <c r="B10" s="36"/>
      <c r="C10" s="37" t="s">
        <v>22</v>
      </c>
      <c r="D10" s="42" t="s">
        <v>23</v>
      </c>
      <c r="E10" s="42" t="s">
        <v>23</v>
      </c>
      <c r="F10" s="42" t="s">
        <v>24</v>
      </c>
      <c r="G10" s="42" t="s">
        <v>25</v>
      </c>
      <c r="H10" s="24" t="s">
        <v>24</v>
      </c>
      <c r="I10" s="43" t="s">
        <v>23</v>
      </c>
      <c r="J10" s="42" t="s">
        <v>26</v>
      </c>
      <c r="K10" s="44" t="s">
        <v>24</v>
      </c>
    </row>
    <row r="11" spans="1:14">
      <c r="A11" s="45" t="s">
        <v>27</v>
      </c>
      <c r="B11" s="36"/>
      <c r="C11" s="46" t="s">
        <v>28</v>
      </c>
      <c r="D11" s="42" t="s">
        <v>29</v>
      </c>
      <c r="E11" s="42" t="s">
        <v>30</v>
      </c>
      <c r="F11" s="42" t="s">
        <v>26</v>
      </c>
      <c r="G11" s="42" t="s">
        <v>31</v>
      </c>
      <c r="H11" s="24" t="s">
        <v>25</v>
      </c>
      <c r="I11" s="43" t="s">
        <v>32</v>
      </c>
      <c r="J11" s="42" t="s">
        <v>33</v>
      </c>
      <c r="K11" s="44" t="s">
        <v>32</v>
      </c>
    </row>
    <row r="12" spans="1:14">
      <c r="A12" s="45" t="s">
        <v>34</v>
      </c>
      <c r="B12" s="37" t="s">
        <v>35</v>
      </c>
      <c r="C12" s="46" t="s">
        <v>36</v>
      </c>
      <c r="D12" s="42" t="s">
        <v>37</v>
      </c>
      <c r="E12" s="42" t="s">
        <v>31</v>
      </c>
      <c r="F12" s="42" t="s">
        <v>30</v>
      </c>
      <c r="G12" s="42" t="s">
        <v>38</v>
      </c>
      <c r="H12" s="47" t="s">
        <v>39</v>
      </c>
      <c r="I12" s="43" t="s">
        <v>40</v>
      </c>
      <c r="J12" s="42" t="s">
        <v>32</v>
      </c>
      <c r="K12" s="44" t="s">
        <v>41</v>
      </c>
    </row>
    <row r="13" spans="1:14">
      <c r="A13" s="35"/>
      <c r="B13" s="37"/>
      <c r="C13" s="36"/>
      <c r="D13" s="48"/>
      <c r="E13" s="42" t="s">
        <v>29</v>
      </c>
      <c r="F13" s="46" t="s">
        <v>42</v>
      </c>
      <c r="G13" s="36"/>
      <c r="H13" s="22"/>
      <c r="I13" s="49"/>
      <c r="J13" s="42" t="s">
        <v>43</v>
      </c>
      <c r="K13" s="44" t="s">
        <v>25</v>
      </c>
    </row>
    <row r="14" spans="1:14">
      <c r="A14" s="35"/>
      <c r="B14" s="37"/>
      <c r="C14" s="36"/>
      <c r="D14" s="48"/>
      <c r="E14" s="42" t="s">
        <v>44</v>
      </c>
      <c r="F14" s="36"/>
      <c r="G14" s="36"/>
      <c r="H14" s="22"/>
      <c r="I14" s="35"/>
      <c r="J14" s="36"/>
      <c r="K14" s="50" t="s">
        <v>45</v>
      </c>
    </row>
    <row r="15" spans="1:14">
      <c r="A15" s="55" t="s">
        <v>46</v>
      </c>
      <c r="B15" s="56" t="s">
        <v>47</v>
      </c>
      <c r="C15" s="56" t="s">
        <v>48</v>
      </c>
      <c r="D15" s="56" t="s">
        <v>49</v>
      </c>
      <c r="E15" s="56" t="s">
        <v>50</v>
      </c>
      <c r="F15" s="56" t="s">
        <v>51</v>
      </c>
      <c r="G15" s="56" t="s">
        <v>52</v>
      </c>
      <c r="H15" s="57" t="s">
        <v>53</v>
      </c>
      <c r="I15" s="55" t="s">
        <v>54</v>
      </c>
      <c r="J15" s="56" t="s">
        <v>55</v>
      </c>
      <c r="K15" s="72" t="s">
        <v>56</v>
      </c>
      <c r="N15" s="102">
        <v>13.59</v>
      </c>
    </row>
    <row r="16" spans="1:14" ht="50">
      <c r="A16" s="58" t="s">
        <v>57</v>
      </c>
      <c r="B16" s="98" t="s">
        <v>58</v>
      </c>
      <c r="C16" s="60" t="s">
        <v>60</v>
      </c>
      <c r="D16" s="54">
        <v>114256</v>
      </c>
      <c r="E16" s="61">
        <v>1</v>
      </c>
      <c r="F16" s="54">
        <v>114256</v>
      </c>
      <c r="G16" s="70">
        <v>0.13</v>
      </c>
      <c r="H16" s="63">
        <v>15234</v>
      </c>
      <c r="I16" s="58"/>
      <c r="J16" s="58"/>
      <c r="K16" s="58"/>
      <c r="M16" t="s">
        <v>72</v>
      </c>
      <c r="N16" s="102">
        <f>$N$15*H16</f>
        <v>207030.06</v>
      </c>
    </row>
    <row r="17" spans="1:14">
      <c r="A17" s="64"/>
      <c r="B17" s="64"/>
      <c r="C17" s="53"/>
      <c r="D17" s="65"/>
      <c r="E17" s="66"/>
      <c r="F17" s="65"/>
      <c r="G17" s="71"/>
      <c r="H17" s="67"/>
      <c r="I17" s="73" t="s">
        <v>1</v>
      </c>
      <c r="J17" s="73" t="s">
        <v>1</v>
      </c>
      <c r="K17" s="73" t="s">
        <v>1</v>
      </c>
      <c r="N17" s="102"/>
    </row>
    <row r="18" spans="1:14" ht="50.25" customHeight="1">
      <c r="A18" s="58" t="s">
        <v>57</v>
      </c>
      <c r="B18" s="68" t="s">
        <v>59</v>
      </c>
      <c r="C18" s="53" t="s">
        <v>60</v>
      </c>
      <c r="D18" s="54">
        <v>17848</v>
      </c>
      <c r="E18" s="66">
        <v>1</v>
      </c>
      <c r="F18" s="54">
        <v>17848</v>
      </c>
      <c r="G18" s="71">
        <v>0.67</v>
      </c>
      <c r="H18" s="63">
        <f>+F18*G18</f>
        <v>11958.16</v>
      </c>
      <c r="I18" s="73"/>
      <c r="J18" s="73"/>
      <c r="K18" s="73" t="s">
        <v>1</v>
      </c>
      <c r="M18" t="s">
        <v>71</v>
      </c>
      <c r="N18" s="102">
        <f>$N$15*H18</f>
        <v>162511.39439999999</v>
      </c>
    </row>
    <row r="19" spans="1:14" ht="50.5">
      <c r="A19" s="64"/>
      <c r="B19" s="69" t="s">
        <v>61</v>
      </c>
      <c r="C19" s="53" t="s">
        <v>60</v>
      </c>
      <c r="D19" s="54">
        <v>1392</v>
      </c>
      <c r="E19" s="66">
        <v>1</v>
      </c>
      <c r="F19" s="54">
        <v>1392</v>
      </c>
      <c r="G19" s="71">
        <v>1</v>
      </c>
      <c r="H19" s="63">
        <f>+F19*G19</f>
        <v>1392</v>
      </c>
      <c r="I19" s="73" t="s">
        <v>1</v>
      </c>
      <c r="J19" s="73" t="s">
        <v>1</v>
      </c>
      <c r="K19" s="73" t="s">
        <v>1</v>
      </c>
      <c r="M19" s="104" t="s">
        <v>73</v>
      </c>
      <c r="N19" s="102">
        <f>$N$15*H19</f>
        <v>18917.28</v>
      </c>
    </row>
    <row r="20" spans="1:14" ht="25">
      <c r="A20" s="97" t="s">
        <v>57</v>
      </c>
      <c r="B20" s="96" t="s">
        <v>67</v>
      </c>
      <c r="C20" s="52" t="s">
        <v>60</v>
      </c>
      <c r="D20" s="67">
        <v>2100</v>
      </c>
      <c r="E20" s="66">
        <v>1</v>
      </c>
      <c r="F20" s="67">
        <v>2100</v>
      </c>
      <c r="G20" s="65">
        <v>0.17</v>
      </c>
      <c r="H20" s="63">
        <f>+F20*G20</f>
        <v>357</v>
      </c>
      <c r="I20" s="73"/>
      <c r="J20" s="73"/>
      <c r="K20" s="73"/>
      <c r="M20" t="s">
        <v>70</v>
      </c>
      <c r="N20" s="102">
        <f>$N$15*H20</f>
        <v>4851.63</v>
      </c>
    </row>
    <row r="21" spans="1:14">
      <c r="A21" s="64"/>
      <c r="B21" s="69"/>
      <c r="C21" s="52"/>
      <c r="D21" s="65"/>
      <c r="E21" s="65"/>
      <c r="F21" s="65"/>
      <c r="G21" s="65"/>
      <c r="H21" s="65"/>
      <c r="I21" s="73" t="s">
        <v>1</v>
      </c>
      <c r="J21" s="73" t="s">
        <v>1</v>
      </c>
      <c r="K21" s="73" t="s">
        <v>1</v>
      </c>
    </row>
    <row r="22" spans="1:14">
      <c r="A22" s="74"/>
      <c r="B22" s="74"/>
      <c r="C22" s="74"/>
      <c r="D22" s="65"/>
      <c r="E22" s="65"/>
      <c r="F22" s="65"/>
      <c r="G22" s="65"/>
      <c r="H22" s="65"/>
      <c r="I22" s="74"/>
      <c r="J22" s="74"/>
      <c r="K22" s="74"/>
      <c r="M22" t="s">
        <v>79</v>
      </c>
      <c r="N22" s="102">
        <f>SUM(N16:N21)</f>
        <v>393310.36439999996</v>
      </c>
    </row>
    <row r="23" spans="1:14">
      <c r="A23" s="64"/>
      <c r="B23" s="78"/>
      <c r="C23" s="79"/>
      <c r="D23" s="62"/>
      <c r="E23" s="62"/>
      <c r="F23" s="62"/>
      <c r="G23" s="62"/>
      <c r="H23" s="62"/>
      <c r="I23" s="74"/>
      <c r="J23" s="74"/>
      <c r="K23" s="74"/>
      <c r="N23" s="102"/>
    </row>
    <row r="24" spans="1:14">
      <c r="A24" s="74"/>
      <c r="B24" s="74"/>
      <c r="C24" s="74"/>
      <c r="D24" s="65"/>
      <c r="E24" s="65"/>
      <c r="F24" s="65"/>
      <c r="G24" s="65"/>
      <c r="H24" s="65"/>
      <c r="I24" s="74"/>
      <c r="J24" s="74"/>
      <c r="K24" s="74"/>
    </row>
    <row r="25" spans="1:14" ht="13">
      <c r="A25" s="74"/>
      <c r="B25" s="84"/>
      <c r="C25" s="74"/>
      <c r="D25" s="75"/>
      <c r="E25" s="75"/>
      <c r="F25" s="75"/>
      <c r="G25" s="75"/>
      <c r="H25" s="75"/>
      <c r="I25" s="74"/>
      <c r="J25" s="74"/>
      <c r="K25" s="74"/>
    </row>
    <row r="26" spans="1:14" ht="13">
      <c r="A26" s="80"/>
      <c r="B26" s="85"/>
      <c r="C26" s="74"/>
      <c r="D26" s="75"/>
      <c r="E26" s="75"/>
      <c r="F26" s="75"/>
      <c r="G26" s="83"/>
      <c r="H26" s="76"/>
      <c r="I26" s="74"/>
      <c r="J26" s="74"/>
      <c r="K26" s="74"/>
    </row>
    <row r="27" spans="1:14" ht="13">
      <c r="A27" s="80"/>
      <c r="B27" s="85"/>
      <c r="C27" s="74"/>
      <c r="D27" s="75"/>
      <c r="E27" s="75"/>
      <c r="F27" s="75"/>
      <c r="G27" s="75"/>
      <c r="H27" s="75"/>
      <c r="I27" s="74"/>
      <c r="J27" s="74"/>
      <c r="K27" s="74"/>
    </row>
    <row r="28" spans="1:14">
      <c r="A28" s="58" t="s">
        <v>66</v>
      </c>
      <c r="B28" s="81"/>
      <c r="C28" s="90"/>
      <c r="D28" s="54"/>
      <c r="E28" s="54"/>
      <c r="F28" s="54">
        <f>SUM(F16:F20)</f>
        <v>135596</v>
      </c>
      <c r="G28" s="94"/>
      <c r="H28" s="54">
        <f>SUM(H16:H20)</f>
        <v>28941.16</v>
      </c>
      <c r="I28" s="74"/>
      <c r="J28" s="74"/>
      <c r="K28" s="74"/>
    </row>
    <row r="29" spans="1:14">
      <c r="A29" s="58"/>
      <c r="B29" s="52" t="s">
        <v>1</v>
      </c>
      <c r="C29" s="90"/>
      <c r="D29" s="54"/>
      <c r="E29" s="54"/>
      <c r="F29" s="54"/>
      <c r="G29" s="94"/>
      <c r="H29" s="58"/>
      <c r="I29" s="52" t="s">
        <v>1</v>
      </c>
      <c r="J29" s="77" t="s">
        <v>1</v>
      </c>
      <c r="K29" s="52" t="s">
        <v>1</v>
      </c>
    </row>
    <row r="30" spans="1:1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</sheetData>
  <phoneticPr fontId="14" type="noConversion"/>
  <pageMargins left="0.25" right="0.25" top="0.25" bottom="0.25" header="0.5" footer="0.5"/>
  <pageSetup scale="85" orientation="landscape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workbookViewId="0">
      <selection activeCell="G8" sqref="G8"/>
    </sheetView>
  </sheetViews>
  <sheetFormatPr defaultRowHeight="12.5"/>
  <cols>
    <col min="1" max="1" width="44" customWidth="1"/>
    <col min="2" max="2" width="10.453125" bestFit="1" customWidth="1"/>
    <col min="3" max="3" width="11.26953125" bestFit="1" customWidth="1"/>
    <col min="5" max="5" width="15.54296875" customWidth="1"/>
    <col min="6" max="6" width="10" bestFit="1" customWidth="1"/>
    <col min="7" max="7" width="10.81640625" bestFit="1" customWidth="1"/>
  </cols>
  <sheetData>
    <row r="1" spans="1:7">
      <c r="C1" t="s">
        <v>84</v>
      </c>
      <c r="D1" t="s">
        <v>83</v>
      </c>
      <c r="E1" t="s">
        <v>85</v>
      </c>
      <c r="F1" t="s">
        <v>86</v>
      </c>
    </row>
    <row r="4" spans="1:7">
      <c r="A4" t="s">
        <v>81</v>
      </c>
      <c r="B4" s="108">
        <v>38474</v>
      </c>
    </row>
    <row r="5" spans="1:7">
      <c r="A5" t="s">
        <v>82</v>
      </c>
      <c r="B5" s="109">
        <v>47661</v>
      </c>
    </row>
    <row r="7" spans="1:7">
      <c r="A7" t="s">
        <v>80</v>
      </c>
      <c r="B7" s="103">
        <f>AVERAGE(B4:B5)</f>
        <v>43067.5</v>
      </c>
      <c r="C7" s="103">
        <f>B7/2080</f>
        <v>20.705528846153847</v>
      </c>
      <c r="D7" s="110">
        <v>138396</v>
      </c>
      <c r="E7" s="111">
        <f>10/60</f>
        <v>0.16666666666666666</v>
      </c>
      <c r="F7" s="113">
        <f>D7*E7</f>
        <v>23066</v>
      </c>
      <c r="G7" s="102">
        <f>F7*C7</f>
        <v>477593.72836538462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workbookViewId="0">
      <selection activeCell="C2" sqref="C2"/>
    </sheetView>
  </sheetViews>
  <sheetFormatPr defaultRowHeight="12.5"/>
  <cols>
    <col min="1" max="1" width="29.453125" customWidth="1"/>
    <col min="2" max="2" width="20" customWidth="1"/>
    <col min="3" max="3" width="20.7265625" customWidth="1"/>
    <col min="4" max="4" width="13.81640625" customWidth="1"/>
    <col min="5" max="5" width="12" bestFit="1" customWidth="1"/>
    <col min="6" max="6" width="13.453125" bestFit="1" customWidth="1"/>
    <col min="7" max="7" width="11.1796875" bestFit="1" customWidth="1"/>
  </cols>
  <sheetData>
    <row r="1" spans="1:8">
      <c r="B1" t="s">
        <v>87</v>
      </c>
      <c r="C1" t="s">
        <v>88</v>
      </c>
      <c r="D1" t="s">
        <v>103</v>
      </c>
    </row>
    <row r="2" spans="1:8">
      <c r="A2" t="s">
        <v>89</v>
      </c>
      <c r="B2" s="102">
        <v>437520</v>
      </c>
      <c r="C2" s="102">
        <v>146175.24</v>
      </c>
      <c r="D2" s="102">
        <f>C2-B2</f>
        <v>-291344.76</v>
      </c>
    </row>
    <row r="3" spans="1:8">
      <c r="A3" t="s">
        <v>90</v>
      </c>
      <c r="B3" s="102">
        <v>19.36</v>
      </c>
      <c r="C3" s="102">
        <v>20.71</v>
      </c>
      <c r="D3" s="114">
        <f>C3-B3</f>
        <v>1.3500000000000014</v>
      </c>
      <c r="E3">
        <f>1-(B3/C3)</f>
        <v>6.5185900531144481E-2</v>
      </c>
    </row>
    <row r="4" spans="1:8" s="112" customFormat="1">
      <c r="A4" s="141" t="s">
        <v>106</v>
      </c>
      <c r="B4" s="112">
        <f>B2/B3</f>
        <v>22599.173553719011</v>
      </c>
      <c r="C4" s="112">
        <f>C2/C3</f>
        <v>7058.1960405601149</v>
      </c>
    </row>
    <row r="5" spans="1:8">
      <c r="A5" s="99" t="s">
        <v>105</v>
      </c>
      <c r="B5" s="112">
        <v>135596</v>
      </c>
      <c r="C5" s="112">
        <v>138396</v>
      </c>
      <c r="D5" s="114">
        <f>C5-B5</f>
        <v>2800</v>
      </c>
    </row>
    <row r="6" spans="1:8">
      <c r="A6" t="s">
        <v>91</v>
      </c>
      <c r="B6" t="s">
        <v>72</v>
      </c>
      <c r="C6" t="s">
        <v>68</v>
      </c>
      <c r="D6" s="114">
        <v>5</v>
      </c>
    </row>
    <row r="7" spans="1:8">
      <c r="A7" t="s">
        <v>92</v>
      </c>
      <c r="B7">
        <v>114256</v>
      </c>
      <c r="C7">
        <v>103704</v>
      </c>
      <c r="D7" s="114">
        <f>C7-B7</f>
        <v>-10552</v>
      </c>
      <c r="F7" s="145">
        <f>5/60</f>
        <v>8.3333333333333329E-2</v>
      </c>
      <c r="G7" s="102"/>
      <c r="H7" s="99"/>
    </row>
    <row r="8" spans="1:8">
      <c r="A8" t="s">
        <v>93</v>
      </c>
      <c r="B8" s="102">
        <v>207032</v>
      </c>
      <c r="C8" s="102">
        <v>75133.55</v>
      </c>
      <c r="D8" s="114">
        <f>C8-B8</f>
        <v>-131898.45000000001</v>
      </c>
      <c r="E8">
        <f>C8/B8</f>
        <v>0.36290790795625799</v>
      </c>
    </row>
    <row r="9" spans="1:8">
      <c r="A9" t="s">
        <v>94</v>
      </c>
      <c r="B9">
        <v>15234</v>
      </c>
      <c r="C9">
        <v>5185</v>
      </c>
      <c r="D9" s="114">
        <f>C9-B9</f>
        <v>-10049</v>
      </c>
    </row>
    <row r="10" spans="1:8">
      <c r="A10" t="s">
        <v>96</v>
      </c>
      <c r="B10" s="102">
        <v>13.59</v>
      </c>
      <c r="C10" s="102">
        <v>14.49</v>
      </c>
      <c r="D10" s="114">
        <f>C10-B10</f>
        <v>0.90000000000000036</v>
      </c>
    </row>
    <row r="11" spans="1:8">
      <c r="D11" s="114"/>
    </row>
    <row r="12" spans="1:8">
      <c r="A12" t="s">
        <v>101</v>
      </c>
      <c r="B12" t="s">
        <v>71</v>
      </c>
      <c r="C12" t="s">
        <v>102</v>
      </c>
      <c r="D12" s="114"/>
    </row>
    <row r="13" spans="1:8">
      <c r="A13" t="s">
        <v>99</v>
      </c>
      <c r="B13" t="s">
        <v>70</v>
      </c>
      <c r="C13" t="s">
        <v>70</v>
      </c>
      <c r="D13" s="114"/>
    </row>
    <row r="14" spans="1:8">
      <c r="A14" t="s">
        <v>95</v>
      </c>
      <c r="B14">
        <f>12494+5354</f>
        <v>17848</v>
      </c>
      <c r="C14">
        <v>29488</v>
      </c>
      <c r="D14" s="114">
        <f>C14-B14</f>
        <v>11640</v>
      </c>
    </row>
    <row r="15" spans="1:8">
      <c r="A15" t="s">
        <v>97</v>
      </c>
      <c r="B15">
        <v>2082</v>
      </c>
      <c r="C15">
        <v>4915</v>
      </c>
      <c r="D15" s="114"/>
    </row>
    <row r="16" spans="1:8">
      <c r="A16" t="s">
        <v>98</v>
      </c>
      <c r="B16" s="107">
        <v>28294</v>
      </c>
      <c r="C16" s="102">
        <v>71214</v>
      </c>
      <c r="D16" s="114"/>
    </row>
    <row r="17" spans="1:5">
      <c r="D17" s="114"/>
    </row>
    <row r="18" spans="1:5">
      <c r="A18" t="s">
        <v>100</v>
      </c>
      <c r="D18" s="114"/>
    </row>
    <row r="19" spans="1:5">
      <c r="D19" s="114"/>
    </row>
    <row r="20" spans="1:5">
      <c r="D20" s="114"/>
    </row>
    <row r="21" spans="1:5">
      <c r="D21" s="114"/>
    </row>
    <row r="22" spans="1:5">
      <c r="B22" s="142">
        <v>396859</v>
      </c>
      <c r="C22" s="143">
        <v>246884.77</v>
      </c>
      <c r="D22" s="144">
        <f>(B22-C22)/B22</f>
        <v>0.37790305876898345</v>
      </c>
      <c r="E22" s="10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8"/>
  <sheetViews>
    <sheetView workbookViewId="0">
      <selection activeCell="N25" sqref="N25"/>
    </sheetView>
  </sheetViews>
  <sheetFormatPr defaultRowHeight="12.5"/>
  <cols>
    <col min="1" max="1" width="20.7265625" customWidth="1"/>
    <col min="2" max="2" width="48.7265625" customWidth="1"/>
    <col min="9" max="9" width="0" hidden="1" customWidth="1"/>
    <col min="10" max="10" width="9.7265625" hidden="1" customWidth="1"/>
    <col min="11" max="11" width="0" hidden="1" customWidth="1"/>
    <col min="13" max="13" width="9.81640625" bestFit="1" customWidth="1"/>
    <col min="14" max="14" width="10.81640625" bestFit="1" customWidth="1"/>
  </cols>
  <sheetData>
    <row r="1" spans="1:14">
      <c r="A1" s="1" t="s">
        <v>64</v>
      </c>
      <c r="B1" s="2"/>
      <c r="C1" s="91" t="s">
        <v>65</v>
      </c>
      <c r="D1" s="4"/>
      <c r="E1" s="4"/>
      <c r="F1" s="4"/>
      <c r="G1" s="4"/>
      <c r="H1" s="4"/>
      <c r="I1" s="3" t="s">
        <v>0</v>
      </c>
      <c r="J1" s="4"/>
      <c r="K1" s="5"/>
    </row>
    <row r="2" spans="1:14" ht="15.5">
      <c r="A2" s="6"/>
      <c r="B2" s="7"/>
      <c r="C2" s="92" t="s">
        <v>1</v>
      </c>
      <c r="D2" s="7"/>
      <c r="E2" s="7"/>
      <c r="F2" s="7"/>
      <c r="G2" s="7"/>
      <c r="H2" s="7"/>
      <c r="I2" s="8"/>
      <c r="J2" s="9" t="s">
        <v>62</v>
      </c>
      <c r="K2" s="10"/>
    </row>
    <row r="3" spans="1:14" ht="15.5">
      <c r="A3" s="11" t="s">
        <v>2</v>
      </c>
      <c r="B3" s="7"/>
      <c r="C3" s="93" t="s">
        <v>63</v>
      </c>
      <c r="D3" s="51"/>
      <c r="E3" s="7"/>
      <c r="F3" s="7"/>
      <c r="G3" s="7"/>
      <c r="H3" s="7"/>
      <c r="I3" s="12" t="s">
        <v>3</v>
      </c>
      <c r="J3" s="13"/>
      <c r="K3" s="14"/>
    </row>
    <row r="4" spans="1:14" ht="15.5">
      <c r="A4" s="15"/>
      <c r="B4" s="17"/>
      <c r="C4" s="18" t="s">
        <v>1</v>
      </c>
      <c r="D4" s="16"/>
      <c r="E4" s="16"/>
      <c r="F4" s="16"/>
      <c r="G4" s="16"/>
      <c r="H4" s="16"/>
      <c r="I4" s="19"/>
      <c r="J4" s="95">
        <v>42410</v>
      </c>
      <c r="K4" s="20"/>
    </row>
    <row r="5" spans="1:14">
      <c r="A5" s="21" t="s">
        <v>4</v>
      </c>
      <c r="B5" s="23" t="s">
        <v>1</v>
      </c>
      <c r="C5" s="7"/>
      <c r="D5" s="7"/>
      <c r="E5" s="7" t="s">
        <v>5</v>
      </c>
      <c r="F5" s="24" t="s">
        <v>6</v>
      </c>
      <c r="G5" s="25"/>
      <c r="H5" s="24" t="s">
        <v>7</v>
      </c>
      <c r="I5" s="25"/>
      <c r="J5" s="24" t="s">
        <v>8</v>
      </c>
      <c r="K5" s="26"/>
    </row>
    <row r="6" spans="1:14">
      <c r="A6" s="27" t="s">
        <v>9</v>
      </c>
      <c r="B6" s="7"/>
      <c r="C6" s="7"/>
      <c r="D6" s="7"/>
      <c r="E6" s="7" t="s">
        <v>5</v>
      </c>
      <c r="F6" s="28" t="s">
        <v>10</v>
      </c>
      <c r="G6" s="25" t="s">
        <v>11</v>
      </c>
      <c r="H6" s="28" t="s">
        <v>10</v>
      </c>
      <c r="I6" s="25" t="s">
        <v>12</v>
      </c>
      <c r="J6" s="28" t="s">
        <v>10</v>
      </c>
      <c r="K6" s="26" t="s">
        <v>13</v>
      </c>
    </row>
    <row r="7" spans="1:14">
      <c r="A7" s="29" t="s">
        <v>14</v>
      </c>
      <c r="B7" s="16"/>
      <c r="C7" s="16"/>
      <c r="D7" s="16"/>
      <c r="E7" s="16" t="s">
        <v>5</v>
      </c>
      <c r="F7" s="30" t="s">
        <v>15</v>
      </c>
      <c r="G7" s="31"/>
      <c r="H7" s="30" t="s">
        <v>6</v>
      </c>
      <c r="I7" s="31"/>
      <c r="J7" s="30" t="s">
        <v>16</v>
      </c>
      <c r="K7" s="32"/>
    </row>
    <row r="8" spans="1:14">
      <c r="A8" s="33" t="s">
        <v>17</v>
      </c>
      <c r="B8" s="16"/>
      <c r="C8" s="34"/>
      <c r="D8" s="16"/>
      <c r="E8" s="16"/>
      <c r="F8" s="16"/>
      <c r="G8" s="16" t="s">
        <v>18</v>
      </c>
      <c r="H8" s="16"/>
      <c r="I8" s="16"/>
      <c r="J8" s="16"/>
      <c r="K8" s="10"/>
    </row>
    <row r="9" spans="1:14">
      <c r="A9" s="35"/>
      <c r="B9" s="36"/>
      <c r="C9" s="37" t="s">
        <v>19</v>
      </c>
      <c r="D9" s="38"/>
      <c r="E9" s="38"/>
      <c r="F9" s="39" t="s">
        <v>20</v>
      </c>
      <c r="G9" s="38"/>
      <c r="H9" s="38"/>
      <c r="I9" s="40"/>
      <c r="J9" s="39" t="s">
        <v>21</v>
      </c>
      <c r="K9" s="41"/>
    </row>
    <row r="10" spans="1:14">
      <c r="A10" s="35"/>
      <c r="B10" s="36"/>
      <c r="C10" s="37" t="s">
        <v>22</v>
      </c>
      <c r="D10" s="42" t="s">
        <v>23</v>
      </c>
      <c r="E10" s="42" t="s">
        <v>23</v>
      </c>
      <c r="F10" s="42" t="s">
        <v>24</v>
      </c>
      <c r="G10" s="42" t="s">
        <v>25</v>
      </c>
      <c r="H10" s="24" t="s">
        <v>24</v>
      </c>
      <c r="I10" s="43" t="s">
        <v>23</v>
      </c>
      <c r="J10" s="42" t="s">
        <v>26</v>
      </c>
      <c r="K10" s="44" t="s">
        <v>24</v>
      </c>
    </row>
    <row r="11" spans="1:14">
      <c r="A11" s="45" t="s">
        <v>27</v>
      </c>
      <c r="B11" s="36"/>
      <c r="C11" s="46" t="s">
        <v>28</v>
      </c>
      <c r="D11" s="42" t="s">
        <v>29</v>
      </c>
      <c r="E11" s="42" t="s">
        <v>30</v>
      </c>
      <c r="F11" s="42" t="s">
        <v>26</v>
      </c>
      <c r="G11" s="42" t="s">
        <v>31</v>
      </c>
      <c r="H11" s="24" t="s">
        <v>25</v>
      </c>
      <c r="I11" s="43" t="s">
        <v>32</v>
      </c>
      <c r="J11" s="42" t="s">
        <v>33</v>
      </c>
      <c r="K11" s="44" t="s">
        <v>32</v>
      </c>
    </row>
    <row r="12" spans="1:14">
      <c r="A12" s="45" t="s">
        <v>34</v>
      </c>
      <c r="B12" s="37" t="s">
        <v>35</v>
      </c>
      <c r="C12" s="46" t="s">
        <v>36</v>
      </c>
      <c r="D12" s="42" t="s">
        <v>37</v>
      </c>
      <c r="E12" s="42" t="s">
        <v>31</v>
      </c>
      <c r="F12" s="42" t="s">
        <v>30</v>
      </c>
      <c r="G12" s="42" t="s">
        <v>38</v>
      </c>
      <c r="H12" s="47" t="s">
        <v>39</v>
      </c>
      <c r="I12" s="43" t="s">
        <v>40</v>
      </c>
      <c r="J12" s="42" t="s">
        <v>32</v>
      </c>
      <c r="K12" s="44" t="s">
        <v>41</v>
      </c>
    </row>
    <row r="13" spans="1:14">
      <c r="A13" s="35"/>
      <c r="B13" s="37"/>
      <c r="C13" s="36"/>
      <c r="D13" s="48"/>
      <c r="E13" s="42" t="s">
        <v>29</v>
      </c>
      <c r="F13" s="46" t="s">
        <v>42</v>
      </c>
      <c r="G13" s="36"/>
      <c r="H13" s="22"/>
      <c r="I13" s="49"/>
      <c r="J13" s="42" t="s">
        <v>43</v>
      </c>
      <c r="K13" s="44" t="s">
        <v>25</v>
      </c>
    </row>
    <row r="14" spans="1:14">
      <c r="A14" s="35"/>
      <c r="B14" s="37"/>
      <c r="C14" s="36"/>
      <c r="D14" s="48"/>
      <c r="E14" s="42" t="s">
        <v>44</v>
      </c>
      <c r="F14" s="36"/>
      <c r="G14" s="36"/>
      <c r="H14" s="22"/>
      <c r="I14" s="35"/>
      <c r="J14" s="36"/>
      <c r="K14" s="50" t="s">
        <v>45</v>
      </c>
    </row>
    <row r="15" spans="1:14">
      <c r="A15" s="55" t="s">
        <v>46</v>
      </c>
      <c r="B15" s="56" t="s">
        <v>47</v>
      </c>
      <c r="C15" s="56" t="s">
        <v>48</v>
      </c>
      <c r="D15" s="56" t="s">
        <v>49</v>
      </c>
      <c r="E15" s="56" t="s">
        <v>50</v>
      </c>
      <c r="F15" s="56" t="s">
        <v>51</v>
      </c>
      <c r="G15" s="56" t="s">
        <v>52</v>
      </c>
      <c r="H15" s="57" t="s">
        <v>53</v>
      </c>
      <c r="I15" s="55" t="s">
        <v>54</v>
      </c>
      <c r="J15" s="56" t="s">
        <v>55</v>
      </c>
      <c r="K15" s="72" t="s">
        <v>56</v>
      </c>
      <c r="N15" s="102">
        <v>13.59</v>
      </c>
    </row>
    <row r="16" spans="1:14" ht="50">
      <c r="A16" s="58" t="s">
        <v>57</v>
      </c>
      <c r="B16" s="98" t="s">
        <v>58</v>
      </c>
      <c r="C16" s="60" t="s">
        <v>60</v>
      </c>
      <c r="D16" s="121">
        <v>114256</v>
      </c>
      <c r="E16" s="122">
        <v>1</v>
      </c>
      <c r="F16" s="121">
        <v>114256</v>
      </c>
      <c r="G16" s="123">
        <v>0.13</v>
      </c>
      <c r="H16" s="124">
        <v>15234</v>
      </c>
      <c r="I16" s="125"/>
      <c r="J16" s="125"/>
      <c r="K16" s="125"/>
      <c r="L16" s="126"/>
      <c r="M16" s="126" t="s">
        <v>72</v>
      </c>
      <c r="N16" s="127">
        <f>$N$15*H16</f>
        <v>207030.06</v>
      </c>
    </row>
    <row r="17" spans="1:14">
      <c r="A17" s="64"/>
      <c r="B17" s="64"/>
      <c r="C17" s="53"/>
      <c r="D17" s="65"/>
      <c r="E17" s="66"/>
      <c r="F17" s="65"/>
      <c r="G17" s="71"/>
      <c r="H17" s="67"/>
      <c r="I17" s="73" t="s">
        <v>1</v>
      </c>
      <c r="J17" s="73" t="s">
        <v>1</v>
      </c>
      <c r="K17" s="73" t="s">
        <v>1</v>
      </c>
      <c r="N17" s="102"/>
    </row>
    <row r="18" spans="1:14" ht="50.25" customHeight="1">
      <c r="A18" s="58" t="s">
        <v>57</v>
      </c>
      <c r="B18" s="68" t="s">
        <v>59</v>
      </c>
      <c r="C18" s="53" t="s">
        <v>60</v>
      </c>
      <c r="D18" s="54">
        <v>17848</v>
      </c>
      <c r="E18" s="66">
        <v>1</v>
      </c>
      <c r="F18" s="54">
        <v>17848</v>
      </c>
      <c r="G18" s="71">
        <v>0.67</v>
      </c>
      <c r="H18" s="63">
        <f>F18*G18</f>
        <v>11958.16</v>
      </c>
      <c r="I18" s="116"/>
      <c r="J18" s="73"/>
      <c r="K18" s="73" t="s">
        <v>1</v>
      </c>
      <c r="M18" t="s">
        <v>71</v>
      </c>
      <c r="N18" s="102">
        <f>$N$15*H18</f>
        <v>162511.39439999999</v>
      </c>
    </row>
    <row r="19" spans="1:14" s="139" customFormat="1" ht="50.25" customHeight="1">
      <c r="A19" s="140" t="s">
        <v>57</v>
      </c>
      <c r="B19" s="133" t="s">
        <v>104</v>
      </c>
      <c r="C19" s="134" t="s">
        <v>60</v>
      </c>
      <c r="D19" s="135">
        <v>5324</v>
      </c>
      <c r="E19" s="117">
        <v>1</v>
      </c>
      <c r="F19" s="135">
        <v>5324</v>
      </c>
      <c r="G19" s="136">
        <v>0.67</v>
      </c>
      <c r="H19" s="118">
        <f>F19*G19</f>
        <v>3567.0800000000004</v>
      </c>
      <c r="I19" s="137"/>
      <c r="J19" s="138"/>
      <c r="K19" s="138" t="s">
        <v>1</v>
      </c>
      <c r="M19" s="139" t="s">
        <v>71</v>
      </c>
      <c r="N19" s="106">
        <f>$N$15*H19</f>
        <v>48476.617200000008</v>
      </c>
    </row>
    <row r="20" spans="1:14" ht="50.5">
      <c r="A20" s="64"/>
      <c r="B20" s="69" t="s">
        <v>61</v>
      </c>
      <c r="C20" s="53" t="s">
        <v>60</v>
      </c>
      <c r="D20" s="115">
        <f>D18*0.3</f>
        <v>5354.4</v>
      </c>
      <c r="E20" s="66">
        <v>1</v>
      </c>
      <c r="F20" s="119">
        <f>D20</f>
        <v>5354.4</v>
      </c>
      <c r="G20" s="71">
        <v>1</v>
      </c>
      <c r="H20" s="120">
        <f>+F20*G20</f>
        <v>5354.4</v>
      </c>
      <c r="I20" s="73" t="s">
        <v>1</v>
      </c>
      <c r="J20" s="73" t="s">
        <v>1</v>
      </c>
      <c r="K20" s="73" t="s">
        <v>1</v>
      </c>
      <c r="M20" s="104" t="s">
        <v>73</v>
      </c>
      <c r="N20" s="102">
        <f>$N$15*H20</f>
        <v>72766.295999999988</v>
      </c>
    </row>
    <row r="21" spans="1:14" ht="25">
      <c r="A21" s="97" t="s">
        <v>57</v>
      </c>
      <c r="B21" s="96" t="s">
        <v>67</v>
      </c>
      <c r="C21" s="52" t="s">
        <v>60</v>
      </c>
      <c r="D21" s="128">
        <f>D18*0.7</f>
        <v>12493.599999999999</v>
      </c>
      <c r="E21" s="129">
        <v>1</v>
      </c>
      <c r="F21" s="128">
        <f>D21</f>
        <v>12493.599999999999</v>
      </c>
      <c r="G21" s="130">
        <f>10/60</f>
        <v>0.16666666666666666</v>
      </c>
      <c r="H21" s="131">
        <f>+F21*G21</f>
        <v>2082.2666666666664</v>
      </c>
      <c r="I21" s="73"/>
      <c r="J21" s="73"/>
      <c r="K21" s="73"/>
      <c r="M21" t="s">
        <v>70</v>
      </c>
      <c r="N21" s="132">
        <f>$N$15*H21</f>
        <v>28298.003999999997</v>
      </c>
    </row>
    <row r="22" spans="1:14">
      <c r="A22" s="64"/>
      <c r="B22" s="69"/>
      <c r="C22" s="52"/>
      <c r="D22" s="65"/>
      <c r="E22" s="65"/>
      <c r="F22" s="65"/>
      <c r="G22" s="65"/>
      <c r="H22" s="65"/>
      <c r="I22" s="73" t="s">
        <v>1</v>
      </c>
      <c r="J22" s="73" t="s">
        <v>1</v>
      </c>
      <c r="K22" s="73" t="s">
        <v>1</v>
      </c>
    </row>
    <row r="23" spans="1:14">
      <c r="A23" s="74"/>
      <c r="B23" s="74"/>
      <c r="C23" s="74"/>
      <c r="D23" s="65"/>
      <c r="E23" s="65"/>
      <c r="F23" s="65"/>
      <c r="G23" s="65"/>
      <c r="H23" s="65"/>
      <c r="I23" s="74"/>
      <c r="J23" s="74"/>
      <c r="K23" s="74"/>
    </row>
    <row r="24" spans="1:14">
      <c r="A24" s="64"/>
      <c r="B24" s="78"/>
      <c r="C24" s="79"/>
      <c r="D24" s="62"/>
      <c r="E24" s="62"/>
      <c r="F24" s="62"/>
      <c r="G24" s="62"/>
      <c r="H24" s="62"/>
      <c r="I24" s="74"/>
      <c r="J24" s="74"/>
      <c r="K24" s="74"/>
    </row>
    <row r="25" spans="1:14">
      <c r="A25" s="74"/>
      <c r="B25" s="74"/>
      <c r="C25" s="74"/>
      <c r="D25" s="65"/>
      <c r="E25" s="65"/>
      <c r="F25" s="65"/>
      <c r="G25" s="65"/>
      <c r="H25" s="65"/>
      <c r="I25" s="74"/>
      <c r="J25" s="74"/>
      <c r="K25" s="74"/>
      <c r="M25" s="102"/>
    </row>
    <row r="26" spans="1:14" ht="13">
      <c r="A26" s="80"/>
      <c r="B26" s="81"/>
      <c r="C26" s="74"/>
      <c r="D26" s="82"/>
      <c r="E26" s="75"/>
      <c r="F26" s="75"/>
      <c r="G26" s="83"/>
      <c r="H26" s="75"/>
      <c r="I26" s="74"/>
      <c r="J26" s="74"/>
      <c r="K26" s="74"/>
    </row>
    <row r="27" spans="1:14" ht="13">
      <c r="A27" s="74"/>
      <c r="B27" s="84"/>
      <c r="C27" s="74"/>
      <c r="D27" s="82"/>
      <c r="E27" s="75"/>
      <c r="F27" s="75"/>
      <c r="G27" s="75"/>
      <c r="H27" s="75"/>
      <c r="I27" s="74"/>
      <c r="J27" s="74"/>
      <c r="K27" s="74"/>
    </row>
    <row r="28" spans="1:14" ht="13">
      <c r="A28" s="80"/>
      <c r="B28" s="85"/>
      <c r="C28" s="74"/>
      <c r="D28" s="82"/>
      <c r="E28" s="75"/>
      <c r="F28" s="75"/>
      <c r="G28" s="83"/>
      <c r="H28" s="75"/>
      <c r="I28" s="74"/>
      <c r="J28" s="74"/>
      <c r="K28" s="74"/>
    </row>
    <row r="29" spans="1:14" ht="13">
      <c r="A29" s="74"/>
      <c r="B29" s="84"/>
      <c r="C29" s="74"/>
      <c r="D29" s="82"/>
      <c r="E29" s="75"/>
      <c r="F29" s="75"/>
      <c r="G29" s="75"/>
      <c r="H29" s="75"/>
      <c r="I29" s="74"/>
      <c r="J29" s="74"/>
      <c r="K29" s="74"/>
    </row>
    <row r="30" spans="1:14">
      <c r="A30" s="80"/>
      <c r="B30" s="81"/>
      <c r="C30" s="86"/>
      <c r="D30" s="87"/>
      <c r="E30" s="88"/>
      <c r="F30" s="76"/>
      <c r="G30" s="89"/>
      <c r="H30" s="76"/>
      <c r="I30" s="74"/>
      <c r="J30" s="74"/>
      <c r="K30" s="74"/>
    </row>
    <row r="31" spans="1:14" ht="13">
      <c r="A31" s="74"/>
      <c r="B31" s="84"/>
      <c r="C31" s="74"/>
      <c r="D31" s="82"/>
      <c r="E31" s="75"/>
      <c r="F31" s="75"/>
      <c r="G31" s="75"/>
      <c r="H31" s="75"/>
      <c r="I31" s="74"/>
      <c r="J31" s="74"/>
      <c r="K31" s="74"/>
    </row>
    <row r="32" spans="1:14" ht="13">
      <c r="A32" s="80"/>
      <c r="B32" s="81"/>
      <c r="C32" s="74"/>
      <c r="D32" s="82"/>
      <c r="E32" s="75"/>
      <c r="F32" s="75"/>
      <c r="G32" s="83"/>
      <c r="H32" s="76"/>
      <c r="I32" s="74"/>
      <c r="J32" s="74"/>
      <c r="K32" s="74"/>
    </row>
    <row r="33" spans="1:11" ht="13">
      <c r="A33" s="74"/>
      <c r="B33" s="84"/>
      <c r="C33" s="74"/>
      <c r="D33" s="75"/>
      <c r="E33" s="75"/>
      <c r="F33" s="75"/>
      <c r="G33" s="75"/>
      <c r="H33" s="75"/>
      <c r="I33" s="74"/>
      <c r="J33" s="74"/>
      <c r="K33" s="74"/>
    </row>
    <row r="34" spans="1:11" ht="13">
      <c r="A34" s="80"/>
      <c r="B34" s="85"/>
      <c r="C34" s="74"/>
      <c r="D34" s="75"/>
      <c r="E34" s="75"/>
      <c r="F34" s="75"/>
      <c r="G34" s="83"/>
      <c r="H34" s="76"/>
      <c r="I34" s="74"/>
      <c r="J34" s="74"/>
      <c r="K34" s="74"/>
    </row>
    <row r="35" spans="1:11" ht="13">
      <c r="A35" s="80"/>
      <c r="B35" s="85"/>
      <c r="C35" s="74"/>
      <c r="D35" s="75"/>
      <c r="E35" s="75"/>
      <c r="F35" s="75"/>
      <c r="G35" s="75"/>
      <c r="H35" s="75"/>
      <c r="I35" s="74"/>
      <c r="J35" s="74"/>
      <c r="K35" s="74"/>
    </row>
    <row r="36" spans="1:11">
      <c r="A36" s="58" t="s">
        <v>66</v>
      </c>
      <c r="B36" s="81"/>
      <c r="C36" s="90"/>
      <c r="D36" s="54"/>
      <c r="E36" s="54"/>
      <c r="F36" s="54">
        <f>SUM(F16:F21)</f>
        <v>155276</v>
      </c>
      <c r="G36" s="94"/>
      <c r="H36" s="54">
        <f>SUM(H16:H21)</f>
        <v>38195.906666666662</v>
      </c>
      <c r="I36" s="74"/>
      <c r="J36" s="74"/>
      <c r="K36" s="74"/>
    </row>
    <row r="37" spans="1:11">
      <c r="A37" s="58"/>
      <c r="B37" s="52" t="s">
        <v>1</v>
      </c>
      <c r="C37" s="90"/>
      <c r="D37" s="54"/>
      <c r="E37" s="54"/>
      <c r="F37" s="54"/>
      <c r="G37" s="94"/>
      <c r="H37" s="58"/>
      <c r="I37" s="52" t="s">
        <v>1</v>
      </c>
      <c r="J37" s="77" t="s">
        <v>1</v>
      </c>
      <c r="K37" s="52" t="s">
        <v>1</v>
      </c>
    </row>
    <row r="38" spans="1:1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</sheetData>
  <pageMargins left="0.25" right="0.25" top="0.25" bottom="0.25" header="0.5" footer="0.5"/>
  <pageSetup scale="85" orientation="landscape" horizontalDpi="4294967292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08C71616C82F478F15F70A4130A0A5" ma:contentTypeVersion="624" ma:contentTypeDescription="Create a new document." ma:contentTypeScope="" ma:versionID="2427fefb012ebcb9462525506750ddb5">
  <xsd:schema xmlns:xsd="http://www.w3.org/2001/XMLSchema" xmlns:xs="http://www.w3.org/2001/XMLSchema" xmlns:p="http://schemas.microsoft.com/office/2006/metadata/properties" xmlns:ns2="5e7e677b-c4f3-4c9a-a7cb-649df69eea90" xmlns:ns3="04c3eed5-538c-49c3-a9b7-f7d09763c79a" targetNamespace="http://schemas.microsoft.com/office/2006/metadata/properties" ma:root="true" ma:fieldsID="57ae4da4f834da3acab4cac0e237457b" ns2:_="" ns3:_="">
    <xsd:import namespace="5e7e677b-c4f3-4c9a-a7cb-649df69eea90"/>
    <xsd:import namespace="04c3eed5-538c-49c3-a9b7-f7d09763c79a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DocumentContent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677b-c4f3-4c9a-a7cb-649df69eea90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description="Description of Folder or Document" ma:format="Dropdown" ma:internalName="Description0" ma:readOnly="false">
      <xsd:simpleType>
        <xsd:restriction base="dms:Note">
          <xsd:maxLength value="255"/>
        </xsd:restriction>
      </xsd:simpleType>
    </xsd:element>
    <xsd:element name="DocumentContent" ma:index="3" nillable="true" ma:displayName="Document Content" ma:description="What type of content is this document" ma:format="Dropdown" ma:internalName="DocumentContent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Meeting Minutes"/>
                        <xsd:enumeration value="Requirements"/>
                        <xsd:enumeration value="Supporting Information / Metric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5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3eed5-538c-49c3-a9b7-f7d09763c79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hidden="true" ma:internalName="_dlc_DocId" ma:readOnly="fals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5e7e677b-c4f3-4c9a-a7cb-649df69eea90" xsi:nil="true"/>
    <DocumentContent xmlns="5e7e677b-c4f3-4c9a-a7cb-649df69eea90"/>
    <_dlc_DocId xmlns="04c3eed5-538c-49c3-a9b7-f7d09763c79a">WQFU7P3CX66C-1090432027-4466</_dlc_DocId>
    <_dlc_DocIdPersistId xmlns="04c3eed5-538c-49c3-a9b7-f7d09763c79a" xsi:nil="true"/>
    <_dlc_DocIdUrl xmlns="04c3eed5-538c-49c3-a9b7-f7d09763c79a">
      <Url>https://usdagcc.sharepoint.com/sites/cec-iod/iasb/_layouts/15/DocIdRedir.aspx?ID=WQFU7P3CX66C-1090432027-4466</Url>
      <Description>WQFU7P3CX66C-1090432027-4466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CB90282-D6CE-4636-B583-E51A943BD26B}">
  <ds:schemaRefs>
    <ds:schemaRef ds:uri="http://schemas.microsoft.com/sharepoint/events"/>
    <ds:schemaRef ds:uri=""/>
  </ds:schemaRefs>
</ds:datastoreItem>
</file>

<file path=customXml/itemProps2.xml><?xml version="1.0" encoding="utf-8"?>
<ds:datastoreItem xmlns:ds="http://schemas.openxmlformats.org/officeDocument/2006/customXml" ds:itemID="{83485341-DEDD-4C70-BC4C-8137897BC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7e677b-c4f3-4c9a-a7cb-649df69eea90"/>
    <ds:schemaRef ds:uri="04c3eed5-538c-49c3-a9b7-f7d09763c7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5EAED5-7656-4C45-A088-449401BB47A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4c3eed5-538c-49c3-a9b7-f7d09763c79a"/>
    <ds:schemaRef ds:uri="5e7e677b-c4f3-4c9a-a7cb-649df69eea9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B0FBDB0-22C2-44B1-BAB9-40E8EE46A8C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3793391-79A7-4E3D-8AE5-7DF15A6144E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FY19</vt:lpstr>
      <vt:lpstr>FY16</vt:lpstr>
      <vt:lpstr>Fed Salary</vt:lpstr>
      <vt:lpstr>Change Analysis</vt:lpstr>
      <vt:lpstr>FY16 Revised</vt:lpstr>
      <vt:lpstr>'FY19'!Print_Area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Brown, Ruth - OCIO</cp:lastModifiedBy>
  <cp:lastPrinted>2019-11-19T20:25:38Z</cp:lastPrinted>
  <dcterms:created xsi:type="dcterms:W3CDTF">1999-05-21T13:07:41Z</dcterms:created>
  <dcterms:modified xsi:type="dcterms:W3CDTF">2020-04-15T13:38:47Z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ContentTypeId">
    <vt:lpwstr>0x010100FC08C71616C82F478F15F70A4130A0A5</vt:lpwstr>
  </property>
  <property fmtid="{D5CDD505-2E9C-101B-9397-08002B2CF9AE}" pid="4" name="_dlc_DocIdItemGuid">
    <vt:lpwstr>ff09cc2f-aef4-4b93-babb-432bf971e006</vt:lpwstr>
  </property>
</Properties>
</file>