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48E82F3F-C981-44F0-97DD-B301D9FC523E}" xr6:coauthVersionLast="44" xr6:coauthVersionMax="44" xr10:uidLastSave="{00000000-0000-0000-0000-000000000000}"/>
  <bookViews>
    <workbookView xWindow="-120" yWindow="-120" windowWidth="20730" windowHeight="11160" xr2:uid="{00000000-000D-0000-FFFF-FFFF00000000}"/>
  </bookViews>
  <sheets>
    <sheet name="Table 1a" sheetId="1" r:id="rId1"/>
    <sheet name="Table 1b" sheetId="3" r:id="rId2"/>
    <sheet name="Table 2a" sheetId="2" r:id="rId3"/>
    <sheet name="Table 2b" sheetId="4" r:id="rId4"/>
    <sheet name="O&amp;M" sheetId="5" r:id="rId5"/>
  </sheets>
  <definedNames>
    <definedName name="_xlnm.Print_Area" localSheetId="0">'Table 1a'!$A$1:$I$33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3" l="1"/>
  <c r="K32" i="3"/>
  <c r="F31" i="1"/>
  <c r="F33" i="1" s="1"/>
  <c r="I31" i="1"/>
  <c r="I33" i="1" s="1"/>
  <c r="I35" i="3"/>
  <c r="I33" i="3"/>
  <c r="F33" i="3"/>
  <c r="I32" i="3"/>
  <c r="F32" i="3"/>
  <c r="I30" i="1"/>
  <c r="F30" i="1"/>
  <c r="I20" i="1"/>
  <c r="F20" i="1"/>
  <c r="E29" i="5" l="1"/>
  <c r="E31" i="5" s="1"/>
  <c r="E30" i="5"/>
  <c r="B28" i="3" l="1"/>
  <c r="B29" i="3" s="1"/>
  <c r="D20" i="3" l="1"/>
  <c r="F20" i="3" s="1"/>
  <c r="G20" i="3" l="1"/>
  <c r="H20" i="3"/>
  <c r="E7" i="1"/>
  <c r="I20" i="3" l="1"/>
  <c r="C7" i="5" l="1"/>
  <c r="E9" i="5"/>
  <c r="D9" i="5"/>
  <c r="F6" i="5"/>
  <c r="B9" i="5"/>
  <c r="D10" i="4"/>
  <c r="F10" i="4" s="1"/>
  <c r="D9" i="4"/>
  <c r="F9" i="4" s="1"/>
  <c r="D8" i="4"/>
  <c r="F8" i="4" s="1"/>
  <c r="D7" i="4"/>
  <c r="F7" i="4" s="1"/>
  <c r="D6" i="4"/>
  <c r="F6" i="4" s="1"/>
  <c r="D5" i="4"/>
  <c r="F5" i="4" s="1"/>
  <c r="D4" i="4"/>
  <c r="F4" i="4" s="1"/>
  <c r="C8" i="5" l="1"/>
  <c r="F8" i="5" s="1"/>
  <c r="F7" i="5"/>
  <c r="H7" i="4"/>
  <c r="G7" i="4"/>
  <c r="H5" i="4"/>
  <c r="G5" i="4"/>
  <c r="G8" i="4"/>
  <c r="H8" i="4"/>
  <c r="H9" i="4"/>
  <c r="G9" i="4"/>
  <c r="G4" i="4"/>
  <c r="H4" i="4"/>
  <c r="G6" i="4"/>
  <c r="G10" i="4"/>
  <c r="H6" i="4"/>
  <c r="H10" i="4"/>
  <c r="I4" i="4" l="1"/>
  <c r="I10" i="4"/>
  <c r="I9" i="4"/>
  <c r="I5" i="4"/>
  <c r="F11" i="4"/>
  <c r="B23" i="5" s="1"/>
  <c r="I7" i="4"/>
  <c r="F9" i="5"/>
  <c r="C9" i="5"/>
  <c r="I8" i="4"/>
  <c r="I6" i="4"/>
  <c r="I11" i="4" l="1"/>
  <c r="C23" i="5" s="1"/>
  <c r="D29" i="3"/>
  <c r="F29" i="3" s="1"/>
  <c r="D28" i="3"/>
  <c r="F28" i="3" s="1"/>
  <c r="D19" i="3"/>
  <c r="F19" i="3" s="1"/>
  <c r="D17" i="3"/>
  <c r="F17" i="3" s="1"/>
  <c r="D16" i="3"/>
  <c r="F16" i="3" s="1"/>
  <c r="D15" i="3"/>
  <c r="F15" i="3" s="1"/>
  <c r="D14" i="3"/>
  <c r="F14" i="3" s="1"/>
  <c r="D10" i="3"/>
  <c r="F10" i="3" s="1"/>
  <c r="D9" i="3"/>
  <c r="F9" i="3" s="1"/>
  <c r="D7" i="3"/>
  <c r="F7" i="3" s="1"/>
  <c r="D4" i="2"/>
  <c r="D10" i="2"/>
  <c r="F10" i="2" s="1"/>
  <c r="D9" i="2"/>
  <c r="F9" i="2" s="1"/>
  <c r="G9" i="2" s="1"/>
  <c r="D8" i="2"/>
  <c r="F8" i="2" s="1"/>
  <c r="D7" i="2"/>
  <c r="F7" i="2" s="1"/>
  <c r="D9" i="1"/>
  <c r="F9" i="1" s="1"/>
  <c r="H14" i="3" l="1"/>
  <c r="G14" i="3"/>
  <c r="H19" i="3"/>
  <c r="G19" i="3"/>
  <c r="H9" i="3"/>
  <c r="G9" i="3"/>
  <c r="H16" i="3"/>
  <c r="G16" i="3"/>
  <c r="G10" i="3"/>
  <c r="H10" i="3"/>
  <c r="G17" i="3"/>
  <c r="H17" i="3"/>
  <c r="H28" i="3"/>
  <c r="G28" i="3"/>
  <c r="G29" i="3"/>
  <c r="H29" i="3"/>
  <c r="H7" i="3"/>
  <c r="H15" i="3"/>
  <c r="G7" i="3"/>
  <c r="G15" i="3"/>
  <c r="G10" i="2"/>
  <c r="H10" i="2"/>
  <c r="H9" i="2"/>
  <c r="I9" i="2" s="1"/>
  <c r="G8" i="2"/>
  <c r="H8" i="2"/>
  <c r="G7" i="2"/>
  <c r="H7" i="2"/>
  <c r="H9" i="1"/>
  <c r="G9" i="1"/>
  <c r="D14" i="1"/>
  <c r="F14" i="1" s="1"/>
  <c r="D15" i="1"/>
  <c r="F15" i="1" s="1"/>
  <c r="D16" i="1"/>
  <c r="F16" i="1" s="1"/>
  <c r="D17" i="1"/>
  <c r="F17" i="1" s="1"/>
  <c r="D19" i="1"/>
  <c r="F19" i="1" s="1"/>
  <c r="D27" i="1"/>
  <c r="F27" i="1" s="1"/>
  <c r="D7" i="1"/>
  <c r="F7" i="1" s="1"/>
  <c r="D10" i="1"/>
  <c r="F10" i="1" s="1"/>
  <c r="F4" i="2"/>
  <c r="D5" i="2"/>
  <c r="F5" i="2" s="1"/>
  <c r="D6" i="2"/>
  <c r="F6" i="2" s="1"/>
  <c r="F21" i="3" l="1"/>
  <c r="I29" i="3"/>
  <c r="I7" i="1"/>
  <c r="I7" i="3"/>
  <c r="I14" i="3"/>
  <c r="I10" i="2"/>
  <c r="I11" i="2" s="1"/>
  <c r="C22" i="5" s="1"/>
  <c r="C24" i="5" s="1"/>
  <c r="I9" i="1"/>
  <c r="I17" i="3"/>
  <c r="I10" i="3"/>
  <c r="C15" i="5"/>
  <c r="I9" i="3"/>
  <c r="I15" i="3"/>
  <c r="I16" i="3"/>
  <c r="I19" i="3"/>
  <c r="G10" i="1"/>
  <c r="B15" i="5"/>
  <c r="I28" i="3"/>
  <c r="I7" i="2"/>
  <c r="I8" i="2"/>
  <c r="G7" i="1"/>
  <c r="G27" i="1"/>
  <c r="H4" i="2"/>
  <c r="G4" i="2"/>
  <c r="H6" i="2"/>
  <c r="G6" i="2"/>
  <c r="H27" i="1"/>
  <c r="H7" i="1"/>
  <c r="G15" i="1"/>
  <c r="H15" i="1"/>
  <c r="H16" i="1"/>
  <c r="G16" i="1"/>
  <c r="H10" i="1"/>
  <c r="I10" i="1" s="1"/>
  <c r="H5" i="2"/>
  <c r="G5" i="2"/>
  <c r="H19" i="1"/>
  <c r="G19" i="1"/>
  <c r="H17" i="1"/>
  <c r="G17" i="1"/>
  <c r="H14" i="1"/>
  <c r="G14" i="1"/>
  <c r="I27" i="1" l="1"/>
  <c r="I16" i="1"/>
  <c r="F11" i="2"/>
  <c r="B22" i="5" s="1"/>
  <c r="B24" i="5" s="1"/>
  <c r="I21" i="3"/>
  <c r="D15" i="5"/>
  <c r="I17" i="1"/>
  <c r="F35" i="3"/>
  <c r="C14" i="5"/>
  <c r="I14" i="1"/>
  <c r="I15" i="1"/>
  <c r="B14" i="5"/>
  <c r="I19" i="1"/>
  <c r="I5" i="2"/>
  <c r="I6" i="2"/>
  <c r="I4" i="2"/>
  <c r="E15" i="5" l="1"/>
  <c r="D14" i="5"/>
  <c r="D16" i="5" s="1"/>
  <c r="E33" i="5"/>
  <c r="E14" i="5" l="1"/>
  <c r="E16" i="5" s="1"/>
</calcChain>
</file>

<file path=xl/sharedStrings.xml><?xml version="1.0" encoding="utf-8"?>
<sst xmlns="http://schemas.openxmlformats.org/spreadsheetml/2006/main" count="297" uniqueCount="137">
  <si>
    <t>N/A</t>
  </si>
  <si>
    <t>Assumptions</t>
  </si>
  <si>
    <t xml:space="preserve">(C)               Hours per Respondent per Year        (C=A x B)          </t>
  </si>
  <si>
    <t>Notification of Actual Startup</t>
  </si>
  <si>
    <t>Notification of Anticipated Startup</t>
  </si>
  <si>
    <t>Notification of Construction</t>
  </si>
  <si>
    <t>Notification of Initial Test</t>
  </si>
  <si>
    <t>Review Test Results</t>
  </si>
  <si>
    <t>Report Review (Existing Plants)</t>
  </si>
  <si>
    <t>1. Applications</t>
  </si>
  <si>
    <t>Burden Item</t>
  </si>
  <si>
    <t xml:space="preserve">(E)            Technical Hours per Year                  (E=C x D)        </t>
  </si>
  <si>
    <t xml:space="preserve">(F)            Management Hours per Year                   (F= E x 0.05)        </t>
  </si>
  <si>
    <t xml:space="preserve">(G)            Clerical Hours per Year                                 (G= E x 0.1)        </t>
  </si>
  <si>
    <t>2. Surveys and studies</t>
  </si>
  <si>
    <t>3. Reporting Requirements</t>
  </si>
  <si>
    <t>A. Familiarization with Regulatory Requirements</t>
  </si>
  <si>
    <t>B. Required Activities</t>
  </si>
  <si>
    <t>i. Initial Performance Tests</t>
  </si>
  <si>
    <t>C. Create Information</t>
  </si>
  <si>
    <t>E. Write Report</t>
  </si>
  <si>
    <t>v. Report of Performance Test</t>
  </si>
  <si>
    <t>Subtotal for Reporting Requirements</t>
  </si>
  <si>
    <t>4. Recordkeeping Requirements</t>
  </si>
  <si>
    <t>B. Plan Activities</t>
  </si>
  <si>
    <t>C. Implement Activities</t>
  </si>
  <si>
    <t>D. Develop Record System</t>
  </si>
  <si>
    <t>E. Time to Enter Information</t>
  </si>
  <si>
    <t>F. Train Personnel</t>
  </si>
  <si>
    <t>G. Audits</t>
  </si>
  <si>
    <t>Subtotal for Recordkeeping Requirements</t>
  </si>
  <si>
    <t>See 3B</t>
  </si>
  <si>
    <t>See 3E</t>
  </si>
  <si>
    <t>See 3A</t>
  </si>
  <si>
    <t>Number of Respondents</t>
  </si>
  <si>
    <t>Respondents That Submit Reports</t>
  </si>
  <si>
    <t>Respondents That Do Not Submit Any Reports</t>
  </si>
  <si>
    <t>(A)</t>
  </si>
  <si>
    <t>(B)</t>
  </si>
  <si>
    <t>(C)</t>
  </si>
  <si>
    <t>(D)</t>
  </si>
  <si>
    <t>(E)</t>
  </si>
  <si>
    <t>Year</t>
  </si>
  <si>
    <t>Number of New Respondents</t>
  </si>
  <si>
    <t>Number of Existing Respondents</t>
  </si>
  <si>
    <t>Number of Existing  Respondents that keep records but do not submit reports</t>
  </si>
  <si>
    <t>Number of Existing Respondents That Are Also New Respondents</t>
  </si>
  <si>
    <t>(E=A+B+C-D)</t>
  </si>
  <si>
    <t>Average</t>
  </si>
  <si>
    <t>Total Annual Responses</t>
  </si>
  <si>
    <t>(A)
Information Collection Activity</t>
  </si>
  <si>
    <t xml:space="preserve">(B)
Number of Respondents  </t>
  </si>
  <si>
    <t>(D)
Number of Existing Respondents That Keep Records But Do Not Submit Reports</t>
  </si>
  <si>
    <t>(E)
Total Annual Responses
E=(BxC)+D</t>
  </si>
  <si>
    <t>Total</t>
  </si>
  <si>
    <t>hrs/response:</t>
  </si>
  <si>
    <t>Subpart GGG Semiannual Reports</t>
  </si>
  <si>
    <t>Subpart GGGa Semiannual Reports</t>
  </si>
  <si>
    <t xml:space="preserve">(F)            Management Hours per Year                     (F= E x 0.05)        </t>
  </si>
  <si>
    <t xml:space="preserve">(G)            Clerical Hours per Year                                  (G= E x 0.1)        </t>
  </si>
  <si>
    <t>2. Surveys and Studies</t>
  </si>
  <si>
    <t>i. Initial performance tests</t>
  </si>
  <si>
    <t>D. Gather Existing Information</t>
  </si>
  <si>
    <r>
      <t>ii. Repeat performance tests</t>
    </r>
    <r>
      <rPr>
        <vertAlign val="superscript"/>
        <sz val="10"/>
        <rFont val="Times New Roman"/>
        <family val="1"/>
      </rPr>
      <t>c</t>
    </r>
  </si>
  <si>
    <r>
      <t>c</t>
    </r>
    <r>
      <rPr>
        <sz val="10"/>
        <rFont val="Times New Roman"/>
        <family val="1"/>
      </rPr>
      <t xml:space="preserve">  Assume 20 percent of initial performance tests must repeat due to failure.</t>
    </r>
  </si>
  <si>
    <r>
      <t xml:space="preserve">ii. Repeat performance tests </t>
    </r>
    <r>
      <rPr>
        <vertAlign val="superscript"/>
        <sz val="10"/>
        <rFont val="Times New Roman"/>
        <family val="1"/>
      </rPr>
      <t>c</t>
    </r>
  </si>
  <si>
    <r>
      <t xml:space="preserve">                       Total Labor Costs per Year </t>
    </r>
    <r>
      <rPr>
        <b/>
        <vertAlign val="superscript"/>
        <sz val="10"/>
        <rFont val="Times New Roman"/>
        <family val="1"/>
      </rPr>
      <t>b</t>
    </r>
    <r>
      <rPr>
        <b/>
        <sz val="10"/>
        <rFont val="Times New Roman"/>
        <family val="1"/>
      </rPr>
      <t xml:space="preserve">                                </t>
    </r>
  </si>
  <si>
    <r>
      <t>c</t>
    </r>
    <r>
      <rPr>
        <sz val="10"/>
        <rFont val="Times New Roman"/>
        <family val="1"/>
      </rPr>
      <t xml:space="preserve">  Assume 20% of initial performance tests must repeat due to failure.</t>
    </r>
  </si>
  <si>
    <r>
      <t xml:space="preserve">(H) 
Annual Cost </t>
    </r>
    <r>
      <rPr>
        <b/>
        <vertAlign val="superscript"/>
        <sz val="10"/>
        <rFont val="Times New Roman"/>
        <family val="1"/>
      </rPr>
      <t>b</t>
    </r>
  </si>
  <si>
    <r>
      <rPr>
        <vertAlign val="superscript"/>
        <sz val="10"/>
        <rFont val="Times New Roman"/>
        <family val="1"/>
      </rPr>
      <t>c</t>
    </r>
    <r>
      <rPr>
        <sz val="10"/>
        <rFont val="Times New Roman"/>
        <family val="1"/>
      </rPr>
      <t xml:space="preserve"> Totals are rounded to three significant figures. Figures may not add exactly due to rounding. </t>
    </r>
  </si>
  <si>
    <t>Standard</t>
  </si>
  <si>
    <t>Reporting Burden (hr)</t>
  </si>
  <si>
    <t>Recordkeeping Burden (hr)</t>
  </si>
  <si>
    <t>Total Burden (hr)</t>
  </si>
  <si>
    <t>Total Cost ($)</t>
  </si>
  <si>
    <t>Subpart GGG</t>
  </si>
  <si>
    <t>Subpart GGGa</t>
  </si>
  <si>
    <t xml:space="preserve">(A)            Respondent Hours per Occurrence  (Technical hours)        </t>
  </si>
  <si>
    <t xml:space="preserve">(B)        Number of Occurrences per Respondent per Year                        </t>
  </si>
  <si>
    <t>(B)        Annual Occurrences per Respondent</t>
  </si>
  <si>
    <t xml:space="preserve">(A)            EPA Person-Hours per Occurrence         </t>
  </si>
  <si>
    <t xml:space="preserve">(A)            
EPA Person-Hours per Occurrence         </t>
  </si>
  <si>
    <t xml:space="preserve">(E)            Technical Hours per Year                   (C x D)        </t>
  </si>
  <si>
    <t xml:space="preserve">(C)               EPA Hours per Year        (A x B)          </t>
  </si>
  <si>
    <t xml:space="preserve">(F)            Management Hours per Year                   (E x 0.05)        </t>
  </si>
  <si>
    <t xml:space="preserve">(G)            Clerical Hours per Year                                   (E x 0.1)        </t>
  </si>
  <si>
    <r>
      <t>(D)          Number of Respondents per Year</t>
    </r>
    <r>
      <rPr>
        <b/>
        <vertAlign val="superscript"/>
        <sz val="10"/>
        <rFont val="Times New Roman"/>
        <family val="1"/>
      </rPr>
      <t xml:space="preserve"> a</t>
    </r>
    <r>
      <rPr>
        <b/>
        <sz val="10"/>
        <rFont val="Times New Roman"/>
        <family val="1"/>
      </rPr>
      <t xml:space="preserve">                 </t>
    </r>
  </si>
  <si>
    <t>Total EPA Burden (hr)</t>
  </si>
  <si>
    <t>Summary of Respondent Burden</t>
  </si>
  <si>
    <t>Summary of Agency Burden</t>
  </si>
  <si>
    <r>
      <rPr>
        <vertAlign val="superscript"/>
        <sz val="10"/>
        <color theme="1"/>
        <rFont val="Times New Roman"/>
        <family val="1"/>
      </rPr>
      <t>1</t>
    </r>
    <r>
      <rPr>
        <sz val="10"/>
        <color theme="1"/>
        <rFont val="Times New Roman"/>
        <family val="1"/>
      </rPr>
      <t xml:space="preserve"> New respondents include sources with constructed, reconstructed, and modified affected facilities.</t>
    </r>
  </si>
  <si>
    <r>
      <t xml:space="preserve">i. Notification of Construction/Reconstruction </t>
    </r>
    <r>
      <rPr>
        <vertAlign val="superscript"/>
        <sz val="10"/>
        <rFont val="Times New Roman"/>
        <family val="1"/>
      </rPr>
      <t>d</t>
    </r>
  </si>
  <si>
    <r>
      <t xml:space="preserve">ii. Notification of Anticipated Startup </t>
    </r>
    <r>
      <rPr>
        <vertAlign val="superscript"/>
        <sz val="10"/>
        <rFont val="Times New Roman"/>
        <family val="1"/>
      </rPr>
      <t>d</t>
    </r>
  </si>
  <si>
    <r>
      <t xml:space="preserve">iii. Notification of Actual Startup </t>
    </r>
    <r>
      <rPr>
        <vertAlign val="superscript"/>
        <sz val="10"/>
        <rFont val="Times New Roman"/>
        <family val="1"/>
      </rPr>
      <t>d</t>
    </r>
  </si>
  <si>
    <r>
      <t xml:space="preserve">iv. Notification of Initial Performance Test </t>
    </r>
    <r>
      <rPr>
        <vertAlign val="superscript"/>
        <sz val="10"/>
        <rFont val="Times New Roman"/>
        <family val="1"/>
      </rPr>
      <t>d</t>
    </r>
  </si>
  <si>
    <r>
      <t xml:space="preserve">d  </t>
    </r>
    <r>
      <rPr>
        <sz val="10"/>
        <rFont val="Times New Roman"/>
        <family val="1"/>
      </rPr>
      <t>Owners or operators of the affected facilities must make one-time-only notifications.</t>
    </r>
  </si>
  <si>
    <r>
      <t xml:space="preserve">vii. Semiannual Work Practice Reports at Small Refineries </t>
    </r>
    <r>
      <rPr>
        <vertAlign val="superscript"/>
        <sz val="10"/>
        <rFont val="Times New Roman"/>
        <family val="1"/>
      </rPr>
      <t>e, f</t>
    </r>
  </si>
  <si>
    <r>
      <t xml:space="preserve">vi. Semiannual Work Practice Reports at Large Refineries </t>
    </r>
    <r>
      <rPr>
        <vertAlign val="superscript"/>
        <sz val="10"/>
        <rFont val="Times New Roman"/>
        <family val="1"/>
      </rPr>
      <t>e, f</t>
    </r>
  </si>
  <si>
    <r>
      <rPr>
        <vertAlign val="superscript"/>
        <sz val="10"/>
        <rFont val="Times New Roman"/>
        <family val="1"/>
      </rPr>
      <t xml:space="preserve">e </t>
    </r>
    <r>
      <rPr>
        <sz val="10"/>
        <rFont val="Times New Roman"/>
        <family val="1"/>
      </rPr>
      <t>The time to prepare reports is estimated to be the same under both subparts because the information in the new records must be maintained on-site, but it does not have to be reported. </t>
    </r>
  </si>
  <si>
    <r>
      <rPr>
        <vertAlign val="superscript"/>
        <sz val="10"/>
        <rFont val="Times New Roman"/>
        <family val="1"/>
      </rPr>
      <t xml:space="preserve">f </t>
    </r>
    <r>
      <rPr>
        <sz val="10"/>
        <rFont val="Times New Roman"/>
        <family val="1"/>
      </rPr>
      <t xml:space="preserve"> Assume that 25 percent of the process units are located at small refineries (25% x 46 = 11.5). The rest are large facilities (75% x 46 = 34.5). Small facilities have fewer leaks and deviations so they can complete reports in less time. Larger facilities require significantly more time to complete reports. </t>
    </r>
  </si>
  <si>
    <r>
      <rPr>
        <vertAlign val="superscript"/>
        <sz val="10"/>
        <rFont val="Times New Roman"/>
        <family val="1"/>
      </rPr>
      <t>h</t>
    </r>
    <r>
      <rPr>
        <sz val="10"/>
        <rFont val="Times New Roman"/>
        <family val="1"/>
      </rPr>
      <t xml:space="preserve"> Totals are rounded to three significant figures. Figures may not add exactly due to rounding.</t>
    </r>
  </si>
  <si>
    <r>
      <t xml:space="preserve">iii. Notification of Actual Startup </t>
    </r>
    <r>
      <rPr>
        <vertAlign val="superscript"/>
        <sz val="10"/>
        <rFont val="Times New Roman"/>
        <family val="1"/>
      </rPr>
      <t>e</t>
    </r>
  </si>
  <si>
    <r>
      <t>f</t>
    </r>
    <r>
      <rPr>
        <sz val="10"/>
        <rFont val="Times New Roman"/>
        <family val="1"/>
      </rPr>
      <t xml:space="preserve">  Assume that average number of affected facilities over the next three years is equal to the current number of facilities (116) because affected facilities after November 7, 2006 will be subject to Subpart GGGa instead of Subpart GGG.</t>
    </r>
  </si>
  <si>
    <r>
      <t xml:space="preserve">e </t>
    </r>
    <r>
      <rPr>
        <sz val="10"/>
        <rFont val="Times New Roman"/>
        <family val="1"/>
      </rPr>
      <t>The time to prepare reports is estimated to be the same under both Subparts because the information in the new records must be maintained on-site, but it does not have to be reported. </t>
    </r>
  </si>
  <si>
    <r>
      <t>g</t>
    </r>
    <r>
      <rPr>
        <sz val="10"/>
        <rFont val="Times New Roman"/>
        <family val="1"/>
      </rPr>
      <t xml:space="preserve">  Although monitoring of the various components may be required on a weekly, monthly, quarterly, semiannual or annual basis, given the number of components that must be monitored at any facility, monitoring overall occurs daily. It is also assumed that it takes about 3 minutes per calibration and large facilities have about 25 monitors calibrated about twice per day. Therefore, it is assumed that the average recordkeeping time for each day’s worth of monitoring for Subpart GGG is 2.5 hours (0.05 hours/calibration x 25 monitors x 2 calibrations/monitor/day) and that monitoring is done 365 days a year. </t>
    </r>
  </si>
  <si>
    <r>
      <t>h</t>
    </r>
    <r>
      <rPr>
        <sz val="10"/>
        <rFont val="Times New Roman"/>
        <family val="1"/>
      </rPr>
      <t xml:space="preserve"> Assume that 25 percent of the process units are located at small refineries and half of those use manual recordkeeping of instrument readings (46 x 25% x 0.5 = 5.75) and that 75 percent of the process units are located at large refineries (46 x 75% = 34.5) and thus the number of process units that do not need additional time for manual recordkeeping is (5.75 + 34.5 = 40.25)</t>
    </r>
  </si>
  <si>
    <r>
      <rPr>
        <vertAlign val="superscript"/>
        <sz val="10"/>
        <rFont val="Times New Roman"/>
        <family val="1"/>
      </rPr>
      <t>i</t>
    </r>
    <r>
      <rPr>
        <sz val="10"/>
        <rFont val="Times New Roman"/>
        <family val="1"/>
      </rPr>
      <t xml:space="preserve"> Totals are rounded to three significant figures. Figures may not add exactly due to rounding.</t>
    </r>
  </si>
  <si>
    <r>
      <t>g</t>
    </r>
    <r>
      <rPr>
        <sz val="10"/>
        <rFont val="Times New Roman"/>
        <family val="1"/>
      </rPr>
      <t xml:space="preserve">  Although monitoring of the various components may be required on a weekly, monthly, quarterly, semiannual or annual basis, given the number of components that must be monitored at any facility, monitoring overall occurs daily.   
Assume that large facilities need an additional 0.14 hours per day to complete the tasks required by the new standards. Therefore, it is assumed that the average recordkeeping time for each day’s worth of monitoring for large facilities for Subpart GGGa is 2.64 hours and that monitoring is done 365 days a year. See Table 1a, Footnote G for the calculation for the time for calibration.
Small facilities may record instrument readings manually, so an additional 0.02 hours per day are needed for small refineries with manual recordkeeping of instrument readings. Therefore, it is assumed that the average recordkeeping time for each day’s worth of monitoring for small facilities for Subpart GGGa is 2.66 hours and that monitoring is done 365 days a year. </t>
    </r>
  </si>
  <si>
    <t>Table 1a: Annual Respondent Burden and Cost - NSPS for Equipment Leaks of VOC in Petroleum Refineries (40 CFR Part 60, Subpart GGG) (Renewal)</t>
  </si>
  <si>
    <t>Table 2b: Annual Agency Burden and Cost - NSPS for Equipment Leaks of VOC in Petroleum Refineries (40 CFR Part 60, Subpart GGGa) (Renewal)</t>
  </si>
  <si>
    <t>Table 2a: Annual Agency Burden and Cost - NSPS for Equipment Leaks of VOC in Petroleum Refineries (40 CFR Part 60, Subpart GGG) (Renewal)</t>
  </si>
  <si>
    <t>Table 1b: Annual Respondent Burden and Cost - NSPS for Equipment Leaks of VOC in Petroleum Refineries (40 CFR Part 60, Subpart GGGa) (Renewal)</t>
  </si>
  <si>
    <r>
      <rPr>
        <vertAlign val="superscript"/>
        <sz val="10"/>
        <color theme="1"/>
        <rFont val="Times New Roman"/>
        <family val="1"/>
      </rPr>
      <t>a</t>
    </r>
    <r>
      <rPr>
        <sz val="10"/>
        <color theme="1"/>
        <rFont val="Times New Roman"/>
        <family val="1"/>
      </rPr>
      <t xml:space="preserve"> Annual occurrences of PRD reporting are not counted as separate responses because they are required to be submitted with the semiannual reports.</t>
    </r>
  </si>
  <si>
    <r>
      <t xml:space="preserve">(C)
Number of Responses </t>
    </r>
    <r>
      <rPr>
        <vertAlign val="superscript"/>
        <sz val="9"/>
        <rFont val="Times New Roman"/>
        <family val="1"/>
      </rPr>
      <t>a</t>
    </r>
  </si>
  <si>
    <t>Labor Rates</t>
  </si>
  <si>
    <t>Management</t>
  </si>
  <si>
    <t>Technical</t>
  </si>
  <si>
    <t>Clerical</t>
  </si>
  <si>
    <r>
      <rPr>
        <vertAlign val="superscript"/>
        <sz val="10"/>
        <color rgb="FF000000"/>
        <rFont val="Times New Roman"/>
        <family val="1"/>
      </rPr>
      <t>b</t>
    </r>
    <r>
      <rPr>
        <sz val="10"/>
        <color rgb="FF000000"/>
        <rFont val="Times New Roman"/>
        <family val="1"/>
      </rPr>
      <t xml:space="preserve">  This ICR uses the following labor rates for privately-owned sources: $141.06 for managerial, $120.27 for technical,  and $58.67 for clerical labor.  These rates are from the United States Department of Labor, Bureau of Labor Statistics, June 2019, “Table 2. Civilian Workers, by occupational and industry group.”  The rates are from column 1, “Total compensation.”  The rates have been increased by 110 percent to account for the benefit packages available to those employed by private industry.</t>
    </r>
  </si>
  <si>
    <r>
      <rPr>
        <vertAlign val="superscript"/>
        <sz val="10"/>
        <color rgb="FF000000"/>
        <rFont val="Times New Roman"/>
        <family val="1"/>
      </rPr>
      <t>b</t>
    </r>
    <r>
      <rPr>
        <sz val="10"/>
        <color rgb="FF000000"/>
        <rFont val="Times New Roman"/>
        <family val="1"/>
      </rPr>
      <t xml:space="preserve">  This ICR uses the following labor rates:  $66.62 for managerial, $49.44 for technical,  and $26.75 for clerical labor.   These rates are from the Office of Personnel Management (OPM), 2019 General Schedule, which excludes locality rates of pay.  The rates have been increased by 60 percent to account for the benefit packages available to government employees.</t>
    </r>
  </si>
  <si>
    <r>
      <t xml:space="preserve">Total Capital and O&amp;M Costs (rounded) </t>
    </r>
    <r>
      <rPr>
        <b/>
        <vertAlign val="superscript"/>
        <sz val="10"/>
        <rFont val="Times New Roman"/>
        <family val="1"/>
      </rPr>
      <t>h</t>
    </r>
  </si>
  <si>
    <r>
      <t xml:space="preserve">Total Capital and O&amp;M Costs (rounded) </t>
    </r>
    <r>
      <rPr>
        <b/>
        <vertAlign val="superscript"/>
        <sz val="10"/>
        <rFont val="Times New Roman"/>
        <family val="1"/>
      </rPr>
      <t>i</t>
    </r>
  </si>
  <si>
    <r>
      <t xml:space="preserve">Grand Total (rounded) </t>
    </r>
    <r>
      <rPr>
        <b/>
        <vertAlign val="superscript"/>
        <sz val="10"/>
        <rFont val="Times New Roman"/>
        <family val="1"/>
      </rPr>
      <t>i</t>
    </r>
  </si>
  <si>
    <r>
      <t xml:space="preserve">Grand Total (rounded) </t>
    </r>
    <r>
      <rPr>
        <b/>
        <vertAlign val="superscript"/>
        <sz val="10"/>
        <rFont val="Times New Roman"/>
        <family val="1"/>
      </rPr>
      <t>h</t>
    </r>
  </si>
  <si>
    <r>
      <t xml:space="preserve">TOTAL (rounded) </t>
    </r>
    <r>
      <rPr>
        <b/>
        <vertAlign val="superscript"/>
        <sz val="10"/>
        <rFont val="Times New Roman"/>
        <family val="1"/>
      </rPr>
      <t>c</t>
    </r>
  </si>
  <si>
    <r>
      <t>a</t>
    </r>
    <r>
      <rPr>
        <sz val="10"/>
        <rFont val="Times New Roman"/>
        <family val="1"/>
      </rPr>
      <t xml:space="preserve">  We assume that 116 existing refineries per year will be subject to requirements of NSPS Subpart GGG during the three-year period of this ICR. This rule applies to facilities that commenced construction, reconstruction, or modification prior to November 7, 2006.  All facilities that commence construction, reconstruction, or modification after November 7, 2006 are subject to Subpart GGGa.</t>
    </r>
  </si>
  <si>
    <t>Performance Test Report Review (New Plants)</t>
  </si>
  <si>
    <r>
      <t>(D)          Plants per Year</t>
    </r>
    <r>
      <rPr>
        <b/>
        <vertAlign val="superscript"/>
        <sz val="10"/>
        <rFont val="Times New Roman"/>
        <family val="1"/>
      </rPr>
      <t xml:space="preserve"> a</t>
    </r>
    <r>
      <rPr>
        <b/>
        <sz val="10"/>
        <rFont val="Times New Roman"/>
        <family val="1"/>
      </rPr>
      <t xml:space="preserve">             </t>
    </r>
  </si>
  <si>
    <r>
      <t xml:space="preserve">(D)          Plants per Year </t>
    </r>
    <r>
      <rPr>
        <b/>
        <vertAlign val="superscript"/>
        <sz val="10"/>
        <rFont val="Times New Roman"/>
        <family val="1"/>
      </rPr>
      <t xml:space="preserve">a </t>
    </r>
    <r>
      <rPr>
        <b/>
        <sz val="10"/>
        <rFont val="Times New Roman"/>
        <family val="1"/>
      </rPr>
      <t xml:space="preserve">             </t>
    </r>
  </si>
  <si>
    <r>
      <t>a</t>
    </r>
    <r>
      <rPr>
        <sz val="10"/>
        <rFont val="Times New Roman"/>
        <family val="1"/>
      </rPr>
      <t xml:space="preserve">  We assume that an average of 46 refineries per year will be subject to the requirements of NSPS Subpart GGGa and that no new refineries will become subject to the rule during the three-year period of this ICR. All facilities that commence construction, reconstruction, or modification after November 7, 2006 are subject to Subpart GGGa.</t>
    </r>
  </si>
  <si>
    <r>
      <t xml:space="preserve">Total Labor Burden and Costs (rounded) </t>
    </r>
    <r>
      <rPr>
        <b/>
        <vertAlign val="superscript"/>
        <sz val="10"/>
        <rFont val="Times New Roman"/>
        <family val="1"/>
      </rPr>
      <t>h</t>
    </r>
  </si>
  <si>
    <r>
      <t xml:space="preserve">Total Labor Burden and Costs (rounded) </t>
    </r>
    <r>
      <rPr>
        <b/>
        <vertAlign val="superscript"/>
        <sz val="10"/>
        <rFont val="Times New Roman"/>
        <family val="1"/>
      </rPr>
      <t>i</t>
    </r>
  </si>
  <si>
    <r>
      <t xml:space="preserve">i. Records of Operating Parameters </t>
    </r>
    <r>
      <rPr>
        <vertAlign val="superscript"/>
        <sz val="10"/>
        <rFont val="Times New Roman"/>
        <family val="1"/>
      </rPr>
      <t>f, g</t>
    </r>
  </si>
  <si>
    <r>
      <t xml:space="preserve">vi. Semiannual Work Practice Reports </t>
    </r>
    <r>
      <rPr>
        <vertAlign val="superscript"/>
        <sz val="10"/>
        <rFont val="Times New Roman"/>
        <family val="1"/>
      </rPr>
      <t>e, f</t>
    </r>
  </si>
  <si>
    <r>
      <t>ii. Records of Operating Parameters at Small Refineries</t>
    </r>
    <r>
      <rPr>
        <vertAlign val="superscript"/>
        <sz val="10"/>
        <rFont val="Times New Roman"/>
        <family val="1"/>
      </rPr>
      <t xml:space="preserve"> g, h</t>
    </r>
  </si>
  <si>
    <r>
      <t xml:space="preserve">i. Records of Operating Parameters at Large Refineries </t>
    </r>
    <r>
      <rPr>
        <vertAlign val="superscript"/>
        <sz val="10"/>
        <rFont val="Times New Roman"/>
        <family val="1"/>
      </rPr>
      <t>g, h</t>
    </r>
  </si>
  <si>
    <r>
      <rPr>
        <vertAlign val="superscript"/>
        <sz val="10"/>
        <rFont val="Times New Roman"/>
        <family val="1"/>
      </rPr>
      <t>d</t>
    </r>
    <r>
      <rPr>
        <sz val="10"/>
        <rFont val="Times New Roman"/>
        <family val="1"/>
      </rPr>
      <t xml:space="preserve">  Owners or operators of the affected facilities must make one-time-only notifications.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</si>
</sst>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3" formatCode="_(* #,##0.00_);_(* \(#,##0.00\);_(* &quot;-&quot;??_);_(@_)"/>
    <numFmt numFmtId="164" formatCode="0.0"/>
    <numFmt numFmtId="165" formatCode="_(* #,##0_);_(* \(#,##0\);_(* &quot;-&quot;??_);_(@_)"/>
    <numFmt numFmtId="166" formatCode="&quot;$&quot;#,##0"/>
    <numFmt numFmtId="167" formatCode="#,##0.0"/>
    <numFmt numFmtId="168" formatCode="&quot;$&quot;#,##0.00"/>
  </numFmts>
  <fonts count="23" x14ac:knownFonts="1">
    <font>
      <sz val="12"/>
      <name val="Arial"/>
    </font>
    <font>
      <sz val="10"/>
      <name val="Arial"/>
      <family val="2"/>
    </font>
    <font>
      <sz val="10"/>
      <name val="Times New Roman"/>
      <family val="1"/>
    </font>
    <font>
      <vertAlign val="superscript"/>
      <sz val="10"/>
      <name val="Times New Roman"/>
      <family val="1"/>
    </font>
    <font>
      <sz val="10"/>
      <color indexed="8"/>
      <name val="Times New Roman"/>
      <family val="1"/>
    </font>
    <font>
      <b/>
      <sz val="10"/>
      <name val="Times New Roman"/>
      <family val="1"/>
    </font>
    <font>
      <sz val="12"/>
      <name val="Times New Roman"/>
      <family val="1"/>
    </font>
    <font>
      <b/>
      <i/>
      <sz val="10"/>
      <name val="Times New Roman"/>
      <family val="1"/>
    </font>
    <font>
      <sz val="10"/>
      <color theme="1"/>
      <name val="Arial"/>
      <family val="2"/>
    </font>
    <font>
      <b/>
      <sz val="12"/>
      <color rgb="FF000000"/>
      <name val="Times New Roman"/>
      <family val="1"/>
    </font>
    <font>
      <sz val="10"/>
      <color rgb="FF000000"/>
      <name val="Times New Roman"/>
      <family val="1"/>
    </font>
    <font>
      <sz val="10"/>
      <color theme="1"/>
      <name val="Times New Roman"/>
      <family val="1"/>
    </font>
    <font>
      <vertAlign val="superscript"/>
      <sz val="10"/>
      <color theme="1"/>
      <name val="Times New Roman"/>
      <family val="1"/>
    </font>
    <font>
      <sz val="9"/>
      <color theme="1"/>
      <name val="Times New Roman"/>
      <family val="1"/>
    </font>
    <font>
      <sz val="9"/>
      <name val="Times New Roman"/>
      <family val="1"/>
    </font>
    <font>
      <i/>
      <sz val="10"/>
      <color theme="1"/>
      <name val="Times New Roman"/>
      <family val="1"/>
    </font>
    <font>
      <i/>
      <sz val="10"/>
      <color theme="1"/>
      <name val="Arial"/>
      <family val="2"/>
    </font>
    <font>
      <b/>
      <vertAlign val="superscript"/>
      <sz val="10"/>
      <name val="Times New Roman"/>
      <family val="1"/>
    </font>
    <font>
      <b/>
      <sz val="10"/>
      <color rgb="FF000000"/>
      <name val="Times New Roman"/>
      <family val="1"/>
    </font>
    <font>
      <b/>
      <sz val="12"/>
      <name val="Times New Roman"/>
      <family val="1"/>
    </font>
    <font>
      <vertAlign val="superscript"/>
      <sz val="9"/>
      <name val="Times New Roman"/>
      <family val="1"/>
    </font>
    <font>
      <vertAlign val="superscript"/>
      <sz val="10"/>
      <color rgb="FF000000"/>
      <name val="Times New Roman"/>
      <family val="1"/>
    </font>
    <font>
      <i/>
      <sz val="10"/>
      <name val="Times New Roman"/>
      <family val="1"/>
    </font>
  </fonts>
  <fills count="4">
    <fill>
      <patternFill patternType="none"/>
    </fill>
    <fill>
      <patternFill patternType="gray125"/>
    </fill>
    <fill>
      <patternFill patternType="solid">
        <fgColor theme="0"/>
        <bgColor indexed="22"/>
      </patternFill>
    </fill>
    <fill>
      <patternFill patternType="solid">
        <fgColor theme="0"/>
        <bgColor indexed="64"/>
      </patternFill>
    </fill>
  </fills>
  <borders count="37">
    <border>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0" fontId="8" fillId="0" borderId="0"/>
  </cellStyleXfs>
  <cellXfs count="242">
    <xf numFmtId="0" fontId="0" fillId="0" borderId="0" xfId="0"/>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7" fontId="2" fillId="3" borderId="3" xfId="0" applyNumberFormat="1" applyFont="1" applyFill="1" applyBorder="1" applyAlignment="1" applyProtection="1">
      <alignment horizontal="righ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7" fontId="2" fillId="2" borderId="3" xfId="0" applyNumberFormat="1" applyFont="1" applyFill="1" applyBorder="1" applyAlignment="1" applyProtection="1">
      <alignment horizontal="right" vertical="center"/>
    </xf>
    <xf numFmtId="1" fontId="2" fillId="3" borderId="2" xfId="0" applyNumberFormat="1" applyFont="1" applyFill="1" applyBorder="1" applyAlignment="1" applyProtection="1">
      <alignment horizontal="center" vertical="center"/>
    </xf>
    <xf numFmtId="0" fontId="2" fillId="2" borderId="2" xfId="0" applyFont="1" applyFill="1" applyBorder="1" applyProtection="1"/>
    <xf numFmtId="1" fontId="2" fillId="3" borderId="3"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 fontId="2" fillId="3" borderId="5" xfId="0" applyNumberFormat="1"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2" fillId="3" borderId="7" xfId="0" applyFont="1" applyFill="1" applyBorder="1" applyAlignment="1" applyProtection="1">
      <alignment horizontal="right"/>
    </xf>
    <xf numFmtId="1" fontId="2" fillId="3" borderId="6" xfId="0" applyNumberFormat="1" applyFont="1" applyFill="1" applyBorder="1" applyAlignment="1" applyProtection="1">
      <alignment horizontal="center" vertical="center"/>
    </xf>
    <xf numFmtId="7" fontId="2" fillId="3" borderId="13" xfId="0" applyNumberFormat="1"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7" fontId="2" fillId="3" borderId="7" xfId="0" applyNumberFormat="1" applyFont="1" applyFill="1" applyBorder="1" applyAlignment="1" applyProtection="1">
      <alignment horizontal="right"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1" fontId="2" fillId="3" borderId="11" xfId="0" applyNumberFormat="1" applyFont="1" applyFill="1" applyBorder="1" applyAlignment="1" applyProtection="1">
      <alignment horizontal="center" vertical="center"/>
    </xf>
    <xf numFmtId="0" fontId="2" fillId="3" borderId="12" xfId="0" quotePrefix="1" applyFont="1" applyFill="1" applyBorder="1" applyAlignment="1" applyProtection="1">
      <alignment horizontal="center" vertical="center"/>
    </xf>
    <xf numFmtId="1" fontId="2" fillId="3" borderId="12" xfId="0" applyNumberFormat="1" applyFont="1" applyFill="1" applyBorder="1" applyAlignment="1" applyProtection="1">
      <alignment horizontal="center" vertical="center"/>
    </xf>
    <xf numFmtId="0" fontId="2" fillId="3" borderId="12" xfId="0" applyFont="1" applyFill="1" applyBorder="1" applyAlignment="1" applyProtection="1">
      <alignment vertical="center"/>
    </xf>
    <xf numFmtId="0" fontId="6" fillId="0" borderId="0" xfId="0" applyFont="1"/>
    <xf numFmtId="0" fontId="2" fillId="0" borderId="0" xfId="0" applyFont="1"/>
    <xf numFmtId="5" fontId="5" fillId="3" borderId="9" xfId="0" applyNumberFormat="1" applyFont="1" applyFill="1" applyBorder="1" applyAlignment="1" applyProtection="1">
      <alignment horizontal="right" vertical="center"/>
    </xf>
    <xf numFmtId="1" fontId="5" fillId="3" borderId="14" xfId="0" applyNumberFormat="1" applyFont="1" applyFill="1" applyBorder="1" applyAlignment="1" applyProtection="1">
      <alignment horizontal="center" vertical="center"/>
    </xf>
    <xf numFmtId="0" fontId="2" fillId="3" borderId="0" xfId="0" applyFont="1" applyFill="1" applyBorder="1" applyAlignment="1" applyProtection="1">
      <alignment vertical="center"/>
    </xf>
    <xf numFmtId="1" fontId="2" fillId="3" borderId="15" xfId="0" applyNumberFormat="1" applyFont="1" applyFill="1" applyBorder="1" applyAlignment="1" applyProtection="1">
      <alignment vertical="center"/>
    </xf>
    <xf numFmtId="5" fontId="5" fillId="3" borderId="12" xfId="0" applyNumberFormat="1" applyFont="1" applyFill="1" applyBorder="1" applyAlignment="1" applyProtection="1">
      <alignment horizontal="right" vertical="center"/>
    </xf>
    <xf numFmtId="5" fontId="5" fillId="0" borderId="12" xfId="0" applyNumberFormat="1" applyFont="1" applyBorder="1" applyAlignment="1">
      <alignment horizontal="right" vertical="center"/>
    </xf>
    <xf numFmtId="0" fontId="10" fillId="0" borderId="16" xfId="2" applyFont="1" applyBorder="1" applyAlignment="1">
      <alignment horizontal="center" vertical="top" wrapText="1"/>
    </xf>
    <xf numFmtId="0" fontId="10" fillId="0" borderId="22" xfId="2" applyFont="1" applyBorder="1" applyAlignment="1">
      <alignment horizontal="center" vertical="top" wrapText="1"/>
    </xf>
    <xf numFmtId="0" fontId="10" fillId="0" borderId="22" xfId="2" applyFont="1" applyFill="1" applyBorder="1" applyAlignment="1">
      <alignment horizontal="center" vertical="top" wrapText="1"/>
    </xf>
    <xf numFmtId="0" fontId="2" fillId="0" borderId="12" xfId="2" applyFont="1" applyBorder="1" applyAlignment="1">
      <alignment horizontal="center" vertical="top" wrapText="1"/>
    </xf>
    <xf numFmtId="3" fontId="2" fillId="0" borderId="12" xfId="2" applyNumberFormat="1" applyFont="1" applyFill="1" applyBorder="1" applyAlignment="1">
      <alignment horizontal="center" vertical="top" wrapText="1"/>
    </xf>
    <xf numFmtId="0" fontId="2" fillId="0" borderId="12" xfId="2" applyFont="1" applyFill="1" applyBorder="1" applyAlignment="1">
      <alignment horizontal="center" vertical="top" wrapText="1"/>
    </xf>
    <xf numFmtId="0" fontId="11" fillId="0" borderId="0" xfId="2" applyFont="1"/>
    <xf numFmtId="0" fontId="13" fillId="0" borderId="12" xfId="2" applyFont="1" applyFill="1" applyBorder="1" applyAlignment="1">
      <alignment horizontal="center" vertical="top" wrapText="1"/>
    </xf>
    <xf numFmtId="0" fontId="14" fillId="0" borderId="12" xfId="2" applyFont="1" applyBorder="1" applyAlignment="1">
      <alignment horizontal="center" vertical="top" wrapText="1"/>
    </xf>
    <xf numFmtId="0" fontId="13" fillId="0" borderId="12" xfId="2" applyFont="1" applyBorder="1" applyAlignment="1">
      <alignment horizontal="center" vertical="top" wrapText="1"/>
    </xf>
    <xf numFmtId="0" fontId="2" fillId="0" borderId="12" xfId="0" applyFont="1" applyFill="1" applyBorder="1" applyAlignment="1">
      <alignment horizontal="left" vertical="top" wrapText="1"/>
    </xf>
    <xf numFmtId="3" fontId="14" fillId="0" borderId="12" xfId="2" applyNumberFormat="1"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2" xfId="2" applyFont="1" applyFill="1" applyBorder="1" applyAlignment="1">
      <alignment vertical="top" wrapText="1"/>
    </xf>
    <xf numFmtId="0" fontId="14" fillId="0" borderId="12" xfId="2" applyFont="1" applyFill="1" applyBorder="1" applyAlignment="1">
      <alignment horizontal="center" vertical="top" wrapText="1"/>
    </xf>
    <xf numFmtId="0" fontId="8" fillId="0" borderId="0" xfId="2" applyFont="1"/>
    <xf numFmtId="0" fontId="15" fillId="0" borderId="0" xfId="2" applyFont="1" applyAlignment="1">
      <alignment horizontal="right"/>
    </xf>
    <xf numFmtId="1" fontId="16" fillId="0" borderId="0" xfId="2" applyNumberFormat="1" applyFont="1"/>
    <xf numFmtId="5" fontId="2" fillId="3" borderId="3" xfId="0" applyNumberFormat="1" applyFont="1" applyFill="1" applyBorder="1" applyAlignment="1" applyProtection="1">
      <alignment horizontal="right" vertical="center"/>
    </xf>
    <xf numFmtId="5" fontId="2" fillId="3" borderId="7" xfId="0" applyNumberFormat="1" applyFont="1" applyFill="1" applyBorder="1" applyAlignment="1" applyProtection="1">
      <alignment horizontal="right" vertical="center"/>
    </xf>
    <xf numFmtId="0" fontId="6" fillId="0" borderId="0" xfId="0" applyFont="1" applyProtection="1"/>
    <xf numFmtId="1" fontId="6" fillId="0" borderId="0" xfId="0" applyNumberFormat="1" applyFont="1" applyProtection="1"/>
    <xf numFmtId="0" fontId="2" fillId="0" borderId="0" xfId="0" applyFont="1" applyProtection="1"/>
    <xf numFmtId="0" fontId="2" fillId="2" borderId="5" xfId="0" applyFont="1" applyFill="1" applyBorder="1" applyProtection="1"/>
    <xf numFmtId="0" fontId="2" fillId="3" borderId="24" xfId="0" applyFont="1" applyFill="1" applyBorder="1" applyAlignment="1" applyProtection="1">
      <alignment horizontal="center" vertical="center"/>
    </xf>
    <xf numFmtId="1" fontId="2" fillId="3" borderId="1" xfId="0" applyNumberFormat="1" applyFont="1" applyFill="1" applyBorder="1" applyAlignment="1" applyProtection="1">
      <alignment horizontal="center" vertical="center"/>
    </xf>
    <xf numFmtId="1" fontId="2" fillId="3" borderId="4" xfId="0" applyNumberFormat="1" applyFont="1" applyFill="1" applyBorder="1" applyAlignment="1" applyProtection="1">
      <alignment horizontal="center" vertical="center"/>
    </xf>
    <xf numFmtId="0" fontId="2" fillId="3" borderId="25" xfId="0" quotePrefix="1" applyFont="1" applyFill="1" applyBorder="1" applyAlignment="1" applyProtection="1">
      <alignment horizontal="center" vertical="center"/>
    </xf>
    <xf numFmtId="0" fontId="2" fillId="3" borderId="24" xfId="0" applyFont="1" applyFill="1" applyBorder="1" applyAlignment="1" applyProtection="1"/>
    <xf numFmtId="0" fontId="2" fillId="2" borderId="25"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xf>
    <xf numFmtId="0" fontId="2" fillId="3" borderId="24" xfId="0" quotePrefix="1" applyFont="1" applyFill="1" applyBorder="1" applyAlignment="1" applyProtection="1">
      <alignment horizontal="center" vertical="center"/>
    </xf>
    <xf numFmtId="1" fontId="2" fillId="3" borderId="26" xfId="0" applyNumberFormat="1"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5" fontId="5" fillId="3" borderId="6" xfId="0" applyNumberFormat="1" applyFont="1" applyFill="1" applyBorder="1" applyAlignment="1" applyProtection="1">
      <alignment horizontal="right" vertical="center"/>
    </xf>
    <xf numFmtId="0" fontId="2" fillId="0" borderId="24" xfId="0" applyFont="1" applyBorder="1" applyAlignment="1" applyProtection="1">
      <alignment horizontal="center"/>
    </xf>
    <xf numFmtId="164" fontId="2" fillId="0" borderId="24" xfId="0" applyNumberFormat="1" applyFont="1" applyFill="1" applyBorder="1" applyAlignment="1" applyProtection="1">
      <alignment horizontal="center"/>
    </xf>
    <xf numFmtId="165" fontId="2" fillId="0" borderId="24" xfId="1" applyNumberFormat="1" applyFont="1" applyFill="1" applyBorder="1" applyAlignment="1" applyProtection="1">
      <alignment horizontal="center"/>
    </xf>
    <xf numFmtId="164" fontId="2" fillId="3" borderId="2" xfId="0" applyNumberFormat="1" applyFont="1" applyFill="1" applyBorder="1" applyAlignment="1" applyProtection="1">
      <alignment horizontal="center" vertical="center"/>
    </xf>
    <xf numFmtId="5" fontId="2" fillId="2" borderId="3" xfId="0" applyNumberFormat="1" applyFont="1" applyFill="1" applyBorder="1" applyAlignment="1" applyProtection="1">
      <alignment horizontal="right"/>
    </xf>
    <xf numFmtId="5" fontId="2" fillId="3" borderId="7" xfId="0" applyNumberFormat="1" applyFont="1" applyFill="1" applyBorder="1" applyAlignment="1" applyProtection="1">
      <alignment horizontal="right"/>
    </xf>
    <xf numFmtId="5" fontId="2" fillId="2" borderId="7" xfId="0" applyNumberFormat="1" applyFont="1" applyFill="1" applyBorder="1" applyAlignment="1" applyProtection="1">
      <alignment horizontal="right" vertical="center"/>
    </xf>
    <xf numFmtId="0" fontId="5" fillId="0" borderId="24" xfId="0" applyFont="1" applyBorder="1" applyProtection="1"/>
    <xf numFmtId="1" fontId="5" fillId="0" borderId="24" xfId="0" applyNumberFormat="1" applyFont="1" applyBorder="1" applyProtection="1"/>
    <xf numFmtId="5" fontId="5" fillId="0" borderId="24" xfId="0" applyNumberFormat="1" applyFont="1" applyBorder="1" applyProtection="1"/>
    <xf numFmtId="0" fontId="17" fillId="0" borderId="0" xfId="0" applyFont="1" applyAlignment="1">
      <alignment horizontal="left" wrapText="1"/>
    </xf>
    <xf numFmtId="3" fontId="2" fillId="3" borderId="0" xfId="0" applyNumberFormat="1" applyFont="1" applyFill="1" applyBorder="1" applyAlignment="1" applyProtection="1">
      <alignment vertical="center"/>
    </xf>
    <xf numFmtId="0" fontId="2" fillId="0" borderId="31" xfId="0" quotePrefix="1" applyFont="1" applyBorder="1" applyAlignment="1" applyProtection="1">
      <alignment horizontal="center"/>
    </xf>
    <xf numFmtId="0" fontId="5" fillId="0" borderId="31" xfId="0" applyFont="1" applyBorder="1" applyProtection="1"/>
    <xf numFmtId="5" fontId="5" fillId="0" borderId="24" xfId="0" applyNumberFormat="1" applyFont="1" applyBorder="1" applyAlignment="1" applyProtection="1">
      <alignment horizontal="right" vertical="center"/>
    </xf>
    <xf numFmtId="0" fontId="2" fillId="0" borderId="2" xfId="0" applyFont="1" applyBorder="1" applyAlignment="1" applyProtection="1">
      <alignment vertical="center"/>
    </xf>
    <xf numFmtId="1" fontId="2"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164" fontId="2" fillId="0" borderId="2"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7" fontId="2" fillId="0" borderId="3" xfId="0" applyNumberFormat="1" applyFont="1" applyFill="1" applyBorder="1" applyAlignment="1" applyProtection="1">
      <alignment horizontal="right" vertical="center"/>
    </xf>
    <xf numFmtId="0" fontId="2" fillId="0" borderId="2" xfId="0" applyFont="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2" xfId="0" applyFont="1" applyBorder="1" applyAlignment="1" applyProtection="1">
      <alignment horizontal="left" vertical="center"/>
    </xf>
    <xf numFmtId="0" fontId="5" fillId="0" borderId="2" xfId="0" applyFont="1" applyBorder="1" applyAlignment="1" applyProtection="1">
      <alignment horizontal="left" vertical="center"/>
    </xf>
    <xf numFmtId="7" fontId="5" fillId="0" borderId="3" xfId="0" applyNumberFormat="1" applyFont="1" applyBorder="1" applyAlignment="1" applyProtection="1">
      <alignment horizontal="center" vertical="center"/>
    </xf>
    <xf numFmtId="0" fontId="2" fillId="0" borderId="3" xfId="0" applyFont="1" applyBorder="1" applyAlignment="1" applyProtection="1">
      <alignment horizontal="left" vertical="center"/>
    </xf>
    <xf numFmtId="5" fontId="5" fillId="0" borderId="3" xfId="0" applyNumberFormat="1" applyFont="1" applyBorder="1" applyAlignment="1" applyProtection="1">
      <alignment horizontal="right" vertical="center"/>
    </xf>
    <xf numFmtId="7" fontId="2" fillId="0" borderId="0" xfId="0" applyNumberFormat="1" applyFont="1" applyBorder="1" applyProtection="1"/>
    <xf numFmtId="0" fontId="4" fillId="0" borderId="0" xfId="0" applyFont="1"/>
    <xf numFmtId="0" fontId="2" fillId="0" borderId="0" xfId="0" applyFont="1" applyAlignment="1" applyProtection="1">
      <alignment horizontal="left"/>
    </xf>
    <xf numFmtId="5" fontId="2" fillId="0" borderId="3" xfId="0" applyNumberFormat="1" applyFont="1" applyFill="1" applyBorder="1" applyAlignment="1" applyProtection="1">
      <alignment horizontal="right" vertical="center"/>
    </xf>
    <xf numFmtId="3" fontId="2" fillId="0" borderId="3" xfId="0" applyNumberFormat="1" applyFont="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xf>
    <xf numFmtId="0" fontId="5" fillId="2" borderId="2" xfId="0" applyFont="1" applyFill="1" applyBorder="1" applyAlignment="1" applyProtection="1">
      <alignment horizontal="center" vertical="center" wrapText="1"/>
    </xf>
    <xf numFmtId="2" fontId="2" fillId="0" borderId="2" xfId="0" applyNumberFormat="1" applyFont="1" applyBorder="1" applyAlignment="1" applyProtection="1">
      <alignment horizontal="center" vertical="center"/>
    </xf>
    <xf numFmtId="5" fontId="2" fillId="0" borderId="3" xfId="0" applyNumberFormat="1" applyFont="1" applyFill="1" applyBorder="1" applyAlignment="1" applyProtection="1"/>
    <xf numFmtId="166" fontId="2" fillId="0" borderId="3" xfId="0" applyNumberFormat="1" applyFont="1" applyFill="1" applyBorder="1" applyAlignment="1" applyProtection="1"/>
    <xf numFmtId="7" fontId="2" fillId="0" borderId="3" xfId="0" applyNumberFormat="1" applyFont="1" applyFill="1" applyBorder="1" applyAlignment="1" applyProtection="1"/>
    <xf numFmtId="5" fontId="5" fillId="0" borderId="3" xfId="0" applyNumberFormat="1" applyFont="1" applyBorder="1" applyAlignment="1" applyProtection="1"/>
    <xf numFmtId="3" fontId="6" fillId="0" borderId="0" xfId="0" applyNumberFormat="1" applyFont="1" applyProtection="1"/>
    <xf numFmtId="0" fontId="3" fillId="0" borderId="0" xfId="0" applyFont="1" applyAlignment="1">
      <alignment horizontal="left" wrapText="1"/>
    </xf>
    <xf numFmtId="0" fontId="4" fillId="3" borderId="12" xfId="0" applyFont="1" applyFill="1" applyBorder="1" applyAlignment="1" applyProtection="1">
      <alignment vertical="center" wrapText="1"/>
      <protection locked="0"/>
    </xf>
    <xf numFmtId="0" fontId="2" fillId="0" borderId="12" xfId="0" applyFont="1" applyBorder="1" applyAlignment="1">
      <alignment vertical="center"/>
    </xf>
    <xf numFmtId="0" fontId="18" fillId="0" borderId="12" xfId="0" applyFont="1" applyBorder="1" applyAlignment="1">
      <alignment horizontal="center" vertical="center" wrapText="1"/>
    </xf>
    <xf numFmtId="0" fontId="10" fillId="0" borderId="12" xfId="0" applyFont="1" applyBorder="1" applyAlignment="1">
      <alignment vertical="center" wrapText="1"/>
    </xf>
    <xf numFmtId="3" fontId="10" fillId="0" borderId="12" xfId="0" applyNumberFormat="1" applyFont="1" applyBorder="1" applyAlignment="1">
      <alignment horizontal="center" vertical="center" wrapText="1"/>
    </xf>
    <xf numFmtId="6" fontId="10" fillId="0" borderId="12" xfId="0" applyNumberFormat="1" applyFont="1" applyBorder="1" applyAlignment="1">
      <alignment horizontal="right" vertical="center" wrapText="1"/>
    </xf>
    <xf numFmtId="0" fontId="18" fillId="0" borderId="12" xfId="0" applyFont="1" applyBorder="1" applyAlignment="1">
      <alignment vertical="center" wrapText="1"/>
    </xf>
    <xf numFmtId="0" fontId="18" fillId="0" borderId="12" xfId="0" applyFont="1" applyBorder="1" applyAlignment="1">
      <alignment horizontal="right" vertical="center" wrapText="1"/>
    </xf>
    <xf numFmtId="3" fontId="18" fillId="0" borderId="12" xfId="0" applyNumberFormat="1" applyFont="1" applyBorder="1" applyAlignment="1">
      <alignment horizontal="center" vertical="center" wrapText="1"/>
    </xf>
    <xf numFmtId="6" fontId="18" fillId="0" borderId="12" xfId="0" applyNumberFormat="1" applyFont="1" applyBorder="1" applyAlignment="1">
      <alignment horizontal="right" vertical="center" wrapText="1"/>
    </xf>
    <xf numFmtId="0" fontId="17" fillId="0" borderId="0" xfId="0" applyFont="1" applyAlignment="1">
      <alignment wrapText="1"/>
    </xf>
    <xf numFmtId="0" fontId="2" fillId="3" borderId="12" xfId="0" applyFont="1" applyFill="1" applyBorder="1" applyAlignment="1" applyProtection="1">
      <alignment vertical="center" wrapText="1"/>
    </xf>
    <xf numFmtId="0" fontId="7" fillId="3" borderId="12" xfId="0" applyFont="1" applyFill="1" applyBorder="1" applyAlignment="1" applyProtection="1">
      <alignment wrapText="1"/>
    </xf>
    <xf numFmtId="0" fontId="5" fillId="0" borderId="12" xfId="0" applyFont="1" applyBorder="1" applyAlignment="1">
      <alignment wrapText="1"/>
    </xf>
    <xf numFmtId="0" fontId="5" fillId="2" borderId="2" xfId="0" applyFont="1" applyFill="1" applyBorder="1" applyAlignment="1" applyProtection="1">
      <alignment horizontal="center" vertical="center"/>
    </xf>
    <xf numFmtId="0" fontId="18" fillId="0" borderId="21" xfId="2" applyFont="1" applyBorder="1" applyAlignment="1">
      <alignment vertical="top" wrapText="1"/>
    </xf>
    <xf numFmtId="0" fontId="10" fillId="0" borderId="12" xfId="2" applyFont="1" applyBorder="1" applyAlignment="1">
      <alignment horizontal="center" vertical="center" wrapText="1"/>
    </xf>
    <xf numFmtId="0" fontId="5" fillId="0" borderId="0" xfId="0" applyFont="1"/>
    <xf numFmtId="0" fontId="2" fillId="0" borderId="3"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2" xfId="0" applyNumberFormat="1" applyFont="1" applyFill="1" applyBorder="1" applyAlignment="1" applyProtection="1">
      <alignment horizontal="center" vertical="center"/>
    </xf>
    <xf numFmtId="167" fontId="2" fillId="3" borderId="3"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6" fillId="0" borderId="0" xfId="0" applyFont="1" applyFill="1" applyProtection="1"/>
    <xf numFmtId="0" fontId="6" fillId="0" borderId="0" xfId="0" applyFont="1" applyFill="1"/>
    <xf numFmtId="0" fontId="6" fillId="0" borderId="0" xfId="0" applyFont="1" applyFill="1" applyAlignment="1" applyProtection="1">
      <alignment vertical="center"/>
    </xf>
    <xf numFmtId="0" fontId="6" fillId="0" borderId="0" xfId="0" applyFont="1" applyAlignment="1" applyProtection="1">
      <alignment horizontal="left"/>
    </xf>
    <xf numFmtId="168" fontId="2" fillId="0" borderId="12" xfId="0" applyNumberFormat="1" applyFont="1" applyBorder="1" applyProtection="1"/>
    <xf numFmtId="7" fontId="2" fillId="0" borderId="12" xfId="0" applyNumberFormat="1" applyFont="1" applyBorder="1" applyProtection="1"/>
    <xf numFmtId="168" fontId="4" fillId="0" borderId="12" xfId="0" applyNumberFormat="1" applyFont="1" applyBorder="1"/>
    <xf numFmtId="168" fontId="2" fillId="0" borderId="12" xfId="0" applyNumberFormat="1" applyFont="1" applyBorder="1"/>
    <xf numFmtId="0" fontId="6" fillId="0" borderId="32" xfId="0" applyFont="1" applyFill="1" applyBorder="1" applyAlignment="1" applyProtection="1">
      <alignment vertical="center"/>
    </xf>
    <xf numFmtId="1" fontId="22" fillId="3" borderId="8" xfId="0" applyNumberFormat="1" applyFont="1" applyFill="1" applyBorder="1" applyAlignment="1" applyProtection="1">
      <alignment horizontal="center" vertical="center"/>
    </xf>
    <xf numFmtId="5" fontId="7" fillId="3" borderId="3" xfId="0" applyNumberFormat="1" applyFont="1" applyFill="1" applyBorder="1" applyAlignment="1" applyProtection="1">
      <alignment horizontal="right" vertical="center"/>
    </xf>
    <xf numFmtId="0" fontId="5" fillId="0" borderId="0" xfId="0" applyFont="1" applyBorder="1" applyAlignment="1" applyProtection="1"/>
    <xf numFmtId="3" fontId="6" fillId="0" borderId="0" xfId="0" applyNumberFormat="1" applyFont="1"/>
    <xf numFmtId="5" fontId="6" fillId="0" borderId="0" xfId="0" applyNumberFormat="1" applyFont="1"/>
    <xf numFmtId="0" fontId="5" fillId="2" borderId="12" xfId="0" applyFont="1" applyFill="1" applyBorder="1" applyAlignment="1" applyProtection="1">
      <alignment vertical="center" wrapText="1"/>
    </xf>
    <xf numFmtId="0" fontId="5" fillId="2" borderId="12" xfId="0" applyFont="1" applyFill="1" applyBorder="1" applyAlignment="1" applyProtection="1">
      <alignment horizontal="center" vertical="top" wrapText="1"/>
    </xf>
    <xf numFmtId="7" fontId="2" fillId="3" borderId="12" xfId="0" applyNumberFormat="1" applyFont="1" applyFill="1" applyBorder="1" applyAlignment="1" applyProtection="1">
      <alignment horizontal="right" vertical="center"/>
    </xf>
    <xf numFmtId="0" fontId="2" fillId="2" borderId="12" xfId="0" applyFont="1" applyFill="1" applyBorder="1" applyAlignment="1" applyProtection="1">
      <alignment horizontal="center" vertical="center"/>
    </xf>
    <xf numFmtId="7" fontId="2" fillId="2" borderId="12" xfId="0" applyNumberFormat="1" applyFont="1" applyFill="1" applyBorder="1" applyAlignment="1" applyProtection="1">
      <alignment horizontal="right" vertical="center"/>
    </xf>
    <xf numFmtId="0" fontId="2" fillId="0" borderId="12" xfId="0"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164" fontId="2" fillId="0" borderId="12" xfId="0" applyNumberFormat="1" applyFont="1" applyFill="1" applyBorder="1" applyAlignment="1" applyProtection="1">
      <alignment horizontal="center" vertical="center"/>
    </xf>
    <xf numFmtId="7" fontId="2" fillId="0" borderId="12" xfId="0" applyNumberFormat="1" applyFont="1" applyFill="1" applyBorder="1" applyAlignment="1" applyProtection="1">
      <alignment horizontal="right" vertical="center"/>
    </xf>
    <xf numFmtId="0" fontId="2" fillId="2" borderId="12" xfId="0" applyFont="1" applyFill="1" applyBorder="1" applyAlignment="1" applyProtection="1">
      <alignment vertical="center"/>
    </xf>
    <xf numFmtId="5" fontId="2" fillId="0" borderId="12" xfId="0" applyNumberFormat="1" applyFont="1" applyFill="1" applyBorder="1" applyAlignment="1" applyProtection="1">
      <alignment horizontal="right" vertical="center"/>
    </xf>
    <xf numFmtId="3" fontId="2" fillId="3" borderId="12" xfId="0" applyNumberFormat="1" applyFont="1" applyFill="1" applyBorder="1" applyAlignment="1" applyProtection="1">
      <alignment horizontal="center" vertical="center"/>
    </xf>
    <xf numFmtId="0" fontId="7" fillId="3" borderId="12" xfId="0" applyFont="1" applyFill="1" applyBorder="1" applyAlignment="1" applyProtection="1">
      <alignment vertical="center" wrapText="1"/>
    </xf>
    <xf numFmtId="2" fontId="2" fillId="0" borderId="12" xfId="0" applyNumberFormat="1" applyFont="1" applyFill="1" applyBorder="1" applyAlignment="1" applyProtection="1">
      <alignment horizontal="center" vertical="center"/>
    </xf>
    <xf numFmtId="2" fontId="2" fillId="3" borderId="12" xfId="0" applyNumberFormat="1" applyFont="1" applyFill="1" applyBorder="1" applyAlignment="1" applyProtection="1">
      <alignment horizontal="center" vertical="center"/>
    </xf>
    <xf numFmtId="0" fontId="5" fillId="3" borderId="12" xfId="0" applyFont="1" applyFill="1" applyBorder="1" applyAlignment="1" applyProtection="1">
      <alignment wrapText="1"/>
    </xf>
    <xf numFmtId="0" fontId="5" fillId="3" borderId="12" xfId="0" applyFont="1" applyFill="1" applyBorder="1" applyAlignment="1" applyProtection="1">
      <alignment vertical="center" wrapText="1"/>
    </xf>
    <xf numFmtId="3" fontId="2" fillId="3" borderId="12" xfId="0" applyNumberFormat="1" applyFont="1" applyFill="1" applyBorder="1" applyAlignment="1" applyProtection="1">
      <alignment vertical="center"/>
    </xf>
    <xf numFmtId="1" fontId="5" fillId="3" borderId="12" xfId="0" applyNumberFormat="1" applyFont="1" applyFill="1" applyBorder="1" applyAlignment="1" applyProtection="1">
      <alignment horizontal="center" vertical="center"/>
    </xf>
    <xf numFmtId="1" fontId="2" fillId="3" borderId="12" xfId="0" applyNumberFormat="1" applyFont="1" applyFill="1" applyBorder="1" applyAlignment="1" applyProtection="1">
      <alignment vertical="center"/>
    </xf>
    <xf numFmtId="3" fontId="5" fillId="3" borderId="12" xfId="0" applyNumberFormat="1" applyFont="1" applyFill="1" applyBorder="1" applyAlignment="1" applyProtection="1">
      <alignment horizontal="center" vertical="center"/>
    </xf>
    <xf numFmtId="1" fontId="5" fillId="3" borderId="12" xfId="0" applyNumberFormat="1" applyFont="1" applyFill="1" applyBorder="1" applyAlignment="1" applyProtection="1">
      <alignment horizontal="left" vertical="center"/>
    </xf>
    <xf numFmtId="0" fontId="6" fillId="0" borderId="0" xfId="0" applyFont="1" applyBorder="1" applyProtection="1"/>
    <xf numFmtId="1" fontId="6" fillId="0" borderId="0" xfId="0" applyNumberFormat="1" applyFont="1" applyBorder="1" applyProtection="1"/>
    <xf numFmtId="0" fontId="6" fillId="0" borderId="0" xfId="0" applyFont="1" applyBorder="1"/>
    <xf numFmtId="0" fontId="5" fillId="2" borderId="33" xfId="0" applyFont="1" applyFill="1" applyBorder="1" applyAlignment="1" applyProtection="1">
      <alignment horizontal="center" vertical="center"/>
    </xf>
    <xf numFmtId="0" fontId="2" fillId="3" borderId="33" xfId="0" applyFont="1" applyFill="1" applyBorder="1" applyAlignment="1" applyProtection="1">
      <alignment vertical="center" wrapText="1"/>
    </xf>
    <xf numFmtId="0" fontId="7" fillId="3" borderId="33" xfId="0" applyFont="1" applyFill="1" applyBorder="1" applyAlignment="1" applyProtection="1">
      <alignment vertical="center" wrapText="1"/>
    </xf>
    <xf numFmtId="0" fontId="7" fillId="3" borderId="35" xfId="0" applyFont="1" applyFill="1" applyBorder="1" applyAlignment="1" applyProtection="1">
      <alignment wrapText="1"/>
    </xf>
    <xf numFmtId="0" fontId="5" fillId="3" borderId="36" xfId="0" applyFont="1" applyFill="1" applyBorder="1" applyAlignment="1" applyProtection="1">
      <alignment wrapText="1"/>
    </xf>
    <xf numFmtId="0" fontId="5" fillId="3" borderId="36" xfId="0" applyFont="1" applyFill="1" applyBorder="1" applyAlignment="1" applyProtection="1">
      <alignment vertical="center" wrapText="1"/>
    </xf>
    <xf numFmtId="0" fontId="5" fillId="0" borderId="36" xfId="0" applyFont="1" applyBorder="1" applyAlignment="1">
      <alignment wrapText="1"/>
    </xf>
    <xf numFmtId="0" fontId="2" fillId="3" borderId="33" xfId="0" applyFont="1" applyFill="1" applyBorder="1" applyAlignment="1" applyProtection="1">
      <alignment horizontal="left" vertical="center" wrapText="1" indent="1"/>
    </xf>
    <xf numFmtId="0" fontId="2" fillId="3" borderId="17" xfId="0" applyFont="1" applyFill="1" applyBorder="1" applyAlignment="1" applyProtection="1">
      <alignment horizontal="left" vertical="center" wrapText="1" indent="1"/>
    </xf>
    <xf numFmtId="0" fontId="2" fillId="3" borderId="34" xfId="0" applyFont="1" applyFill="1" applyBorder="1" applyAlignment="1" applyProtection="1">
      <alignment horizontal="left" vertical="center" wrapText="1" indent="1"/>
    </xf>
    <xf numFmtId="0" fontId="2" fillId="3" borderId="12" xfId="0" applyFont="1" applyFill="1" applyBorder="1" applyAlignment="1" applyProtection="1">
      <alignment horizontal="left" vertical="center" wrapText="1" indent="1"/>
    </xf>
    <xf numFmtId="0" fontId="2" fillId="3" borderId="17" xfId="0" applyFont="1" applyFill="1" applyBorder="1" applyAlignment="1" applyProtection="1">
      <alignment horizontal="left" wrapText="1" indent="1"/>
    </xf>
    <xf numFmtId="0" fontId="2" fillId="3" borderId="33" xfId="0" applyFont="1" applyFill="1" applyBorder="1" applyAlignment="1" applyProtection="1">
      <alignment horizontal="left" vertical="center" wrapText="1" indent="2"/>
    </xf>
    <xf numFmtId="0" fontId="2" fillId="3" borderId="17" xfId="0" applyFont="1" applyFill="1" applyBorder="1" applyAlignment="1" applyProtection="1">
      <alignment horizontal="left" vertical="center" wrapText="1" indent="2"/>
    </xf>
    <xf numFmtId="0" fontId="2" fillId="3" borderId="12" xfId="0" applyFont="1" applyFill="1" applyBorder="1" applyAlignment="1" applyProtection="1">
      <alignment horizontal="left" wrapText="1" indent="1"/>
    </xf>
    <xf numFmtId="0" fontId="2" fillId="3" borderId="12" xfId="0" applyFont="1" applyFill="1" applyBorder="1" applyAlignment="1" applyProtection="1">
      <alignment horizontal="left" vertical="center" wrapText="1" indent="2"/>
    </xf>
    <xf numFmtId="0" fontId="19" fillId="0" borderId="0" xfId="0" applyFont="1" applyAlignment="1" applyProtection="1">
      <alignment horizontal="left" vertical="top" wrapText="1"/>
    </xf>
    <xf numFmtId="0" fontId="2" fillId="0" borderId="12" xfId="0" applyFont="1" applyBorder="1" applyAlignment="1">
      <alignment horizont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17" fillId="0" borderId="0" xfId="0" applyFont="1" applyAlignment="1">
      <alignment horizontal="left" wrapText="1"/>
    </xf>
    <xf numFmtId="3" fontId="7" fillId="3" borderId="2" xfId="0" applyNumberFormat="1" applyFont="1" applyFill="1" applyBorder="1" applyAlignment="1" applyProtection="1">
      <alignment horizontal="center" vertical="center"/>
    </xf>
    <xf numFmtId="3" fontId="7" fillId="3" borderId="1" xfId="0" applyNumberFormat="1" applyFont="1" applyFill="1" applyBorder="1" applyAlignment="1" applyProtection="1">
      <alignment horizontal="center" vertical="center"/>
    </xf>
    <xf numFmtId="3" fontId="7" fillId="3" borderId="7" xfId="0" applyNumberFormat="1" applyFont="1" applyFill="1" applyBorder="1" applyAlignment="1" applyProtection="1">
      <alignment horizontal="center" vertical="center"/>
    </xf>
    <xf numFmtId="3" fontId="5" fillId="3" borderId="2" xfId="0" applyNumberFormat="1" applyFont="1" applyFill="1" applyBorder="1" applyAlignment="1" applyProtection="1">
      <alignment horizontal="center" vertical="center"/>
    </xf>
    <xf numFmtId="3" fontId="5" fillId="3"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xf>
    <xf numFmtId="3" fontId="5" fillId="3" borderId="27" xfId="0" applyNumberFormat="1" applyFont="1" applyFill="1" applyBorder="1" applyAlignment="1" applyProtection="1">
      <alignment horizontal="center" vertical="center"/>
    </xf>
    <xf numFmtId="3" fontId="5" fillId="3" borderId="28" xfId="0" applyNumberFormat="1" applyFont="1" applyFill="1" applyBorder="1" applyAlignment="1" applyProtection="1">
      <alignment horizontal="center" vertical="center"/>
    </xf>
    <xf numFmtId="3" fontId="5" fillId="3" borderId="29" xfId="0" applyNumberFormat="1" applyFont="1" applyFill="1" applyBorder="1" applyAlignment="1" applyProtection="1">
      <alignment horizontal="center" vertical="center"/>
    </xf>
    <xf numFmtId="3" fontId="5" fillId="0" borderId="25" xfId="0" applyNumberFormat="1"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0" fillId="0" borderId="0" xfId="0" applyFont="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wrapText="1"/>
    </xf>
    <xf numFmtId="0" fontId="2" fillId="0" borderId="0" xfId="0" applyFont="1" applyBorder="1" applyAlignment="1">
      <alignment horizontal="left"/>
    </xf>
    <xf numFmtId="3" fontId="5" fillId="3" borderId="12" xfId="0" applyNumberFormat="1" applyFont="1" applyFill="1" applyBorder="1" applyAlignment="1" applyProtection="1">
      <alignment horizontal="center" vertical="center"/>
    </xf>
    <xf numFmtId="3"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10"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Fill="1" applyBorder="1" applyAlignment="1">
      <alignment horizontal="left" vertical="top" wrapText="1"/>
    </xf>
    <xf numFmtId="0" fontId="2" fillId="0" borderId="0" xfId="0" applyFont="1" applyAlignment="1">
      <alignment horizontal="left"/>
    </xf>
    <xf numFmtId="3" fontId="5" fillId="0" borderId="2"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0" borderId="0" xfId="0" applyFont="1" applyAlignment="1">
      <alignment horizontal="left" vertical="top" wrapText="1"/>
    </xf>
    <xf numFmtId="0" fontId="2" fillId="0" borderId="18" xfId="0" applyFont="1" applyBorder="1" applyAlignment="1">
      <alignment horizontal="center"/>
    </xf>
    <xf numFmtId="0" fontId="2" fillId="0" borderId="20" xfId="0" applyFont="1" applyBorder="1" applyAlignment="1">
      <alignment horizontal="center"/>
    </xf>
    <xf numFmtId="0" fontId="18" fillId="0" borderId="18" xfId="2" applyFont="1" applyBorder="1" applyAlignment="1">
      <alignment horizontal="center" vertical="top" wrapText="1"/>
    </xf>
    <xf numFmtId="0" fontId="18" fillId="0" borderId="19" xfId="2" applyFont="1" applyBorder="1" applyAlignment="1">
      <alignment horizontal="center" vertical="top" wrapText="1"/>
    </xf>
    <xf numFmtId="0" fontId="18" fillId="0" borderId="20" xfId="2" applyFont="1" applyBorder="1" applyAlignment="1">
      <alignment horizontal="center" vertical="top" wrapText="1"/>
    </xf>
    <xf numFmtId="0" fontId="10" fillId="0" borderId="18" xfId="2" applyFont="1" applyBorder="1" applyAlignment="1">
      <alignment horizontal="center" vertical="top" wrapText="1"/>
    </xf>
    <xf numFmtId="0" fontId="10" fillId="0" borderId="20" xfId="2" applyFont="1" applyBorder="1" applyAlignment="1">
      <alignment horizontal="center" vertical="top" wrapText="1"/>
    </xf>
    <xf numFmtId="0" fontId="9" fillId="0" borderId="12" xfId="2" applyFont="1" applyBorder="1" applyAlignment="1">
      <alignment horizontal="center" vertical="top" wrapText="1"/>
    </xf>
    <xf numFmtId="0" fontId="11" fillId="0" borderId="23" xfId="2" applyFont="1" applyBorder="1" applyAlignment="1">
      <alignment horizontal="lef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M88"/>
  <sheetViews>
    <sheetView tabSelected="1" defaultGridColor="0" colorId="22" zoomScaleNormal="100" workbookViewId="0">
      <selection activeCell="E19" sqref="E19"/>
    </sheetView>
  </sheetViews>
  <sheetFormatPr defaultColWidth="9.77734375" defaultRowHeight="15.75" x14ac:dyDescent="0.25"/>
  <cols>
    <col min="1" max="1" width="30.21875" style="32" customWidth="1"/>
    <col min="2" max="5" width="9.33203125" style="32" customWidth="1"/>
    <col min="6" max="6" width="9.44140625" style="32" customWidth="1"/>
    <col min="7" max="7" width="9.5546875" style="32" customWidth="1"/>
    <col min="8" max="8" width="9.33203125" style="32" customWidth="1"/>
    <col min="9" max="9" width="10.77734375" style="32" customWidth="1"/>
    <col min="10" max="10" width="5" style="146" customWidth="1"/>
    <col min="11" max="16384" width="9.77734375" style="146"/>
  </cols>
  <sheetData>
    <row r="1" spans="1:247" ht="34.5" customHeight="1" x14ac:dyDescent="0.25">
      <c r="A1" s="200" t="s">
        <v>108</v>
      </c>
      <c r="B1" s="200"/>
      <c r="C1" s="200"/>
      <c r="D1" s="200"/>
      <c r="E1" s="200"/>
      <c r="F1" s="200"/>
      <c r="G1" s="200"/>
      <c r="H1" s="200"/>
      <c r="I1" s="200"/>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row>
    <row r="2" spans="1:247" x14ac:dyDescent="0.25">
      <c r="A2" s="62"/>
      <c r="B2" s="106"/>
      <c r="C2" s="62"/>
      <c r="D2" s="62"/>
      <c r="E2" s="62"/>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row>
    <row r="3" spans="1:247" ht="80.25" customHeight="1" x14ac:dyDescent="0.25">
      <c r="A3" s="184" t="s">
        <v>10</v>
      </c>
      <c r="B3" s="14" t="s">
        <v>77</v>
      </c>
      <c r="C3" s="14" t="s">
        <v>78</v>
      </c>
      <c r="D3" s="14" t="s">
        <v>2</v>
      </c>
      <c r="E3" s="14" t="s">
        <v>86</v>
      </c>
      <c r="F3" s="15" t="s">
        <v>11</v>
      </c>
      <c r="G3" s="15" t="s">
        <v>58</v>
      </c>
      <c r="H3" s="15" t="s">
        <v>59</v>
      </c>
      <c r="I3" s="15" t="s">
        <v>66</v>
      </c>
      <c r="J3" s="147"/>
      <c r="K3" s="153"/>
      <c r="L3" s="153"/>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row>
    <row r="4" spans="1:247" ht="13.9" customHeight="1" x14ac:dyDescent="0.25">
      <c r="A4" s="185" t="s">
        <v>9</v>
      </c>
      <c r="B4" s="1" t="s">
        <v>0</v>
      </c>
      <c r="C4" s="1" t="s">
        <v>0</v>
      </c>
      <c r="D4" s="1" t="s">
        <v>0</v>
      </c>
      <c r="E4" s="1" t="s">
        <v>0</v>
      </c>
      <c r="F4" s="2" t="s">
        <v>0</v>
      </c>
      <c r="G4" s="2" t="s">
        <v>0</v>
      </c>
      <c r="H4" s="2" t="s">
        <v>0</v>
      </c>
      <c r="I4" s="3" t="s">
        <v>0</v>
      </c>
      <c r="J4" s="147"/>
      <c r="K4" s="201" t="s">
        <v>114</v>
      </c>
      <c r="L4" s="201"/>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row>
    <row r="5" spans="1:247" ht="13.9" customHeight="1" x14ac:dyDescent="0.25">
      <c r="A5" s="185" t="s">
        <v>60</v>
      </c>
      <c r="B5" s="1" t="s">
        <v>0</v>
      </c>
      <c r="C5" s="1" t="s">
        <v>0</v>
      </c>
      <c r="D5" s="1" t="s">
        <v>0</v>
      </c>
      <c r="E5" s="1" t="s">
        <v>0</v>
      </c>
      <c r="F5" s="2" t="s">
        <v>0</v>
      </c>
      <c r="G5" s="2" t="s">
        <v>0</v>
      </c>
      <c r="H5" s="2" t="s">
        <v>0</v>
      </c>
      <c r="I5" s="3" t="s">
        <v>0</v>
      </c>
      <c r="J5" s="147"/>
      <c r="K5" s="120" t="s">
        <v>115</v>
      </c>
      <c r="L5" s="149">
        <v>141.06</v>
      </c>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row>
    <row r="6" spans="1:247" ht="13.9" customHeight="1" x14ac:dyDescent="0.25">
      <c r="A6" s="185" t="s">
        <v>15</v>
      </c>
      <c r="B6" s="4"/>
      <c r="C6" s="4"/>
      <c r="D6" s="4"/>
      <c r="E6" s="4"/>
      <c r="F6" s="5"/>
      <c r="G6" s="5"/>
      <c r="H6" s="5"/>
      <c r="I6" s="6"/>
      <c r="J6" s="147"/>
      <c r="K6" s="120" t="s">
        <v>116</v>
      </c>
      <c r="L6" s="149">
        <v>120.27</v>
      </c>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row>
    <row r="7" spans="1:247" ht="28.5" customHeight="1" x14ac:dyDescent="0.25">
      <c r="A7" s="191" t="s">
        <v>16</v>
      </c>
      <c r="B7" s="7">
        <v>1</v>
      </c>
      <c r="C7" s="1">
        <v>1</v>
      </c>
      <c r="D7" s="7">
        <f>B7*C7</f>
        <v>1</v>
      </c>
      <c r="E7" s="98">
        <f>E19</f>
        <v>116</v>
      </c>
      <c r="F7" s="137">
        <f>D7*E7</f>
        <v>116</v>
      </c>
      <c r="G7" s="137">
        <f>F7*0.05</f>
        <v>5.8000000000000007</v>
      </c>
      <c r="H7" s="137">
        <f>F7*0.1</f>
        <v>11.600000000000001</v>
      </c>
      <c r="I7" s="3">
        <f>F7*L$6+G7*L$5+H7*L$7</f>
        <v>15450.04</v>
      </c>
      <c r="J7" s="147"/>
      <c r="K7" s="120" t="s">
        <v>117</v>
      </c>
      <c r="L7" s="152">
        <v>58.67</v>
      </c>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row>
    <row r="8" spans="1:247" ht="13.9" customHeight="1" x14ac:dyDescent="0.25">
      <c r="A8" s="191" t="s">
        <v>17</v>
      </c>
      <c r="B8" s="8"/>
      <c r="C8" s="63"/>
      <c r="D8" s="8"/>
      <c r="E8" s="8"/>
      <c r="F8" s="8"/>
      <c r="G8" s="8"/>
      <c r="H8" s="8"/>
      <c r="I8" s="80"/>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row>
    <row r="9" spans="1:247" ht="13.9" customHeight="1" x14ac:dyDescent="0.25">
      <c r="A9" s="196" t="s">
        <v>61</v>
      </c>
      <c r="B9" s="7">
        <v>24</v>
      </c>
      <c r="C9" s="64">
        <v>1</v>
      </c>
      <c r="D9" s="65">
        <f>B9*C9</f>
        <v>24</v>
      </c>
      <c r="E9" s="1">
        <v>0</v>
      </c>
      <c r="F9" s="9">
        <f>D9*E9</f>
        <v>0</v>
      </c>
      <c r="G9" s="9">
        <f>F9*0.05</f>
        <v>0</v>
      </c>
      <c r="H9" s="9">
        <f>F9*0.1</f>
        <v>0</v>
      </c>
      <c r="I9" s="58">
        <f>F9*L$6+G9*L$5+H9*L$7</f>
        <v>0</v>
      </c>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row>
    <row r="10" spans="1:247" ht="13.9" customHeight="1" x14ac:dyDescent="0.25">
      <c r="A10" s="196" t="s">
        <v>63</v>
      </c>
      <c r="B10" s="11">
        <v>24</v>
      </c>
      <c r="C10" s="64">
        <v>1</v>
      </c>
      <c r="D10" s="66">
        <f>B10*C10</f>
        <v>24</v>
      </c>
      <c r="E10" s="12">
        <v>0</v>
      </c>
      <c r="F10" s="17">
        <f>D10*E10</f>
        <v>0</v>
      </c>
      <c r="G10" s="17">
        <f>F10*0.05</f>
        <v>0</v>
      </c>
      <c r="H10" s="17">
        <f>F10*0.1</f>
        <v>0</v>
      </c>
      <c r="I10" s="58">
        <f>F10*L$6+G10*L$5+H10*L$7</f>
        <v>0</v>
      </c>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row>
    <row r="11" spans="1:247" ht="13.9" customHeight="1" x14ac:dyDescent="0.25">
      <c r="A11" s="191" t="s">
        <v>19</v>
      </c>
      <c r="B11" s="67" t="s">
        <v>31</v>
      </c>
      <c r="C11" s="68"/>
      <c r="D11" s="68"/>
      <c r="E11" s="68"/>
      <c r="F11" s="68"/>
      <c r="G11" s="68"/>
      <c r="H11" s="68"/>
      <c r="I11" s="81"/>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row>
    <row r="12" spans="1:247" ht="13.9" customHeight="1" x14ac:dyDescent="0.25">
      <c r="A12" s="191" t="s">
        <v>62</v>
      </c>
      <c r="B12" s="67" t="s">
        <v>32</v>
      </c>
      <c r="C12" s="68"/>
      <c r="D12" s="68"/>
      <c r="E12" s="68"/>
      <c r="F12" s="68"/>
      <c r="G12" s="68"/>
      <c r="H12" s="68"/>
      <c r="I12" s="59"/>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row>
    <row r="13" spans="1:247" ht="13.9" customHeight="1" x14ac:dyDescent="0.25">
      <c r="A13" s="191" t="s">
        <v>20</v>
      </c>
      <c r="B13" s="69"/>
      <c r="C13" s="70"/>
      <c r="D13" s="70"/>
      <c r="E13" s="70"/>
      <c r="F13" s="70"/>
      <c r="G13" s="70"/>
      <c r="H13" s="70"/>
      <c r="I13" s="82"/>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row>
    <row r="14" spans="1:247" ht="29.25" customHeight="1" x14ac:dyDescent="0.25">
      <c r="A14" s="197" t="s">
        <v>91</v>
      </c>
      <c r="B14" s="28">
        <v>2</v>
      </c>
      <c r="C14" s="64">
        <v>1</v>
      </c>
      <c r="D14" s="71">
        <f>B14*C14</f>
        <v>2</v>
      </c>
      <c r="E14" s="22">
        <v>0</v>
      </c>
      <c r="F14" s="21">
        <f>D14*E14</f>
        <v>0</v>
      </c>
      <c r="G14" s="21">
        <f>F14*0.05</f>
        <v>0</v>
      </c>
      <c r="H14" s="21">
        <f>F14*0.1</f>
        <v>0</v>
      </c>
      <c r="I14" s="58">
        <f>F14*L$6+G14*L$5+H14*L$7</f>
        <v>0</v>
      </c>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row>
    <row r="15" spans="1:247" ht="20.25" customHeight="1" x14ac:dyDescent="0.25">
      <c r="A15" s="197" t="s">
        <v>92</v>
      </c>
      <c r="B15" s="11">
        <v>2</v>
      </c>
      <c r="C15" s="27">
        <v>1</v>
      </c>
      <c r="D15" s="7">
        <f>B15*C15</f>
        <v>2</v>
      </c>
      <c r="E15" s="1">
        <v>0</v>
      </c>
      <c r="F15" s="2">
        <f>D15*E15</f>
        <v>0</v>
      </c>
      <c r="G15" s="2">
        <f>F15*0.05</f>
        <v>0</v>
      </c>
      <c r="H15" s="2">
        <f>F15*0.1</f>
        <v>0</v>
      </c>
      <c r="I15" s="58">
        <f>F15*L$6+G15*L$5+H15*L$7</f>
        <v>0</v>
      </c>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row>
    <row r="16" spans="1:247" ht="20.25" customHeight="1" x14ac:dyDescent="0.25">
      <c r="A16" s="197" t="s">
        <v>101</v>
      </c>
      <c r="B16" s="11">
        <v>2</v>
      </c>
      <c r="C16" s="1">
        <v>1</v>
      </c>
      <c r="D16" s="7">
        <f>B16*C16</f>
        <v>2</v>
      </c>
      <c r="E16" s="1">
        <v>0</v>
      </c>
      <c r="F16" s="2">
        <f>D16*E16</f>
        <v>0</v>
      </c>
      <c r="G16" s="2">
        <f>F16*0.05</f>
        <v>0</v>
      </c>
      <c r="H16" s="2">
        <f>F16*0.1</f>
        <v>0</v>
      </c>
      <c r="I16" s="58">
        <f>F16*L$6+G16*L$5+H16*L$7</f>
        <v>0</v>
      </c>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row>
    <row r="17" spans="1:247" ht="24" customHeight="1" x14ac:dyDescent="0.25">
      <c r="A17" s="196" t="s">
        <v>94</v>
      </c>
      <c r="B17" s="11">
        <v>2</v>
      </c>
      <c r="C17" s="12">
        <v>1</v>
      </c>
      <c r="D17" s="11">
        <f t="shared" ref="D17" si="0">B17*C17</f>
        <v>2</v>
      </c>
      <c r="E17" s="12">
        <v>0</v>
      </c>
      <c r="F17" s="13">
        <f t="shared" ref="F17" si="1">D17*E17</f>
        <v>0</v>
      </c>
      <c r="G17" s="13">
        <f t="shared" ref="G17" si="2">F17*0.05</f>
        <v>0</v>
      </c>
      <c r="H17" s="13">
        <f t="shared" ref="H17" si="3">F17*0.1</f>
        <v>0</v>
      </c>
      <c r="I17" s="58">
        <f>F17*L$6+G17*L$5+H17*L$7</f>
        <v>0</v>
      </c>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row>
    <row r="18" spans="1:247" ht="13.9" customHeight="1" x14ac:dyDescent="0.25">
      <c r="A18" s="197" t="s">
        <v>21</v>
      </c>
      <c r="B18" s="72" t="s">
        <v>31</v>
      </c>
      <c r="C18" s="68"/>
      <c r="D18" s="68"/>
      <c r="E18" s="68"/>
      <c r="F18" s="68"/>
      <c r="G18" s="68"/>
      <c r="H18" s="68"/>
      <c r="I18" s="16"/>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row>
    <row r="19" spans="1:247" ht="17.25" customHeight="1" x14ac:dyDescent="0.25">
      <c r="A19" s="197" t="s">
        <v>133</v>
      </c>
      <c r="B19" s="73">
        <v>30</v>
      </c>
      <c r="C19" s="74">
        <v>2</v>
      </c>
      <c r="D19" s="73">
        <f>B19*C19</f>
        <v>60</v>
      </c>
      <c r="E19" s="74">
        <v>116</v>
      </c>
      <c r="F19" s="140">
        <f>D19*E19</f>
        <v>6960</v>
      </c>
      <c r="G19" s="23">
        <f>F19*0.05</f>
        <v>348</v>
      </c>
      <c r="H19" s="23">
        <f>F19*0.1</f>
        <v>696</v>
      </c>
      <c r="I19" s="3">
        <f>F19*L$6+G19*L$5+H19*L$7</f>
        <v>927002.39999999991</v>
      </c>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row>
    <row r="20" spans="1:247" ht="13.9" customHeight="1" x14ac:dyDescent="0.25">
      <c r="A20" s="186" t="s">
        <v>22</v>
      </c>
      <c r="B20" s="154"/>
      <c r="C20" s="154"/>
      <c r="D20" s="154"/>
      <c r="E20" s="154"/>
      <c r="F20" s="205">
        <f>SUM(F7:H19)</f>
        <v>8137.4</v>
      </c>
      <c r="G20" s="206"/>
      <c r="H20" s="207"/>
      <c r="I20" s="155">
        <f>SUM(I7:I19)</f>
        <v>942452.44</v>
      </c>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row>
    <row r="21" spans="1:247" ht="13.5" customHeight="1" x14ac:dyDescent="0.25">
      <c r="A21" s="185" t="s">
        <v>23</v>
      </c>
      <c r="B21" s="19"/>
      <c r="C21" s="19"/>
      <c r="D21" s="19"/>
      <c r="E21" s="19"/>
      <c r="F21" s="20"/>
      <c r="G21" s="20"/>
      <c r="H21" s="20"/>
      <c r="I21" s="6"/>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row>
    <row r="22" spans="1:247" ht="25.5" customHeight="1" x14ac:dyDescent="0.25">
      <c r="A22" s="192" t="s">
        <v>16</v>
      </c>
      <c r="B22" s="72" t="s">
        <v>33</v>
      </c>
      <c r="C22" s="68"/>
      <c r="D22" s="68"/>
      <c r="E22" s="68"/>
      <c r="F22" s="68"/>
      <c r="G22" s="68"/>
      <c r="H22" s="68"/>
      <c r="I22" s="18"/>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row>
    <row r="23" spans="1:247" ht="13.9" customHeight="1" x14ac:dyDescent="0.25">
      <c r="A23" s="191" t="s">
        <v>24</v>
      </c>
      <c r="B23" s="72" t="s">
        <v>31</v>
      </c>
      <c r="C23" s="68"/>
      <c r="D23" s="68"/>
      <c r="E23" s="68"/>
      <c r="F23" s="68"/>
      <c r="G23" s="68"/>
      <c r="H23" s="68"/>
      <c r="I23" s="18"/>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row>
    <row r="24" spans="1:247" ht="13.9" customHeight="1" x14ac:dyDescent="0.25">
      <c r="A24" s="191" t="s">
        <v>25</v>
      </c>
      <c r="B24" s="72" t="s">
        <v>31</v>
      </c>
      <c r="C24" s="68"/>
      <c r="D24" s="68"/>
      <c r="E24" s="68"/>
      <c r="F24" s="68"/>
      <c r="G24" s="68"/>
      <c r="H24" s="68"/>
      <c r="I24" s="18"/>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row>
    <row r="25" spans="1:247" ht="13.9" customHeight="1" x14ac:dyDescent="0.25">
      <c r="A25" s="191" t="s">
        <v>26</v>
      </c>
      <c r="B25" s="64" t="s">
        <v>0</v>
      </c>
      <c r="C25" s="64" t="s">
        <v>0</v>
      </c>
      <c r="D25" s="64" t="s">
        <v>0</v>
      </c>
      <c r="E25" s="64" t="s">
        <v>0</v>
      </c>
      <c r="F25" s="64" t="s">
        <v>0</v>
      </c>
      <c r="G25" s="64" t="s">
        <v>0</v>
      </c>
      <c r="H25" s="64" t="s">
        <v>0</v>
      </c>
      <c r="I25" s="24" t="s">
        <v>0</v>
      </c>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row>
    <row r="26" spans="1:247" ht="13.9" customHeight="1" x14ac:dyDescent="0.25">
      <c r="A26" s="193" t="s">
        <v>27</v>
      </c>
      <c r="B26" s="25"/>
      <c r="C26" s="25"/>
      <c r="D26" s="25"/>
      <c r="E26" s="25"/>
      <c r="F26" s="26"/>
      <c r="G26" s="26"/>
      <c r="H26" s="26"/>
      <c r="I26" s="6"/>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row>
    <row r="27" spans="1:247" x14ac:dyDescent="0.25">
      <c r="A27" s="196" t="s">
        <v>132</v>
      </c>
      <c r="B27" s="139">
        <v>2.5</v>
      </c>
      <c r="C27" s="7">
        <v>365</v>
      </c>
      <c r="D27" s="79">
        <f>C27*B27</f>
        <v>912.5</v>
      </c>
      <c r="E27" s="7">
        <v>116</v>
      </c>
      <c r="F27" s="141">
        <f>D27*E27</f>
        <v>105850</v>
      </c>
      <c r="G27" s="142">
        <f>F27*0.05</f>
        <v>5292.5</v>
      </c>
      <c r="H27" s="143">
        <f>F27*0.1</f>
        <v>10585</v>
      </c>
      <c r="I27" s="3">
        <f>F27*L$6+G27*L$5+H27*L$7</f>
        <v>14098161.5</v>
      </c>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row>
    <row r="28" spans="1:247" ht="13.9" customHeight="1" x14ac:dyDescent="0.25">
      <c r="A28" s="194" t="s">
        <v>28</v>
      </c>
      <c r="B28" s="13" t="s">
        <v>0</v>
      </c>
      <c r="C28" s="12" t="s">
        <v>0</v>
      </c>
      <c r="D28" s="12" t="s">
        <v>0</v>
      </c>
      <c r="E28" s="12" t="s">
        <v>0</v>
      </c>
      <c r="F28" s="13" t="s">
        <v>0</v>
      </c>
      <c r="G28" s="2" t="s">
        <v>0</v>
      </c>
      <c r="H28" s="2" t="s">
        <v>0</v>
      </c>
      <c r="I28" s="3" t="s">
        <v>0</v>
      </c>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row>
    <row r="29" spans="1:247" ht="13.9" customHeight="1" x14ac:dyDescent="0.25">
      <c r="A29" s="195" t="s">
        <v>29</v>
      </c>
      <c r="B29" s="13" t="s">
        <v>0</v>
      </c>
      <c r="C29" s="12" t="s">
        <v>0</v>
      </c>
      <c r="D29" s="12" t="s">
        <v>0</v>
      </c>
      <c r="E29" s="12" t="s">
        <v>0</v>
      </c>
      <c r="F29" s="13" t="s">
        <v>0</v>
      </c>
      <c r="G29" s="2" t="s">
        <v>0</v>
      </c>
      <c r="H29" s="2" t="s">
        <v>0</v>
      </c>
      <c r="I29" s="3" t="s">
        <v>0</v>
      </c>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c r="IK29" s="147"/>
      <c r="IL29" s="147"/>
      <c r="IM29" s="147"/>
    </row>
    <row r="30" spans="1:247" ht="13.9" customHeight="1" x14ac:dyDescent="0.25">
      <c r="A30" s="187" t="s">
        <v>30</v>
      </c>
      <c r="B30" s="9"/>
      <c r="C30" s="9"/>
      <c r="D30" s="9"/>
      <c r="E30" s="10"/>
      <c r="F30" s="208">
        <f>SUM(F21:H29)</f>
        <v>121727.5</v>
      </c>
      <c r="G30" s="209"/>
      <c r="H30" s="210"/>
      <c r="I30" s="34">
        <f>SUM(I23:I29)</f>
        <v>14098161.5</v>
      </c>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c r="HK30" s="147"/>
      <c r="HL30" s="147"/>
      <c r="HM30" s="147"/>
      <c r="HN30" s="147"/>
      <c r="HO30" s="147"/>
      <c r="HP30" s="147"/>
      <c r="HQ30" s="147"/>
      <c r="HR30" s="147"/>
      <c r="HS30" s="147"/>
      <c r="HT30" s="147"/>
      <c r="HU30" s="147"/>
      <c r="HV30" s="147"/>
      <c r="HW30" s="147"/>
      <c r="HX30" s="147"/>
      <c r="HY30" s="147"/>
      <c r="HZ30" s="147"/>
      <c r="IA30" s="147"/>
      <c r="IB30" s="147"/>
      <c r="IC30" s="147"/>
      <c r="ID30" s="147"/>
      <c r="IE30" s="147"/>
      <c r="IF30" s="147"/>
      <c r="IG30" s="147"/>
      <c r="IH30" s="147"/>
      <c r="II30" s="147"/>
      <c r="IJ30" s="147"/>
      <c r="IK30" s="147"/>
      <c r="IL30" s="147"/>
      <c r="IM30" s="147"/>
    </row>
    <row r="31" spans="1:247" ht="16.5" x14ac:dyDescent="0.25">
      <c r="A31" s="188" t="s">
        <v>130</v>
      </c>
      <c r="B31" s="87"/>
      <c r="C31" s="35"/>
      <c r="D31" s="36"/>
      <c r="E31" s="37"/>
      <c r="F31" s="211">
        <f>ROUND(SUM(F30,F20),-3)</f>
        <v>130000</v>
      </c>
      <c r="G31" s="212"/>
      <c r="H31" s="213"/>
      <c r="I31" s="75">
        <f>ROUND(I30+I20,-5)</f>
        <v>15000000</v>
      </c>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c r="IK31" s="147"/>
      <c r="IL31" s="147"/>
      <c r="IM31" s="147"/>
    </row>
    <row r="32" spans="1:247" x14ac:dyDescent="0.25">
      <c r="A32" s="189" t="s">
        <v>120</v>
      </c>
      <c r="B32" s="88"/>
      <c r="C32" s="76"/>
      <c r="D32" s="76"/>
      <c r="E32" s="76"/>
      <c r="F32" s="77"/>
      <c r="G32" s="78"/>
      <c r="H32" s="76"/>
      <c r="I32" s="90">
        <v>0</v>
      </c>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7"/>
      <c r="HF32" s="147"/>
      <c r="HG32" s="147"/>
      <c r="HH32" s="147"/>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7"/>
      <c r="IJ32" s="147"/>
      <c r="IK32" s="147"/>
      <c r="IL32" s="147"/>
      <c r="IM32" s="147"/>
    </row>
    <row r="33" spans="1:247" ht="16.5" x14ac:dyDescent="0.25">
      <c r="A33" s="190" t="s">
        <v>123</v>
      </c>
      <c r="B33" s="89"/>
      <c r="C33" s="83"/>
      <c r="D33" s="83"/>
      <c r="E33" s="84"/>
      <c r="F33" s="214">
        <f>F31</f>
        <v>130000</v>
      </c>
      <c r="G33" s="215"/>
      <c r="H33" s="216"/>
      <c r="I33" s="85">
        <f>SUM(I31:I32)</f>
        <v>15000000</v>
      </c>
      <c r="J33" s="145"/>
      <c r="K33" s="117"/>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c r="IF33" s="145"/>
      <c r="IG33" s="145"/>
      <c r="IH33" s="145"/>
      <c r="II33" s="145"/>
      <c r="IJ33" s="145"/>
      <c r="IK33" s="145"/>
      <c r="IL33" s="145"/>
      <c r="IM33" s="145"/>
    </row>
    <row r="34" spans="1:247" ht="15" customHeight="1" x14ac:dyDescent="0.25">
      <c r="A34" s="204"/>
      <c r="B34" s="204"/>
      <c r="C34" s="204"/>
      <c r="D34" s="204"/>
      <c r="E34" s="204"/>
      <c r="F34" s="204"/>
      <c r="G34" s="204"/>
      <c r="H34" s="204"/>
      <c r="I34" s="204"/>
    </row>
    <row r="35" spans="1:247" x14ac:dyDescent="0.25">
      <c r="A35" s="156" t="s">
        <v>1</v>
      </c>
      <c r="B35" s="60"/>
      <c r="C35" s="60"/>
      <c r="D35" s="60"/>
      <c r="E35" s="60"/>
      <c r="F35" s="60"/>
      <c r="H35" s="61"/>
      <c r="J35" s="60"/>
      <c r="K35" s="60"/>
      <c r="L35" s="60"/>
    </row>
    <row r="36" spans="1:247" ht="45" customHeight="1" x14ac:dyDescent="0.25">
      <c r="A36" s="202" t="s">
        <v>125</v>
      </c>
      <c r="B36" s="202"/>
      <c r="C36" s="202"/>
      <c r="D36" s="202"/>
      <c r="E36" s="202"/>
      <c r="F36" s="202"/>
      <c r="G36" s="202"/>
      <c r="H36" s="202"/>
      <c r="I36" s="202"/>
      <c r="J36" s="129"/>
      <c r="K36" s="129"/>
      <c r="L36" s="129"/>
    </row>
    <row r="37" spans="1:247" ht="40.5" customHeight="1" x14ac:dyDescent="0.25">
      <c r="A37" s="217" t="s">
        <v>118</v>
      </c>
      <c r="B37" s="217"/>
      <c r="C37" s="217"/>
      <c r="D37" s="217"/>
      <c r="E37" s="217"/>
      <c r="F37" s="217"/>
      <c r="G37" s="217"/>
      <c r="H37" s="217"/>
      <c r="I37" s="217"/>
      <c r="J37" s="86"/>
      <c r="K37" s="86"/>
      <c r="L37" s="86"/>
    </row>
    <row r="38" spans="1:247" x14ac:dyDescent="0.25">
      <c r="A38" s="218" t="s">
        <v>64</v>
      </c>
      <c r="B38" s="218"/>
      <c r="C38" s="218"/>
      <c r="D38" s="218"/>
      <c r="E38" s="218"/>
      <c r="F38" s="218"/>
      <c r="G38" s="218"/>
      <c r="H38" s="218"/>
      <c r="I38" s="218"/>
      <c r="J38" s="32"/>
      <c r="K38" s="32"/>
      <c r="L38" s="32"/>
    </row>
    <row r="39" spans="1:247" x14ac:dyDescent="0.25">
      <c r="A39" s="203" t="s">
        <v>136</v>
      </c>
      <c r="B39" s="203"/>
      <c r="C39" s="203"/>
      <c r="D39" s="203"/>
      <c r="E39" s="203"/>
      <c r="F39" s="203"/>
      <c r="G39" s="203"/>
      <c r="H39" s="203"/>
      <c r="I39" s="203"/>
      <c r="J39" s="32"/>
      <c r="K39" s="32"/>
      <c r="L39" s="32"/>
    </row>
    <row r="40" spans="1:247" ht="30.75" customHeight="1" x14ac:dyDescent="0.25">
      <c r="A40" s="202" t="s">
        <v>103</v>
      </c>
      <c r="B40" s="202"/>
      <c r="C40" s="202"/>
      <c r="D40" s="202"/>
      <c r="E40" s="202"/>
      <c r="F40" s="202"/>
      <c r="G40" s="202"/>
      <c r="H40" s="202"/>
      <c r="I40" s="202"/>
      <c r="J40" s="32"/>
      <c r="K40" s="32"/>
      <c r="L40" s="32"/>
    </row>
    <row r="41" spans="1:247" ht="29.25" customHeight="1" x14ac:dyDescent="0.25">
      <c r="A41" s="202" t="s">
        <v>102</v>
      </c>
      <c r="B41" s="202"/>
      <c r="C41" s="202"/>
      <c r="D41" s="202"/>
      <c r="E41" s="202"/>
      <c r="F41" s="202"/>
      <c r="G41" s="202"/>
      <c r="H41" s="202"/>
      <c r="I41" s="202"/>
      <c r="J41" s="32"/>
      <c r="K41" s="32"/>
      <c r="L41" s="32"/>
    </row>
    <row r="42" spans="1:247" ht="57" customHeight="1" x14ac:dyDescent="0.25">
      <c r="A42" s="202" t="s">
        <v>104</v>
      </c>
      <c r="B42" s="202"/>
      <c r="C42" s="202"/>
      <c r="D42" s="202"/>
      <c r="E42" s="202"/>
      <c r="F42" s="202"/>
      <c r="G42" s="202"/>
      <c r="H42" s="202"/>
      <c r="I42" s="202"/>
      <c r="J42" s="32"/>
      <c r="K42" s="32"/>
      <c r="L42" s="32"/>
    </row>
    <row r="43" spans="1:247" ht="15.75" customHeight="1" x14ac:dyDescent="0.25">
      <c r="A43" s="203" t="s">
        <v>100</v>
      </c>
      <c r="B43" s="203"/>
      <c r="C43" s="203"/>
      <c r="D43" s="203"/>
      <c r="E43" s="203"/>
      <c r="F43" s="203"/>
      <c r="G43" s="203"/>
      <c r="H43" s="203"/>
      <c r="I43" s="203"/>
      <c r="J43" s="129"/>
      <c r="K43" s="129"/>
      <c r="L43" s="129"/>
    </row>
    <row r="44" spans="1:247" ht="42" customHeight="1" x14ac:dyDescent="0.25">
      <c r="A44" s="146"/>
      <c r="B44" s="146"/>
      <c r="C44" s="146"/>
      <c r="D44" s="146"/>
      <c r="E44" s="146"/>
      <c r="F44" s="146"/>
      <c r="G44" s="146"/>
      <c r="H44" s="146"/>
      <c r="I44" s="146"/>
      <c r="J44" s="129"/>
      <c r="K44" s="129"/>
      <c r="L44" s="129"/>
    </row>
    <row r="45" spans="1:247" ht="15.75" customHeight="1" x14ac:dyDescent="0.25">
      <c r="A45" s="146"/>
      <c r="B45" s="146"/>
      <c r="C45" s="146"/>
      <c r="D45" s="146"/>
      <c r="E45" s="146"/>
      <c r="F45" s="146"/>
      <c r="G45" s="146"/>
      <c r="H45" s="146"/>
      <c r="I45" s="146"/>
      <c r="J45" s="129"/>
      <c r="K45" s="129"/>
      <c r="L45" s="129"/>
    </row>
    <row r="46" spans="1:247" ht="30" customHeight="1" x14ac:dyDescent="0.25">
      <c r="A46" s="146"/>
      <c r="B46" s="146"/>
      <c r="C46" s="146"/>
      <c r="D46" s="146"/>
      <c r="E46" s="146"/>
      <c r="F46" s="146"/>
      <c r="G46" s="146"/>
      <c r="H46" s="146"/>
      <c r="I46" s="146"/>
      <c r="J46" s="86"/>
      <c r="K46" s="86"/>
      <c r="L46" s="86"/>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row>
    <row r="47" spans="1:247" x14ac:dyDescent="0.25">
      <c r="A47" s="146"/>
      <c r="B47" s="146"/>
      <c r="C47" s="146"/>
      <c r="D47" s="146"/>
      <c r="E47" s="146"/>
      <c r="F47" s="146"/>
      <c r="G47" s="146"/>
      <c r="H47" s="146"/>
      <c r="I47" s="146"/>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row>
    <row r="48" spans="1:247" x14ac:dyDescent="0.25">
      <c r="A48" s="146"/>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row>
    <row r="49" spans="10:247" x14ac:dyDescent="0.25">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47"/>
      <c r="ID49" s="147"/>
      <c r="IE49" s="147"/>
      <c r="IF49" s="147"/>
      <c r="IG49" s="147"/>
      <c r="IH49" s="147"/>
      <c r="II49" s="147"/>
      <c r="IJ49" s="147"/>
      <c r="IK49" s="147"/>
      <c r="IL49" s="147"/>
      <c r="IM49" s="147"/>
    </row>
    <row r="50" spans="10:247" ht="13.9" customHeight="1" x14ac:dyDescent="0.25">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c r="HK50" s="147"/>
      <c r="HL50" s="147"/>
      <c r="HM50" s="147"/>
      <c r="HN50" s="147"/>
      <c r="HO50" s="147"/>
      <c r="HP50" s="147"/>
      <c r="HQ50" s="147"/>
      <c r="HR50" s="147"/>
      <c r="HS50" s="147"/>
      <c r="HT50" s="147"/>
      <c r="HU50" s="147"/>
      <c r="HV50" s="147"/>
      <c r="HW50" s="147"/>
      <c r="HX50" s="147"/>
      <c r="HY50" s="147"/>
      <c r="HZ50" s="147"/>
      <c r="IA50" s="147"/>
      <c r="IB50" s="147"/>
      <c r="IC50" s="147"/>
      <c r="ID50" s="147"/>
      <c r="IE50" s="147"/>
      <c r="IF50" s="147"/>
      <c r="IG50" s="147"/>
      <c r="IH50" s="147"/>
      <c r="II50" s="147"/>
      <c r="IJ50" s="147"/>
      <c r="IK50" s="147"/>
      <c r="IL50" s="147"/>
      <c r="IM50" s="147"/>
    </row>
    <row r="51" spans="10:247" ht="13.9" customHeight="1" x14ac:dyDescent="0.25">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147"/>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row>
    <row r="52" spans="10:247" ht="13.9" customHeight="1" x14ac:dyDescent="0.25">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147"/>
      <c r="GT52" s="147"/>
      <c r="GU52" s="147"/>
      <c r="GV52" s="147"/>
      <c r="GW52" s="147"/>
      <c r="GX52" s="147"/>
      <c r="GY52" s="147"/>
      <c r="GZ52" s="147"/>
      <c r="HA52" s="147"/>
      <c r="HB52" s="147"/>
      <c r="HC52" s="147"/>
      <c r="HD52" s="147"/>
      <c r="HE52" s="147"/>
      <c r="HF52" s="147"/>
      <c r="HG52" s="147"/>
      <c r="HH52" s="147"/>
      <c r="HI52" s="147"/>
      <c r="HJ52" s="147"/>
      <c r="HK52" s="147"/>
      <c r="HL52" s="147"/>
      <c r="HM52" s="147"/>
      <c r="HN52" s="147"/>
      <c r="HO52" s="147"/>
      <c r="HP52" s="147"/>
      <c r="HQ52" s="147"/>
      <c r="HR52" s="147"/>
      <c r="HS52" s="147"/>
      <c r="HT52" s="147"/>
      <c r="HU52" s="147"/>
      <c r="HV52" s="147"/>
      <c r="HW52" s="147"/>
      <c r="HX52" s="147"/>
      <c r="HY52" s="147"/>
      <c r="HZ52" s="147"/>
      <c r="IA52" s="147"/>
      <c r="IB52" s="147"/>
      <c r="IC52" s="147"/>
      <c r="ID52" s="147"/>
      <c r="IE52" s="147"/>
      <c r="IF52" s="147"/>
      <c r="IG52" s="147"/>
      <c r="IH52" s="147"/>
      <c r="II52" s="147"/>
      <c r="IJ52" s="147"/>
      <c r="IK52" s="147"/>
      <c r="IL52" s="147"/>
      <c r="IM52" s="147"/>
    </row>
    <row r="53" spans="10:247" ht="13.9" customHeight="1" x14ac:dyDescent="0.25">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row>
    <row r="54" spans="10:247" ht="13.9" customHeight="1" x14ac:dyDescent="0.25">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7"/>
      <c r="HD54" s="147"/>
      <c r="HE54" s="147"/>
      <c r="HF54" s="147"/>
      <c r="HG54" s="147"/>
      <c r="HH54" s="147"/>
      <c r="HI54" s="147"/>
      <c r="HJ54" s="147"/>
      <c r="HK54" s="147"/>
      <c r="HL54" s="147"/>
      <c r="HM54" s="147"/>
      <c r="HN54" s="147"/>
      <c r="HO54" s="147"/>
      <c r="HP54" s="147"/>
      <c r="HQ54" s="147"/>
      <c r="HR54" s="147"/>
      <c r="HS54" s="147"/>
      <c r="HT54" s="147"/>
      <c r="HU54" s="147"/>
      <c r="HV54" s="147"/>
      <c r="HW54" s="147"/>
      <c r="HX54" s="147"/>
      <c r="HY54" s="147"/>
      <c r="HZ54" s="147"/>
      <c r="IA54" s="147"/>
      <c r="IB54" s="147"/>
      <c r="IC54" s="147"/>
      <c r="ID54" s="147"/>
      <c r="IE54" s="147"/>
      <c r="IF54" s="147"/>
      <c r="IG54" s="147"/>
      <c r="IH54" s="147"/>
      <c r="II54" s="147"/>
      <c r="IJ54" s="147"/>
      <c r="IK54" s="147"/>
      <c r="IL54" s="147"/>
      <c r="IM54" s="147"/>
    </row>
    <row r="55" spans="10:247" ht="13.9" customHeight="1" x14ac:dyDescent="0.25">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7"/>
      <c r="HD55" s="147"/>
      <c r="HE55" s="147"/>
      <c r="HF55" s="147"/>
      <c r="HG55" s="147"/>
      <c r="HH55" s="147"/>
      <c r="HI55" s="147"/>
      <c r="HJ55" s="147"/>
      <c r="HK55" s="147"/>
      <c r="HL55" s="147"/>
      <c r="HM55" s="147"/>
      <c r="HN55" s="147"/>
      <c r="HO55" s="147"/>
      <c r="HP55" s="147"/>
      <c r="HQ55" s="147"/>
      <c r="HR55" s="147"/>
      <c r="HS55" s="147"/>
      <c r="HT55" s="147"/>
      <c r="HU55" s="147"/>
      <c r="HV55" s="147"/>
      <c r="HW55" s="147"/>
      <c r="HX55" s="147"/>
      <c r="HY55" s="147"/>
      <c r="HZ55" s="147"/>
      <c r="IA55" s="147"/>
      <c r="IB55" s="147"/>
      <c r="IC55" s="147"/>
      <c r="ID55" s="147"/>
      <c r="IE55" s="147"/>
      <c r="IF55" s="147"/>
      <c r="IG55" s="147"/>
      <c r="IH55" s="147"/>
      <c r="II55" s="147"/>
      <c r="IJ55" s="147"/>
      <c r="IK55" s="147"/>
      <c r="IL55" s="147"/>
      <c r="IM55" s="147"/>
    </row>
    <row r="56" spans="10:247" ht="13.9" customHeight="1" x14ac:dyDescent="0.25">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47"/>
      <c r="GJ56" s="147"/>
      <c r="GK56" s="147"/>
      <c r="GL56" s="147"/>
      <c r="GM56" s="147"/>
      <c r="GN56" s="147"/>
      <c r="GO56" s="147"/>
      <c r="GP56" s="147"/>
      <c r="GQ56" s="147"/>
      <c r="GR56" s="147"/>
      <c r="GS56" s="147"/>
      <c r="GT56" s="147"/>
      <c r="GU56" s="147"/>
      <c r="GV56" s="147"/>
      <c r="GW56" s="147"/>
      <c r="GX56" s="147"/>
      <c r="GY56" s="147"/>
      <c r="GZ56" s="147"/>
      <c r="HA56" s="147"/>
      <c r="HB56" s="147"/>
      <c r="HC56" s="147"/>
      <c r="HD56" s="147"/>
      <c r="HE56" s="147"/>
      <c r="HF56" s="147"/>
      <c r="HG56" s="147"/>
      <c r="HH56" s="147"/>
      <c r="HI56" s="147"/>
      <c r="HJ56" s="147"/>
      <c r="HK56" s="147"/>
      <c r="HL56" s="147"/>
      <c r="HM56" s="147"/>
      <c r="HN56" s="147"/>
      <c r="HO56" s="147"/>
      <c r="HP56" s="147"/>
      <c r="HQ56" s="147"/>
      <c r="HR56" s="147"/>
      <c r="HS56" s="147"/>
      <c r="HT56" s="147"/>
      <c r="HU56" s="147"/>
      <c r="HV56" s="147"/>
      <c r="HW56" s="147"/>
      <c r="HX56" s="147"/>
      <c r="HY56" s="147"/>
      <c r="HZ56" s="147"/>
      <c r="IA56" s="147"/>
      <c r="IB56" s="147"/>
      <c r="IC56" s="147"/>
      <c r="ID56" s="147"/>
      <c r="IE56" s="147"/>
      <c r="IF56" s="147"/>
      <c r="IG56" s="147"/>
      <c r="IH56" s="147"/>
      <c r="II56" s="147"/>
      <c r="IJ56" s="147"/>
      <c r="IK56" s="147"/>
      <c r="IL56" s="147"/>
      <c r="IM56" s="147"/>
    </row>
    <row r="57" spans="10:247" ht="13.9" customHeight="1" x14ac:dyDescent="0.25">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c r="FT57" s="147"/>
      <c r="FU57" s="147"/>
      <c r="FV57" s="147"/>
      <c r="FW57" s="147"/>
      <c r="FX57" s="147"/>
      <c r="FY57" s="147"/>
      <c r="FZ57" s="147"/>
      <c r="GA57" s="147"/>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7"/>
      <c r="HD57" s="147"/>
      <c r="HE57" s="147"/>
      <c r="HF57" s="147"/>
      <c r="HG57" s="147"/>
      <c r="HH57" s="147"/>
      <c r="HI57" s="147"/>
      <c r="HJ57" s="147"/>
      <c r="HK57" s="147"/>
      <c r="HL57" s="147"/>
      <c r="HM57" s="147"/>
      <c r="HN57" s="147"/>
      <c r="HO57" s="147"/>
      <c r="HP57" s="147"/>
      <c r="HQ57" s="147"/>
      <c r="HR57" s="147"/>
      <c r="HS57" s="147"/>
      <c r="HT57" s="147"/>
      <c r="HU57" s="147"/>
      <c r="HV57" s="147"/>
      <c r="HW57" s="147"/>
      <c r="HX57" s="147"/>
      <c r="HY57" s="147"/>
      <c r="HZ57" s="147"/>
      <c r="IA57" s="147"/>
      <c r="IB57" s="147"/>
      <c r="IC57" s="147"/>
      <c r="ID57" s="147"/>
      <c r="IE57" s="147"/>
      <c r="IF57" s="147"/>
      <c r="IG57" s="147"/>
      <c r="IH57" s="147"/>
      <c r="II57" s="147"/>
      <c r="IJ57" s="147"/>
      <c r="IK57" s="147"/>
      <c r="IL57" s="147"/>
      <c r="IM57" s="147"/>
    </row>
    <row r="58" spans="10:247" ht="13.9" customHeight="1" x14ac:dyDescent="0.25">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147"/>
      <c r="GT58" s="147"/>
      <c r="GU58" s="147"/>
      <c r="GV58" s="147"/>
      <c r="GW58" s="147"/>
      <c r="GX58" s="147"/>
      <c r="GY58" s="147"/>
      <c r="GZ58" s="147"/>
      <c r="HA58" s="147"/>
      <c r="HB58" s="147"/>
      <c r="HC58" s="147"/>
      <c r="HD58" s="147"/>
      <c r="HE58" s="147"/>
      <c r="HF58" s="147"/>
      <c r="HG58" s="147"/>
      <c r="HH58" s="147"/>
      <c r="HI58" s="147"/>
      <c r="HJ58" s="147"/>
      <c r="HK58" s="147"/>
      <c r="HL58" s="147"/>
      <c r="HM58" s="147"/>
      <c r="HN58" s="147"/>
      <c r="HO58" s="147"/>
      <c r="HP58" s="147"/>
      <c r="HQ58" s="147"/>
      <c r="HR58" s="147"/>
      <c r="HS58" s="147"/>
      <c r="HT58" s="147"/>
      <c r="HU58" s="147"/>
      <c r="HV58" s="147"/>
      <c r="HW58" s="147"/>
      <c r="HX58" s="147"/>
      <c r="HY58" s="147"/>
      <c r="HZ58" s="147"/>
      <c r="IA58" s="147"/>
      <c r="IB58" s="147"/>
      <c r="IC58" s="147"/>
      <c r="ID58" s="147"/>
      <c r="IE58" s="147"/>
      <c r="IF58" s="147"/>
      <c r="IG58" s="147"/>
      <c r="IH58" s="147"/>
      <c r="II58" s="147"/>
      <c r="IJ58" s="147"/>
      <c r="IK58" s="147"/>
      <c r="IL58" s="147"/>
      <c r="IM58" s="147"/>
    </row>
    <row r="59" spans="10:247" ht="13.9" customHeight="1" x14ac:dyDescent="0.25">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147"/>
      <c r="GT59" s="147"/>
      <c r="GU59" s="147"/>
      <c r="GV59" s="147"/>
      <c r="GW59" s="147"/>
      <c r="GX59" s="147"/>
      <c r="GY59" s="147"/>
      <c r="GZ59" s="147"/>
      <c r="HA59" s="147"/>
      <c r="HB59" s="147"/>
      <c r="HC59" s="147"/>
      <c r="HD59" s="147"/>
      <c r="HE59" s="147"/>
      <c r="HF59" s="147"/>
      <c r="HG59" s="147"/>
      <c r="HH59" s="147"/>
      <c r="HI59" s="147"/>
      <c r="HJ59" s="147"/>
      <c r="HK59" s="147"/>
      <c r="HL59" s="147"/>
      <c r="HM59" s="147"/>
      <c r="HN59" s="147"/>
      <c r="HO59" s="147"/>
      <c r="HP59" s="147"/>
      <c r="HQ59" s="147"/>
      <c r="HR59" s="147"/>
      <c r="HS59" s="147"/>
      <c r="HT59" s="147"/>
      <c r="HU59" s="147"/>
      <c r="HV59" s="147"/>
      <c r="HW59" s="147"/>
      <c r="HX59" s="147"/>
      <c r="HY59" s="147"/>
      <c r="HZ59" s="147"/>
      <c r="IA59" s="147"/>
      <c r="IB59" s="147"/>
      <c r="IC59" s="147"/>
      <c r="ID59" s="147"/>
      <c r="IE59" s="147"/>
      <c r="IF59" s="147"/>
      <c r="IG59" s="147"/>
      <c r="IH59" s="147"/>
      <c r="II59" s="147"/>
      <c r="IJ59" s="147"/>
      <c r="IK59" s="147"/>
      <c r="IL59" s="147"/>
      <c r="IM59" s="147"/>
    </row>
    <row r="60" spans="10:247" ht="13.9" customHeight="1" x14ac:dyDescent="0.25">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E60" s="147"/>
      <c r="GF60" s="147"/>
      <c r="GG60" s="147"/>
      <c r="GH60" s="147"/>
      <c r="GI60" s="147"/>
      <c r="GJ60" s="147"/>
      <c r="GK60" s="147"/>
      <c r="GL60" s="147"/>
      <c r="GM60" s="147"/>
      <c r="GN60" s="147"/>
      <c r="GO60" s="147"/>
      <c r="GP60" s="147"/>
      <c r="GQ60" s="147"/>
      <c r="GR60" s="147"/>
      <c r="GS60" s="147"/>
      <c r="GT60" s="147"/>
      <c r="GU60" s="147"/>
      <c r="GV60" s="147"/>
      <c r="GW60" s="147"/>
      <c r="GX60" s="147"/>
      <c r="GY60" s="147"/>
      <c r="GZ60" s="147"/>
      <c r="HA60" s="147"/>
      <c r="HB60" s="147"/>
      <c r="HC60" s="147"/>
      <c r="HD60" s="147"/>
      <c r="HE60" s="147"/>
      <c r="HF60" s="147"/>
      <c r="HG60" s="147"/>
      <c r="HH60" s="147"/>
      <c r="HI60" s="147"/>
      <c r="HJ60" s="147"/>
      <c r="HK60" s="147"/>
      <c r="HL60" s="147"/>
      <c r="HM60" s="147"/>
      <c r="HN60" s="147"/>
      <c r="HO60" s="147"/>
      <c r="HP60" s="147"/>
      <c r="HQ60" s="147"/>
      <c r="HR60" s="147"/>
      <c r="HS60" s="147"/>
      <c r="HT60" s="147"/>
      <c r="HU60" s="147"/>
      <c r="HV60" s="147"/>
      <c r="HW60" s="147"/>
      <c r="HX60" s="147"/>
      <c r="HY60" s="147"/>
      <c r="HZ60" s="147"/>
      <c r="IA60" s="147"/>
      <c r="IB60" s="147"/>
      <c r="IC60" s="147"/>
      <c r="ID60" s="147"/>
      <c r="IE60" s="147"/>
      <c r="IF60" s="147"/>
      <c r="IG60" s="147"/>
      <c r="IH60" s="147"/>
      <c r="II60" s="147"/>
      <c r="IJ60" s="147"/>
      <c r="IK60" s="147"/>
      <c r="IL60" s="147"/>
      <c r="IM60" s="147"/>
    </row>
    <row r="61" spans="10:247" ht="13.9" customHeight="1" x14ac:dyDescent="0.25">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7"/>
      <c r="HD61" s="147"/>
      <c r="HE61" s="147"/>
      <c r="HF61" s="147"/>
      <c r="HG61" s="147"/>
      <c r="HH61" s="147"/>
      <c r="HI61" s="147"/>
      <c r="HJ61" s="147"/>
      <c r="HK61" s="147"/>
      <c r="HL61" s="147"/>
      <c r="HM61" s="147"/>
      <c r="HN61" s="147"/>
      <c r="HO61" s="147"/>
      <c r="HP61" s="147"/>
      <c r="HQ61" s="147"/>
      <c r="HR61" s="147"/>
      <c r="HS61" s="147"/>
      <c r="HT61" s="147"/>
      <c r="HU61" s="147"/>
      <c r="HV61" s="147"/>
      <c r="HW61" s="147"/>
      <c r="HX61" s="147"/>
      <c r="HY61" s="147"/>
      <c r="HZ61" s="147"/>
      <c r="IA61" s="147"/>
      <c r="IB61" s="147"/>
      <c r="IC61" s="147"/>
      <c r="ID61" s="147"/>
      <c r="IE61" s="147"/>
      <c r="IF61" s="147"/>
      <c r="IG61" s="147"/>
      <c r="IH61" s="147"/>
      <c r="II61" s="147"/>
      <c r="IJ61" s="147"/>
      <c r="IK61" s="147"/>
      <c r="IL61" s="147"/>
      <c r="IM61" s="147"/>
    </row>
    <row r="62" spans="10:247" ht="13.9" customHeight="1" x14ac:dyDescent="0.25">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147"/>
      <c r="GT62" s="147"/>
      <c r="GU62" s="147"/>
      <c r="GV62" s="147"/>
      <c r="GW62" s="147"/>
      <c r="GX62" s="147"/>
      <c r="GY62" s="147"/>
      <c r="GZ62" s="147"/>
      <c r="HA62" s="147"/>
      <c r="HB62" s="147"/>
      <c r="HC62" s="147"/>
      <c r="HD62" s="147"/>
      <c r="HE62" s="147"/>
      <c r="HF62" s="147"/>
      <c r="HG62" s="147"/>
      <c r="HH62" s="147"/>
      <c r="HI62" s="147"/>
      <c r="HJ62" s="147"/>
      <c r="HK62" s="147"/>
      <c r="HL62" s="147"/>
      <c r="HM62" s="147"/>
      <c r="HN62" s="147"/>
      <c r="HO62" s="147"/>
      <c r="HP62" s="147"/>
      <c r="HQ62" s="147"/>
      <c r="HR62" s="147"/>
      <c r="HS62" s="147"/>
      <c r="HT62" s="147"/>
      <c r="HU62" s="147"/>
      <c r="HV62" s="147"/>
      <c r="HW62" s="147"/>
      <c r="HX62" s="147"/>
      <c r="HY62" s="147"/>
      <c r="HZ62" s="147"/>
      <c r="IA62" s="147"/>
      <c r="IB62" s="147"/>
      <c r="IC62" s="147"/>
      <c r="ID62" s="147"/>
      <c r="IE62" s="147"/>
      <c r="IF62" s="147"/>
      <c r="IG62" s="147"/>
      <c r="IH62" s="147"/>
      <c r="II62" s="147"/>
      <c r="IJ62" s="147"/>
      <c r="IK62" s="147"/>
      <c r="IL62" s="147"/>
      <c r="IM62" s="147"/>
    </row>
    <row r="63" spans="10:247" ht="13.9" customHeight="1" x14ac:dyDescent="0.25">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147"/>
      <c r="GT63" s="147"/>
      <c r="GU63" s="147"/>
      <c r="GV63" s="147"/>
      <c r="GW63" s="147"/>
      <c r="GX63" s="147"/>
      <c r="GY63" s="147"/>
      <c r="GZ63" s="147"/>
      <c r="HA63" s="147"/>
      <c r="HB63" s="147"/>
      <c r="HC63" s="147"/>
      <c r="HD63" s="147"/>
      <c r="HE63" s="147"/>
      <c r="HF63" s="147"/>
      <c r="HG63" s="147"/>
      <c r="HH63" s="147"/>
      <c r="HI63" s="147"/>
      <c r="HJ63" s="147"/>
      <c r="HK63" s="147"/>
      <c r="HL63" s="147"/>
      <c r="HM63" s="147"/>
      <c r="HN63" s="147"/>
      <c r="HO63" s="147"/>
      <c r="HP63" s="147"/>
      <c r="HQ63" s="147"/>
      <c r="HR63" s="147"/>
      <c r="HS63" s="147"/>
      <c r="HT63" s="147"/>
      <c r="HU63" s="147"/>
      <c r="HV63" s="147"/>
      <c r="HW63" s="147"/>
      <c r="HX63" s="147"/>
      <c r="HY63" s="147"/>
      <c r="HZ63" s="147"/>
      <c r="IA63" s="147"/>
      <c r="IB63" s="147"/>
      <c r="IC63" s="147"/>
      <c r="ID63" s="147"/>
      <c r="IE63" s="147"/>
      <c r="IF63" s="147"/>
      <c r="IG63" s="147"/>
      <c r="IH63" s="147"/>
      <c r="II63" s="147"/>
      <c r="IJ63" s="147"/>
      <c r="IK63" s="147"/>
      <c r="IL63" s="147"/>
      <c r="IM63" s="147"/>
    </row>
    <row r="64" spans="10:247" ht="13.9" customHeight="1" x14ac:dyDescent="0.25">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147"/>
      <c r="GT64" s="147"/>
      <c r="GU64" s="147"/>
      <c r="GV64" s="147"/>
      <c r="GW64" s="147"/>
      <c r="GX64" s="147"/>
      <c r="GY64" s="147"/>
      <c r="GZ64" s="147"/>
      <c r="HA64" s="147"/>
      <c r="HB64" s="147"/>
      <c r="HC64" s="147"/>
      <c r="HD64" s="147"/>
      <c r="HE64" s="147"/>
      <c r="HF64" s="147"/>
      <c r="HG64" s="147"/>
      <c r="HH64" s="147"/>
      <c r="HI64" s="147"/>
      <c r="HJ64" s="147"/>
      <c r="HK64" s="147"/>
      <c r="HL64" s="147"/>
      <c r="HM64" s="147"/>
      <c r="HN64" s="147"/>
      <c r="HO64" s="147"/>
      <c r="HP64" s="147"/>
      <c r="HQ64" s="147"/>
      <c r="HR64" s="147"/>
      <c r="HS64" s="147"/>
      <c r="HT64" s="147"/>
      <c r="HU64" s="147"/>
      <c r="HV64" s="147"/>
      <c r="HW64" s="147"/>
      <c r="HX64" s="147"/>
      <c r="HY64" s="147"/>
      <c r="HZ64" s="147"/>
      <c r="IA64" s="147"/>
      <c r="IB64" s="147"/>
      <c r="IC64" s="147"/>
      <c r="ID64" s="147"/>
      <c r="IE64" s="147"/>
      <c r="IF64" s="147"/>
      <c r="IG64" s="147"/>
      <c r="IH64" s="147"/>
      <c r="II64" s="147"/>
      <c r="IJ64" s="147"/>
      <c r="IK64" s="147"/>
      <c r="IL64" s="147"/>
      <c r="IM64" s="147"/>
    </row>
    <row r="65" spans="10:247" ht="13.9" customHeight="1" x14ac:dyDescent="0.25">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row>
    <row r="66" spans="10:247" ht="13.9" customHeight="1" x14ac:dyDescent="0.25">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row>
    <row r="67" spans="10:247" ht="13.9" customHeight="1" x14ac:dyDescent="0.25">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row>
    <row r="68" spans="10:247" ht="13.5" customHeight="1" x14ac:dyDescent="0.25">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row>
    <row r="69" spans="10:247" ht="13.9" customHeight="1" x14ac:dyDescent="0.25">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row>
    <row r="70" spans="10:247" ht="13.9" customHeight="1" x14ac:dyDescent="0.25">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row>
    <row r="71" spans="10:247" ht="13.9" customHeight="1" x14ac:dyDescent="0.25">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row>
    <row r="72" spans="10:247" ht="13.9" customHeight="1" x14ac:dyDescent="0.25">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row>
    <row r="73" spans="10:247" ht="13.9" customHeight="1" x14ac:dyDescent="0.25">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row>
    <row r="74" spans="10:247" x14ac:dyDescent="0.25">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row>
    <row r="75" spans="10:247" x14ac:dyDescent="0.25">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c r="FT75" s="147"/>
      <c r="FU75" s="147"/>
      <c r="FV75" s="147"/>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row>
    <row r="76" spans="10:247" ht="13.9" customHeight="1" x14ac:dyDescent="0.25">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row>
    <row r="77" spans="10:247" ht="13.9" customHeight="1" x14ac:dyDescent="0.25">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row>
    <row r="78" spans="10:247" ht="13.9" customHeight="1" x14ac:dyDescent="0.25">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row>
    <row r="79" spans="10:247" ht="13.9" customHeight="1" x14ac:dyDescent="0.25">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147"/>
      <c r="GB79" s="147"/>
      <c r="GC79" s="147"/>
      <c r="GD79" s="147"/>
      <c r="GE79" s="147"/>
      <c r="GF79" s="147"/>
      <c r="GG79" s="147"/>
      <c r="GH79" s="147"/>
      <c r="GI79" s="147"/>
      <c r="GJ79" s="147"/>
      <c r="GK79" s="147"/>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7"/>
      <c r="HL79" s="147"/>
      <c r="HM79" s="147"/>
      <c r="HN79" s="147"/>
      <c r="HO79" s="147"/>
      <c r="HP79" s="147"/>
      <c r="HQ79" s="147"/>
      <c r="HR79" s="147"/>
      <c r="HS79" s="147"/>
      <c r="HT79" s="147"/>
      <c r="HU79" s="147"/>
      <c r="HV79" s="147"/>
      <c r="HW79" s="147"/>
      <c r="HX79" s="147"/>
      <c r="HY79" s="147"/>
      <c r="HZ79" s="147"/>
      <c r="IA79" s="147"/>
      <c r="IB79" s="147"/>
      <c r="IC79" s="147"/>
      <c r="ID79" s="147"/>
      <c r="IE79" s="147"/>
      <c r="IF79" s="147"/>
      <c r="IG79" s="147"/>
      <c r="IH79" s="147"/>
      <c r="II79" s="147"/>
      <c r="IJ79" s="147"/>
      <c r="IK79" s="147"/>
      <c r="IL79" s="147"/>
      <c r="IM79" s="147"/>
    </row>
    <row r="80" spans="10:247" ht="13.9" customHeight="1" x14ac:dyDescent="0.25">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row>
    <row r="81" spans="10:247" ht="13.5" customHeight="1" x14ac:dyDescent="0.25">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c r="FT81" s="147"/>
      <c r="FU81" s="147"/>
      <c r="FV81" s="147"/>
      <c r="FW81" s="147"/>
      <c r="FX81" s="147"/>
      <c r="FY81" s="147"/>
      <c r="FZ81" s="147"/>
      <c r="GA81" s="147"/>
      <c r="GB81" s="147"/>
      <c r="GC81" s="147"/>
      <c r="GD81" s="147"/>
      <c r="GE81" s="147"/>
      <c r="GF81" s="147"/>
      <c r="GG81" s="147"/>
      <c r="GH81" s="147"/>
      <c r="GI81" s="147"/>
      <c r="GJ81" s="147"/>
      <c r="GK81" s="147"/>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row>
    <row r="83" spans="10:247" x14ac:dyDescent="0.2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c r="GT83" s="145"/>
      <c r="GU83" s="145"/>
      <c r="GV83" s="145"/>
      <c r="GW83" s="145"/>
      <c r="GX83" s="145"/>
      <c r="GY83" s="145"/>
      <c r="GZ83" s="145"/>
      <c r="HA83" s="145"/>
      <c r="HB83" s="145"/>
      <c r="HC83" s="145"/>
      <c r="HD83" s="145"/>
      <c r="HE83" s="145"/>
      <c r="HF83" s="145"/>
      <c r="HG83" s="145"/>
      <c r="HH83" s="145"/>
      <c r="HI83" s="145"/>
      <c r="HJ83" s="145"/>
      <c r="HK83" s="145"/>
      <c r="HL83" s="145"/>
      <c r="HM83" s="145"/>
      <c r="HN83" s="145"/>
      <c r="HO83" s="145"/>
      <c r="HP83" s="145"/>
      <c r="HQ83" s="145"/>
      <c r="HR83" s="145"/>
      <c r="HS83" s="145"/>
      <c r="HT83" s="145"/>
      <c r="HU83" s="145"/>
      <c r="HV83" s="145"/>
      <c r="HW83" s="145"/>
      <c r="HX83" s="145"/>
      <c r="HY83" s="145"/>
      <c r="HZ83" s="145"/>
      <c r="IA83" s="145"/>
      <c r="IB83" s="145"/>
      <c r="IC83" s="145"/>
      <c r="ID83" s="145"/>
      <c r="IE83" s="145"/>
      <c r="IF83" s="145"/>
      <c r="IG83" s="145"/>
      <c r="IH83" s="145"/>
      <c r="II83" s="145"/>
      <c r="IJ83" s="145"/>
      <c r="IK83" s="145"/>
      <c r="IL83" s="145"/>
      <c r="IM83" s="145"/>
    </row>
    <row r="86" spans="10:247" ht="114" customHeight="1" x14ac:dyDescent="0.25"/>
    <row r="87" spans="10:247" ht="30.75" customHeight="1" x14ac:dyDescent="0.25"/>
    <row r="88" spans="10:247" ht="30.75" customHeight="1" x14ac:dyDescent="0.25"/>
  </sheetData>
  <mergeCells count="15">
    <mergeCell ref="A1:I1"/>
    <mergeCell ref="K4:L4"/>
    <mergeCell ref="A40:I40"/>
    <mergeCell ref="A43:I43"/>
    <mergeCell ref="A34:I34"/>
    <mergeCell ref="F20:H20"/>
    <mergeCell ref="F30:H30"/>
    <mergeCell ref="F31:H31"/>
    <mergeCell ref="F33:H33"/>
    <mergeCell ref="A37:I37"/>
    <mergeCell ref="A36:I36"/>
    <mergeCell ref="A41:I41"/>
    <mergeCell ref="A42:I42"/>
    <mergeCell ref="A39:I39"/>
    <mergeCell ref="A38:I38"/>
  </mergeCells>
  <phoneticPr fontId="0" type="noConversion"/>
  <printOptions horizontalCentered="1"/>
  <pageMargins left="0.25" right="0.25" top="0.59" bottom="0.48" header="0.7" footer="0.63"/>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opLeftCell="A29" workbookViewId="0">
      <selection activeCell="K36" sqref="K36"/>
    </sheetView>
  </sheetViews>
  <sheetFormatPr defaultColWidth="8.88671875" defaultRowHeight="15.75" x14ac:dyDescent="0.25"/>
  <cols>
    <col min="1" max="1" width="28.6640625" style="32" customWidth="1"/>
    <col min="2" max="8" width="8.88671875" style="32"/>
    <col min="9" max="9" width="10.6640625" style="32" customWidth="1"/>
    <col min="10" max="10" width="5.21875" style="32" customWidth="1"/>
    <col min="11" max="11" width="11.44140625" style="32" customWidth="1"/>
    <col min="12" max="16384" width="8.88671875" style="32"/>
  </cols>
  <sheetData>
    <row r="1" spans="1:12" ht="36" customHeight="1" x14ac:dyDescent="0.25">
      <c r="A1" s="200" t="s">
        <v>111</v>
      </c>
      <c r="B1" s="200"/>
      <c r="C1" s="200"/>
      <c r="D1" s="200"/>
      <c r="E1" s="200"/>
      <c r="F1" s="200"/>
      <c r="G1" s="200"/>
      <c r="H1" s="200"/>
      <c r="I1" s="200"/>
    </row>
    <row r="2" spans="1:12" x14ac:dyDescent="0.25">
      <c r="A2" s="62"/>
      <c r="B2" s="106"/>
      <c r="C2" s="62"/>
      <c r="D2" s="62"/>
      <c r="E2" s="62"/>
      <c r="F2" s="104"/>
      <c r="G2" s="62"/>
      <c r="H2" s="33"/>
    </row>
    <row r="3" spans="1:12" ht="76.5" x14ac:dyDescent="0.25">
      <c r="A3" s="159" t="s">
        <v>10</v>
      </c>
      <c r="B3" s="160" t="s">
        <v>77</v>
      </c>
      <c r="C3" s="160" t="s">
        <v>78</v>
      </c>
      <c r="D3" s="160" t="s">
        <v>2</v>
      </c>
      <c r="E3" s="160" t="s">
        <v>86</v>
      </c>
      <c r="F3" s="160" t="s">
        <v>11</v>
      </c>
      <c r="G3" s="160" t="s">
        <v>12</v>
      </c>
      <c r="H3" s="160" t="s">
        <v>13</v>
      </c>
      <c r="I3" s="160" t="s">
        <v>66</v>
      </c>
    </row>
    <row r="4" spans="1:12" x14ac:dyDescent="0.25">
      <c r="A4" s="130" t="s">
        <v>9</v>
      </c>
      <c r="B4" s="138" t="s">
        <v>0</v>
      </c>
      <c r="C4" s="138" t="s">
        <v>0</v>
      </c>
      <c r="D4" s="138" t="s">
        <v>0</v>
      </c>
      <c r="E4" s="138" t="s">
        <v>0</v>
      </c>
      <c r="F4" s="138" t="s">
        <v>0</v>
      </c>
      <c r="G4" s="138" t="s">
        <v>0</v>
      </c>
      <c r="H4" s="138" t="s">
        <v>0</v>
      </c>
      <c r="I4" s="161" t="s">
        <v>0</v>
      </c>
      <c r="K4" s="201" t="s">
        <v>114</v>
      </c>
      <c r="L4" s="201"/>
    </row>
    <row r="5" spans="1:12" x14ac:dyDescent="0.25">
      <c r="A5" s="130" t="s">
        <v>14</v>
      </c>
      <c r="B5" s="138" t="s">
        <v>0</v>
      </c>
      <c r="C5" s="138" t="s">
        <v>0</v>
      </c>
      <c r="D5" s="138" t="s">
        <v>0</v>
      </c>
      <c r="E5" s="138" t="s">
        <v>0</v>
      </c>
      <c r="F5" s="138" t="s">
        <v>0</v>
      </c>
      <c r="G5" s="138" t="s">
        <v>0</v>
      </c>
      <c r="H5" s="138" t="s">
        <v>0</v>
      </c>
      <c r="I5" s="161" t="s">
        <v>0</v>
      </c>
      <c r="K5" s="120" t="s">
        <v>115</v>
      </c>
      <c r="L5" s="149">
        <v>141.06</v>
      </c>
    </row>
    <row r="6" spans="1:12" x14ac:dyDescent="0.25">
      <c r="A6" s="130" t="s">
        <v>15</v>
      </c>
      <c r="B6" s="162"/>
      <c r="C6" s="162"/>
      <c r="D6" s="162"/>
      <c r="E6" s="162"/>
      <c r="F6" s="162"/>
      <c r="G6" s="162"/>
      <c r="H6" s="162"/>
      <c r="I6" s="163"/>
      <c r="K6" s="120" t="s">
        <v>116</v>
      </c>
      <c r="L6" s="149">
        <v>120.27</v>
      </c>
    </row>
    <row r="7" spans="1:12" ht="25.5" x14ac:dyDescent="0.25">
      <c r="A7" s="194" t="s">
        <v>16</v>
      </c>
      <c r="B7" s="30">
        <v>1</v>
      </c>
      <c r="C7" s="138">
        <v>1</v>
      </c>
      <c r="D7" s="30">
        <f>B7*C7</f>
        <v>1</v>
      </c>
      <c r="E7" s="164">
        <v>46</v>
      </c>
      <c r="F7" s="165">
        <f>D7*E7</f>
        <v>46</v>
      </c>
      <c r="G7" s="166">
        <f>F7*0.05</f>
        <v>2.3000000000000003</v>
      </c>
      <c r="H7" s="166">
        <f>F7*0.1</f>
        <v>4.6000000000000005</v>
      </c>
      <c r="I7" s="167">
        <f>F7*$L$6+G7*$L$5+H7*$L$7</f>
        <v>6126.74</v>
      </c>
      <c r="K7" s="120" t="s">
        <v>117</v>
      </c>
      <c r="L7" s="152">
        <v>58.67</v>
      </c>
    </row>
    <row r="8" spans="1:12" x14ac:dyDescent="0.25">
      <c r="A8" s="194" t="s">
        <v>17</v>
      </c>
      <c r="B8" s="168"/>
      <c r="C8" s="168"/>
      <c r="D8" s="168"/>
      <c r="E8" s="168"/>
      <c r="F8" s="168"/>
      <c r="G8" s="168"/>
      <c r="H8" s="168"/>
      <c r="I8" s="167"/>
    </row>
    <row r="9" spans="1:12" x14ac:dyDescent="0.25">
      <c r="A9" s="199" t="s">
        <v>18</v>
      </c>
      <c r="B9" s="30">
        <v>24</v>
      </c>
      <c r="C9" s="138">
        <v>1</v>
      </c>
      <c r="D9" s="30">
        <f>B9*C9</f>
        <v>24</v>
      </c>
      <c r="E9" s="138">
        <v>0</v>
      </c>
      <c r="F9" s="30">
        <f>D9*E9</f>
        <v>0</v>
      </c>
      <c r="G9" s="30">
        <f>F9*0.05</f>
        <v>0</v>
      </c>
      <c r="H9" s="30">
        <f>F9*0.1</f>
        <v>0</v>
      </c>
      <c r="I9" s="169">
        <f>F9*$L$6+G9*$L$5+H9*$L$7</f>
        <v>0</v>
      </c>
    </row>
    <row r="10" spans="1:12" x14ac:dyDescent="0.25">
      <c r="A10" s="199" t="s">
        <v>65</v>
      </c>
      <c r="B10" s="30">
        <v>24</v>
      </c>
      <c r="C10" s="138">
        <v>1</v>
      </c>
      <c r="D10" s="30">
        <f>B10*C10</f>
        <v>24</v>
      </c>
      <c r="E10" s="138">
        <v>0</v>
      </c>
      <c r="F10" s="30">
        <f>D10*E10</f>
        <v>0</v>
      </c>
      <c r="G10" s="30">
        <f>F10*0.05</f>
        <v>0</v>
      </c>
      <c r="H10" s="30">
        <f>F10*0.1</f>
        <v>0</v>
      </c>
      <c r="I10" s="169">
        <f>F10*$L$6+G10*$L$5+H10*$L$7</f>
        <v>0</v>
      </c>
    </row>
    <row r="11" spans="1:12" x14ac:dyDescent="0.25">
      <c r="A11" s="194" t="s">
        <v>19</v>
      </c>
      <c r="B11" s="29" t="s">
        <v>31</v>
      </c>
      <c r="C11" s="31"/>
      <c r="D11" s="31"/>
      <c r="E11" s="31"/>
      <c r="F11" s="31"/>
      <c r="G11" s="31"/>
      <c r="H11" s="31"/>
      <c r="I11" s="169"/>
    </row>
    <row r="12" spans="1:12" x14ac:dyDescent="0.25">
      <c r="A12" s="194" t="s">
        <v>62</v>
      </c>
      <c r="B12" s="29" t="s">
        <v>32</v>
      </c>
      <c r="C12" s="31"/>
      <c r="D12" s="31"/>
      <c r="E12" s="31"/>
      <c r="F12" s="31"/>
      <c r="G12" s="31"/>
      <c r="H12" s="31"/>
      <c r="I12" s="169"/>
    </row>
    <row r="13" spans="1:12" x14ac:dyDescent="0.25">
      <c r="A13" s="194" t="s">
        <v>20</v>
      </c>
      <c r="B13" s="162"/>
      <c r="C13" s="162"/>
      <c r="D13" s="162"/>
      <c r="E13" s="162"/>
      <c r="F13" s="162"/>
      <c r="G13" s="162"/>
      <c r="H13" s="162"/>
      <c r="I13" s="169"/>
    </row>
    <row r="14" spans="1:12" ht="32.25" customHeight="1" x14ac:dyDescent="0.25">
      <c r="A14" s="199" t="s">
        <v>91</v>
      </c>
      <c r="B14" s="30">
        <v>2</v>
      </c>
      <c r="C14" s="138">
        <v>1</v>
      </c>
      <c r="D14" s="30">
        <f>B14*C14</f>
        <v>2</v>
      </c>
      <c r="E14" s="138">
        <v>0</v>
      </c>
      <c r="F14" s="138">
        <f>D14*E14</f>
        <v>0</v>
      </c>
      <c r="G14" s="138">
        <f>F14*0.05</f>
        <v>0</v>
      </c>
      <c r="H14" s="138">
        <f>F14*0.1</f>
        <v>0</v>
      </c>
      <c r="I14" s="169">
        <f>F14*$L$6+G14*$L$5+H14*$L$7</f>
        <v>0</v>
      </c>
    </row>
    <row r="15" spans="1:12" x14ac:dyDescent="0.25">
      <c r="A15" s="199" t="s">
        <v>92</v>
      </c>
      <c r="B15" s="30">
        <v>2</v>
      </c>
      <c r="C15" s="138">
        <v>1</v>
      </c>
      <c r="D15" s="30">
        <f>B15*C15</f>
        <v>2</v>
      </c>
      <c r="E15" s="138">
        <v>0</v>
      </c>
      <c r="F15" s="138">
        <f>D15*E15</f>
        <v>0</v>
      </c>
      <c r="G15" s="138">
        <f>F15*0.05</f>
        <v>0</v>
      </c>
      <c r="H15" s="138">
        <f>F15*0.1</f>
        <v>0</v>
      </c>
      <c r="I15" s="169">
        <f>F15*$L$6+G15*$L$5+H15*$L$7</f>
        <v>0</v>
      </c>
    </row>
    <row r="16" spans="1:12" x14ac:dyDescent="0.25">
      <c r="A16" s="199" t="s">
        <v>93</v>
      </c>
      <c r="B16" s="30">
        <v>2</v>
      </c>
      <c r="C16" s="138">
        <v>1</v>
      </c>
      <c r="D16" s="30">
        <f>B16*C16</f>
        <v>2</v>
      </c>
      <c r="E16" s="138">
        <v>0</v>
      </c>
      <c r="F16" s="138">
        <f>D16*E16</f>
        <v>0</v>
      </c>
      <c r="G16" s="138">
        <f>F16*0.05</f>
        <v>0</v>
      </c>
      <c r="H16" s="138">
        <f>F16*0.1</f>
        <v>0</v>
      </c>
      <c r="I16" s="169">
        <f>F16*$L$6+G16*$L$5+H16*$L$7</f>
        <v>0</v>
      </c>
    </row>
    <row r="17" spans="1:11" ht="28.5" x14ac:dyDescent="0.25">
      <c r="A17" s="199" t="s">
        <v>94</v>
      </c>
      <c r="B17" s="30">
        <v>2</v>
      </c>
      <c r="C17" s="138">
        <v>1</v>
      </c>
      <c r="D17" s="30">
        <f>B17*C17</f>
        <v>2</v>
      </c>
      <c r="E17" s="138">
        <v>0</v>
      </c>
      <c r="F17" s="138">
        <f>D17*E17</f>
        <v>0</v>
      </c>
      <c r="G17" s="138">
        <f>F17*0.05</f>
        <v>0</v>
      </c>
      <c r="H17" s="138">
        <f>F17*0.1</f>
        <v>0</v>
      </c>
      <c r="I17" s="169">
        <f>F17*$L$6+G17*$L$5+H17*$L$7</f>
        <v>0</v>
      </c>
    </row>
    <row r="18" spans="1:11" x14ac:dyDescent="0.25">
      <c r="A18" s="199" t="s">
        <v>21</v>
      </c>
      <c r="B18" s="29" t="s">
        <v>31</v>
      </c>
      <c r="C18" s="31"/>
      <c r="D18" s="31"/>
      <c r="E18" s="31"/>
      <c r="F18" s="31"/>
      <c r="G18" s="31"/>
      <c r="H18" s="31"/>
      <c r="I18" s="167"/>
    </row>
    <row r="19" spans="1:11" ht="28.5" x14ac:dyDescent="0.25">
      <c r="A19" s="199" t="s">
        <v>97</v>
      </c>
      <c r="B19" s="30">
        <v>30</v>
      </c>
      <c r="C19" s="138">
        <v>2</v>
      </c>
      <c r="D19" s="30">
        <f>B19*C19</f>
        <v>60</v>
      </c>
      <c r="E19" s="138">
        <v>34.5</v>
      </c>
      <c r="F19" s="170">
        <f>D19*E19</f>
        <v>2070</v>
      </c>
      <c r="G19" s="30">
        <f>F19*0.05</f>
        <v>103.5</v>
      </c>
      <c r="H19" s="138">
        <f>F19*0.1</f>
        <v>207</v>
      </c>
      <c r="I19" s="167">
        <f>F19*$L$6+G19*$L$5+H19*$L$7</f>
        <v>275703.3</v>
      </c>
    </row>
    <row r="20" spans="1:11" ht="28.5" x14ac:dyDescent="0.25">
      <c r="A20" s="199" t="s">
        <v>96</v>
      </c>
      <c r="B20" s="30">
        <v>8</v>
      </c>
      <c r="C20" s="138">
        <v>2</v>
      </c>
      <c r="D20" s="30">
        <f>B20*C20</f>
        <v>16</v>
      </c>
      <c r="E20" s="138">
        <v>11.5</v>
      </c>
      <c r="F20" s="138">
        <f>D20*E20</f>
        <v>184</v>
      </c>
      <c r="G20" s="138">
        <f>F20*0.05</f>
        <v>9.2000000000000011</v>
      </c>
      <c r="H20" s="30">
        <f>F20*0.1</f>
        <v>18.400000000000002</v>
      </c>
      <c r="I20" s="167">
        <f>F20*$L$6+G20*$L$5+H20*$L$7</f>
        <v>24506.959999999999</v>
      </c>
    </row>
    <row r="21" spans="1:11" x14ac:dyDescent="0.25">
      <c r="A21" s="171" t="s">
        <v>22</v>
      </c>
      <c r="B21" s="30"/>
      <c r="C21" s="30"/>
      <c r="D21" s="30"/>
      <c r="E21" s="30"/>
      <c r="F21" s="221">
        <f>SUM(F7:H20)</f>
        <v>2645</v>
      </c>
      <c r="G21" s="221"/>
      <c r="H21" s="221"/>
      <c r="I21" s="38">
        <f>SUM(I14:I20,I6:I10)</f>
        <v>306337</v>
      </c>
    </row>
    <row r="22" spans="1:11" x14ac:dyDescent="0.25">
      <c r="A22" s="130" t="s">
        <v>23</v>
      </c>
      <c r="B22" s="162"/>
      <c r="C22" s="162"/>
      <c r="D22" s="162"/>
      <c r="E22" s="162"/>
      <c r="F22" s="162"/>
      <c r="G22" s="162"/>
      <c r="H22" s="162"/>
      <c r="I22" s="163"/>
    </row>
    <row r="23" spans="1:11" ht="25.5" x14ac:dyDescent="0.25">
      <c r="A23" s="194" t="s">
        <v>16</v>
      </c>
      <c r="B23" s="29" t="s">
        <v>33</v>
      </c>
      <c r="C23" s="31"/>
      <c r="D23" s="31"/>
      <c r="E23" s="31"/>
      <c r="F23" s="31"/>
      <c r="G23" s="31"/>
      <c r="H23" s="31"/>
      <c r="I23" s="161"/>
    </row>
    <row r="24" spans="1:11" x14ac:dyDescent="0.25">
      <c r="A24" s="194" t="s">
        <v>24</v>
      </c>
      <c r="B24" s="29" t="s">
        <v>31</v>
      </c>
      <c r="C24" s="31"/>
      <c r="D24" s="31"/>
      <c r="E24" s="31"/>
      <c r="F24" s="31"/>
      <c r="G24" s="31"/>
      <c r="H24" s="31"/>
      <c r="I24" s="161"/>
    </row>
    <row r="25" spans="1:11" x14ac:dyDescent="0.25">
      <c r="A25" s="194" t="s">
        <v>25</v>
      </c>
      <c r="B25" s="29" t="s">
        <v>31</v>
      </c>
      <c r="C25" s="31"/>
      <c r="D25" s="31"/>
      <c r="E25" s="31"/>
      <c r="F25" s="31"/>
      <c r="G25" s="31"/>
      <c r="H25" s="31"/>
      <c r="I25" s="161"/>
    </row>
    <row r="26" spans="1:11" x14ac:dyDescent="0.25">
      <c r="A26" s="194" t="s">
        <v>26</v>
      </c>
      <c r="B26" s="138" t="s">
        <v>0</v>
      </c>
      <c r="C26" s="138" t="s">
        <v>0</v>
      </c>
      <c r="D26" s="138" t="s">
        <v>0</v>
      </c>
      <c r="E26" s="138" t="s">
        <v>0</v>
      </c>
      <c r="F26" s="138" t="s">
        <v>0</v>
      </c>
      <c r="G26" s="138" t="s">
        <v>0</v>
      </c>
      <c r="H26" s="138" t="s">
        <v>0</v>
      </c>
      <c r="I26" s="161" t="s">
        <v>0</v>
      </c>
    </row>
    <row r="27" spans="1:11" x14ac:dyDescent="0.25">
      <c r="A27" s="194" t="s">
        <v>27</v>
      </c>
      <c r="B27" s="162"/>
      <c r="C27" s="162"/>
      <c r="D27" s="162"/>
      <c r="E27" s="162"/>
      <c r="F27" s="162"/>
      <c r="G27" s="162"/>
      <c r="H27" s="162"/>
      <c r="I27" s="163"/>
    </row>
    <row r="28" spans="1:11" ht="28.5" x14ac:dyDescent="0.25">
      <c r="A28" s="199" t="s">
        <v>135</v>
      </c>
      <c r="B28" s="172">
        <f>'Table 1a'!B27+0.14</f>
        <v>2.64</v>
      </c>
      <c r="C28" s="30">
        <v>365</v>
      </c>
      <c r="D28" s="30">
        <f>C28*B28</f>
        <v>963.6</v>
      </c>
      <c r="E28" s="173">
        <v>40.25</v>
      </c>
      <c r="F28" s="170">
        <f>D28*E28</f>
        <v>38784.9</v>
      </c>
      <c r="G28" s="170">
        <f>F28*0.05</f>
        <v>1939.2450000000001</v>
      </c>
      <c r="H28" s="170">
        <f>F28*0.1</f>
        <v>3878.4900000000002</v>
      </c>
      <c r="I28" s="161">
        <f>F28*$L$6+G28*$L$5+H28*$L$7</f>
        <v>5165760.8310000002</v>
      </c>
    </row>
    <row r="29" spans="1:11" ht="28.5" x14ac:dyDescent="0.25">
      <c r="A29" s="199" t="s">
        <v>134</v>
      </c>
      <c r="B29" s="172">
        <f>B28+0.02</f>
        <v>2.66</v>
      </c>
      <c r="C29" s="30">
        <v>365</v>
      </c>
      <c r="D29" s="30">
        <f>C29*B29</f>
        <v>970.90000000000009</v>
      </c>
      <c r="E29" s="173">
        <v>5.75</v>
      </c>
      <c r="F29" s="170">
        <f>D29*E29</f>
        <v>5582.6750000000002</v>
      </c>
      <c r="G29" s="170">
        <f>F29*0.05</f>
        <v>279.13375000000002</v>
      </c>
      <c r="H29" s="170">
        <f>F29*0.1</f>
        <v>558.26750000000004</v>
      </c>
      <c r="I29" s="161">
        <f>F29*$L$6+G29*$L$5+H29*$L$7</f>
        <v>743556.48324999993</v>
      </c>
    </row>
    <row r="30" spans="1:11" x14ac:dyDescent="0.25">
      <c r="A30" s="194" t="s">
        <v>28</v>
      </c>
      <c r="B30" s="138" t="s">
        <v>0</v>
      </c>
      <c r="C30" s="138" t="s">
        <v>0</v>
      </c>
      <c r="D30" s="138" t="s">
        <v>0</v>
      </c>
      <c r="E30" s="138" t="s">
        <v>0</v>
      </c>
      <c r="F30" s="138" t="s">
        <v>0</v>
      </c>
      <c r="G30" s="138" t="s">
        <v>0</v>
      </c>
      <c r="H30" s="138" t="s">
        <v>0</v>
      </c>
      <c r="I30" s="161" t="s">
        <v>0</v>
      </c>
    </row>
    <row r="31" spans="1:11" x14ac:dyDescent="0.25">
      <c r="A31" s="198" t="s">
        <v>29</v>
      </c>
      <c r="B31" s="138" t="s">
        <v>0</v>
      </c>
      <c r="C31" s="138" t="s">
        <v>0</v>
      </c>
      <c r="D31" s="138" t="s">
        <v>0</v>
      </c>
      <c r="E31" s="138" t="s">
        <v>0</v>
      </c>
      <c r="F31" s="138" t="s">
        <v>0</v>
      </c>
      <c r="G31" s="138" t="s">
        <v>0</v>
      </c>
      <c r="H31" s="138" t="s">
        <v>0</v>
      </c>
      <c r="I31" s="161" t="s">
        <v>0</v>
      </c>
    </row>
    <row r="32" spans="1:11" x14ac:dyDescent="0.25">
      <c r="A32" s="131" t="s">
        <v>30</v>
      </c>
      <c r="B32" s="119"/>
      <c r="C32" s="119"/>
      <c r="D32" s="119"/>
      <c r="E32" s="119"/>
      <c r="F32" s="221">
        <f>SUM(F22:H31)</f>
        <v>51022.711250000008</v>
      </c>
      <c r="G32" s="221"/>
      <c r="H32" s="221"/>
      <c r="I32" s="38">
        <f>SUM(I28:I31)</f>
        <v>5909317.3142499998</v>
      </c>
      <c r="K32" s="157">
        <f>ROUND((F21+F32+'Table 1a'!F30+'Table 1a'!F20),-3)</f>
        <v>184000</v>
      </c>
    </row>
    <row r="33" spans="1:11" ht="16.5" x14ac:dyDescent="0.25">
      <c r="A33" s="174" t="s">
        <v>131</v>
      </c>
      <c r="B33" s="119"/>
      <c r="C33" s="119"/>
      <c r="D33" s="119"/>
      <c r="E33" s="119"/>
      <c r="F33" s="221">
        <f>ROUND(SUM(F32,F21),-2)</f>
        <v>53700</v>
      </c>
      <c r="G33" s="221"/>
      <c r="H33" s="221"/>
      <c r="I33" s="38">
        <f>ROUND(SUM(I32,I21), -4)</f>
        <v>6220000</v>
      </c>
    </row>
    <row r="34" spans="1:11" x14ac:dyDescent="0.25">
      <c r="A34" s="175" t="s">
        <v>121</v>
      </c>
      <c r="B34" s="176"/>
      <c r="C34" s="177"/>
      <c r="D34" s="31"/>
      <c r="E34" s="178"/>
      <c r="F34" s="177"/>
      <c r="G34" s="179"/>
      <c r="H34" s="180"/>
      <c r="I34" s="38">
        <v>0</v>
      </c>
    </row>
    <row r="35" spans="1:11" ht="16.5" x14ac:dyDescent="0.25">
      <c r="A35" s="132" t="s">
        <v>122</v>
      </c>
      <c r="B35" s="120"/>
      <c r="C35" s="120"/>
      <c r="D35" s="120"/>
      <c r="E35" s="120"/>
      <c r="F35" s="222">
        <f>F33</f>
        <v>53700</v>
      </c>
      <c r="G35" s="223"/>
      <c r="H35" s="223"/>
      <c r="I35" s="39">
        <f>ROUND(SUM(I34,I33),-4)</f>
        <v>6220000</v>
      </c>
      <c r="K35" s="158">
        <f>ROUND(('Table 1a'!I33+'Table 1b'!I35),-5)</f>
        <v>21200000</v>
      </c>
    </row>
    <row r="36" spans="1:11" x14ac:dyDescent="0.25">
      <c r="A36" s="181"/>
      <c r="B36" s="181"/>
      <c r="C36" s="181"/>
      <c r="D36" s="181"/>
      <c r="E36" s="182"/>
      <c r="F36" s="183"/>
      <c r="G36" s="181"/>
      <c r="H36" s="181"/>
      <c r="I36" s="181"/>
    </row>
    <row r="37" spans="1:11" x14ac:dyDescent="0.25">
      <c r="A37" s="156" t="s">
        <v>1</v>
      </c>
      <c r="B37" s="181"/>
      <c r="C37" s="181"/>
      <c r="D37" s="181"/>
      <c r="E37" s="181"/>
      <c r="F37" s="181"/>
      <c r="G37" s="181"/>
      <c r="H37" s="182"/>
      <c r="I37" s="183"/>
      <c r="J37" s="60"/>
    </row>
    <row r="38" spans="1:11" ht="44.25" customHeight="1" x14ac:dyDescent="0.25">
      <c r="A38" s="225" t="s">
        <v>129</v>
      </c>
      <c r="B38" s="225"/>
      <c r="C38" s="225"/>
      <c r="D38" s="225"/>
      <c r="E38" s="225"/>
      <c r="F38" s="225"/>
      <c r="G38" s="225"/>
      <c r="H38" s="225"/>
      <c r="I38" s="225"/>
    </row>
    <row r="39" spans="1:11" ht="42" customHeight="1" x14ac:dyDescent="0.25">
      <c r="A39" s="224" t="s">
        <v>118</v>
      </c>
      <c r="B39" s="224"/>
      <c r="C39" s="224"/>
      <c r="D39" s="224"/>
      <c r="E39" s="224"/>
      <c r="F39" s="224"/>
      <c r="G39" s="224"/>
      <c r="H39" s="224"/>
      <c r="I39" s="224"/>
    </row>
    <row r="40" spans="1:11" ht="16.5" x14ac:dyDescent="0.25">
      <c r="A40" s="226" t="s">
        <v>67</v>
      </c>
      <c r="B40" s="226"/>
      <c r="C40" s="226"/>
      <c r="D40" s="226"/>
      <c r="E40" s="226"/>
      <c r="F40" s="226"/>
      <c r="G40" s="226"/>
      <c r="H40" s="226"/>
      <c r="I40" s="226"/>
    </row>
    <row r="41" spans="1:11" ht="16.5" x14ac:dyDescent="0.25">
      <c r="A41" s="226" t="s">
        <v>95</v>
      </c>
      <c r="B41" s="226"/>
      <c r="C41" s="226"/>
      <c r="D41" s="226"/>
      <c r="E41" s="226"/>
      <c r="F41" s="226"/>
      <c r="G41" s="226"/>
      <c r="H41" s="226"/>
      <c r="I41" s="226"/>
    </row>
    <row r="42" spans="1:11" ht="29.25" customHeight="1" x14ac:dyDescent="0.25">
      <c r="A42" s="219" t="s">
        <v>98</v>
      </c>
      <c r="B42" s="219"/>
      <c r="C42" s="219"/>
      <c r="D42" s="219"/>
      <c r="E42" s="219"/>
      <c r="F42" s="219"/>
      <c r="G42" s="219"/>
      <c r="H42" s="219"/>
      <c r="I42" s="219"/>
    </row>
    <row r="43" spans="1:11" ht="27.75" customHeight="1" x14ac:dyDescent="0.25">
      <c r="A43" s="219" t="s">
        <v>99</v>
      </c>
      <c r="B43" s="219"/>
      <c r="C43" s="219"/>
      <c r="D43" s="219"/>
      <c r="E43" s="219"/>
      <c r="F43" s="219"/>
      <c r="G43" s="219"/>
      <c r="H43" s="219"/>
      <c r="I43" s="219"/>
    </row>
    <row r="44" spans="1:11" ht="139.5" customHeight="1" x14ac:dyDescent="0.25">
      <c r="A44" s="227" t="s">
        <v>107</v>
      </c>
      <c r="B44" s="227"/>
      <c r="C44" s="227"/>
      <c r="D44" s="227"/>
      <c r="E44" s="227"/>
      <c r="F44" s="227"/>
      <c r="G44" s="227"/>
      <c r="H44" s="227"/>
      <c r="I44" s="227"/>
    </row>
    <row r="45" spans="1:11" ht="44.25" customHeight="1" x14ac:dyDescent="0.25">
      <c r="A45" s="225" t="s">
        <v>105</v>
      </c>
      <c r="B45" s="225"/>
      <c r="C45" s="225"/>
      <c r="D45" s="225"/>
      <c r="E45" s="225"/>
      <c r="F45" s="225"/>
      <c r="G45" s="225"/>
      <c r="H45" s="225"/>
      <c r="I45" s="225"/>
      <c r="J45" s="118"/>
    </row>
    <row r="46" spans="1:11" ht="17.25" customHeight="1" x14ac:dyDescent="0.25">
      <c r="A46" s="220" t="s">
        <v>106</v>
      </c>
      <c r="B46" s="220"/>
      <c r="C46" s="220"/>
      <c r="D46" s="220"/>
      <c r="E46" s="220"/>
      <c r="F46" s="220"/>
      <c r="G46" s="220"/>
      <c r="H46" s="220"/>
      <c r="I46" s="220"/>
    </row>
  </sheetData>
  <mergeCells count="15">
    <mergeCell ref="A1:I1"/>
    <mergeCell ref="K4:L4"/>
    <mergeCell ref="A42:I42"/>
    <mergeCell ref="A46:I46"/>
    <mergeCell ref="F32:H32"/>
    <mergeCell ref="F21:H21"/>
    <mergeCell ref="F33:H33"/>
    <mergeCell ref="F35:H35"/>
    <mergeCell ref="A39:I39"/>
    <mergeCell ref="A38:I38"/>
    <mergeCell ref="A40:I40"/>
    <mergeCell ref="A45:I45"/>
    <mergeCell ref="A41:I41"/>
    <mergeCell ref="A43:I43"/>
    <mergeCell ref="A44:I44"/>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IS31"/>
  <sheetViews>
    <sheetView defaultGridColor="0" colorId="22" zoomScaleNormal="100" workbookViewId="0">
      <selection activeCell="I11" sqref="I11"/>
    </sheetView>
  </sheetViews>
  <sheetFormatPr defaultColWidth="9.77734375" defaultRowHeight="15.75" x14ac:dyDescent="0.25"/>
  <cols>
    <col min="1" max="1" width="34.88671875" style="32" customWidth="1"/>
    <col min="2" max="6" width="9" style="32" customWidth="1"/>
    <col min="7" max="7" width="10.44140625" style="32" customWidth="1"/>
    <col min="8" max="8" width="9" style="32" customWidth="1"/>
    <col min="9" max="9" width="10.44140625" style="32" customWidth="1"/>
    <col min="10" max="10" width="5.77734375" style="32" customWidth="1"/>
    <col min="11" max="16384" width="9.77734375" style="32"/>
  </cols>
  <sheetData>
    <row r="1" spans="1:253" ht="39.75" customHeight="1" x14ac:dyDescent="0.25">
      <c r="A1" s="200" t="s">
        <v>110</v>
      </c>
      <c r="B1" s="200"/>
      <c r="C1" s="200"/>
      <c r="D1" s="200"/>
      <c r="E1" s="200"/>
      <c r="F1" s="200"/>
      <c r="G1" s="200"/>
      <c r="H1" s="200"/>
      <c r="I1" s="200"/>
    </row>
    <row r="2" spans="1:253" s="146" customFormat="1" ht="9.75" customHeight="1" x14ac:dyDescent="0.25">
      <c r="A2" s="62"/>
      <c r="B2" s="106"/>
      <c r="C2" s="62"/>
      <c r="D2" s="62"/>
      <c r="E2" s="62"/>
      <c r="F2" s="104"/>
      <c r="G2" s="62"/>
      <c r="H2" s="105"/>
      <c r="I2" s="33"/>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row>
    <row r="3" spans="1:253" s="33" customFormat="1" ht="63.75" x14ac:dyDescent="0.2">
      <c r="A3" s="133" t="s">
        <v>10</v>
      </c>
      <c r="B3" s="14" t="s">
        <v>80</v>
      </c>
      <c r="C3" s="111" t="s">
        <v>79</v>
      </c>
      <c r="D3" s="14" t="s">
        <v>83</v>
      </c>
      <c r="E3" s="14" t="s">
        <v>128</v>
      </c>
      <c r="F3" s="15" t="s">
        <v>82</v>
      </c>
      <c r="G3" s="15" t="s">
        <v>84</v>
      </c>
      <c r="H3" s="15" t="s">
        <v>85</v>
      </c>
      <c r="I3" s="15" t="s">
        <v>68</v>
      </c>
    </row>
    <row r="4" spans="1:253" s="33" customFormat="1" ht="13.9" customHeight="1" x14ac:dyDescent="0.2">
      <c r="A4" s="91" t="s">
        <v>126</v>
      </c>
      <c r="B4" s="92">
        <v>4</v>
      </c>
      <c r="C4" s="93">
        <v>1.2</v>
      </c>
      <c r="D4" s="94">
        <f>B4*C4</f>
        <v>4.8</v>
      </c>
      <c r="E4" s="93">
        <v>0</v>
      </c>
      <c r="F4" s="95">
        <f t="shared" ref="F4:F10" si="0">D4*E4</f>
        <v>0</v>
      </c>
      <c r="G4" s="95">
        <f t="shared" ref="G4:G6" si="1">F4*0.05</f>
        <v>0</v>
      </c>
      <c r="H4" s="95">
        <f>F4*0.1</f>
        <v>0</v>
      </c>
      <c r="I4" s="107">
        <f t="shared" ref="I4:I9" si="2">F4*F$2+G4*G$2+H4*H$2</f>
        <v>0</v>
      </c>
      <c r="K4" s="201" t="s">
        <v>114</v>
      </c>
      <c r="L4" s="201"/>
    </row>
    <row r="5" spans="1:253" s="33" customFormat="1" ht="12.75" x14ac:dyDescent="0.2">
      <c r="A5" s="97" t="s">
        <v>5</v>
      </c>
      <c r="B5" s="92">
        <v>2</v>
      </c>
      <c r="C5" s="93">
        <v>1</v>
      </c>
      <c r="D5" s="92">
        <f>B5*C5</f>
        <v>2</v>
      </c>
      <c r="E5" s="98">
        <v>0</v>
      </c>
      <c r="F5" s="95">
        <f t="shared" si="0"/>
        <v>0</v>
      </c>
      <c r="G5" s="95">
        <f t="shared" si="1"/>
        <v>0</v>
      </c>
      <c r="H5" s="95">
        <f t="shared" ref="H5" si="3">F5*0.1</f>
        <v>0</v>
      </c>
      <c r="I5" s="107">
        <f t="shared" si="2"/>
        <v>0</v>
      </c>
      <c r="K5" s="120" t="s">
        <v>115</v>
      </c>
      <c r="L5" s="149">
        <v>66.62</v>
      </c>
    </row>
    <row r="6" spans="1:253" s="33" customFormat="1" ht="13.9" customHeight="1" x14ac:dyDescent="0.2">
      <c r="A6" s="99" t="s">
        <v>4</v>
      </c>
      <c r="B6" s="94">
        <v>0.5</v>
      </c>
      <c r="C6" s="93">
        <v>1</v>
      </c>
      <c r="D6" s="94">
        <f t="shared" ref="D6" si="4">B6*C6</f>
        <v>0.5</v>
      </c>
      <c r="E6" s="98">
        <v>0</v>
      </c>
      <c r="F6" s="95">
        <f t="shared" si="0"/>
        <v>0</v>
      </c>
      <c r="G6" s="95">
        <f t="shared" si="1"/>
        <v>0</v>
      </c>
      <c r="H6" s="95">
        <f>F6*0.1</f>
        <v>0</v>
      </c>
      <c r="I6" s="107">
        <f t="shared" si="2"/>
        <v>0</v>
      </c>
      <c r="K6" s="120" t="s">
        <v>116</v>
      </c>
      <c r="L6" s="150">
        <v>49.44</v>
      </c>
    </row>
    <row r="7" spans="1:253" s="33" customFormat="1" ht="13.9" customHeight="1" x14ac:dyDescent="0.2">
      <c r="A7" s="99" t="s">
        <v>3</v>
      </c>
      <c r="B7" s="94">
        <v>0.5</v>
      </c>
      <c r="C7" s="93">
        <v>1</v>
      </c>
      <c r="D7" s="94">
        <f t="shared" ref="D7:D10" si="5">B7*C7</f>
        <v>0.5</v>
      </c>
      <c r="E7" s="98">
        <v>0</v>
      </c>
      <c r="F7" s="95">
        <f t="shared" si="0"/>
        <v>0</v>
      </c>
      <c r="G7" s="95">
        <f t="shared" ref="G7:G10" si="6">F7*0.05</f>
        <v>0</v>
      </c>
      <c r="H7" s="95">
        <f>F7*0.1</f>
        <v>0</v>
      </c>
      <c r="I7" s="107">
        <f t="shared" si="2"/>
        <v>0</v>
      </c>
      <c r="K7" s="120" t="s">
        <v>117</v>
      </c>
      <c r="L7" s="151">
        <v>26.75</v>
      </c>
    </row>
    <row r="8" spans="1:253" s="33" customFormat="1" ht="13.9" customHeight="1" x14ac:dyDescent="0.2">
      <c r="A8" s="99" t="s">
        <v>6</v>
      </c>
      <c r="B8" s="94">
        <v>0.5</v>
      </c>
      <c r="C8" s="94">
        <v>1.2</v>
      </c>
      <c r="D8" s="94">
        <f t="shared" si="5"/>
        <v>0.6</v>
      </c>
      <c r="E8" s="109">
        <v>0</v>
      </c>
      <c r="F8" s="110">
        <f t="shared" si="0"/>
        <v>0</v>
      </c>
      <c r="G8" s="110">
        <f t="shared" si="6"/>
        <v>0</v>
      </c>
      <c r="H8" s="110">
        <f>F8*0.1</f>
        <v>0</v>
      </c>
      <c r="I8" s="107">
        <f t="shared" si="2"/>
        <v>0</v>
      </c>
    </row>
    <row r="9" spans="1:253" s="33" customFormat="1" ht="13.9" customHeight="1" x14ac:dyDescent="0.2">
      <c r="A9" s="99" t="s">
        <v>7</v>
      </c>
      <c r="B9" s="92">
        <v>8</v>
      </c>
      <c r="C9" s="94">
        <v>1.2</v>
      </c>
      <c r="D9" s="94">
        <f t="shared" si="5"/>
        <v>9.6</v>
      </c>
      <c r="E9" s="109">
        <v>0</v>
      </c>
      <c r="F9" s="110">
        <f t="shared" si="0"/>
        <v>0</v>
      </c>
      <c r="G9" s="110">
        <f t="shared" si="6"/>
        <v>0</v>
      </c>
      <c r="H9" s="110">
        <f>F9*0.1</f>
        <v>0</v>
      </c>
      <c r="I9" s="107">
        <f t="shared" si="2"/>
        <v>0</v>
      </c>
    </row>
    <row r="10" spans="1:253" s="33" customFormat="1" ht="13.9" customHeight="1" x14ac:dyDescent="0.2">
      <c r="A10" s="99" t="s">
        <v>8</v>
      </c>
      <c r="B10" s="92">
        <v>4</v>
      </c>
      <c r="C10" s="93">
        <v>2</v>
      </c>
      <c r="D10" s="92">
        <f t="shared" si="5"/>
        <v>8</v>
      </c>
      <c r="E10" s="98">
        <v>116</v>
      </c>
      <c r="F10" s="108">
        <f t="shared" si="0"/>
        <v>928</v>
      </c>
      <c r="G10" s="95">
        <f t="shared" si="6"/>
        <v>46.400000000000006</v>
      </c>
      <c r="H10" s="95">
        <f>F10*0.1</f>
        <v>92.800000000000011</v>
      </c>
      <c r="I10" s="96">
        <f>F10*$L$6+G10*$L$5+H10*$L$7</f>
        <v>51453.887999999999</v>
      </c>
    </row>
    <row r="11" spans="1:253" s="33" customFormat="1" ht="16.5" customHeight="1" x14ac:dyDescent="0.2">
      <c r="A11" s="100" t="s">
        <v>124</v>
      </c>
      <c r="B11" s="101"/>
      <c r="C11" s="102"/>
      <c r="D11" s="93"/>
      <c r="E11" s="95"/>
      <c r="F11" s="229">
        <f>ROUND(SUM(F4:H10),-1)</f>
        <v>1070</v>
      </c>
      <c r="G11" s="230"/>
      <c r="H11" s="231"/>
      <c r="I11" s="103">
        <f>ROUND(I10, -2)</f>
        <v>51500</v>
      </c>
    </row>
    <row r="12" spans="1:253" s="33" customFormat="1" ht="12.75" x14ac:dyDescent="0.2">
      <c r="A12" s="62"/>
      <c r="B12" s="62"/>
      <c r="C12" s="62"/>
      <c r="D12" s="62"/>
      <c r="E12" s="62"/>
      <c r="F12" s="62"/>
      <c r="G12" s="62"/>
    </row>
    <row r="13" spans="1:253" s="146" customFormat="1" x14ac:dyDescent="0.25">
      <c r="A13" s="156" t="s">
        <v>1</v>
      </c>
      <c r="B13" s="62"/>
      <c r="C13" s="62"/>
      <c r="D13" s="62"/>
      <c r="E13" s="62"/>
      <c r="F13" s="62"/>
      <c r="G13" s="62"/>
      <c r="H13" s="62"/>
      <c r="I13" s="33"/>
      <c r="J13" s="60"/>
      <c r="K13" s="60"/>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row>
    <row r="14" spans="1:253" s="146" customFormat="1" ht="40.5" customHeight="1" x14ac:dyDescent="0.25">
      <c r="A14" s="202" t="s">
        <v>125</v>
      </c>
      <c r="B14" s="202"/>
      <c r="C14" s="202"/>
      <c r="D14" s="202"/>
      <c r="E14" s="202"/>
      <c r="F14" s="202"/>
      <c r="G14" s="202"/>
      <c r="H14" s="202"/>
      <c r="I14" s="202"/>
      <c r="J14" s="144"/>
      <c r="K14" s="144"/>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row>
    <row r="15" spans="1:253" ht="27.75" customHeight="1" x14ac:dyDescent="0.25">
      <c r="A15" s="217" t="s">
        <v>119</v>
      </c>
      <c r="B15" s="217"/>
      <c r="C15" s="217"/>
      <c r="D15" s="217"/>
      <c r="E15" s="217"/>
      <c r="F15" s="217"/>
      <c r="G15" s="217"/>
      <c r="H15" s="217"/>
      <c r="I15" s="217"/>
    </row>
    <row r="16" spans="1:253" ht="16.5" x14ac:dyDescent="0.25">
      <c r="A16" s="228" t="s">
        <v>69</v>
      </c>
      <c r="B16" s="228"/>
      <c r="C16" s="228"/>
      <c r="D16" s="228"/>
      <c r="E16" s="228"/>
      <c r="F16" s="228"/>
      <c r="G16" s="228"/>
      <c r="H16" s="228"/>
      <c r="I16" s="228"/>
    </row>
    <row r="19" spans="10:253" s="146" customFormat="1" hidden="1" x14ac:dyDescent="0.2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c r="IR19" s="145"/>
    </row>
    <row r="20" spans="10:253" s="33" customFormat="1" ht="12.75" x14ac:dyDescent="0.2"/>
    <row r="21" spans="10:253" s="33" customFormat="1" ht="13.9" customHeight="1" x14ac:dyDescent="0.2"/>
    <row r="22" spans="10:253" s="33" customFormat="1" ht="25.5" customHeight="1" x14ac:dyDescent="0.2"/>
    <row r="23" spans="10:253" s="33" customFormat="1" ht="13.9" customHeight="1" x14ac:dyDescent="0.2"/>
    <row r="24" spans="10:253" s="33" customFormat="1" ht="13.9" customHeight="1" x14ac:dyDescent="0.2"/>
    <row r="25" spans="10:253" s="33" customFormat="1" ht="13.9" customHeight="1" x14ac:dyDescent="0.2"/>
    <row r="26" spans="10:253" s="33" customFormat="1" ht="13.9" customHeight="1" x14ac:dyDescent="0.2"/>
    <row r="27" spans="10:253" s="33" customFormat="1" ht="13.9" customHeight="1" x14ac:dyDescent="0.2"/>
    <row r="28" spans="10:253" s="33" customFormat="1" ht="13.9" customHeight="1" x14ac:dyDescent="0.2"/>
    <row r="29" spans="10:253" s="33" customFormat="1" ht="13.9" customHeight="1" x14ac:dyDescent="0.2"/>
    <row r="30" spans="10:253" s="33" customFormat="1" ht="12.75" x14ac:dyDescent="0.2"/>
    <row r="31" spans="10:253" s="146" customFormat="1" x14ac:dyDescent="0.25">
      <c r="J31" s="60"/>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row>
  </sheetData>
  <mergeCells count="6">
    <mergeCell ref="A16:I16"/>
    <mergeCell ref="A14:I14"/>
    <mergeCell ref="K4:L4"/>
    <mergeCell ref="A15:I15"/>
    <mergeCell ref="A1:I1"/>
    <mergeCell ref="F11:H11"/>
  </mergeCells>
  <phoneticPr fontId="0" type="noConversion"/>
  <pageMargins left="0.25" right="0.25" top="0.5" bottom="0.44" header="0.5" footer="0.5"/>
  <pageSetup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topLeftCell="A5" workbookViewId="0">
      <selection activeCell="B18" sqref="B18"/>
    </sheetView>
  </sheetViews>
  <sheetFormatPr defaultColWidth="8.88671875" defaultRowHeight="15.75" x14ac:dyDescent="0.25"/>
  <cols>
    <col min="1" max="1" width="32.5546875" style="32" customWidth="1"/>
    <col min="2" max="2" width="10.44140625" style="32" customWidth="1"/>
    <col min="3" max="8" width="8.88671875" style="32"/>
    <col min="9" max="9" width="9.44140625" style="32" customWidth="1"/>
    <col min="10" max="10" width="4.33203125" style="32" customWidth="1"/>
    <col min="11" max="16384" width="8.88671875" style="32"/>
  </cols>
  <sheetData>
    <row r="1" spans="1:12" ht="32.25" customHeight="1" x14ac:dyDescent="0.25">
      <c r="A1" s="200" t="s">
        <v>109</v>
      </c>
      <c r="B1" s="200"/>
      <c r="C1" s="200"/>
      <c r="D1" s="200"/>
      <c r="E1" s="200"/>
      <c r="F1" s="200"/>
      <c r="G1" s="200"/>
      <c r="H1" s="200"/>
      <c r="I1" s="200"/>
    </row>
    <row r="2" spans="1:12" ht="11.25" customHeight="1" x14ac:dyDescent="0.25">
      <c r="A2" s="60"/>
      <c r="B2" s="148"/>
      <c r="C2" s="60"/>
      <c r="D2" s="60"/>
      <c r="E2" s="60"/>
    </row>
    <row r="3" spans="1:12" ht="63.75" x14ac:dyDescent="0.25">
      <c r="A3" s="133" t="s">
        <v>10</v>
      </c>
      <c r="B3" s="14" t="s">
        <v>81</v>
      </c>
      <c r="C3" s="111" t="s">
        <v>79</v>
      </c>
      <c r="D3" s="14" t="s">
        <v>83</v>
      </c>
      <c r="E3" s="14" t="s">
        <v>127</v>
      </c>
      <c r="F3" s="15" t="s">
        <v>82</v>
      </c>
      <c r="G3" s="15" t="s">
        <v>84</v>
      </c>
      <c r="H3" s="15" t="s">
        <v>85</v>
      </c>
      <c r="I3" s="15" t="s">
        <v>68</v>
      </c>
    </row>
    <row r="4" spans="1:12" x14ac:dyDescent="0.25">
      <c r="A4" s="91" t="s">
        <v>126</v>
      </c>
      <c r="B4" s="92">
        <v>4</v>
      </c>
      <c r="C4" s="93">
        <v>1.2</v>
      </c>
      <c r="D4" s="94">
        <f t="shared" ref="D4:D10" si="0">B4*C4</f>
        <v>4.8</v>
      </c>
      <c r="E4" s="93">
        <v>0</v>
      </c>
      <c r="F4" s="95">
        <f t="shared" ref="F4:F10" si="1">D4*E4</f>
        <v>0</v>
      </c>
      <c r="G4" s="95">
        <f t="shared" ref="G4:G10" si="2">F4*0.05</f>
        <v>0</v>
      </c>
      <c r="H4" s="95">
        <f t="shared" ref="H4:H10" si="3">F4*0.1</f>
        <v>0</v>
      </c>
      <c r="I4" s="113">
        <f>F4*'Table 2a'!F$2+G4*'Table 2a'!G$2+H4*'Table 2a'!H$2</f>
        <v>0</v>
      </c>
      <c r="K4" s="233" t="s">
        <v>114</v>
      </c>
      <c r="L4" s="234"/>
    </row>
    <row r="5" spans="1:12" ht="15" customHeight="1" x14ac:dyDescent="0.25">
      <c r="A5" s="97" t="s">
        <v>5</v>
      </c>
      <c r="B5" s="92">
        <v>2</v>
      </c>
      <c r="C5" s="93">
        <v>1</v>
      </c>
      <c r="D5" s="92">
        <f t="shared" si="0"/>
        <v>2</v>
      </c>
      <c r="E5" s="98">
        <v>0</v>
      </c>
      <c r="F5" s="95">
        <f t="shared" si="1"/>
        <v>0</v>
      </c>
      <c r="G5" s="95">
        <f t="shared" si="2"/>
        <v>0</v>
      </c>
      <c r="H5" s="95">
        <f t="shared" si="3"/>
        <v>0</v>
      </c>
      <c r="I5" s="113">
        <f>F5*'Table 2a'!F$2+G5*'Table 2a'!G$2+H5*'Table 2a'!H$2</f>
        <v>0</v>
      </c>
      <c r="K5" s="120" t="s">
        <v>115</v>
      </c>
      <c r="L5" s="149">
        <v>66.62</v>
      </c>
    </row>
    <row r="6" spans="1:12" x14ac:dyDescent="0.25">
      <c r="A6" s="99" t="s">
        <v>4</v>
      </c>
      <c r="B6" s="112">
        <v>0.5</v>
      </c>
      <c r="C6" s="92">
        <v>1</v>
      </c>
      <c r="D6" s="94">
        <f t="shared" si="0"/>
        <v>0.5</v>
      </c>
      <c r="E6" s="109">
        <v>0</v>
      </c>
      <c r="F6" s="110">
        <f t="shared" si="1"/>
        <v>0</v>
      </c>
      <c r="G6" s="110">
        <f t="shared" si="2"/>
        <v>0</v>
      </c>
      <c r="H6" s="110">
        <f t="shared" si="3"/>
        <v>0</v>
      </c>
      <c r="I6" s="114">
        <f>F6*'Table 2a'!F$2+G6*'Table 2a'!G$2+H6*'Table 2a'!H$2</f>
        <v>0</v>
      </c>
      <c r="K6" s="120" t="s">
        <v>116</v>
      </c>
      <c r="L6" s="149">
        <v>49.44</v>
      </c>
    </row>
    <row r="7" spans="1:12" x14ac:dyDescent="0.25">
      <c r="A7" s="99" t="s">
        <v>3</v>
      </c>
      <c r="B7" s="112">
        <v>0.5</v>
      </c>
      <c r="C7" s="92">
        <v>1</v>
      </c>
      <c r="D7" s="94">
        <f t="shared" si="0"/>
        <v>0.5</v>
      </c>
      <c r="E7" s="109">
        <v>0</v>
      </c>
      <c r="F7" s="110">
        <f t="shared" si="1"/>
        <v>0</v>
      </c>
      <c r="G7" s="110">
        <f t="shared" si="2"/>
        <v>0</v>
      </c>
      <c r="H7" s="110">
        <f t="shared" si="3"/>
        <v>0</v>
      </c>
      <c r="I7" s="114">
        <f>F7*'Table 2a'!F$2+G7*'Table 2a'!G$2+H7*'Table 2a'!H$2</f>
        <v>0</v>
      </c>
      <c r="K7" s="120" t="s">
        <v>117</v>
      </c>
      <c r="L7" s="151">
        <v>26.75</v>
      </c>
    </row>
    <row r="8" spans="1:12" x14ac:dyDescent="0.25">
      <c r="A8" s="99" t="s">
        <v>6</v>
      </c>
      <c r="B8" s="112">
        <v>0.5</v>
      </c>
      <c r="C8" s="94">
        <v>1.2</v>
      </c>
      <c r="D8" s="94">
        <f t="shared" si="0"/>
        <v>0.6</v>
      </c>
      <c r="E8" s="109">
        <v>0</v>
      </c>
      <c r="F8" s="110">
        <f t="shared" si="1"/>
        <v>0</v>
      </c>
      <c r="G8" s="110">
        <f t="shared" si="2"/>
        <v>0</v>
      </c>
      <c r="H8" s="110">
        <f t="shared" si="3"/>
        <v>0</v>
      </c>
      <c r="I8" s="114">
        <f>F8*'Table 2a'!F$2+G8*'Table 2a'!G$2+H8*'Table 2a'!H$2</f>
        <v>0</v>
      </c>
    </row>
    <row r="9" spans="1:12" x14ac:dyDescent="0.25">
      <c r="A9" s="99" t="s">
        <v>7</v>
      </c>
      <c r="B9" s="112">
        <v>8</v>
      </c>
      <c r="C9" s="94">
        <v>1.2</v>
      </c>
      <c r="D9" s="94">
        <f t="shared" si="0"/>
        <v>9.6</v>
      </c>
      <c r="E9" s="109">
        <v>0</v>
      </c>
      <c r="F9" s="110">
        <f t="shared" si="1"/>
        <v>0</v>
      </c>
      <c r="G9" s="110">
        <f t="shared" si="2"/>
        <v>0</v>
      </c>
      <c r="H9" s="110">
        <f t="shared" si="3"/>
        <v>0</v>
      </c>
      <c r="I9" s="114">
        <f>F9*'Table 2a'!F$2+G9*'Table 2a'!G$2+H9*'Table 2a'!H$2</f>
        <v>0</v>
      </c>
    </row>
    <row r="10" spans="1:12" x14ac:dyDescent="0.25">
      <c r="A10" s="99" t="s">
        <v>8</v>
      </c>
      <c r="B10" s="92">
        <v>4</v>
      </c>
      <c r="C10" s="93">
        <v>2</v>
      </c>
      <c r="D10" s="92">
        <f t="shared" si="0"/>
        <v>8</v>
      </c>
      <c r="E10" s="98">
        <v>46</v>
      </c>
      <c r="F10" s="95">
        <f t="shared" si="1"/>
        <v>368</v>
      </c>
      <c r="G10" s="95">
        <f t="shared" si="2"/>
        <v>18.400000000000002</v>
      </c>
      <c r="H10" s="95">
        <f t="shared" si="3"/>
        <v>36.800000000000004</v>
      </c>
      <c r="I10" s="115">
        <f>F10*L$6+G10*L$5+H10*L$7</f>
        <v>20404.128000000001</v>
      </c>
    </row>
    <row r="11" spans="1:12" x14ac:dyDescent="0.25">
      <c r="A11" s="100" t="s">
        <v>124</v>
      </c>
      <c r="B11" s="101"/>
      <c r="C11" s="102"/>
      <c r="D11" s="93"/>
      <c r="E11" s="95"/>
      <c r="F11" s="229">
        <f>SUM(F4:H10)</f>
        <v>423.2</v>
      </c>
      <c r="G11" s="230"/>
      <c r="H11" s="231"/>
      <c r="I11" s="116">
        <f>ROUND(SUM(I4:I10), -2)</f>
        <v>20400</v>
      </c>
    </row>
    <row r="12" spans="1:12" x14ac:dyDescent="0.25">
      <c r="A12" s="62"/>
      <c r="B12" s="62"/>
      <c r="C12" s="62"/>
      <c r="D12" s="62"/>
      <c r="E12" s="62"/>
      <c r="F12" s="62"/>
      <c r="G12" s="62"/>
      <c r="H12" s="33"/>
      <c r="I12" s="33"/>
    </row>
    <row r="13" spans="1:12" x14ac:dyDescent="0.25">
      <c r="A13" s="156" t="s">
        <v>1</v>
      </c>
      <c r="B13" s="60"/>
      <c r="C13" s="60"/>
      <c r="D13" s="60"/>
      <c r="E13" s="60"/>
      <c r="F13" s="60"/>
      <c r="H13" s="60"/>
      <c r="I13" s="60"/>
    </row>
    <row r="14" spans="1:12" ht="33" customHeight="1" x14ac:dyDescent="0.25">
      <c r="A14" s="232" t="s">
        <v>129</v>
      </c>
      <c r="B14" s="232"/>
      <c r="C14" s="232"/>
      <c r="D14" s="232"/>
      <c r="E14" s="232"/>
      <c r="F14" s="232"/>
      <c r="G14" s="232"/>
      <c r="H14" s="232"/>
      <c r="I14" s="232"/>
    </row>
    <row r="15" spans="1:12" ht="47.25" customHeight="1" x14ac:dyDescent="0.25">
      <c r="A15" s="217" t="s">
        <v>119</v>
      </c>
      <c r="B15" s="217"/>
      <c r="C15" s="217"/>
      <c r="D15" s="217"/>
      <c r="E15" s="217"/>
      <c r="F15" s="217"/>
      <c r="G15" s="217"/>
      <c r="H15" s="217"/>
      <c r="I15" s="217"/>
    </row>
    <row r="16" spans="1:12" ht="16.5" customHeight="1" x14ac:dyDescent="0.25">
      <c r="A16" s="228" t="s">
        <v>69</v>
      </c>
      <c r="B16" s="228"/>
      <c r="C16" s="228"/>
      <c r="D16" s="228"/>
      <c r="E16" s="228"/>
      <c r="F16" s="228"/>
      <c r="G16" s="228"/>
      <c r="H16" s="228"/>
      <c r="I16" s="228"/>
    </row>
  </sheetData>
  <mergeCells count="6">
    <mergeCell ref="A16:I16"/>
    <mergeCell ref="A1:I1"/>
    <mergeCell ref="A14:I14"/>
    <mergeCell ref="K4:L4"/>
    <mergeCell ref="F11:H11"/>
    <mergeCell ref="A15:I1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topLeftCell="A17" workbookViewId="0">
      <selection activeCell="E34" sqref="E34"/>
    </sheetView>
  </sheetViews>
  <sheetFormatPr defaultColWidth="8.88671875" defaultRowHeight="12.75" x14ac:dyDescent="0.2"/>
  <cols>
    <col min="1" max="1" width="11.21875" style="33" customWidth="1"/>
    <col min="2" max="2" width="8.88671875" style="33"/>
    <col min="3" max="3" width="11.44140625" style="33" customWidth="1"/>
    <col min="4" max="4" width="19.6640625" style="33" customWidth="1"/>
    <col min="5" max="5" width="13" style="33" customWidth="1"/>
    <col min="6" max="6" width="13.109375" style="33" customWidth="1"/>
    <col min="7" max="7" width="8.88671875" style="33"/>
    <col min="8" max="8" width="12.33203125" style="33" customWidth="1"/>
    <col min="9" max="9" width="10.5546875" style="33" customWidth="1"/>
    <col min="10" max="10" width="12.77734375" style="33" customWidth="1"/>
    <col min="11" max="16384" width="8.88671875" style="33"/>
  </cols>
  <sheetData>
    <row r="1" spans="1:6" x14ac:dyDescent="0.2">
      <c r="A1" s="235" t="s">
        <v>34</v>
      </c>
      <c r="B1" s="236"/>
      <c r="C1" s="236"/>
      <c r="D1" s="236"/>
      <c r="E1" s="236"/>
      <c r="F1" s="237"/>
    </row>
    <row r="2" spans="1:6" ht="25.5" x14ac:dyDescent="0.2">
      <c r="A2" s="134"/>
      <c r="B2" s="238" t="s">
        <v>35</v>
      </c>
      <c r="C2" s="239"/>
      <c r="D2" s="135" t="s">
        <v>36</v>
      </c>
      <c r="E2" s="238"/>
      <c r="F2" s="239"/>
    </row>
    <row r="3" spans="1:6" x14ac:dyDescent="0.2">
      <c r="A3" s="40"/>
      <c r="B3" s="41" t="s">
        <v>37</v>
      </c>
      <c r="C3" s="41" t="s">
        <v>38</v>
      </c>
      <c r="D3" s="41" t="s">
        <v>39</v>
      </c>
      <c r="E3" s="41" t="s">
        <v>40</v>
      </c>
      <c r="F3" s="41" t="s">
        <v>41</v>
      </c>
    </row>
    <row r="4" spans="1:6" ht="51" x14ac:dyDescent="0.2">
      <c r="A4" s="41" t="s">
        <v>42</v>
      </c>
      <c r="B4" s="41" t="s">
        <v>43</v>
      </c>
      <c r="C4" s="41" t="s">
        <v>44</v>
      </c>
      <c r="D4" s="42" t="s">
        <v>45</v>
      </c>
      <c r="E4" s="41" t="s">
        <v>46</v>
      </c>
      <c r="F4" s="41" t="s">
        <v>34</v>
      </c>
    </row>
    <row r="5" spans="1:6" x14ac:dyDescent="0.2">
      <c r="A5" s="41"/>
      <c r="B5" s="41"/>
      <c r="C5" s="41"/>
      <c r="D5" s="41"/>
      <c r="E5" s="41"/>
      <c r="F5" s="41" t="s">
        <v>47</v>
      </c>
    </row>
    <row r="6" spans="1:6" x14ac:dyDescent="0.2">
      <c r="A6" s="43">
        <v>1</v>
      </c>
      <c r="B6" s="44">
        <v>0</v>
      </c>
      <c r="C6" s="44">
        <v>116</v>
      </c>
      <c r="D6" s="45">
        <v>0</v>
      </c>
      <c r="E6" s="44">
        <v>0</v>
      </c>
      <c r="F6" s="44">
        <f>B6+C6+D6-E6</f>
        <v>116</v>
      </c>
    </row>
    <row r="7" spans="1:6" x14ac:dyDescent="0.2">
      <c r="A7" s="43">
        <v>2</v>
      </c>
      <c r="B7" s="44">
        <v>0</v>
      </c>
      <c r="C7" s="44">
        <f>B7+C6</f>
        <v>116</v>
      </c>
      <c r="D7" s="45">
        <v>0</v>
      </c>
      <c r="E7" s="45">
        <v>0</v>
      </c>
      <c r="F7" s="45">
        <f t="shared" ref="F7:F8" si="0">B7+C7+D7-E7</f>
        <v>116</v>
      </c>
    </row>
    <row r="8" spans="1:6" x14ac:dyDescent="0.2">
      <c r="A8" s="43">
        <v>3</v>
      </c>
      <c r="B8" s="44">
        <v>0</v>
      </c>
      <c r="C8" s="44">
        <f>B8+C7</f>
        <v>116</v>
      </c>
      <c r="D8" s="45">
        <v>0</v>
      </c>
      <c r="E8" s="45">
        <v>0</v>
      </c>
      <c r="F8" s="45">
        <f t="shared" si="0"/>
        <v>116</v>
      </c>
    </row>
    <row r="9" spans="1:6" x14ac:dyDescent="0.2">
      <c r="A9" s="43" t="s">
        <v>48</v>
      </c>
      <c r="B9" s="44">
        <f>AVERAGE(B6:B8)</f>
        <v>0</v>
      </c>
      <c r="C9" s="44">
        <f t="shared" ref="C9:F9" si="1">AVERAGE(C6:C8)</f>
        <v>116</v>
      </c>
      <c r="D9" s="44">
        <f t="shared" si="1"/>
        <v>0</v>
      </c>
      <c r="E9" s="44">
        <f t="shared" si="1"/>
        <v>0</v>
      </c>
      <c r="F9" s="44">
        <f t="shared" si="1"/>
        <v>116</v>
      </c>
    </row>
    <row r="10" spans="1:6" ht="15.75" x14ac:dyDescent="0.2">
      <c r="A10" s="46" t="s">
        <v>90</v>
      </c>
      <c r="B10" s="46"/>
      <c r="C10" s="46"/>
      <c r="D10" s="46"/>
      <c r="E10" s="46"/>
      <c r="F10" s="46"/>
    </row>
    <row r="12" spans="1:6" x14ac:dyDescent="0.2">
      <c r="A12" s="136" t="s">
        <v>88</v>
      </c>
    </row>
    <row r="13" spans="1:6" ht="25.5" x14ac:dyDescent="0.2">
      <c r="A13" s="121" t="s">
        <v>70</v>
      </c>
      <c r="B13" s="121" t="s">
        <v>71</v>
      </c>
      <c r="C13" s="121" t="s">
        <v>72</v>
      </c>
      <c r="D13" s="121" t="s">
        <v>73</v>
      </c>
      <c r="E13" s="121" t="s">
        <v>74</v>
      </c>
    </row>
    <row r="14" spans="1:6" x14ac:dyDescent="0.2">
      <c r="A14" s="122" t="s">
        <v>75</v>
      </c>
      <c r="B14" s="123">
        <f>SUM('Table 1a'!F7:H19)</f>
        <v>8137.4</v>
      </c>
      <c r="C14" s="123">
        <f>SUM('Table 1a'!F27:H27)</f>
        <v>121727.5</v>
      </c>
      <c r="D14" s="123">
        <f>ROUND(SUM(B14:C14),-3)</f>
        <v>130000</v>
      </c>
      <c r="E14" s="124">
        <f>'Table 1a'!I33</f>
        <v>15000000</v>
      </c>
    </row>
    <row r="15" spans="1:6" x14ac:dyDescent="0.2">
      <c r="A15" s="122" t="s">
        <v>76</v>
      </c>
      <c r="B15" s="123">
        <f>SUM('Table 1b'!F7:H19)</f>
        <v>2433.4</v>
      </c>
      <c r="C15" s="123">
        <f>SUM('Table 1b'!F28:H29)</f>
        <v>51022.711250000008</v>
      </c>
      <c r="D15" s="123">
        <f>ROUND(SUM(B15:C15), -2)</f>
        <v>53500</v>
      </c>
      <c r="E15" s="124">
        <f>'Table 1b'!I35</f>
        <v>6220000</v>
      </c>
    </row>
    <row r="16" spans="1:6" x14ac:dyDescent="0.2">
      <c r="A16" s="125" t="s">
        <v>54</v>
      </c>
      <c r="B16" s="126"/>
      <c r="C16" s="126"/>
      <c r="D16" s="127">
        <f>ROUND(SUM(D14:D15),-3)</f>
        <v>184000</v>
      </c>
      <c r="E16" s="128">
        <f>ROUND(SUM(E14:E15),-5)</f>
        <v>21200000</v>
      </c>
    </row>
    <row r="20" spans="1:5" x14ac:dyDescent="0.2">
      <c r="A20" s="136" t="s">
        <v>89</v>
      </c>
    </row>
    <row r="21" spans="1:5" ht="25.5" x14ac:dyDescent="0.2">
      <c r="A21" s="121" t="s">
        <v>70</v>
      </c>
      <c r="B21" s="121" t="s">
        <v>87</v>
      </c>
      <c r="C21" s="121" t="s">
        <v>74</v>
      </c>
    </row>
    <row r="22" spans="1:5" x14ac:dyDescent="0.2">
      <c r="A22" s="122" t="s">
        <v>75</v>
      </c>
      <c r="B22" s="123">
        <f>'Table 2a'!F11</f>
        <v>1070</v>
      </c>
      <c r="C22" s="124">
        <f>'Table 2a'!I11</f>
        <v>51500</v>
      </c>
    </row>
    <row r="23" spans="1:5" x14ac:dyDescent="0.2">
      <c r="A23" s="122" t="s">
        <v>76</v>
      </c>
      <c r="B23" s="123">
        <f>'Table 2b'!F11</f>
        <v>423.2</v>
      </c>
      <c r="C23" s="124">
        <f>'Table 2b'!I11</f>
        <v>20400</v>
      </c>
    </row>
    <row r="24" spans="1:5" x14ac:dyDescent="0.2">
      <c r="A24" s="125" t="s">
        <v>54</v>
      </c>
      <c r="B24" s="127">
        <f>ROUND(SUM(B22:B23),-1)</f>
        <v>1490</v>
      </c>
      <c r="C24" s="128">
        <f>SUM(C22:C23)</f>
        <v>71900</v>
      </c>
    </row>
    <row r="27" spans="1:5" ht="15.75" x14ac:dyDescent="0.2">
      <c r="A27" s="240" t="s">
        <v>49</v>
      </c>
      <c r="B27" s="240"/>
      <c r="C27" s="240"/>
      <c r="D27" s="240"/>
      <c r="E27" s="240"/>
    </row>
    <row r="28" spans="1:5" ht="48" x14ac:dyDescent="0.2">
      <c r="A28" s="47" t="s">
        <v>50</v>
      </c>
      <c r="B28" s="48" t="s">
        <v>51</v>
      </c>
      <c r="C28" s="48" t="s">
        <v>113</v>
      </c>
      <c r="D28" s="49" t="s">
        <v>52</v>
      </c>
      <c r="E28" s="47" t="s">
        <v>53</v>
      </c>
    </row>
    <row r="29" spans="1:5" ht="38.25" x14ac:dyDescent="0.2">
      <c r="A29" s="50" t="s">
        <v>56</v>
      </c>
      <c r="B29" s="51">
        <v>116</v>
      </c>
      <c r="C29" s="51">
        <v>2</v>
      </c>
      <c r="D29" s="52">
        <v>0</v>
      </c>
      <c r="E29" s="52">
        <f>B29*C29+D29</f>
        <v>232</v>
      </c>
    </row>
    <row r="30" spans="1:5" ht="38.25" x14ac:dyDescent="0.2">
      <c r="A30" s="50" t="s">
        <v>57</v>
      </c>
      <c r="B30" s="51">
        <v>46</v>
      </c>
      <c r="C30" s="51">
        <v>2</v>
      </c>
      <c r="D30" s="52">
        <v>0</v>
      </c>
      <c r="E30" s="52">
        <f>B30*C30+D30</f>
        <v>92</v>
      </c>
    </row>
    <row r="31" spans="1:5" x14ac:dyDescent="0.2">
      <c r="A31" s="53"/>
      <c r="B31" s="53"/>
      <c r="C31" s="53"/>
      <c r="D31" s="54" t="s">
        <v>54</v>
      </c>
      <c r="E31" s="54">
        <f>SUM(E29:E30)</f>
        <v>324</v>
      </c>
    </row>
    <row r="32" spans="1:5" ht="26.25" customHeight="1" x14ac:dyDescent="0.2">
      <c r="A32" s="241" t="s">
        <v>112</v>
      </c>
      <c r="B32" s="241"/>
      <c r="C32" s="241"/>
      <c r="D32" s="241"/>
      <c r="E32" s="241"/>
    </row>
    <row r="33" spans="1:5" x14ac:dyDescent="0.2">
      <c r="A33" s="55"/>
      <c r="B33" s="55"/>
      <c r="C33" s="55"/>
      <c r="D33" s="56" t="s">
        <v>55</v>
      </c>
      <c r="E33" s="57">
        <f>(SUM('Table 1b'!F35:H35,'Table 1a'!F33:H33))/'O&amp;M'!E31</f>
        <v>566.97530864197529</v>
      </c>
    </row>
  </sheetData>
  <mergeCells count="5">
    <mergeCell ref="A1:F1"/>
    <mergeCell ref="B2:C2"/>
    <mergeCell ref="E2:F2"/>
    <mergeCell ref="A27:E27"/>
    <mergeCell ref="A32:E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6" ma:contentTypeDescription="Create a new document." ma:contentTypeScope="" ma:versionID="e2639bbbb30a5e8a5e9fedbedbfe4134">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88fa74547581242d5b740bb33b8839b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2020-07-14T12:45:46+00:00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40805E3E-F3BE-4997-8C75-74B92553E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736-79C9-4856-9C20-F2F89435F852}">
  <ds:schemaRefs>
    <ds:schemaRef ds:uri="Microsoft.SharePoint.Taxonomy.ContentTypeSync"/>
  </ds:schemaRefs>
</ds:datastoreItem>
</file>

<file path=customXml/itemProps3.xml><?xml version="1.0" encoding="utf-8"?>
<ds:datastoreItem xmlns:ds="http://schemas.openxmlformats.org/officeDocument/2006/customXml" ds:itemID="{3714231F-B0EA-4ED5-BE6C-754B7CD4EFE5}">
  <ds:schemaRefs>
    <ds:schemaRef ds:uri="http://schemas.microsoft.com/sharepoint/v3/contenttype/forms"/>
  </ds:schemaRefs>
</ds:datastoreItem>
</file>

<file path=customXml/itemProps4.xml><?xml version="1.0" encoding="utf-8"?>
<ds:datastoreItem xmlns:ds="http://schemas.openxmlformats.org/officeDocument/2006/customXml" ds:itemID="{56A37B0C-9414-4DAE-8B0E-BAB0F8EAB8E2}">
  <ds:schemaRefs>
    <ds:schemaRef ds:uri="4ffa91fb-a0ff-4ac5-b2db-65c790d184a4"/>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0a649cfe-4b5c-4768-8616-91f3c5fa8351"/>
    <ds:schemaRef ds:uri="http://schemas.microsoft.com/office/2006/metadata/properties"/>
    <ds:schemaRef ds:uri="http://purl.org/dc/elements/1.1/"/>
    <ds:schemaRef ds:uri="80377dfa-2fcc-4c15-9433-ebfcd06defd6"/>
    <ds:schemaRef ds:uri="http://schemas.microsoft.com/sharepoint/v3/field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1a</vt:lpstr>
      <vt:lpstr>Table 1b</vt:lpstr>
      <vt:lpstr>Table 2a</vt:lpstr>
      <vt:lpstr>Table 2b</vt:lpstr>
      <vt:lpstr>O&amp;M</vt:lpstr>
      <vt:lpstr>'Table 1a'!Print_Area</vt:lpstr>
    </vt:vector>
  </TitlesOfParts>
  <Company>Eastern Research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DWang</dc:creator>
  <cp:lastModifiedBy>wwrigley</cp:lastModifiedBy>
  <cp:lastPrinted>2009-11-02T18:25:56Z</cp:lastPrinted>
  <dcterms:created xsi:type="dcterms:W3CDTF">2006-08-15T22:13:40Z</dcterms:created>
  <dcterms:modified xsi:type="dcterms:W3CDTF">2020-07-14T12:45:55Z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