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tkinson\Air Quality Final Rule\"/>
    </mc:Choice>
  </mc:AlternateContent>
  <xr:revisionPtr revIDLastSave="0" documentId="13_ncr:1_{A64F785C-909C-4F24-8ACE-EB24D090A5B0}" xr6:coauthVersionLast="44" xr6:coauthVersionMax="44" xr10:uidLastSave="{00000000-0000-0000-0000-000000000000}"/>
  <bookViews>
    <workbookView xWindow="-19320" yWindow="585" windowWidth="19440" windowHeight="15000" tabRatio="939" xr2:uid="{00000000-000D-0000-FFFF-FFFF00000000}"/>
  </bookViews>
  <sheets>
    <sheet name="TITLE" sheetId="2" r:id="rId1"/>
    <sheet name="FACTORS" sheetId="3" r:id="rId2"/>
    <sheet name="EMISSIONS1" sheetId="4" r:id="rId3"/>
    <sheet name="EMISSIONS2" sheetId="11" r:id="rId4"/>
    <sheet name="EMISSIONS3" sheetId="12" r:id="rId5"/>
    <sheet name="EMISSIONS4" sheetId="13" r:id="rId6"/>
    <sheet name="EMISSIONS5" sheetId="14" r:id="rId7"/>
    <sheet name="EMISSIONS6" sheetId="16" r:id="rId8"/>
    <sheet name="EMISSIONS7" sheetId="15" r:id="rId9"/>
    <sheet name="EMISSIONS8" sheetId="17" r:id="rId10"/>
    <sheet name="EMISSIONS9" sheetId="18" r:id="rId11"/>
    <sheet name="EMISSIONS10" sheetId="19" r:id="rId12"/>
    <sheet name="SUMMARY" sheetId="9" r:id="rId13"/>
  </sheets>
  <externalReferences>
    <externalReference r:id="rId14"/>
  </externalReferences>
  <definedNames>
    <definedName name="_xlnm.Criteria" localSheetId="2">EMISSIONS1!$J$32</definedName>
    <definedName name="_xlnm.Criteria" localSheetId="11">EMISSIONS10!$J$32</definedName>
    <definedName name="_xlnm.Criteria" localSheetId="3">EMISSIONS2!$J$32</definedName>
    <definedName name="_xlnm.Criteria" localSheetId="4">EMISSIONS3!$J$32</definedName>
    <definedName name="_xlnm.Criteria" localSheetId="5">EMISSIONS4!$J$32</definedName>
    <definedName name="_xlnm.Criteria" localSheetId="6">EMISSIONS5!$J$32</definedName>
    <definedName name="_xlnm.Criteria" localSheetId="7">EMISSIONS6!$J$32</definedName>
    <definedName name="_xlnm.Criteria" localSheetId="8">EMISSIONS7!$J$32</definedName>
    <definedName name="_xlnm.Criteria" localSheetId="9">EMISSIONS8!$J$32</definedName>
    <definedName name="_xlnm.Criteria" localSheetId="10">EMISSIONS9!$J$32</definedName>
    <definedName name="_xlnm.Criteria" localSheetId="1">FACTORS!#REF!</definedName>
    <definedName name="_xlnm.Criteria" localSheetId="12">SUMMARY!#REF!</definedName>
    <definedName name="_xlnm.Print_Area" localSheetId="2">EMISSIONS1!$A$1:$V$73</definedName>
    <definedName name="_xlnm.Print_Area" localSheetId="11">EMISSIONS10!$A$1:$V$73</definedName>
    <definedName name="_xlnm.Print_Area" localSheetId="3">EMISSIONS2!$A$1:$V$73</definedName>
    <definedName name="_xlnm.Print_Area" localSheetId="4">EMISSIONS3!$A$1:$V$73</definedName>
    <definedName name="_xlnm.Print_Area" localSheetId="5">EMISSIONS4!$A$1:$V$73</definedName>
    <definedName name="_xlnm.Print_Area" localSheetId="6">EMISSIONS5!$A$1:$V$73</definedName>
    <definedName name="_xlnm.Print_Area" localSheetId="7">EMISSIONS6!$A$1:$V$73</definedName>
    <definedName name="_xlnm.Print_Area" localSheetId="8">EMISSIONS7!$A$1:$V$73</definedName>
    <definedName name="_xlnm.Print_Area" localSheetId="9">EMISSIONS8!$A$1:$V$73</definedName>
    <definedName name="_xlnm.Print_Area" localSheetId="10">EMISSIONS9!$A$1:$V$73</definedName>
    <definedName name="_xlnm.Print_Area" localSheetId="1">FACTORS!$A$1:$M$58</definedName>
    <definedName name="_xlnm.Print_Area" localSheetId="12">SUMMARY!$A$1:$G$17</definedName>
    <definedName name="_xlnm.Print_Area" localSheetId="0">TITLE!$A$1:$C$28</definedName>
    <definedName name="VESSEL_EF_OPTIONS">[1]Lookups!$BE$2:INDEX([1]Lookups!$BE$1:$BE$65536,COUNTA([1]Lookups!$BE$1:$BE$65536))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19" l="1"/>
  <c r="B50" i="18"/>
  <c r="B50" i="17"/>
  <c r="B50" i="15"/>
  <c r="B50" i="16"/>
  <c r="B50" i="14"/>
  <c r="B50" i="13"/>
  <c r="B50" i="12"/>
  <c r="B50" i="11"/>
  <c r="O41" i="19"/>
  <c r="V41" i="19" s="1"/>
  <c r="N41" i="19"/>
  <c r="U41" i="19" s="1"/>
  <c r="M41" i="19"/>
  <c r="T41" i="19" s="1"/>
  <c r="L41" i="19"/>
  <c r="S41" i="19" s="1"/>
  <c r="K41" i="19"/>
  <c r="R41" i="19" s="1"/>
  <c r="J41" i="19"/>
  <c r="Q41" i="19" s="1"/>
  <c r="I41" i="19"/>
  <c r="P41" i="19" s="1"/>
  <c r="S41" i="18"/>
  <c r="O41" i="18"/>
  <c r="V41" i="18" s="1"/>
  <c r="N41" i="18"/>
  <c r="U41" i="18" s="1"/>
  <c r="M41" i="18"/>
  <c r="T41" i="18" s="1"/>
  <c r="L41" i="18"/>
  <c r="K41" i="18"/>
  <c r="R41" i="18" s="1"/>
  <c r="J41" i="18"/>
  <c r="Q41" i="18" s="1"/>
  <c r="I41" i="18"/>
  <c r="P41" i="18" s="1"/>
  <c r="T41" i="17"/>
  <c r="S41" i="17"/>
  <c r="P41" i="17"/>
  <c r="O41" i="17"/>
  <c r="V41" i="17" s="1"/>
  <c r="N41" i="17"/>
  <c r="U41" i="17" s="1"/>
  <c r="M41" i="17"/>
  <c r="L41" i="17"/>
  <c r="K41" i="17"/>
  <c r="R41" i="17" s="1"/>
  <c r="J41" i="17"/>
  <c r="Q41" i="17" s="1"/>
  <c r="I41" i="17"/>
  <c r="S41" i="15"/>
  <c r="O41" i="15"/>
  <c r="V41" i="15" s="1"/>
  <c r="N41" i="15"/>
  <c r="U41" i="15" s="1"/>
  <c r="M41" i="15"/>
  <c r="T41" i="15" s="1"/>
  <c r="L41" i="15"/>
  <c r="K41" i="15"/>
  <c r="R41" i="15" s="1"/>
  <c r="J41" i="15"/>
  <c r="Q41" i="15" s="1"/>
  <c r="I41" i="15"/>
  <c r="P41" i="15" s="1"/>
  <c r="S41" i="16"/>
  <c r="O41" i="16"/>
  <c r="V41" i="16" s="1"/>
  <c r="N41" i="16"/>
  <c r="U41" i="16" s="1"/>
  <c r="M41" i="16"/>
  <c r="T41" i="16" s="1"/>
  <c r="L41" i="16"/>
  <c r="K41" i="16"/>
  <c r="R41" i="16" s="1"/>
  <c r="J41" i="16"/>
  <c r="Q41" i="16" s="1"/>
  <c r="I41" i="16"/>
  <c r="P41" i="16" s="1"/>
  <c r="T41" i="14"/>
  <c r="S41" i="14"/>
  <c r="P41" i="14"/>
  <c r="O41" i="14"/>
  <c r="V41" i="14" s="1"/>
  <c r="N41" i="14"/>
  <c r="U41" i="14" s="1"/>
  <c r="M41" i="14"/>
  <c r="L41" i="14"/>
  <c r="K41" i="14"/>
  <c r="R41" i="14" s="1"/>
  <c r="J41" i="14"/>
  <c r="Q41" i="14" s="1"/>
  <c r="I41" i="14"/>
  <c r="S41" i="13"/>
  <c r="O41" i="13"/>
  <c r="V41" i="13" s="1"/>
  <c r="N41" i="13"/>
  <c r="U41" i="13" s="1"/>
  <c r="M41" i="13"/>
  <c r="T41" i="13" s="1"/>
  <c r="L41" i="13"/>
  <c r="K41" i="13"/>
  <c r="R41" i="13" s="1"/>
  <c r="J41" i="13"/>
  <c r="Q41" i="13" s="1"/>
  <c r="I41" i="13"/>
  <c r="P41" i="13" s="1"/>
  <c r="S41" i="12"/>
  <c r="O41" i="12"/>
  <c r="V41" i="12" s="1"/>
  <c r="N41" i="12"/>
  <c r="U41" i="12" s="1"/>
  <c r="M41" i="12"/>
  <c r="T41" i="12" s="1"/>
  <c r="L41" i="12"/>
  <c r="K41" i="12"/>
  <c r="R41" i="12" s="1"/>
  <c r="J41" i="12"/>
  <c r="Q41" i="12" s="1"/>
  <c r="I41" i="12"/>
  <c r="P41" i="12" s="1"/>
  <c r="S41" i="11"/>
  <c r="O41" i="11"/>
  <c r="V41" i="11" s="1"/>
  <c r="N41" i="11"/>
  <c r="U41" i="11" s="1"/>
  <c r="M41" i="11"/>
  <c r="T41" i="11" s="1"/>
  <c r="L41" i="11"/>
  <c r="K41" i="11"/>
  <c r="R41" i="11" s="1"/>
  <c r="J41" i="11"/>
  <c r="Q41" i="11" s="1"/>
  <c r="I41" i="11"/>
  <c r="P41" i="11" s="1"/>
  <c r="I41" i="4"/>
  <c r="O41" i="4"/>
  <c r="M41" i="4"/>
  <c r="N41" i="4"/>
  <c r="Q28" i="19" l="1"/>
  <c r="N28" i="19"/>
  <c r="U28" i="19" s="1"/>
  <c r="L28" i="19"/>
  <c r="S28" i="19" s="1"/>
  <c r="K28" i="19"/>
  <c r="R28" i="19" s="1"/>
  <c r="J28" i="19"/>
  <c r="I28" i="19"/>
  <c r="P28" i="19" s="1"/>
  <c r="S27" i="19"/>
  <c r="N27" i="19"/>
  <c r="U27" i="19" s="1"/>
  <c r="L27" i="19"/>
  <c r="K27" i="19"/>
  <c r="R27" i="19" s="1"/>
  <c r="J27" i="19"/>
  <c r="Q27" i="19" s="1"/>
  <c r="I27" i="19"/>
  <c r="P27" i="19" s="1"/>
  <c r="Q26" i="19"/>
  <c r="N26" i="19"/>
  <c r="U26" i="19" s="1"/>
  <c r="L26" i="19"/>
  <c r="S26" i="19" s="1"/>
  <c r="K26" i="19"/>
  <c r="R26" i="19" s="1"/>
  <c r="J26" i="19"/>
  <c r="I26" i="19"/>
  <c r="P26" i="19" s="1"/>
  <c r="Q28" i="18"/>
  <c r="N28" i="18"/>
  <c r="U28" i="18" s="1"/>
  <c r="L28" i="18"/>
  <c r="S28" i="18" s="1"/>
  <c r="K28" i="18"/>
  <c r="R28" i="18" s="1"/>
  <c r="J28" i="18"/>
  <c r="I28" i="18"/>
  <c r="P28" i="18" s="1"/>
  <c r="S27" i="18"/>
  <c r="N27" i="18"/>
  <c r="U27" i="18" s="1"/>
  <c r="L27" i="18"/>
  <c r="K27" i="18"/>
  <c r="R27" i="18" s="1"/>
  <c r="J27" i="18"/>
  <c r="Q27" i="18" s="1"/>
  <c r="I27" i="18"/>
  <c r="P27" i="18" s="1"/>
  <c r="Q26" i="18"/>
  <c r="N26" i="18"/>
  <c r="U26" i="18" s="1"/>
  <c r="L26" i="18"/>
  <c r="S26" i="18" s="1"/>
  <c r="K26" i="18"/>
  <c r="R26" i="18" s="1"/>
  <c r="J26" i="18"/>
  <c r="I26" i="18"/>
  <c r="P26" i="18" s="1"/>
  <c r="Q28" i="17"/>
  <c r="N28" i="17"/>
  <c r="U28" i="17" s="1"/>
  <c r="L28" i="17"/>
  <c r="S28" i="17" s="1"/>
  <c r="K28" i="17"/>
  <c r="R28" i="17" s="1"/>
  <c r="J28" i="17"/>
  <c r="I28" i="17"/>
  <c r="P28" i="17" s="1"/>
  <c r="S27" i="17"/>
  <c r="N27" i="17"/>
  <c r="U27" i="17" s="1"/>
  <c r="L27" i="17"/>
  <c r="K27" i="17"/>
  <c r="R27" i="17" s="1"/>
  <c r="J27" i="17"/>
  <c r="Q27" i="17" s="1"/>
  <c r="I27" i="17"/>
  <c r="P27" i="17" s="1"/>
  <c r="Q26" i="17"/>
  <c r="N26" i="17"/>
  <c r="U26" i="17" s="1"/>
  <c r="L26" i="17"/>
  <c r="S26" i="17" s="1"/>
  <c r="K26" i="17"/>
  <c r="R26" i="17" s="1"/>
  <c r="J26" i="17"/>
  <c r="I26" i="17"/>
  <c r="P26" i="17" s="1"/>
  <c r="Q28" i="15"/>
  <c r="N28" i="15"/>
  <c r="U28" i="15" s="1"/>
  <c r="L28" i="15"/>
  <c r="S28" i="15" s="1"/>
  <c r="K28" i="15"/>
  <c r="R28" i="15" s="1"/>
  <c r="J28" i="15"/>
  <c r="I28" i="15"/>
  <c r="P28" i="15" s="1"/>
  <c r="S27" i="15"/>
  <c r="Q27" i="15"/>
  <c r="N27" i="15"/>
  <c r="U27" i="15" s="1"/>
  <c r="L27" i="15"/>
  <c r="K27" i="15"/>
  <c r="R27" i="15" s="1"/>
  <c r="J27" i="15"/>
  <c r="I27" i="15"/>
  <c r="P27" i="15" s="1"/>
  <c r="S26" i="15"/>
  <c r="Q26" i="15"/>
  <c r="N26" i="15"/>
  <c r="U26" i="15" s="1"/>
  <c r="L26" i="15"/>
  <c r="K26" i="15"/>
  <c r="R26" i="15" s="1"/>
  <c r="J26" i="15"/>
  <c r="I26" i="15"/>
  <c r="P26" i="15" s="1"/>
  <c r="Q28" i="16"/>
  <c r="N28" i="16"/>
  <c r="U28" i="16" s="1"/>
  <c r="L28" i="16"/>
  <c r="S28" i="16" s="1"/>
  <c r="K28" i="16"/>
  <c r="R28" i="16" s="1"/>
  <c r="J28" i="16"/>
  <c r="I28" i="16"/>
  <c r="P28" i="16" s="1"/>
  <c r="S27" i="16"/>
  <c r="N27" i="16"/>
  <c r="U27" i="16" s="1"/>
  <c r="L27" i="16"/>
  <c r="K27" i="16"/>
  <c r="R27" i="16" s="1"/>
  <c r="J27" i="16"/>
  <c r="Q27" i="16" s="1"/>
  <c r="I27" i="16"/>
  <c r="P27" i="16" s="1"/>
  <c r="Q26" i="16"/>
  <c r="N26" i="16"/>
  <c r="U26" i="16" s="1"/>
  <c r="L26" i="16"/>
  <c r="S26" i="16" s="1"/>
  <c r="K26" i="16"/>
  <c r="R26" i="16" s="1"/>
  <c r="J26" i="16"/>
  <c r="I26" i="16"/>
  <c r="P26" i="16" s="1"/>
  <c r="Q28" i="14"/>
  <c r="N28" i="14"/>
  <c r="U28" i="14" s="1"/>
  <c r="L28" i="14"/>
  <c r="S28" i="14" s="1"/>
  <c r="K28" i="14"/>
  <c r="R28" i="14" s="1"/>
  <c r="J28" i="14"/>
  <c r="I28" i="14"/>
  <c r="P28" i="14" s="1"/>
  <c r="S27" i="14"/>
  <c r="N27" i="14"/>
  <c r="U27" i="14" s="1"/>
  <c r="L27" i="14"/>
  <c r="K27" i="14"/>
  <c r="R27" i="14" s="1"/>
  <c r="J27" i="14"/>
  <c r="Q27" i="14" s="1"/>
  <c r="I27" i="14"/>
  <c r="P27" i="14" s="1"/>
  <c r="Q26" i="14"/>
  <c r="N26" i="14"/>
  <c r="U26" i="14" s="1"/>
  <c r="L26" i="14"/>
  <c r="S26" i="14" s="1"/>
  <c r="K26" i="14"/>
  <c r="R26" i="14" s="1"/>
  <c r="J26" i="14"/>
  <c r="I26" i="14"/>
  <c r="P26" i="14" s="1"/>
  <c r="U28" i="13"/>
  <c r="P28" i="13"/>
  <c r="N28" i="13"/>
  <c r="L28" i="13"/>
  <c r="S28" i="13" s="1"/>
  <c r="K28" i="13"/>
  <c r="R28" i="13" s="1"/>
  <c r="J28" i="13"/>
  <c r="Q28" i="13" s="1"/>
  <c r="I28" i="13"/>
  <c r="R27" i="13"/>
  <c r="N27" i="13"/>
  <c r="U27" i="13" s="1"/>
  <c r="L27" i="13"/>
  <c r="S27" i="13" s="1"/>
  <c r="K27" i="13"/>
  <c r="J27" i="13"/>
  <c r="Q27" i="13" s="1"/>
  <c r="I27" i="13"/>
  <c r="P27" i="13" s="1"/>
  <c r="U26" i="13"/>
  <c r="P26" i="13"/>
  <c r="N26" i="13"/>
  <c r="L26" i="13"/>
  <c r="S26" i="13" s="1"/>
  <c r="K26" i="13"/>
  <c r="R26" i="13" s="1"/>
  <c r="J26" i="13"/>
  <c r="Q26" i="13" s="1"/>
  <c r="I26" i="13"/>
  <c r="Q28" i="12"/>
  <c r="N28" i="12"/>
  <c r="U28" i="12" s="1"/>
  <c r="L28" i="12"/>
  <c r="S28" i="12" s="1"/>
  <c r="K28" i="12"/>
  <c r="R28" i="12" s="1"/>
  <c r="J28" i="12"/>
  <c r="I28" i="12"/>
  <c r="P28" i="12" s="1"/>
  <c r="S27" i="12"/>
  <c r="N27" i="12"/>
  <c r="U27" i="12" s="1"/>
  <c r="L27" i="12"/>
  <c r="K27" i="12"/>
  <c r="R27" i="12" s="1"/>
  <c r="J27" i="12"/>
  <c r="Q27" i="12" s="1"/>
  <c r="I27" i="12"/>
  <c r="P27" i="12" s="1"/>
  <c r="Q26" i="12"/>
  <c r="N26" i="12"/>
  <c r="U26" i="12" s="1"/>
  <c r="L26" i="12"/>
  <c r="S26" i="12" s="1"/>
  <c r="K26" i="12"/>
  <c r="R26" i="12" s="1"/>
  <c r="J26" i="12"/>
  <c r="I26" i="12"/>
  <c r="P26" i="12" s="1"/>
  <c r="N28" i="11"/>
  <c r="L28" i="11"/>
  <c r="K28" i="11"/>
  <c r="J28" i="11"/>
  <c r="I28" i="11"/>
  <c r="P28" i="11" s="1"/>
  <c r="N27" i="11"/>
  <c r="L27" i="11"/>
  <c r="K27" i="11"/>
  <c r="J27" i="11"/>
  <c r="I27" i="11"/>
  <c r="P27" i="11" s="1"/>
  <c r="N26" i="11"/>
  <c r="L26" i="11"/>
  <c r="K26" i="11"/>
  <c r="J26" i="11"/>
  <c r="I26" i="11"/>
  <c r="P26" i="11" s="1"/>
  <c r="N28" i="4"/>
  <c r="L28" i="4"/>
  <c r="K28" i="4"/>
  <c r="J28" i="4"/>
  <c r="N27" i="4"/>
  <c r="L27" i="4"/>
  <c r="K27" i="4"/>
  <c r="J27" i="4"/>
  <c r="N26" i="4"/>
  <c r="L26" i="4"/>
  <c r="K26" i="4"/>
  <c r="R26" i="4" s="1"/>
  <c r="J26" i="4"/>
  <c r="R28" i="4" l="1"/>
  <c r="A16" i="9"/>
  <c r="A15" i="9"/>
  <c r="A14" i="9"/>
  <c r="A13" i="9"/>
  <c r="A12" i="9"/>
  <c r="A11" i="9"/>
  <c r="A10" i="9"/>
  <c r="A9" i="9"/>
  <c r="A8" i="9"/>
  <c r="A48" i="19"/>
  <c r="A48" i="18"/>
  <c r="A48" i="17"/>
  <c r="A48" i="15"/>
  <c r="A48" i="16"/>
  <c r="A48" i="14"/>
  <c r="A48" i="13"/>
  <c r="J73" i="19"/>
  <c r="A73" i="19"/>
  <c r="U72" i="19"/>
  <c r="Q72" i="19"/>
  <c r="O72" i="19"/>
  <c r="V72" i="19" s="1"/>
  <c r="N72" i="19"/>
  <c r="M72" i="19"/>
  <c r="T72" i="19" s="1"/>
  <c r="L72" i="19"/>
  <c r="S72" i="19" s="1"/>
  <c r="K72" i="19"/>
  <c r="R72" i="19" s="1"/>
  <c r="J72" i="19"/>
  <c r="I72" i="19"/>
  <c r="P72" i="19" s="1"/>
  <c r="S71" i="19"/>
  <c r="O71" i="19"/>
  <c r="V71" i="19" s="1"/>
  <c r="N71" i="19"/>
  <c r="U71" i="19" s="1"/>
  <c r="M71" i="19"/>
  <c r="T71" i="19" s="1"/>
  <c r="L71" i="19"/>
  <c r="K71" i="19"/>
  <c r="R71" i="19" s="1"/>
  <c r="J71" i="19"/>
  <c r="Q71" i="19" s="1"/>
  <c r="I71" i="19"/>
  <c r="P71" i="19" s="1"/>
  <c r="U70" i="19"/>
  <c r="S70" i="19"/>
  <c r="Q70" i="19"/>
  <c r="O70" i="19"/>
  <c r="V70" i="19" s="1"/>
  <c r="N70" i="19"/>
  <c r="M70" i="19"/>
  <c r="T70" i="19" s="1"/>
  <c r="L70" i="19"/>
  <c r="K70" i="19"/>
  <c r="R70" i="19" s="1"/>
  <c r="J70" i="19"/>
  <c r="I70" i="19"/>
  <c r="P70" i="19" s="1"/>
  <c r="F70" i="19"/>
  <c r="V69" i="19"/>
  <c r="T69" i="19"/>
  <c r="R69" i="19"/>
  <c r="P69" i="19"/>
  <c r="O69" i="19"/>
  <c r="N69" i="19"/>
  <c r="U69" i="19" s="1"/>
  <c r="M69" i="19"/>
  <c r="L69" i="19"/>
  <c r="S69" i="19" s="1"/>
  <c r="K69" i="19"/>
  <c r="J69" i="19"/>
  <c r="Q69" i="19" s="1"/>
  <c r="I69" i="19"/>
  <c r="F69" i="19"/>
  <c r="U68" i="19"/>
  <c r="S68" i="19"/>
  <c r="Q68" i="19"/>
  <c r="O68" i="19"/>
  <c r="V68" i="19" s="1"/>
  <c r="N68" i="19"/>
  <c r="M68" i="19"/>
  <c r="T68" i="19" s="1"/>
  <c r="L68" i="19"/>
  <c r="K68" i="19"/>
  <c r="R68" i="19" s="1"/>
  <c r="J68" i="19"/>
  <c r="I68" i="19"/>
  <c r="P68" i="19" s="1"/>
  <c r="F68" i="19"/>
  <c r="V67" i="19"/>
  <c r="T67" i="19"/>
  <c r="R67" i="19"/>
  <c r="P67" i="19"/>
  <c r="O67" i="19"/>
  <c r="N67" i="19"/>
  <c r="U67" i="19" s="1"/>
  <c r="M67" i="19"/>
  <c r="L67" i="19"/>
  <c r="S67" i="19" s="1"/>
  <c r="K67" i="19"/>
  <c r="J67" i="19"/>
  <c r="Q67" i="19" s="1"/>
  <c r="I67" i="19"/>
  <c r="F67" i="19"/>
  <c r="U66" i="19"/>
  <c r="S66" i="19"/>
  <c r="Q66" i="19"/>
  <c r="O66" i="19"/>
  <c r="V66" i="19" s="1"/>
  <c r="N66" i="19"/>
  <c r="M66" i="19"/>
  <c r="T66" i="19" s="1"/>
  <c r="L66" i="19"/>
  <c r="K66" i="19"/>
  <c r="R66" i="19" s="1"/>
  <c r="J66" i="19"/>
  <c r="I66" i="19"/>
  <c r="P66" i="19" s="1"/>
  <c r="F66" i="19"/>
  <c r="V65" i="19"/>
  <c r="T65" i="19"/>
  <c r="R65" i="19"/>
  <c r="P65" i="19"/>
  <c r="O65" i="19"/>
  <c r="N65" i="19"/>
  <c r="U65" i="19" s="1"/>
  <c r="M65" i="19"/>
  <c r="L65" i="19"/>
  <c r="S65" i="19" s="1"/>
  <c r="K65" i="19"/>
  <c r="J65" i="19"/>
  <c r="Q65" i="19" s="1"/>
  <c r="I65" i="19"/>
  <c r="F65" i="19"/>
  <c r="U61" i="19"/>
  <c r="S61" i="19"/>
  <c r="Q61" i="19"/>
  <c r="O61" i="19"/>
  <c r="V61" i="19" s="1"/>
  <c r="N61" i="19"/>
  <c r="M61" i="19"/>
  <c r="T61" i="19" s="1"/>
  <c r="L61" i="19"/>
  <c r="K61" i="19"/>
  <c r="R61" i="19" s="1"/>
  <c r="J61" i="19"/>
  <c r="I61" i="19"/>
  <c r="P61" i="19" s="1"/>
  <c r="E61" i="19"/>
  <c r="F61" i="19" s="1"/>
  <c r="U60" i="19"/>
  <c r="S60" i="19"/>
  <c r="Q60" i="19"/>
  <c r="O60" i="19"/>
  <c r="V60" i="19" s="1"/>
  <c r="N60" i="19"/>
  <c r="M60" i="19"/>
  <c r="T60" i="19" s="1"/>
  <c r="L60" i="19"/>
  <c r="K60" i="19"/>
  <c r="R60" i="19" s="1"/>
  <c r="J60" i="19"/>
  <c r="I60" i="19"/>
  <c r="P60" i="19" s="1"/>
  <c r="E60" i="19"/>
  <c r="F60" i="19" s="1"/>
  <c r="U59" i="19"/>
  <c r="S59" i="19"/>
  <c r="Q59" i="19"/>
  <c r="O59" i="19"/>
  <c r="V59" i="19" s="1"/>
  <c r="N59" i="19"/>
  <c r="M59" i="19"/>
  <c r="T59" i="19" s="1"/>
  <c r="L59" i="19"/>
  <c r="K59" i="19"/>
  <c r="R59" i="19" s="1"/>
  <c r="J59" i="19"/>
  <c r="I59" i="19"/>
  <c r="P59" i="19" s="1"/>
  <c r="E59" i="19"/>
  <c r="F59" i="19" s="1"/>
  <c r="U58" i="19"/>
  <c r="S58" i="19"/>
  <c r="Q58" i="19"/>
  <c r="O58" i="19"/>
  <c r="V58" i="19" s="1"/>
  <c r="N58" i="19"/>
  <c r="M58" i="19"/>
  <c r="T58" i="19" s="1"/>
  <c r="L58" i="19"/>
  <c r="K58" i="19"/>
  <c r="R58" i="19" s="1"/>
  <c r="J58" i="19"/>
  <c r="I58" i="19"/>
  <c r="P58" i="19" s="1"/>
  <c r="E58" i="19"/>
  <c r="F58" i="19" s="1"/>
  <c r="U57" i="19"/>
  <c r="S57" i="19"/>
  <c r="Q57" i="19"/>
  <c r="O57" i="19"/>
  <c r="V57" i="19" s="1"/>
  <c r="N57" i="19"/>
  <c r="M57" i="19"/>
  <c r="T57" i="19" s="1"/>
  <c r="L57" i="19"/>
  <c r="K57" i="19"/>
  <c r="R57" i="19" s="1"/>
  <c r="J57" i="19"/>
  <c r="I57" i="19"/>
  <c r="P57" i="19" s="1"/>
  <c r="E57" i="19"/>
  <c r="F57" i="19" s="1"/>
  <c r="U56" i="19"/>
  <c r="S56" i="19"/>
  <c r="Q56" i="19"/>
  <c r="O56" i="19"/>
  <c r="V56" i="19" s="1"/>
  <c r="N56" i="19"/>
  <c r="M56" i="19"/>
  <c r="T56" i="19" s="1"/>
  <c r="L56" i="19"/>
  <c r="K56" i="19"/>
  <c r="R56" i="19" s="1"/>
  <c r="J56" i="19"/>
  <c r="I56" i="19"/>
  <c r="P56" i="19" s="1"/>
  <c r="E56" i="19"/>
  <c r="F56" i="19" s="1"/>
  <c r="U55" i="19"/>
  <c r="S55" i="19"/>
  <c r="Q55" i="19"/>
  <c r="O55" i="19"/>
  <c r="V55" i="19" s="1"/>
  <c r="N55" i="19"/>
  <c r="M55" i="19"/>
  <c r="T55" i="19" s="1"/>
  <c r="L55" i="19"/>
  <c r="K55" i="19"/>
  <c r="R55" i="19" s="1"/>
  <c r="J55" i="19"/>
  <c r="I55" i="19"/>
  <c r="P55" i="19" s="1"/>
  <c r="E55" i="19"/>
  <c r="F55" i="19" s="1"/>
  <c r="U54" i="19"/>
  <c r="S54" i="19"/>
  <c r="Q54" i="19"/>
  <c r="O54" i="19"/>
  <c r="V54" i="19" s="1"/>
  <c r="N54" i="19"/>
  <c r="M54" i="19"/>
  <c r="T54" i="19" s="1"/>
  <c r="L54" i="19"/>
  <c r="K54" i="19"/>
  <c r="R54" i="19" s="1"/>
  <c r="J54" i="19"/>
  <c r="I54" i="19"/>
  <c r="P54" i="19" s="1"/>
  <c r="E54" i="19"/>
  <c r="F54" i="19" s="1"/>
  <c r="U53" i="19"/>
  <c r="S53" i="19"/>
  <c r="Q53" i="19"/>
  <c r="O53" i="19"/>
  <c r="V53" i="19" s="1"/>
  <c r="N53" i="19"/>
  <c r="M53" i="19"/>
  <c r="T53" i="19" s="1"/>
  <c r="L53" i="19"/>
  <c r="K53" i="19"/>
  <c r="R53" i="19" s="1"/>
  <c r="J53" i="19"/>
  <c r="I53" i="19"/>
  <c r="P53" i="19" s="1"/>
  <c r="E53" i="19"/>
  <c r="F53" i="19" s="1"/>
  <c r="U52" i="19"/>
  <c r="S52" i="19"/>
  <c r="Q52" i="19"/>
  <c r="O52" i="19"/>
  <c r="V52" i="19" s="1"/>
  <c r="N52" i="19"/>
  <c r="M52" i="19"/>
  <c r="T52" i="19" s="1"/>
  <c r="L52" i="19"/>
  <c r="K52" i="19"/>
  <c r="R52" i="19" s="1"/>
  <c r="J52" i="19"/>
  <c r="I52" i="19"/>
  <c r="P52" i="19" s="1"/>
  <c r="E52" i="19"/>
  <c r="F52" i="19" s="1"/>
  <c r="U51" i="19"/>
  <c r="U73" i="19" s="1"/>
  <c r="S51" i="19"/>
  <c r="Q51" i="19"/>
  <c r="Q73" i="19" s="1"/>
  <c r="O51" i="19"/>
  <c r="N51" i="19"/>
  <c r="M51" i="19"/>
  <c r="L51" i="19"/>
  <c r="L73" i="19" s="1"/>
  <c r="K51" i="19"/>
  <c r="J51" i="19"/>
  <c r="I51" i="19"/>
  <c r="E51" i="19"/>
  <c r="F51" i="19" s="1"/>
  <c r="U49" i="19"/>
  <c r="S49" i="19"/>
  <c r="R49" i="19"/>
  <c r="Q49" i="19"/>
  <c r="P49" i="19"/>
  <c r="V47" i="19"/>
  <c r="T47" i="19"/>
  <c r="R47" i="19"/>
  <c r="O47" i="19"/>
  <c r="N47" i="19"/>
  <c r="U47" i="19" s="1"/>
  <c r="L47" i="19"/>
  <c r="S47" i="19" s="1"/>
  <c r="K47" i="19"/>
  <c r="J47" i="19"/>
  <c r="Q47" i="19" s="1"/>
  <c r="I47" i="19"/>
  <c r="P47" i="19" s="1"/>
  <c r="U45" i="19"/>
  <c r="S45" i="19"/>
  <c r="Q45" i="19"/>
  <c r="O45" i="19"/>
  <c r="V45" i="19" s="1"/>
  <c r="N45" i="19"/>
  <c r="M45" i="19"/>
  <c r="T45" i="19" s="1"/>
  <c r="L45" i="19"/>
  <c r="K45" i="19"/>
  <c r="R45" i="19" s="1"/>
  <c r="J45" i="19"/>
  <c r="I45" i="19"/>
  <c r="P45" i="19" s="1"/>
  <c r="U44" i="19"/>
  <c r="S44" i="19"/>
  <c r="Q44" i="19"/>
  <c r="O44" i="19"/>
  <c r="V44" i="19" s="1"/>
  <c r="N44" i="19"/>
  <c r="M44" i="19"/>
  <c r="T44" i="19" s="1"/>
  <c r="L44" i="19"/>
  <c r="K44" i="19"/>
  <c r="R44" i="19" s="1"/>
  <c r="J44" i="19"/>
  <c r="I44" i="19"/>
  <c r="P44" i="19" s="1"/>
  <c r="U43" i="19"/>
  <c r="S43" i="19"/>
  <c r="Q43" i="19"/>
  <c r="O43" i="19"/>
  <c r="V43" i="19" s="1"/>
  <c r="N43" i="19"/>
  <c r="M43" i="19"/>
  <c r="T43" i="19" s="1"/>
  <c r="L43" i="19"/>
  <c r="K43" i="19"/>
  <c r="R43" i="19" s="1"/>
  <c r="J43" i="19"/>
  <c r="I43" i="19"/>
  <c r="P43" i="19" s="1"/>
  <c r="U42" i="19"/>
  <c r="S42" i="19"/>
  <c r="Q42" i="19"/>
  <c r="O42" i="19"/>
  <c r="V42" i="19" s="1"/>
  <c r="N42" i="19"/>
  <c r="M42" i="19"/>
  <c r="T42" i="19" s="1"/>
  <c r="L42" i="19"/>
  <c r="K42" i="19"/>
  <c r="R42" i="19" s="1"/>
  <c r="J42" i="19"/>
  <c r="I42" i="19"/>
  <c r="P42" i="19" s="1"/>
  <c r="U40" i="19"/>
  <c r="S40" i="19"/>
  <c r="Q40" i="19"/>
  <c r="O40" i="19"/>
  <c r="V40" i="19" s="1"/>
  <c r="N40" i="19"/>
  <c r="L40" i="19"/>
  <c r="K40" i="19"/>
  <c r="R40" i="19" s="1"/>
  <c r="J40" i="19"/>
  <c r="I40" i="19"/>
  <c r="P40" i="19" s="1"/>
  <c r="V39" i="19"/>
  <c r="U39" i="19"/>
  <c r="T39" i="19"/>
  <c r="S39" i="19"/>
  <c r="R39" i="19"/>
  <c r="Q39" i="19"/>
  <c r="P39" i="19"/>
  <c r="L39" i="19"/>
  <c r="V38" i="19"/>
  <c r="U38" i="19"/>
  <c r="T38" i="19"/>
  <c r="R38" i="19"/>
  <c r="Q38" i="19"/>
  <c r="P38" i="19"/>
  <c r="L38" i="19"/>
  <c r="S38" i="19" s="1"/>
  <c r="V37" i="19"/>
  <c r="U37" i="19"/>
  <c r="T37" i="19"/>
  <c r="S37" i="19"/>
  <c r="R37" i="19"/>
  <c r="Q37" i="19"/>
  <c r="P37" i="19"/>
  <c r="L37" i="19"/>
  <c r="U36" i="19"/>
  <c r="S36" i="19"/>
  <c r="Q36" i="19"/>
  <c r="O36" i="19"/>
  <c r="V36" i="19" s="1"/>
  <c r="N36" i="19"/>
  <c r="M36" i="19"/>
  <c r="T36" i="19" s="1"/>
  <c r="L36" i="19"/>
  <c r="K36" i="19"/>
  <c r="R36" i="19" s="1"/>
  <c r="J36" i="19"/>
  <c r="I36" i="19"/>
  <c r="P36" i="19" s="1"/>
  <c r="U35" i="19"/>
  <c r="S35" i="19"/>
  <c r="Q35" i="19"/>
  <c r="O35" i="19"/>
  <c r="V35" i="19" s="1"/>
  <c r="N35" i="19"/>
  <c r="M35" i="19"/>
  <c r="T35" i="19" s="1"/>
  <c r="L35" i="19"/>
  <c r="K35" i="19"/>
  <c r="R35" i="19" s="1"/>
  <c r="J35" i="19"/>
  <c r="I35" i="19"/>
  <c r="P35" i="19" s="1"/>
  <c r="U34" i="19"/>
  <c r="S34" i="19"/>
  <c r="Q34" i="19"/>
  <c r="O34" i="19"/>
  <c r="V34" i="19" s="1"/>
  <c r="N34" i="19"/>
  <c r="M34" i="19"/>
  <c r="T34" i="19" s="1"/>
  <c r="L34" i="19"/>
  <c r="K34" i="19"/>
  <c r="R34" i="19" s="1"/>
  <c r="J34" i="19"/>
  <c r="I34" i="19"/>
  <c r="P34" i="19" s="1"/>
  <c r="U33" i="19"/>
  <c r="S33" i="19"/>
  <c r="Q33" i="19"/>
  <c r="O33" i="19"/>
  <c r="V33" i="19" s="1"/>
  <c r="N33" i="19"/>
  <c r="M33" i="19"/>
  <c r="T33" i="19" s="1"/>
  <c r="L33" i="19"/>
  <c r="K33" i="19"/>
  <c r="R33" i="19" s="1"/>
  <c r="J33" i="19"/>
  <c r="I33" i="19"/>
  <c r="P33" i="19" s="1"/>
  <c r="V32" i="19"/>
  <c r="U32" i="19"/>
  <c r="T32" i="19"/>
  <c r="S32" i="19"/>
  <c r="L32" i="19" s="1"/>
  <c r="R32" i="19"/>
  <c r="Q32" i="19"/>
  <c r="T30" i="19"/>
  <c r="P30" i="19"/>
  <c r="N30" i="19"/>
  <c r="U30" i="19" s="1"/>
  <c r="M30" i="19"/>
  <c r="L30" i="19"/>
  <c r="S30" i="19" s="1"/>
  <c r="J30" i="19"/>
  <c r="Q30" i="19" s="1"/>
  <c r="I30" i="19"/>
  <c r="F30" i="19"/>
  <c r="E30" i="19"/>
  <c r="O30" i="19" s="1"/>
  <c r="V30" i="19" s="1"/>
  <c r="V29" i="19"/>
  <c r="T29" i="19"/>
  <c r="R29" i="19"/>
  <c r="P29" i="19"/>
  <c r="O29" i="19"/>
  <c r="N29" i="19"/>
  <c r="U29" i="19" s="1"/>
  <c r="M29" i="19"/>
  <c r="L29" i="19"/>
  <c r="S29" i="19" s="1"/>
  <c r="K29" i="19"/>
  <c r="J29" i="19"/>
  <c r="Q29" i="19" s="1"/>
  <c r="I29" i="19"/>
  <c r="F28" i="19"/>
  <c r="E28" i="19"/>
  <c r="F27" i="19"/>
  <c r="E27" i="19"/>
  <c r="F26" i="19"/>
  <c r="E26" i="19"/>
  <c r="V25" i="19"/>
  <c r="T25" i="19"/>
  <c r="R25" i="19"/>
  <c r="P25" i="19"/>
  <c r="O25" i="19"/>
  <c r="N25" i="19"/>
  <c r="U25" i="19" s="1"/>
  <c r="M25" i="19"/>
  <c r="L25" i="19"/>
  <c r="S25" i="19" s="1"/>
  <c r="K25" i="19"/>
  <c r="J25" i="19"/>
  <c r="Q25" i="19" s="1"/>
  <c r="I25" i="19"/>
  <c r="F25" i="19"/>
  <c r="E25" i="19"/>
  <c r="T24" i="19"/>
  <c r="R24" i="19"/>
  <c r="P24" i="19"/>
  <c r="O24" i="19"/>
  <c r="N24" i="19"/>
  <c r="U24" i="19" s="1"/>
  <c r="M24" i="19"/>
  <c r="L24" i="19"/>
  <c r="S24" i="19" s="1"/>
  <c r="K24" i="19"/>
  <c r="J24" i="19"/>
  <c r="Q24" i="19" s="1"/>
  <c r="I24" i="19"/>
  <c r="F24" i="19"/>
  <c r="V24" i="19" s="1"/>
  <c r="E24" i="19"/>
  <c r="R23" i="19"/>
  <c r="O23" i="19"/>
  <c r="V23" i="19" s="1"/>
  <c r="N23" i="19"/>
  <c r="U23" i="19" s="1"/>
  <c r="M23" i="19"/>
  <c r="L23" i="19"/>
  <c r="S23" i="19" s="1"/>
  <c r="K23" i="19"/>
  <c r="J23" i="19"/>
  <c r="Q23" i="19" s="1"/>
  <c r="I23" i="19"/>
  <c r="P23" i="19" s="1"/>
  <c r="E23" i="19"/>
  <c r="F23" i="19" s="1"/>
  <c r="T23" i="19" s="1"/>
  <c r="U22" i="19"/>
  <c r="S22" i="19"/>
  <c r="Q22" i="19"/>
  <c r="O22" i="19"/>
  <c r="V22" i="19" s="1"/>
  <c r="N22" i="19"/>
  <c r="M22" i="19"/>
  <c r="T22" i="19" s="1"/>
  <c r="L22" i="19"/>
  <c r="K22" i="19"/>
  <c r="R22" i="19" s="1"/>
  <c r="J22" i="19"/>
  <c r="I22" i="19"/>
  <c r="P22" i="19" s="1"/>
  <c r="E22" i="19"/>
  <c r="F22" i="19" s="1"/>
  <c r="U21" i="19"/>
  <c r="S21" i="19"/>
  <c r="Q21" i="19"/>
  <c r="O21" i="19"/>
  <c r="V21" i="19" s="1"/>
  <c r="N21" i="19"/>
  <c r="M21" i="19"/>
  <c r="T21" i="19" s="1"/>
  <c r="L21" i="19"/>
  <c r="K21" i="19"/>
  <c r="R21" i="19" s="1"/>
  <c r="J21" i="19"/>
  <c r="I21" i="19"/>
  <c r="P21" i="19" s="1"/>
  <c r="E21" i="19"/>
  <c r="F21" i="19" s="1"/>
  <c r="U20" i="19"/>
  <c r="S20" i="19"/>
  <c r="Q20" i="19"/>
  <c r="O20" i="19"/>
  <c r="N20" i="19"/>
  <c r="M20" i="19"/>
  <c r="L20" i="19"/>
  <c r="K20" i="19"/>
  <c r="R20" i="19" s="1"/>
  <c r="J20" i="19"/>
  <c r="I20" i="19"/>
  <c r="P20" i="19" s="1"/>
  <c r="E20" i="19"/>
  <c r="F20" i="19" s="1"/>
  <c r="U19" i="19"/>
  <c r="S19" i="19"/>
  <c r="Q19" i="19"/>
  <c r="O19" i="19"/>
  <c r="V19" i="19" s="1"/>
  <c r="N19" i="19"/>
  <c r="M19" i="19"/>
  <c r="L19" i="19"/>
  <c r="K19" i="19"/>
  <c r="R19" i="19" s="1"/>
  <c r="J19" i="19"/>
  <c r="I19" i="19"/>
  <c r="P19" i="19" s="1"/>
  <c r="E19" i="19"/>
  <c r="F19" i="19" s="1"/>
  <c r="U17" i="19"/>
  <c r="S17" i="19"/>
  <c r="Q17" i="19"/>
  <c r="O17" i="19"/>
  <c r="V17" i="19" s="1"/>
  <c r="N17" i="19"/>
  <c r="M17" i="19"/>
  <c r="T17" i="19" s="1"/>
  <c r="L17" i="19"/>
  <c r="K17" i="19"/>
  <c r="R17" i="19" s="1"/>
  <c r="J17" i="19"/>
  <c r="I17" i="19"/>
  <c r="P17" i="19" s="1"/>
  <c r="E17" i="19"/>
  <c r="F17" i="19" s="1"/>
  <c r="U15" i="19"/>
  <c r="S15" i="19"/>
  <c r="Q15" i="19"/>
  <c r="O15" i="19"/>
  <c r="V15" i="19" s="1"/>
  <c r="N15" i="19"/>
  <c r="M15" i="19"/>
  <c r="T15" i="19" s="1"/>
  <c r="L15" i="19"/>
  <c r="K15" i="19"/>
  <c r="R15" i="19" s="1"/>
  <c r="J15" i="19"/>
  <c r="I15" i="19"/>
  <c r="P15" i="19" s="1"/>
  <c r="E15" i="19"/>
  <c r="F15" i="19" s="1"/>
  <c r="U14" i="19"/>
  <c r="S14" i="19"/>
  <c r="Q14" i="19"/>
  <c r="O14" i="19"/>
  <c r="V14" i="19" s="1"/>
  <c r="N14" i="19"/>
  <c r="M14" i="19"/>
  <c r="T14" i="19" s="1"/>
  <c r="L14" i="19"/>
  <c r="K14" i="19"/>
  <c r="R14" i="19" s="1"/>
  <c r="J14" i="19"/>
  <c r="I14" i="19"/>
  <c r="P14" i="19" s="1"/>
  <c r="E14" i="19"/>
  <c r="F14" i="19" s="1"/>
  <c r="U12" i="19"/>
  <c r="S12" i="19"/>
  <c r="Q12" i="19"/>
  <c r="O12" i="19"/>
  <c r="V12" i="19" s="1"/>
  <c r="N12" i="19"/>
  <c r="M12" i="19"/>
  <c r="T12" i="19" s="1"/>
  <c r="L12" i="19"/>
  <c r="K12" i="19"/>
  <c r="R12" i="19" s="1"/>
  <c r="J12" i="19"/>
  <c r="I12" i="19"/>
  <c r="P12" i="19" s="1"/>
  <c r="E12" i="19"/>
  <c r="F12" i="19" s="1"/>
  <c r="U11" i="19"/>
  <c r="S11" i="19"/>
  <c r="Q11" i="19"/>
  <c r="O11" i="19"/>
  <c r="V11" i="19" s="1"/>
  <c r="N11" i="19"/>
  <c r="M11" i="19"/>
  <c r="T11" i="19" s="1"/>
  <c r="L11" i="19"/>
  <c r="K11" i="19"/>
  <c r="R11" i="19" s="1"/>
  <c r="J11" i="19"/>
  <c r="I11" i="19"/>
  <c r="P11" i="19" s="1"/>
  <c r="U10" i="19"/>
  <c r="S10" i="19"/>
  <c r="Q10" i="19"/>
  <c r="O10" i="19"/>
  <c r="V10" i="19" s="1"/>
  <c r="N10" i="19"/>
  <c r="M10" i="19"/>
  <c r="T10" i="19" s="1"/>
  <c r="L10" i="19"/>
  <c r="K10" i="19"/>
  <c r="R10" i="19" s="1"/>
  <c r="J10" i="19"/>
  <c r="I10" i="19"/>
  <c r="P10" i="19" s="1"/>
  <c r="E10" i="19"/>
  <c r="F10" i="19" s="1"/>
  <c r="U9" i="19"/>
  <c r="S9" i="19"/>
  <c r="Q9" i="19"/>
  <c r="O9" i="19"/>
  <c r="V9" i="19" s="1"/>
  <c r="N9" i="19"/>
  <c r="M9" i="19"/>
  <c r="T9" i="19" s="1"/>
  <c r="L9" i="19"/>
  <c r="K9" i="19"/>
  <c r="R9" i="19" s="1"/>
  <c r="J9" i="19"/>
  <c r="I9" i="19"/>
  <c r="P9" i="19" s="1"/>
  <c r="E9" i="19"/>
  <c r="F9" i="19" s="1"/>
  <c r="U8" i="19"/>
  <c r="S8" i="19"/>
  <c r="Q8" i="19"/>
  <c r="O8" i="19"/>
  <c r="V8" i="19" s="1"/>
  <c r="N8" i="19"/>
  <c r="M8" i="19"/>
  <c r="T8" i="19" s="1"/>
  <c r="L8" i="19"/>
  <c r="K8" i="19"/>
  <c r="R8" i="19" s="1"/>
  <c r="J8" i="19"/>
  <c r="I8" i="19"/>
  <c r="P8" i="19" s="1"/>
  <c r="E8" i="19"/>
  <c r="F8" i="19" s="1"/>
  <c r="U7" i="19"/>
  <c r="S7" i="19"/>
  <c r="Q7" i="19"/>
  <c r="O7" i="19"/>
  <c r="O48" i="19" s="1"/>
  <c r="N7" i="19"/>
  <c r="M7" i="19"/>
  <c r="T7" i="19" s="1"/>
  <c r="L7" i="19"/>
  <c r="K7" i="19"/>
  <c r="J7" i="19"/>
  <c r="I7" i="19"/>
  <c r="P7" i="19" s="1"/>
  <c r="P48" i="19" s="1"/>
  <c r="B16" i="9" s="1"/>
  <c r="E7" i="19"/>
  <c r="F7" i="19" s="1"/>
  <c r="N2" i="19"/>
  <c r="L2" i="19"/>
  <c r="J2" i="19"/>
  <c r="G2" i="19"/>
  <c r="F2" i="19"/>
  <c r="E2" i="19"/>
  <c r="D2" i="19"/>
  <c r="B2" i="19"/>
  <c r="A2" i="19"/>
  <c r="A73" i="18"/>
  <c r="V72" i="18"/>
  <c r="S72" i="18"/>
  <c r="O72" i="18"/>
  <c r="N72" i="18"/>
  <c r="U72" i="18" s="1"/>
  <c r="M72" i="18"/>
  <c r="T72" i="18" s="1"/>
  <c r="L72" i="18"/>
  <c r="K72" i="18"/>
  <c r="R72" i="18" s="1"/>
  <c r="J72" i="18"/>
  <c r="Q72" i="18" s="1"/>
  <c r="I72" i="18"/>
  <c r="P72" i="18" s="1"/>
  <c r="U71" i="18"/>
  <c r="Q71" i="18"/>
  <c r="O71" i="18"/>
  <c r="V71" i="18" s="1"/>
  <c r="N71" i="18"/>
  <c r="M71" i="18"/>
  <c r="T71" i="18" s="1"/>
  <c r="L71" i="18"/>
  <c r="S71" i="18" s="1"/>
  <c r="K71" i="18"/>
  <c r="R71" i="18" s="1"/>
  <c r="J71" i="18"/>
  <c r="I71" i="18"/>
  <c r="P71" i="18" s="1"/>
  <c r="S70" i="18"/>
  <c r="O70" i="18"/>
  <c r="V70" i="18" s="1"/>
  <c r="N70" i="18"/>
  <c r="U70" i="18" s="1"/>
  <c r="M70" i="18"/>
  <c r="T70" i="18" s="1"/>
  <c r="L70" i="18"/>
  <c r="K70" i="18"/>
  <c r="R70" i="18" s="1"/>
  <c r="J70" i="18"/>
  <c r="Q70" i="18" s="1"/>
  <c r="I70" i="18"/>
  <c r="P70" i="18" s="1"/>
  <c r="F70" i="18"/>
  <c r="V69" i="18"/>
  <c r="R69" i="18"/>
  <c r="Q69" i="18"/>
  <c r="O69" i="18"/>
  <c r="N69" i="18"/>
  <c r="U69" i="18" s="1"/>
  <c r="M69" i="18"/>
  <c r="T69" i="18" s="1"/>
  <c r="L69" i="18"/>
  <c r="S69" i="18" s="1"/>
  <c r="K69" i="18"/>
  <c r="J69" i="18"/>
  <c r="I69" i="18"/>
  <c r="P69" i="18" s="1"/>
  <c r="F69" i="18"/>
  <c r="U68" i="18"/>
  <c r="Q68" i="18"/>
  <c r="P68" i="18"/>
  <c r="O68" i="18"/>
  <c r="V68" i="18" s="1"/>
  <c r="N68" i="18"/>
  <c r="M68" i="18"/>
  <c r="T68" i="18" s="1"/>
  <c r="L68" i="18"/>
  <c r="S68" i="18" s="1"/>
  <c r="K68" i="18"/>
  <c r="R68" i="18" s="1"/>
  <c r="J68" i="18"/>
  <c r="I68" i="18"/>
  <c r="F68" i="18"/>
  <c r="T67" i="18"/>
  <c r="P67" i="18"/>
  <c r="O67" i="18"/>
  <c r="V67" i="18" s="1"/>
  <c r="N67" i="18"/>
  <c r="U67" i="18" s="1"/>
  <c r="M67" i="18"/>
  <c r="L67" i="18"/>
  <c r="S67" i="18" s="1"/>
  <c r="K67" i="18"/>
  <c r="R67" i="18" s="1"/>
  <c r="J67" i="18"/>
  <c r="Q67" i="18" s="1"/>
  <c r="I67" i="18"/>
  <c r="F67" i="18"/>
  <c r="V66" i="18"/>
  <c r="S66" i="18"/>
  <c r="O66" i="18"/>
  <c r="N66" i="18"/>
  <c r="U66" i="18" s="1"/>
  <c r="M66" i="18"/>
  <c r="T66" i="18" s="1"/>
  <c r="L66" i="18"/>
  <c r="K66" i="18"/>
  <c r="R66" i="18" s="1"/>
  <c r="J66" i="18"/>
  <c r="Q66" i="18" s="1"/>
  <c r="I66" i="18"/>
  <c r="P66" i="18" s="1"/>
  <c r="F66" i="18"/>
  <c r="V65" i="18"/>
  <c r="R65" i="18"/>
  <c r="O65" i="18"/>
  <c r="N65" i="18"/>
  <c r="U65" i="18" s="1"/>
  <c r="M65" i="18"/>
  <c r="T65" i="18" s="1"/>
  <c r="L65" i="18"/>
  <c r="S65" i="18" s="1"/>
  <c r="K65" i="18"/>
  <c r="J65" i="18"/>
  <c r="Q65" i="18" s="1"/>
  <c r="I65" i="18"/>
  <c r="P65" i="18" s="1"/>
  <c r="F65" i="18"/>
  <c r="U61" i="18"/>
  <c r="Q61" i="18"/>
  <c r="O61" i="18"/>
  <c r="V61" i="18" s="1"/>
  <c r="N61" i="18"/>
  <c r="M61" i="18"/>
  <c r="T61" i="18" s="1"/>
  <c r="L61" i="18"/>
  <c r="S61" i="18" s="1"/>
  <c r="K61" i="18"/>
  <c r="R61" i="18" s="1"/>
  <c r="J61" i="18"/>
  <c r="I61" i="18"/>
  <c r="P61" i="18" s="1"/>
  <c r="F61" i="18"/>
  <c r="E61" i="18"/>
  <c r="U60" i="18"/>
  <c r="T60" i="18"/>
  <c r="Q60" i="18"/>
  <c r="P60" i="18"/>
  <c r="O60" i="18"/>
  <c r="V60" i="18" s="1"/>
  <c r="N60" i="18"/>
  <c r="M60" i="18"/>
  <c r="L60" i="18"/>
  <c r="S60" i="18" s="1"/>
  <c r="K60" i="18"/>
  <c r="R60" i="18" s="1"/>
  <c r="J60" i="18"/>
  <c r="I60" i="18"/>
  <c r="F60" i="18"/>
  <c r="E60" i="18"/>
  <c r="U59" i="18"/>
  <c r="Q59" i="18"/>
  <c r="P59" i="18"/>
  <c r="O59" i="18"/>
  <c r="V59" i="18" s="1"/>
  <c r="N59" i="18"/>
  <c r="M59" i="18"/>
  <c r="T59" i="18" s="1"/>
  <c r="L59" i="18"/>
  <c r="S59" i="18" s="1"/>
  <c r="K59" i="18"/>
  <c r="R59" i="18" s="1"/>
  <c r="J59" i="18"/>
  <c r="I59" i="18"/>
  <c r="F59" i="18"/>
  <c r="E59" i="18"/>
  <c r="U58" i="18"/>
  <c r="Q58" i="18"/>
  <c r="P58" i="18"/>
  <c r="O58" i="18"/>
  <c r="V58" i="18" s="1"/>
  <c r="N58" i="18"/>
  <c r="M58" i="18"/>
  <c r="T58" i="18" s="1"/>
  <c r="L58" i="18"/>
  <c r="S58" i="18" s="1"/>
  <c r="K58" i="18"/>
  <c r="R58" i="18" s="1"/>
  <c r="J58" i="18"/>
  <c r="I58" i="18"/>
  <c r="F58" i="18"/>
  <c r="E58" i="18"/>
  <c r="U57" i="18"/>
  <c r="Q57" i="18"/>
  <c r="O57" i="18"/>
  <c r="V57" i="18" s="1"/>
  <c r="N57" i="18"/>
  <c r="M57" i="18"/>
  <c r="T57" i="18" s="1"/>
  <c r="L57" i="18"/>
  <c r="S57" i="18" s="1"/>
  <c r="K57" i="18"/>
  <c r="R57" i="18" s="1"/>
  <c r="J57" i="18"/>
  <c r="I57" i="18"/>
  <c r="P57" i="18" s="1"/>
  <c r="F57" i="18"/>
  <c r="E57" i="18"/>
  <c r="U56" i="18"/>
  <c r="T56" i="18"/>
  <c r="Q56" i="18"/>
  <c r="P56" i="18"/>
  <c r="O56" i="18"/>
  <c r="V56" i="18" s="1"/>
  <c r="N56" i="18"/>
  <c r="M56" i="18"/>
  <c r="L56" i="18"/>
  <c r="S56" i="18" s="1"/>
  <c r="K56" i="18"/>
  <c r="R56" i="18" s="1"/>
  <c r="J56" i="18"/>
  <c r="I56" i="18"/>
  <c r="F56" i="18"/>
  <c r="E56" i="18"/>
  <c r="U55" i="18"/>
  <c r="Q55" i="18"/>
  <c r="P55" i="18"/>
  <c r="O55" i="18"/>
  <c r="V55" i="18" s="1"/>
  <c r="N55" i="18"/>
  <c r="M55" i="18"/>
  <c r="T55" i="18" s="1"/>
  <c r="L55" i="18"/>
  <c r="S55" i="18" s="1"/>
  <c r="K55" i="18"/>
  <c r="R55" i="18" s="1"/>
  <c r="J55" i="18"/>
  <c r="I55" i="18"/>
  <c r="F55" i="18"/>
  <c r="E55" i="18"/>
  <c r="U54" i="18"/>
  <c r="Q54" i="18"/>
  <c r="P54" i="18"/>
  <c r="O54" i="18"/>
  <c r="V54" i="18" s="1"/>
  <c r="N54" i="18"/>
  <c r="M54" i="18"/>
  <c r="T54" i="18" s="1"/>
  <c r="L54" i="18"/>
  <c r="S54" i="18" s="1"/>
  <c r="K54" i="18"/>
  <c r="R54" i="18" s="1"/>
  <c r="J54" i="18"/>
  <c r="I54" i="18"/>
  <c r="F54" i="18"/>
  <c r="E54" i="18"/>
  <c r="U53" i="18"/>
  <c r="Q53" i="18"/>
  <c r="O53" i="18"/>
  <c r="V53" i="18" s="1"/>
  <c r="N53" i="18"/>
  <c r="M53" i="18"/>
  <c r="T53" i="18" s="1"/>
  <c r="L53" i="18"/>
  <c r="S53" i="18" s="1"/>
  <c r="K53" i="18"/>
  <c r="R53" i="18" s="1"/>
  <c r="J53" i="18"/>
  <c r="I53" i="18"/>
  <c r="P53" i="18" s="1"/>
  <c r="F53" i="18"/>
  <c r="E53" i="18"/>
  <c r="U52" i="18"/>
  <c r="T52" i="18"/>
  <c r="Q52" i="18"/>
  <c r="P52" i="18"/>
  <c r="O52" i="18"/>
  <c r="V52" i="18" s="1"/>
  <c r="N52" i="18"/>
  <c r="M52" i="18"/>
  <c r="L52" i="18"/>
  <c r="S52" i="18" s="1"/>
  <c r="K52" i="18"/>
  <c r="R52" i="18" s="1"/>
  <c r="J52" i="18"/>
  <c r="I52" i="18"/>
  <c r="F52" i="18"/>
  <c r="E52" i="18"/>
  <c r="U51" i="18"/>
  <c r="Q51" i="18"/>
  <c r="P51" i="18"/>
  <c r="P73" i="18" s="1"/>
  <c r="O51" i="18"/>
  <c r="V51" i="18" s="1"/>
  <c r="N51" i="18"/>
  <c r="M51" i="18"/>
  <c r="L51" i="18"/>
  <c r="S51" i="18" s="1"/>
  <c r="K51" i="18"/>
  <c r="R51" i="18" s="1"/>
  <c r="J51" i="18"/>
  <c r="I51" i="18"/>
  <c r="F51" i="18"/>
  <c r="E51" i="18"/>
  <c r="U49" i="18"/>
  <c r="S49" i="18"/>
  <c r="R49" i="18"/>
  <c r="Q49" i="18"/>
  <c r="P49" i="18"/>
  <c r="U47" i="18"/>
  <c r="T47" i="18"/>
  <c r="S47" i="18"/>
  <c r="P47" i="18"/>
  <c r="O47" i="18"/>
  <c r="V47" i="18" s="1"/>
  <c r="N47" i="18"/>
  <c r="L47" i="18"/>
  <c r="K47" i="18"/>
  <c r="R47" i="18" s="1"/>
  <c r="J47" i="18"/>
  <c r="Q47" i="18" s="1"/>
  <c r="I47" i="18"/>
  <c r="U45" i="18"/>
  <c r="Q45" i="18"/>
  <c r="P45" i="18"/>
  <c r="O45" i="18"/>
  <c r="V45" i="18" s="1"/>
  <c r="N45" i="18"/>
  <c r="M45" i="18"/>
  <c r="T45" i="18" s="1"/>
  <c r="L45" i="18"/>
  <c r="S45" i="18" s="1"/>
  <c r="K45" i="18"/>
  <c r="R45" i="18" s="1"/>
  <c r="J45" i="18"/>
  <c r="I45" i="18"/>
  <c r="V44" i="18"/>
  <c r="S44" i="18"/>
  <c r="O44" i="18"/>
  <c r="N44" i="18"/>
  <c r="U44" i="18" s="1"/>
  <c r="M44" i="18"/>
  <c r="T44" i="18" s="1"/>
  <c r="L44" i="18"/>
  <c r="K44" i="18"/>
  <c r="R44" i="18" s="1"/>
  <c r="J44" i="18"/>
  <c r="Q44" i="18" s="1"/>
  <c r="I44" i="18"/>
  <c r="P44" i="18" s="1"/>
  <c r="U43" i="18"/>
  <c r="Q43" i="18"/>
  <c r="P43" i="18"/>
  <c r="O43" i="18"/>
  <c r="V43" i="18" s="1"/>
  <c r="N43" i="18"/>
  <c r="M43" i="18"/>
  <c r="T43" i="18" s="1"/>
  <c r="L43" i="18"/>
  <c r="S43" i="18" s="1"/>
  <c r="K43" i="18"/>
  <c r="R43" i="18" s="1"/>
  <c r="J43" i="18"/>
  <c r="I43" i="18"/>
  <c r="V42" i="18"/>
  <c r="S42" i="18"/>
  <c r="O42" i="18"/>
  <c r="N42" i="18"/>
  <c r="U42" i="18" s="1"/>
  <c r="M42" i="18"/>
  <c r="T42" i="18" s="1"/>
  <c r="L42" i="18"/>
  <c r="K42" i="18"/>
  <c r="R42" i="18" s="1"/>
  <c r="J42" i="18"/>
  <c r="Q42" i="18" s="1"/>
  <c r="I42" i="18"/>
  <c r="P42" i="18" s="1"/>
  <c r="U40" i="18"/>
  <c r="R40" i="18"/>
  <c r="Q40" i="18"/>
  <c r="P40" i="18"/>
  <c r="N40" i="18"/>
  <c r="L40" i="18"/>
  <c r="S40" i="18" s="1"/>
  <c r="K40" i="18"/>
  <c r="J40" i="18"/>
  <c r="O40" i="18" s="1"/>
  <c r="V40" i="18" s="1"/>
  <c r="I40" i="18"/>
  <c r="M40" i="18" s="1"/>
  <c r="T40" i="18" s="1"/>
  <c r="V39" i="18"/>
  <c r="U39" i="18"/>
  <c r="T39" i="18"/>
  <c r="S39" i="18"/>
  <c r="R39" i="18"/>
  <c r="Q39" i="18"/>
  <c r="P39" i="18"/>
  <c r="L39" i="18"/>
  <c r="V38" i="18"/>
  <c r="U38" i="18"/>
  <c r="T38" i="18"/>
  <c r="R38" i="18"/>
  <c r="Q38" i="18"/>
  <c r="P38" i="18"/>
  <c r="L38" i="18"/>
  <c r="S38" i="18" s="1"/>
  <c r="V37" i="18"/>
  <c r="U37" i="18"/>
  <c r="T37" i="18"/>
  <c r="S37" i="18"/>
  <c r="R37" i="18"/>
  <c r="Q37" i="18"/>
  <c r="P37" i="18"/>
  <c r="L37" i="18"/>
  <c r="T36" i="18"/>
  <c r="S36" i="18"/>
  <c r="P36" i="18"/>
  <c r="O36" i="18"/>
  <c r="V36" i="18" s="1"/>
  <c r="N36" i="18"/>
  <c r="U36" i="18" s="1"/>
  <c r="M36" i="18"/>
  <c r="L36" i="18"/>
  <c r="K36" i="18"/>
  <c r="R36" i="18" s="1"/>
  <c r="J36" i="18"/>
  <c r="Q36" i="18" s="1"/>
  <c r="I36" i="18"/>
  <c r="V35" i="18"/>
  <c r="U35" i="18"/>
  <c r="R35" i="18"/>
  <c r="Q35" i="18"/>
  <c r="P35" i="18"/>
  <c r="O35" i="18"/>
  <c r="N35" i="18"/>
  <c r="M35" i="18"/>
  <c r="T35" i="18" s="1"/>
  <c r="L35" i="18"/>
  <c r="S35" i="18" s="1"/>
  <c r="K35" i="18"/>
  <c r="J35" i="18"/>
  <c r="I35" i="18"/>
  <c r="V34" i="18"/>
  <c r="T34" i="18"/>
  <c r="R34" i="18"/>
  <c r="P34" i="18"/>
  <c r="O34" i="18"/>
  <c r="N34" i="18"/>
  <c r="U34" i="18" s="1"/>
  <c r="M34" i="18"/>
  <c r="L34" i="18"/>
  <c r="S34" i="18" s="1"/>
  <c r="K34" i="18"/>
  <c r="J34" i="18"/>
  <c r="Q34" i="18" s="1"/>
  <c r="I34" i="18"/>
  <c r="V33" i="18"/>
  <c r="R33" i="18"/>
  <c r="Q33" i="18"/>
  <c r="O33" i="18"/>
  <c r="N33" i="18"/>
  <c r="U33" i="18" s="1"/>
  <c r="M33" i="18"/>
  <c r="T33" i="18" s="1"/>
  <c r="L33" i="18"/>
  <c r="S33" i="18" s="1"/>
  <c r="K33" i="18"/>
  <c r="J33" i="18"/>
  <c r="I33" i="18"/>
  <c r="P33" i="18" s="1"/>
  <c r="V32" i="18"/>
  <c r="U32" i="18"/>
  <c r="T32" i="18"/>
  <c r="S32" i="18"/>
  <c r="L32" i="18" s="1"/>
  <c r="R32" i="18"/>
  <c r="Q32" i="18"/>
  <c r="K30" i="18"/>
  <c r="R30" i="18" s="1"/>
  <c r="E30" i="18"/>
  <c r="M30" i="18" s="1"/>
  <c r="T30" i="18" s="1"/>
  <c r="V29" i="18"/>
  <c r="S29" i="18"/>
  <c r="R29" i="18"/>
  <c r="Q29" i="18"/>
  <c r="O29" i="18"/>
  <c r="N29" i="18"/>
  <c r="U29" i="18" s="1"/>
  <c r="M29" i="18"/>
  <c r="T29" i="18" s="1"/>
  <c r="L29" i="18"/>
  <c r="K29" i="18"/>
  <c r="J29" i="18"/>
  <c r="I29" i="18"/>
  <c r="P29" i="18" s="1"/>
  <c r="F28" i="18"/>
  <c r="E28" i="18"/>
  <c r="E27" i="18"/>
  <c r="F27" i="18" s="1"/>
  <c r="F26" i="18"/>
  <c r="E26" i="18"/>
  <c r="U25" i="18"/>
  <c r="T25" i="18"/>
  <c r="S25" i="18"/>
  <c r="Q25" i="18"/>
  <c r="O25" i="18"/>
  <c r="V25" i="18" s="1"/>
  <c r="N25" i="18"/>
  <c r="M25" i="18"/>
  <c r="L25" i="18"/>
  <c r="K25" i="18"/>
  <c r="R25" i="18" s="1"/>
  <c r="J25" i="18"/>
  <c r="I25" i="18"/>
  <c r="P25" i="18" s="1"/>
  <c r="E25" i="18"/>
  <c r="F25" i="18" s="1"/>
  <c r="U24" i="18"/>
  <c r="Q24" i="18"/>
  <c r="P24" i="18"/>
  <c r="O24" i="18"/>
  <c r="N24" i="18"/>
  <c r="M24" i="18"/>
  <c r="T24" i="18" s="1"/>
  <c r="L24" i="18"/>
  <c r="S24" i="18" s="1"/>
  <c r="K24" i="18"/>
  <c r="R24" i="18" s="1"/>
  <c r="J24" i="18"/>
  <c r="I24" i="18"/>
  <c r="F24" i="18"/>
  <c r="E24" i="18"/>
  <c r="U23" i="18"/>
  <c r="S23" i="18"/>
  <c r="Q23" i="18"/>
  <c r="O23" i="18"/>
  <c r="N23" i="18"/>
  <c r="M23" i="18"/>
  <c r="L23" i="18"/>
  <c r="K23" i="18"/>
  <c r="R23" i="18" s="1"/>
  <c r="J23" i="18"/>
  <c r="I23" i="18"/>
  <c r="P23" i="18" s="1"/>
  <c r="E23" i="18"/>
  <c r="F23" i="18" s="1"/>
  <c r="T23" i="18" s="1"/>
  <c r="U22" i="18"/>
  <c r="Q22" i="18"/>
  <c r="P22" i="18"/>
  <c r="O22" i="18"/>
  <c r="V22" i="18" s="1"/>
  <c r="N22" i="18"/>
  <c r="M22" i="18"/>
  <c r="T22" i="18" s="1"/>
  <c r="L22" i="18"/>
  <c r="S22" i="18" s="1"/>
  <c r="K22" i="18"/>
  <c r="R22" i="18" s="1"/>
  <c r="J22" i="18"/>
  <c r="I22" i="18"/>
  <c r="F22" i="18"/>
  <c r="E22" i="18"/>
  <c r="U21" i="18"/>
  <c r="T21" i="18"/>
  <c r="S21" i="18"/>
  <c r="Q21" i="18"/>
  <c r="O21" i="18"/>
  <c r="V21" i="18" s="1"/>
  <c r="N21" i="18"/>
  <c r="M21" i="18"/>
  <c r="L21" i="18"/>
  <c r="K21" i="18"/>
  <c r="R21" i="18" s="1"/>
  <c r="J21" i="18"/>
  <c r="I21" i="18"/>
  <c r="P21" i="18" s="1"/>
  <c r="E21" i="18"/>
  <c r="F21" i="18" s="1"/>
  <c r="U20" i="18"/>
  <c r="Q20" i="18"/>
  <c r="P20" i="18"/>
  <c r="O20" i="18"/>
  <c r="N20" i="18"/>
  <c r="M20" i="18"/>
  <c r="T20" i="18" s="1"/>
  <c r="L20" i="18"/>
  <c r="S20" i="18" s="1"/>
  <c r="K20" i="18"/>
  <c r="R20" i="18" s="1"/>
  <c r="J20" i="18"/>
  <c r="I20" i="18"/>
  <c r="F20" i="18"/>
  <c r="E20" i="18"/>
  <c r="U19" i="18"/>
  <c r="S19" i="18"/>
  <c r="Q19" i="18"/>
  <c r="O19" i="18"/>
  <c r="N19" i="18"/>
  <c r="M19" i="18"/>
  <c r="L19" i="18"/>
  <c r="K19" i="18"/>
  <c r="R19" i="18" s="1"/>
  <c r="J19" i="18"/>
  <c r="I19" i="18"/>
  <c r="P19" i="18" s="1"/>
  <c r="E19" i="18"/>
  <c r="F19" i="18" s="1"/>
  <c r="T19" i="18" s="1"/>
  <c r="U17" i="18"/>
  <c r="Q17" i="18"/>
  <c r="P17" i="18"/>
  <c r="O17" i="18"/>
  <c r="V17" i="18" s="1"/>
  <c r="N17" i="18"/>
  <c r="M17" i="18"/>
  <c r="T17" i="18" s="1"/>
  <c r="L17" i="18"/>
  <c r="S17" i="18" s="1"/>
  <c r="K17" i="18"/>
  <c r="R17" i="18" s="1"/>
  <c r="J17" i="18"/>
  <c r="I17" i="18"/>
  <c r="F17" i="18"/>
  <c r="E17" i="18"/>
  <c r="U15" i="18"/>
  <c r="T15" i="18"/>
  <c r="S15" i="18"/>
  <c r="Q15" i="18"/>
  <c r="O15" i="18"/>
  <c r="V15" i="18" s="1"/>
  <c r="N15" i="18"/>
  <c r="M15" i="18"/>
  <c r="L15" i="18"/>
  <c r="K15" i="18"/>
  <c r="R15" i="18" s="1"/>
  <c r="J15" i="18"/>
  <c r="I15" i="18"/>
  <c r="P15" i="18" s="1"/>
  <c r="E15" i="18"/>
  <c r="F15" i="18" s="1"/>
  <c r="U14" i="18"/>
  <c r="Q14" i="18"/>
  <c r="P14" i="18"/>
  <c r="O14" i="18"/>
  <c r="V14" i="18" s="1"/>
  <c r="N14" i="18"/>
  <c r="M14" i="18"/>
  <c r="T14" i="18" s="1"/>
  <c r="L14" i="18"/>
  <c r="S14" i="18" s="1"/>
  <c r="K14" i="18"/>
  <c r="R14" i="18" s="1"/>
  <c r="J14" i="18"/>
  <c r="I14" i="18"/>
  <c r="F14" i="18"/>
  <c r="E14" i="18"/>
  <c r="U12" i="18"/>
  <c r="T12" i="18"/>
  <c r="S12" i="18"/>
  <c r="Q12" i="18"/>
  <c r="O12" i="18"/>
  <c r="V12" i="18" s="1"/>
  <c r="N12" i="18"/>
  <c r="M12" i="18"/>
  <c r="L12" i="18"/>
  <c r="K12" i="18"/>
  <c r="R12" i="18" s="1"/>
  <c r="J12" i="18"/>
  <c r="I12" i="18"/>
  <c r="P12" i="18" s="1"/>
  <c r="E12" i="18"/>
  <c r="F12" i="18" s="1"/>
  <c r="U11" i="18"/>
  <c r="Q11" i="18"/>
  <c r="P11" i="18"/>
  <c r="O11" i="18"/>
  <c r="V11" i="18" s="1"/>
  <c r="N11" i="18"/>
  <c r="M11" i="18"/>
  <c r="T11" i="18" s="1"/>
  <c r="L11" i="18"/>
  <c r="S11" i="18" s="1"/>
  <c r="K11" i="18"/>
  <c r="R11" i="18" s="1"/>
  <c r="J11" i="18"/>
  <c r="I11" i="18"/>
  <c r="V10" i="18"/>
  <c r="S10" i="18"/>
  <c r="R10" i="18"/>
  <c r="O10" i="18"/>
  <c r="N10" i="18"/>
  <c r="U10" i="18" s="1"/>
  <c r="M10" i="18"/>
  <c r="T10" i="18" s="1"/>
  <c r="L10" i="18"/>
  <c r="K10" i="18"/>
  <c r="J10" i="18"/>
  <c r="Q10" i="18" s="1"/>
  <c r="I10" i="18"/>
  <c r="P10" i="18" s="1"/>
  <c r="E10" i="18"/>
  <c r="F10" i="18" s="1"/>
  <c r="V9" i="18"/>
  <c r="S9" i="18"/>
  <c r="R9" i="18"/>
  <c r="O9" i="18"/>
  <c r="N9" i="18"/>
  <c r="U9" i="18" s="1"/>
  <c r="M9" i="18"/>
  <c r="T9" i="18" s="1"/>
  <c r="L9" i="18"/>
  <c r="K9" i="18"/>
  <c r="J9" i="18"/>
  <c r="Q9" i="18" s="1"/>
  <c r="I9" i="18"/>
  <c r="P9" i="18" s="1"/>
  <c r="E9" i="18"/>
  <c r="F9" i="18" s="1"/>
  <c r="V8" i="18"/>
  <c r="S8" i="18"/>
  <c r="R8" i="18"/>
  <c r="O8" i="18"/>
  <c r="N8" i="18"/>
  <c r="U8" i="18" s="1"/>
  <c r="M8" i="18"/>
  <c r="T8" i="18" s="1"/>
  <c r="L8" i="18"/>
  <c r="K8" i="18"/>
  <c r="J8" i="18"/>
  <c r="Q8" i="18" s="1"/>
  <c r="I8" i="18"/>
  <c r="P8" i="18" s="1"/>
  <c r="E8" i="18"/>
  <c r="F8" i="18" s="1"/>
  <c r="V7" i="18"/>
  <c r="S7" i="18"/>
  <c r="R7" i="18"/>
  <c r="R48" i="18" s="1"/>
  <c r="D15" i="9" s="1"/>
  <c r="O7" i="18"/>
  <c r="N7" i="18"/>
  <c r="U7" i="18" s="1"/>
  <c r="M7" i="18"/>
  <c r="T7" i="18" s="1"/>
  <c r="L7" i="18"/>
  <c r="K7" i="18"/>
  <c r="J7" i="18"/>
  <c r="Q7" i="18" s="1"/>
  <c r="I7" i="18"/>
  <c r="E7" i="18"/>
  <c r="F7" i="18" s="1"/>
  <c r="N2" i="18"/>
  <c r="L2" i="18"/>
  <c r="J2" i="18"/>
  <c r="G2" i="18"/>
  <c r="F2" i="18"/>
  <c r="E2" i="18"/>
  <c r="D2" i="18"/>
  <c r="B2" i="18"/>
  <c r="A2" i="18"/>
  <c r="A73" i="17"/>
  <c r="V72" i="17"/>
  <c r="S72" i="17"/>
  <c r="O72" i="17"/>
  <c r="N72" i="17"/>
  <c r="U72" i="17" s="1"/>
  <c r="M72" i="17"/>
  <c r="T72" i="17" s="1"/>
  <c r="L72" i="17"/>
  <c r="K72" i="17"/>
  <c r="R72" i="17" s="1"/>
  <c r="J72" i="17"/>
  <c r="Q72" i="17" s="1"/>
  <c r="I72" i="17"/>
  <c r="P72" i="17" s="1"/>
  <c r="U71" i="17"/>
  <c r="Q71" i="17"/>
  <c r="O71" i="17"/>
  <c r="V71" i="17" s="1"/>
  <c r="N71" i="17"/>
  <c r="M71" i="17"/>
  <c r="T71" i="17" s="1"/>
  <c r="L71" i="17"/>
  <c r="S71" i="17" s="1"/>
  <c r="K71" i="17"/>
  <c r="R71" i="17" s="1"/>
  <c r="J71" i="17"/>
  <c r="I71" i="17"/>
  <c r="P71" i="17" s="1"/>
  <c r="S70" i="17"/>
  <c r="O70" i="17"/>
  <c r="V70" i="17" s="1"/>
  <c r="N70" i="17"/>
  <c r="U70" i="17" s="1"/>
  <c r="M70" i="17"/>
  <c r="T70" i="17" s="1"/>
  <c r="L70" i="17"/>
  <c r="K70" i="17"/>
  <c r="R70" i="17" s="1"/>
  <c r="J70" i="17"/>
  <c r="Q70" i="17" s="1"/>
  <c r="I70" i="17"/>
  <c r="P70" i="17" s="1"/>
  <c r="F70" i="17"/>
  <c r="V69" i="17"/>
  <c r="R69" i="17"/>
  <c r="Q69" i="17"/>
  <c r="O69" i="17"/>
  <c r="N69" i="17"/>
  <c r="U69" i="17" s="1"/>
  <c r="M69" i="17"/>
  <c r="T69" i="17" s="1"/>
  <c r="L69" i="17"/>
  <c r="S69" i="17" s="1"/>
  <c r="K69" i="17"/>
  <c r="J69" i="17"/>
  <c r="I69" i="17"/>
  <c r="P69" i="17" s="1"/>
  <c r="F69" i="17"/>
  <c r="U68" i="17"/>
  <c r="Q68" i="17"/>
  <c r="O68" i="17"/>
  <c r="V68" i="17" s="1"/>
  <c r="N68" i="17"/>
  <c r="M68" i="17"/>
  <c r="T68" i="17" s="1"/>
  <c r="L68" i="17"/>
  <c r="S68" i="17" s="1"/>
  <c r="K68" i="17"/>
  <c r="R68" i="17" s="1"/>
  <c r="J68" i="17"/>
  <c r="I68" i="17"/>
  <c r="P68" i="17" s="1"/>
  <c r="F68" i="17"/>
  <c r="T67" i="17"/>
  <c r="P67" i="17"/>
  <c r="O67" i="17"/>
  <c r="V67" i="17" s="1"/>
  <c r="N67" i="17"/>
  <c r="U67" i="17" s="1"/>
  <c r="M67" i="17"/>
  <c r="L67" i="17"/>
  <c r="S67" i="17" s="1"/>
  <c r="K67" i="17"/>
  <c r="R67" i="17" s="1"/>
  <c r="J67" i="17"/>
  <c r="Q67" i="17" s="1"/>
  <c r="I67" i="17"/>
  <c r="F67" i="17"/>
  <c r="S66" i="17"/>
  <c r="O66" i="17"/>
  <c r="V66" i="17" s="1"/>
  <c r="N66" i="17"/>
  <c r="U66" i="17" s="1"/>
  <c r="M66" i="17"/>
  <c r="T66" i="17" s="1"/>
  <c r="L66" i="17"/>
  <c r="K66" i="17"/>
  <c r="R66" i="17" s="1"/>
  <c r="J66" i="17"/>
  <c r="Q66" i="17" s="1"/>
  <c r="I66" i="17"/>
  <c r="P66" i="17" s="1"/>
  <c r="F66" i="17"/>
  <c r="V65" i="17"/>
  <c r="R65" i="17"/>
  <c r="O65" i="17"/>
  <c r="N65" i="17"/>
  <c r="U65" i="17" s="1"/>
  <c r="M65" i="17"/>
  <c r="T65" i="17" s="1"/>
  <c r="L65" i="17"/>
  <c r="S65" i="17" s="1"/>
  <c r="K65" i="17"/>
  <c r="J65" i="17"/>
  <c r="Q65" i="17" s="1"/>
  <c r="I65" i="17"/>
  <c r="P65" i="17" s="1"/>
  <c r="F65" i="17"/>
  <c r="U61" i="17"/>
  <c r="Q61" i="17"/>
  <c r="O61" i="17"/>
  <c r="V61" i="17" s="1"/>
  <c r="N61" i="17"/>
  <c r="M61" i="17"/>
  <c r="T61" i="17" s="1"/>
  <c r="L61" i="17"/>
  <c r="S61" i="17" s="1"/>
  <c r="K61" i="17"/>
  <c r="R61" i="17" s="1"/>
  <c r="J61" i="17"/>
  <c r="I61" i="17"/>
  <c r="P61" i="17" s="1"/>
  <c r="F61" i="17"/>
  <c r="E61" i="17"/>
  <c r="U60" i="17"/>
  <c r="T60" i="17"/>
  <c r="Q60" i="17"/>
  <c r="P60" i="17"/>
  <c r="O60" i="17"/>
  <c r="V60" i="17" s="1"/>
  <c r="N60" i="17"/>
  <c r="M60" i="17"/>
  <c r="L60" i="17"/>
  <c r="S60" i="17" s="1"/>
  <c r="K60" i="17"/>
  <c r="R60" i="17" s="1"/>
  <c r="J60" i="17"/>
  <c r="I60" i="17"/>
  <c r="F60" i="17"/>
  <c r="E60" i="17"/>
  <c r="U59" i="17"/>
  <c r="Q59" i="17"/>
  <c r="O59" i="17"/>
  <c r="V59" i="17" s="1"/>
  <c r="N59" i="17"/>
  <c r="M59" i="17"/>
  <c r="T59" i="17" s="1"/>
  <c r="L59" i="17"/>
  <c r="S59" i="17" s="1"/>
  <c r="K59" i="17"/>
  <c r="R59" i="17" s="1"/>
  <c r="J59" i="17"/>
  <c r="I59" i="17"/>
  <c r="P59" i="17" s="1"/>
  <c r="F59" i="17"/>
  <c r="E59" i="17"/>
  <c r="U58" i="17"/>
  <c r="T58" i="17"/>
  <c r="Q58" i="17"/>
  <c r="P58" i="17"/>
  <c r="O58" i="17"/>
  <c r="V58" i="17" s="1"/>
  <c r="N58" i="17"/>
  <c r="M58" i="17"/>
  <c r="L58" i="17"/>
  <c r="S58" i="17" s="1"/>
  <c r="K58" i="17"/>
  <c r="R58" i="17" s="1"/>
  <c r="J58" i="17"/>
  <c r="I58" i="17"/>
  <c r="F58" i="17"/>
  <c r="E58" i="17"/>
  <c r="U57" i="17"/>
  <c r="Q57" i="17"/>
  <c r="O57" i="17"/>
  <c r="V57" i="17" s="1"/>
  <c r="N57" i="17"/>
  <c r="M57" i="17"/>
  <c r="T57" i="17" s="1"/>
  <c r="L57" i="17"/>
  <c r="S57" i="17" s="1"/>
  <c r="K57" i="17"/>
  <c r="R57" i="17" s="1"/>
  <c r="J57" i="17"/>
  <c r="I57" i="17"/>
  <c r="P57" i="17" s="1"/>
  <c r="F57" i="17"/>
  <c r="E57" i="17"/>
  <c r="U56" i="17"/>
  <c r="T56" i="17"/>
  <c r="Q56" i="17"/>
  <c r="P56" i="17"/>
  <c r="O56" i="17"/>
  <c r="V56" i="17" s="1"/>
  <c r="N56" i="17"/>
  <c r="M56" i="17"/>
  <c r="L56" i="17"/>
  <c r="S56" i="17" s="1"/>
  <c r="K56" i="17"/>
  <c r="R56" i="17" s="1"/>
  <c r="J56" i="17"/>
  <c r="I56" i="17"/>
  <c r="F56" i="17"/>
  <c r="E56" i="17"/>
  <c r="U55" i="17"/>
  <c r="Q55" i="17"/>
  <c r="O55" i="17"/>
  <c r="V55" i="17" s="1"/>
  <c r="N55" i="17"/>
  <c r="M55" i="17"/>
  <c r="T55" i="17" s="1"/>
  <c r="L55" i="17"/>
  <c r="S55" i="17" s="1"/>
  <c r="K55" i="17"/>
  <c r="R55" i="17" s="1"/>
  <c r="J55" i="17"/>
  <c r="I55" i="17"/>
  <c r="P55" i="17" s="1"/>
  <c r="F55" i="17"/>
  <c r="E55" i="17"/>
  <c r="U54" i="17"/>
  <c r="T54" i="17"/>
  <c r="Q54" i="17"/>
  <c r="P54" i="17"/>
  <c r="O54" i="17"/>
  <c r="V54" i="17" s="1"/>
  <c r="N54" i="17"/>
  <c r="M54" i="17"/>
  <c r="L54" i="17"/>
  <c r="S54" i="17" s="1"/>
  <c r="K54" i="17"/>
  <c r="R54" i="17" s="1"/>
  <c r="J54" i="17"/>
  <c r="I54" i="17"/>
  <c r="F54" i="17"/>
  <c r="E54" i="17"/>
  <c r="U53" i="17"/>
  <c r="Q53" i="17"/>
  <c r="O53" i="17"/>
  <c r="V53" i="17" s="1"/>
  <c r="N53" i="17"/>
  <c r="M53" i="17"/>
  <c r="T53" i="17" s="1"/>
  <c r="L53" i="17"/>
  <c r="S53" i="17" s="1"/>
  <c r="K53" i="17"/>
  <c r="R53" i="17" s="1"/>
  <c r="J53" i="17"/>
  <c r="I53" i="17"/>
  <c r="P53" i="17" s="1"/>
  <c r="F53" i="17"/>
  <c r="E53" i="17"/>
  <c r="U52" i="17"/>
  <c r="T52" i="17"/>
  <c r="Q52" i="17"/>
  <c r="P52" i="17"/>
  <c r="O52" i="17"/>
  <c r="V52" i="17" s="1"/>
  <c r="N52" i="17"/>
  <c r="M52" i="17"/>
  <c r="L52" i="17"/>
  <c r="S52" i="17" s="1"/>
  <c r="K52" i="17"/>
  <c r="R52" i="17" s="1"/>
  <c r="J52" i="17"/>
  <c r="I52" i="17"/>
  <c r="F52" i="17"/>
  <c r="E52" i="17"/>
  <c r="U51" i="17"/>
  <c r="Q51" i="17"/>
  <c r="O51" i="17"/>
  <c r="V51" i="17" s="1"/>
  <c r="N51" i="17"/>
  <c r="M51" i="17"/>
  <c r="L51" i="17"/>
  <c r="S51" i="17" s="1"/>
  <c r="S73" i="17" s="1"/>
  <c r="K51" i="17"/>
  <c r="R51" i="17" s="1"/>
  <c r="J51" i="17"/>
  <c r="I51" i="17"/>
  <c r="P51" i="17" s="1"/>
  <c r="F51" i="17"/>
  <c r="E51" i="17"/>
  <c r="U49" i="17"/>
  <c r="S49" i="17"/>
  <c r="R49" i="17"/>
  <c r="Q49" i="17"/>
  <c r="P49" i="17"/>
  <c r="T47" i="17"/>
  <c r="S47" i="17"/>
  <c r="P47" i="17"/>
  <c r="O47" i="17"/>
  <c r="V47" i="17" s="1"/>
  <c r="N47" i="17"/>
  <c r="U47" i="17" s="1"/>
  <c r="L47" i="17"/>
  <c r="K47" i="17"/>
  <c r="R47" i="17" s="1"/>
  <c r="J47" i="17"/>
  <c r="Q47" i="17" s="1"/>
  <c r="I47" i="17"/>
  <c r="U45" i="17"/>
  <c r="T45" i="17"/>
  <c r="Q45" i="17"/>
  <c r="P45" i="17"/>
  <c r="O45" i="17"/>
  <c r="V45" i="17" s="1"/>
  <c r="N45" i="17"/>
  <c r="M45" i="17"/>
  <c r="L45" i="17"/>
  <c r="S45" i="17" s="1"/>
  <c r="K45" i="17"/>
  <c r="R45" i="17" s="1"/>
  <c r="J45" i="17"/>
  <c r="I45" i="17"/>
  <c r="V44" i="17"/>
  <c r="S44" i="17"/>
  <c r="R44" i="17"/>
  <c r="O44" i="17"/>
  <c r="N44" i="17"/>
  <c r="U44" i="17" s="1"/>
  <c r="M44" i="17"/>
  <c r="T44" i="17" s="1"/>
  <c r="L44" i="17"/>
  <c r="K44" i="17"/>
  <c r="J44" i="17"/>
  <c r="Q44" i="17" s="1"/>
  <c r="I44" i="17"/>
  <c r="P44" i="17" s="1"/>
  <c r="U43" i="17"/>
  <c r="Q43" i="17"/>
  <c r="O43" i="17"/>
  <c r="V43" i="17" s="1"/>
  <c r="N43" i="17"/>
  <c r="M43" i="17"/>
  <c r="T43" i="17" s="1"/>
  <c r="L43" i="17"/>
  <c r="S43" i="17" s="1"/>
  <c r="K43" i="17"/>
  <c r="R43" i="17" s="1"/>
  <c r="J43" i="17"/>
  <c r="I43" i="17"/>
  <c r="P43" i="17" s="1"/>
  <c r="S42" i="17"/>
  <c r="O42" i="17"/>
  <c r="V42" i="17" s="1"/>
  <c r="N42" i="17"/>
  <c r="U42" i="17" s="1"/>
  <c r="M42" i="17"/>
  <c r="T42" i="17" s="1"/>
  <c r="L42" i="17"/>
  <c r="K42" i="17"/>
  <c r="R42" i="17" s="1"/>
  <c r="J42" i="17"/>
  <c r="Q42" i="17" s="1"/>
  <c r="I42" i="17"/>
  <c r="P42" i="17" s="1"/>
  <c r="U40" i="17"/>
  <c r="Q40" i="17"/>
  <c r="O40" i="17"/>
  <c r="V40" i="17" s="1"/>
  <c r="N40" i="17"/>
  <c r="L40" i="17"/>
  <c r="S40" i="17" s="1"/>
  <c r="K40" i="17"/>
  <c r="R40" i="17" s="1"/>
  <c r="J40" i="17"/>
  <c r="I40" i="17"/>
  <c r="M40" i="17" s="1"/>
  <c r="T40" i="17" s="1"/>
  <c r="V39" i="17"/>
  <c r="U39" i="17"/>
  <c r="T39" i="17"/>
  <c r="S39" i="17"/>
  <c r="R39" i="17"/>
  <c r="Q39" i="17"/>
  <c r="P39" i="17"/>
  <c r="L39" i="17"/>
  <c r="V38" i="17"/>
  <c r="U38" i="17"/>
  <c r="T38" i="17"/>
  <c r="R38" i="17"/>
  <c r="Q38" i="17"/>
  <c r="P38" i="17"/>
  <c r="L38" i="17"/>
  <c r="S38" i="17" s="1"/>
  <c r="V37" i="17"/>
  <c r="U37" i="17"/>
  <c r="T37" i="17"/>
  <c r="S37" i="17"/>
  <c r="R37" i="17"/>
  <c r="Q37" i="17"/>
  <c r="P37" i="17"/>
  <c r="L37" i="17"/>
  <c r="S36" i="17"/>
  <c r="O36" i="17"/>
  <c r="V36" i="17" s="1"/>
  <c r="N36" i="17"/>
  <c r="U36" i="17" s="1"/>
  <c r="M36" i="17"/>
  <c r="T36" i="17" s="1"/>
  <c r="L36" i="17"/>
  <c r="K36" i="17"/>
  <c r="R36" i="17" s="1"/>
  <c r="J36" i="17"/>
  <c r="Q36" i="17" s="1"/>
  <c r="I36" i="17"/>
  <c r="P36" i="17" s="1"/>
  <c r="U35" i="17"/>
  <c r="T35" i="17"/>
  <c r="S35" i="17"/>
  <c r="Q35" i="17"/>
  <c r="P35" i="17"/>
  <c r="O35" i="17"/>
  <c r="V35" i="17" s="1"/>
  <c r="N35" i="17"/>
  <c r="M35" i="17"/>
  <c r="L35" i="17"/>
  <c r="K35" i="17"/>
  <c r="R35" i="17" s="1"/>
  <c r="J35" i="17"/>
  <c r="I35" i="17"/>
  <c r="V34" i="17"/>
  <c r="S34" i="17"/>
  <c r="O34" i="17"/>
  <c r="N34" i="17"/>
  <c r="U34" i="17" s="1"/>
  <c r="M34" i="17"/>
  <c r="T34" i="17" s="1"/>
  <c r="L34" i="17"/>
  <c r="K34" i="17"/>
  <c r="R34" i="17" s="1"/>
  <c r="J34" i="17"/>
  <c r="Q34" i="17" s="1"/>
  <c r="I34" i="17"/>
  <c r="P34" i="17" s="1"/>
  <c r="U33" i="17"/>
  <c r="T33" i="17"/>
  <c r="S33" i="17"/>
  <c r="Q33" i="17"/>
  <c r="P33" i="17"/>
  <c r="O33" i="17"/>
  <c r="V33" i="17" s="1"/>
  <c r="N33" i="17"/>
  <c r="M33" i="17"/>
  <c r="L33" i="17"/>
  <c r="K33" i="17"/>
  <c r="R33" i="17" s="1"/>
  <c r="J33" i="17"/>
  <c r="I33" i="17"/>
  <c r="V32" i="17"/>
  <c r="U32" i="17"/>
  <c r="T32" i="17"/>
  <c r="S32" i="17"/>
  <c r="L32" i="17" s="1"/>
  <c r="R32" i="17"/>
  <c r="Q32" i="17"/>
  <c r="Q30" i="17"/>
  <c r="N30" i="17"/>
  <c r="U30" i="17" s="1"/>
  <c r="M30" i="17"/>
  <c r="T30" i="17" s="1"/>
  <c r="L30" i="17"/>
  <c r="S30" i="17" s="1"/>
  <c r="J30" i="17"/>
  <c r="I30" i="17"/>
  <c r="P30" i="17" s="1"/>
  <c r="F30" i="17"/>
  <c r="E30" i="17"/>
  <c r="O30" i="17" s="1"/>
  <c r="V30" i="17" s="1"/>
  <c r="V29" i="17"/>
  <c r="T29" i="17"/>
  <c r="R29" i="17"/>
  <c r="P29" i="17"/>
  <c r="O29" i="17"/>
  <c r="N29" i="17"/>
  <c r="U29" i="17" s="1"/>
  <c r="M29" i="17"/>
  <c r="L29" i="17"/>
  <c r="S29" i="17" s="1"/>
  <c r="K29" i="17"/>
  <c r="J29" i="17"/>
  <c r="Q29" i="17" s="1"/>
  <c r="I29" i="17"/>
  <c r="F28" i="17"/>
  <c r="E28" i="17"/>
  <c r="F27" i="17"/>
  <c r="E27" i="17"/>
  <c r="F26" i="17"/>
  <c r="E26" i="17"/>
  <c r="V25" i="17"/>
  <c r="T25" i="17"/>
  <c r="R25" i="17"/>
  <c r="P25" i="17"/>
  <c r="O25" i="17"/>
  <c r="N25" i="17"/>
  <c r="U25" i="17" s="1"/>
  <c r="M25" i="17"/>
  <c r="L25" i="17"/>
  <c r="S25" i="17" s="1"/>
  <c r="K25" i="17"/>
  <c r="J25" i="17"/>
  <c r="Q25" i="17" s="1"/>
  <c r="I25" i="17"/>
  <c r="F25" i="17"/>
  <c r="E25" i="17"/>
  <c r="T24" i="17"/>
  <c r="S24" i="17"/>
  <c r="P24" i="17"/>
  <c r="O24" i="17"/>
  <c r="N24" i="17"/>
  <c r="U24" i="17" s="1"/>
  <c r="M24" i="17"/>
  <c r="L24" i="17"/>
  <c r="K24" i="17"/>
  <c r="R24" i="17" s="1"/>
  <c r="J24" i="17"/>
  <c r="Q24" i="17" s="1"/>
  <c r="I24" i="17"/>
  <c r="F24" i="17"/>
  <c r="V24" i="17" s="1"/>
  <c r="E24" i="17"/>
  <c r="R23" i="17"/>
  <c r="P23" i="17"/>
  <c r="O23" i="17"/>
  <c r="N23" i="17"/>
  <c r="U23" i="17" s="1"/>
  <c r="M23" i="17"/>
  <c r="L23" i="17"/>
  <c r="S23" i="17" s="1"/>
  <c r="K23" i="17"/>
  <c r="J23" i="17"/>
  <c r="Q23" i="17" s="1"/>
  <c r="I23" i="17"/>
  <c r="F23" i="17"/>
  <c r="T23" i="17" s="1"/>
  <c r="E23" i="17"/>
  <c r="V22" i="17"/>
  <c r="T22" i="17"/>
  <c r="S22" i="17"/>
  <c r="P22" i="17"/>
  <c r="O22" i="17"/>
  <c r="N22" i="17"/>
  <c r="U22" i="17" s="1"/>
  <c r="M22" i="17"/>
  <c r="L22" i="17"/>
  <c r="K22" i="17"/>
  <c r="R22" i="17" s="1"/>
  <c r="J22" i="17"/>
  <c r="Q22" i="17" s="1"/>
  <c r="I22" i="17"/>
  <c r="F22" i="17"/>
  <c r="E22" i="17"/>
  <c r="V21" i="17"/>
  <c r="R21" i="17"/>
  <c r="P21" i="17"/>
  <c r="O21" i="17"/>
  <c r="N21" i="17"/>
  <c r="U21" i="17" s="1"/>
  <c r="M21" i="17"/>
  <c r="T21" i="17" s="1"/>
  <c r="L21" i="17"/>
  <c r="S21" i="17" s="1"/>
  <c r="K21" i="17"/>
  <c r="J21" i="17"/>
  <c r="Q21" i="17" s="1"/>
  <c r="I21" i="17"/>
  <c r="F21" i="17"/>
  <c r="E21" i="17"/>
  <c r="R20" i="17"/>
  <c r="P20" i="17"/>
  <c r="O20" i="17"/>
  <c r="N20" i="17"/>
  <c r="U20" i="17" s="1"/>
  <c r="M20" i="17"/>
  <c r="L20" i="17"/>
  <c r="S20" i="17" s="1"/>
  <c r="K20" i="17"/>
  <c r="J20" i="17"/>
  <c r="Q20" i="17" s="1"/>
  <c r="I20" i="17"/>
  <c r="F20" i="17"/>
  <c r="T20" i="17" s="1"/>
  <c r="E20" i="17"/>
  <c r="R19" i="17"/>
  <c r="P19" i="17"/>
  <c r="O19" i="17"/>
  <c r="N19" i="17"/>
  <c r="U19" i="17" s="1"/>
  <c r="M19" i="17"/>
  <c r="L19" i="17"/>
  <c r="S19" i="17" s="1"/>
  <c r="K19" i="17"/>
  <c r="J19" i="17"/>
  <c r="Q19" i="17" s="1"/>
  <c r="I19" i="17"/>
  <c r="F19" i="17"/>
  <c r="V19" i="17" s="1"/>
  <c r="E19" i="17"/>
  <c r="V17" i="17"/>
  <c r="T17" i="17"/>
  <c r="R17" i="17"/>
  <c r="P17" i="17"/>
  <c r="O17" i="17"/>
  <c r="N17" i="17"/>
  <c r="U17" i="17" s="1"/>
  <c r="M17" i="17"/>
  <c r="L17" i="17"/>
  <c r="S17" i="17" s="1"/>
  <c r="K17" i="17"/>
  <c r="J17" i="17"/>
  <c r="Q17" i="17" s="1"/>
  <c r="I17" i="17"/>
  <c r="F17" i="17"/>
  <c r="E17" i="17"/>
  <c r="V15" i="17"/>
  <c r="T15" i="17"/>
  <c r="R15" i="17"/>
  <c r="P15" i="17"/>
  <c r="O15" i="17"/>
  <c r="N15" i="17"/>
  <c r="U15" i="17" s="1"/>
  <c r="M15" i="17"/>
  <c r="L15" i="17"/>
  <c r="S15" i="17" s="1"/>
  <c r="K15" i="17"/>
  <c r="J15" i="17"/>
  <c r="Q15" i="17" s="1"/>
  <c r="I15" i="17"/>
  <c r="F15" i="17"/>
  <c r="E15" i="17"/>
  <c r="V14" i="17"/>
  <c r="T14" i="17"/>
  <c r="R14" i="17"/>
  <c r="P14" i="17"/>
  <c r="O14" i="17"/>
  <c r="N14" i="17"/>
  <c r="U14" i="17" s="1"/>
  <c r="M14" i="17"/>
  <c r="L14" i="17"/>
  <c r="S14" i="17" s="1"/>
  <c r="K14" i="17"/>
  <c r="J14" i="17"/>
  <c r="Q14" i="17" s="1"/>
  <c r="I14" i="17"/>
  <c r="F14" i="17"/>
  <c r="E14" i="17"/>
  <c r="V12" i="17"/>
  <c r="T12" i="17"/>
  <c r="R12" i="17"/>
  <c r="P12" i="17"/>
  <c r="O12" i="17"/>
  <c r="N12" i="17"/>
  <c r="U12" i="17" s="1"/>
  <c r="M12" i="17"/>
  <c r="L12" i="17"/>
  <c r="S12" i="17" s="1"/>
  <c r="K12" i="17"/>
  <c r="J12" i="17"/>
  <c r="Q12" i="17" s="1"/>
  <c r="I12" i="17"/>
  <c r="F12" i="17"/>
  <c r="E12" i="17"/>
  <c r="V11" i="17"/>
  <c r="T11" i="17"/>
  <c r="R11" i="17"/>
  <c r="P11" i="17"/>
  <c r="O11" i="17"/>
  <c r="N11" i="17"/>
  <c r="U11" i="17" s="1"/>
  <c r="M11" i="17"/>
  <c r="L11" i="17"/>
  <c r="S11" i="17" s="1"/>
  <c r="K11" i="17"/>
  <c r="J11" i="17"/>
  <c r="Q11" i="17" s="1"/>
  <c r="I11" i="17"/>
  <c r="V10" i="17"/>
  <c r="T10" i="17"/>
  <c r="R10" i="17"/>
  <c r="P10" i="17"/>
  <c r="O10" i="17"/>
  <c r="N10" i="17"/>
  <c r="U10" i="17" s="1"/>
  <c r="M10" i="17"/>
  <c r="L10" i="17"/>
  <c r="S10" i="17" s="1"/>
  <c r="K10" i="17"/>
  <c r="J10" i="17"/>
  <c r="Q10" i="17" s="1"/>
  <c r="I10" i="17"/>
  <c r="F10" i="17"/>
  <c r="E10" i="17"/>
  <c r="V9" i="17"/>
  <c r="T9" i="17"/>
  <c r="R9" i="17"/>
  <c r="P9" i="17"/>
  <c r="O9" i="17"/>
  <c r="N9" i="17"/>
  <c r="U9" i="17" s="1"/>
  <c r="M9" i="17"/>
  <c r="L9" i="17"/>
  <c r="S9" i="17" s="1"/>
  <c r="K9" i="17"/>
  <c r="J9" i="17"/>
  <c r="Q9" i="17" s="1"/>
  <c r="I9" i="17"/>
  <c r="F9" i="17"/>
  <c r="E9" i="17"/>
  <c r="V8" i="17"/>
  <c r="T8" i="17"/>
  <c r="R8" i="17"/>
  <c r="P8" i="17"/>
  <c r="O8" i="17"/>
  <c r="N8" i="17"/>
  <c r="U8" i="17" s="1"/>
  <c r="M8" i="17"/>
  <c r="L8" i="17"/>
  <c r="S8" i="17" s="1"/>
  <c r="K8" i="17"/>
  <c r="J8" i="17"/>
  <c r="Q8" i="17" s="1"/>
  <c r="I8" i="17"/>
  <c r="F8" i="17"/>
  <c r="E8" i="17"/>
  <c r="V7" i="17"/>
  <c r="T7" i="17"/>
  <c r="R7" i="17"/>
  <c r="P7" i="17"/>
  <c r="O7" i="17"/>
  <c r="N7" i="17"/>
  <c r="U7" i="17" s="1"/>
  <c r="M7" i="17"/>
  <c r="M48" i="17" s="1"/>
  <c r="L7" i="17"/>
  <c r="S7" i="17" s="1"/>
  <c r="S48" i="17" s="1"/>
  <c r="E14" i="9" s="1"/>
  <c r="K7" i="17"/>
  <c r="J7" i="17"/>
  <c r="Q7" i="17" s="1"/>
  <c r="I7" i="17"/>
  <c r="I48" i="17" s="1"/>
  <c r="F7" i="17"/>
  <c r="E7" i="17"/>
  <c r="N2" i="17"/>
  <c r="L2" i="17"/>
  <c r="J2" i="17"/>
  <c r="G2" i="17"/>
  <c r="F2" i="17"/>
  <c r="E2" i="17"/>
  <c r="D2" i="17"/>
  <c r="B2" i="17"/>
  <c r="A2" i="17"/>
  <c r="A48" i="12"/>
  <c r="A48" i="11"/>
  <c r="A73" i="16"/>
  <c r="V72" i="16"/>
  <c r="R72" i="16"/>
  <c r="O72" i="16"/>
  <c r="N72" i="16"/>
  <c r="U72" i="16" s="1"/>
  <c r="M72" i="16"/>
  <c r="T72" i="16" s="1"/>
  <c r="L72" i="16"/>
  <c r="S72" i="16" s="1"/>
  <c r="K72" i="16"/>
  <c r="J72" i="16"/>
  <c r="Q72" i="16" s="1"/>
  <c r="I72" i="16"/>
  <c r="P72" i="16" s="1"/>
  <c r="T71" i="16"/>
  <c r="P71" i="16"/>
  <c r="O71" i="16"/>
  <c r="V71" i="16" s="1"/>
  <c r="N71" i="16"/>
  <c r="U71" i="16" s="1"/>
  <c r="M71" i="16"/>
  <c r="L71" i="16"/>
  <c r="S71" i="16" s="1"/>
  <c r="K71" i="16"/>
  <c r="R71" i="16" s="1"/>
  <c r="J71" i="16"/>
  <c r="Q71" i="16" s="1"/>
  <c r="I71" i="16"/>
  <c r="V70" i="16"/>
  <c r="S70" i="16"/>
  <c r="R70" i="16"/>
  <c r="O70" i="16"/>
  <c r="N70" i="16"/>
  <c r="U70" i="16" s="1"/>
  <c r="M70" i="16"/>
  <c r="T70" i="16" s="1"/>
  <c r="L70" i="16"/>
  <c r="K70" i="16"/>
  <c r="J70" i="16"/>
  <c r="Q70" i="16" s="1"/>
  <c r="I70" i="16"/>
  <c r="P70" i="16" s="1"/>
  <c r="F70" i="16"/>
  <c r="V69" i="16"/>
  <c r="U69" i="16"/>
  <c r="R69" i="16"/>
  <c r="Q69" i="16"/>
  <c r="O69" i="16"/>
  <c r="N69" i="16"/>
  <c r="M69" i="16"/>
  <c r="T69" i="16" s="1"/>
  <c r="L69" i="16"/>
  <c r="S69" i="16" s="1"/>
  <c r="K69" i="16"/>
  <c r="J69" i="16"/>
  <c r="I69" i="16"/>
  <c r="P69" i="16" s="1"/>
  <c r="F69" i="16"/>
  <c r="U68" i="16"/>
  <c r="T68" i="16"/>
  <c r="Q68" i="16"/>
  <c r="P68" i="16"/>
  <c r="O68" i="16"/>
  <c r="V68" i="16" s="1"/>
  <c r="N68" i="16"/>
  <c r="M68" i="16"/>
  <c r="L68" i="16"/>
  <c r="S68" i="16" s="1"/>
  <c r="K68" i="16"/>
  <c r="R68" i="16" s="1"/>
  <c r="J68" i="16"/>
  <c r="I68" i="16"/>
  <c r="F68" i="16"/>
  <c r="S67" i="16"/>
  <c r="O67" i="16"/>
  <c r="V67" i="16" s="1"/>
  <c r="N67" i="16"/>
  <c r="U67" i="16" s="1"/>
  <c r="M67" i="16"/>
  <c r="T67" i="16" s="1"/>
  <c r="L67" i="16"/>
  <c r="K67" i="16"/>
  <c r="R67" i="16" s="1"/>
  <c r="J67" i="16"/>
  <c r="Q67" i="16" s="1"/>
  <c r="I67" i="16"/>
  <c r="P67" i="16" s="1"/>
  <c r="F67" i="16"/>
  <c r="V66" i="16"/>
  <c r="T66" i="16"/>
  <c r="R66" i="16"/>
  <c r="P66" i="16"/>
  <c r="O66" i="16"/>
  <c r="N66" i="16"/>
  <c r="U66" i="16" s="1"/>
  <c r="M66" i="16"/>
  <c r="L66" i="16"/>
  <c r="S66" i="16" s="1"/>
  <c r="K66" i="16"/>
  <c r="J66" i="16"/>
  <c r="Q66" i="16" s="1"/>
  <c r="I66" i="16"/>
  <c r="F66" i="16"/>
  <c r="U65" i="16"/>
  <c r="S65" i="16"/>
  <c r="Q65" i="16"/>
  <c r="O65" i="16"/>
  <c r="V65" i="16" s="1"/>
  <c r="N65" i="16"/>
  <c r="M65" i="16"/>
  <c r="T65" i="16" s="1"/>
  <c r="L65" i="16"/>
  <c r="K65" i="16"/>
  <c r="R65" i="16" s="1"/>
  <c r="J65" i="16"/>
  <c r="I65" i="16"/>
  <c r="P65" i="16" s="1"/>
  <c r="F65" i="16"/>
  <c r="V61" i="16"/>
  <c r="T61" i="16"/>
  <c r="R61" i="16"/>
  <c r="P61" i="16"/>
  <c r="O61" i="16"/>
  <c r="N61" i="16"/>
  <c r="U61" i="16" s="1"/>
  <c r="M61" i="16"/>
  <c r="L61" i="16"/>
  <c r="S61" i="16" s="1"/>
  <c r="K61" i="16"/>
  <c r="J61" i="16"/>
  <c r="Q61" i="16" s="1"/>
  <c r="I61" i="16"/>
  <c r="F61" i="16"/>
  <c r="E61" i="16"/>
  <c r="V60" i="16"/>
  <c r="T60" i="16"/>
  <c r="R60" i="16"/>
  <c r="P60" i="16"/>
  <c r="O60" i="16"/>
  <c r="N60" i="16"/>
  <c r="U60" i="16" s="1"/>
  <c r="M60" i="16"/>
  <c r="L60" i="16"/>
  <c r="S60" i="16" s="1"/>
  <c r="K60" i="16"/>
  <c r="J60" i="16"/>
  <c r="Q60" i="16" s="1"/>
  <c r="I60" i="16"/>
  <c r="F60" i="16"/>
  <c r="E60" i="16"/>
  <c r="V59" i="16"/>
  <c r="T59" i="16"/>
  <c r="R59" i="16"/>
  <c r="P59" i="16"/>
  <c r="O59" i="16"/>
  <c r="N59" i="16"/>
  <c r="U59" i="16" s="1"/>
  <c r="M59" i="16"/>
  <c r="L59" i="16"/>
  <c r="S59" i="16" s="1"/>
  <c r="K59" i="16"/>
  <c r="J59" i="16"/>
  <c r="Q59" i="16" s="1"/>
  <c r="I59" i="16"/>
  <c r="F59" i="16"/>
  <c r="E59" i="16"/>
  <c r="V58" i="16"/>
  <c r="T58" i="16"/>
  <c r="R58" i="16"/>
  <c r="P58" i="16"/>
  <c r="O58" i="16"/>
  <c r="N58" i="16"/>
  <c r="U58" i="16" s="1"/>
  <c r="M58" i="16"/>
  <c r="L58" i="16"/>
  <c r="S58" i="16" s="1"/>
  <c r="K58" i="16"/>
  <c r="J58" i="16"/>
  <c r="Q58" i="16" s="1"/>
  <c r="I58" i="16"/>
  <c r="F58" i="16"/>
  <c r="E58" i="16"/>
  <c r="V57" i="16"/>
  <c r="T57" i="16"/>
  <c r="R57" i="16"/>
  <c r="P57" i="16"/>
  <c r="O57" i="16"/>
  <c r="N57" i="16"/>
  <c r="U57" i="16" s="1"/>
  <c r="M57" i="16"/>
  <c r="L57" i="16"/>
  <c r="S57" i="16" s="1"/>
  <c r="K57" i="16"/>
  <c r="J57" i="16"/>
  <c r="Q57" i="16" s="1"/>
  <c r="I57" i="16"/>
  <c r="F57" i="16"/>
  <c r="E57" i="16"/>
  <c r="V56" i="16"/>
  <c r="T56" i="16"/>
  <c r="R56" i="16"/>
  <c r="P56" i="16"/>
  <c r="O56" i="16"/>
  <c r="N56" i="16"/>
  <c r="U56" i="16" s="1"/>
  <c r="M56" i="16"/>
  <c r="L56" i="16"/>
  <c r="S56" i="16" s="1"/>
  <c r="K56" i="16"/>
  <c r="J56" i="16"/>
  <c r="Q56" i="16" s="1"/>
  <c r="I56" i="16"/>
  <c r="F56" i="16"/>
  <c r="E56" i="16"/>
  <c r="V55" i="16"/>
  <c r="T55" i="16"/>
  <c r="R55" i="16"/>
  <c r="P55" i="16"/>
  <c r="O55" i="16"/>
  <c r="N55" i="16"/>
  <c r="U55" i="16" s="1"/>
  <c r="M55" i="16"/>
  <c r="L55" i="16"/>
  <c r="S55" i="16" s="1"/>
  <c r="K55" i="16"/>
  <c r="J55" i="16"/>
  <c r="Q55" i="16" s="1"/>
  <c r="I55" i="16"/>
  <c r="F55" i="16"/>
  <c r="E55" i="16"/>
  <c r="V54" i="16"/>
  <c r="T54" i="16"/>
  <c r="R54" i="16"/>
  <c r="P54" i="16"/>
  <c r="O54" i="16"/>
  <c r="N54" i="16"/>
  <c r="U54" i="16" s="1"/>
  <c r="M54" i="16"/>
  <c r="L54" i="16"/>
  <c r="S54" i="16" s="1"/>
  <c r="K54" i="16"/>
  <c r="J54" i="16"/>
  <c r="Q54" i="16" s="1"/>
  <c r="I54" i="16"/>
  <c r="F54" i="16"/>
  <c r="E54" i="16"/>
  <c r="V53" i="16"/>
  <c r="T53" i="16"/>
  <c r="R53" i="16"/>
  <c r="P53" i="16"/>
  <c r="O53" i="16"/>
  <c r="N53" i="16"/>
  <c r="U53" i="16" s="1"/>
  <c r="M53" i="16"/>
  <c r="L53" i="16"/>
  <c r="S53" i="16" s="1"/>
  <c r="K53" i="16"/>
  <c r="J53" i="16"/>
  <c r="Q53" i="16" s="1"/>
  <c r="I53" i="16"/>
  <c r="F53" i="16"/>
  <c r="E53" i="16"/>
  <c r="V52" i="16"/>
  <c r="T52" i="16"/>
  <c r="R52" i="16"/>
  <c r="P52" i="16"/>
  <c r="O52" i="16"/>
  <c r="N52" i="16"/>
  <c r="U52" i="16" s="1"/>
  <c r="M52" i="16"/>
  <c r="L52" i="16"/>
  <c r="S52" i="16" s="1"/>
  <c r="K52" i="16"/>
  <c r="J52" i="16"/>
  <c r="Q52" i="16" s="1"/>
  <c r="I52" i="16"/>
  <c r="F52" i="16"/>
  <c r="E52" i="16"/>
  <c r="V51" i="16"/>
  <c r="V73" i="16" s="1"/>
  <c r="T51" i="16"/>
  <c r="R51" i="16"/>
  <c r="P51" i="16"/>
  <c r="O51" i="16"/>
  <c r="N51" i="16"/>
  <c r="M51" i="16"/>
  <c r="L51" i="16"/>
  <c r="K51" i="16"/>
  <c r="J51" i="16"/>
  <c r="I51" i="16"/>
  <c r="F51" i="16"/>
  <c r="E51" i="16"/>
  <c r="U49" i="16"/>
  <c r="S49" i="16"/>
  <c r="R49" i="16"/>
  <c r="Q49" i="16"/>
  <c r="P49" i="16"/>
  <c r="U47" i="16"/>
  <c r="T47" i="16"/>
  <c r="Q47" i="16"/>
  <c r="P47" i="16"/>
  <c r="O47" i="16"/>
  <c r="V47" i="16" s="1"/>
  <c r="N47" i="16"/>
  <c r="L47" i="16"/>
  <c r="S47" i="16" s="1"/>
  <c r="K47" i="16"/>
  <c r="R47" i="16" s="1"/>
  <c r="J47" i="16"/>
  <c r="I47" i="16"/>
  <c r="V45" i="16"/>
  <c r="T45" i="16"/>
  <c r="R45" i="16"/>
  <c r="P45" i="16"/>
  <c r="O45" i="16"/>
  <c r="N45" i="16"/>
  <c r="U45" i="16" s="1"/>
  <c r="M45" i="16"/>
  <c r="L45" i="16"/>
  <c r="S45" i="16" s="1"/>
  <c r="K45" i="16"/>
  <c r="J45" i="16"/>
  <c r="Q45" i="16" s="1"/>
  <c r="I45" i="16"/>
  <c r="V44" i="16"/>
  <c r="T44" i="16"/>
  <c r="R44" i="16"/>
  <c r="P44" i="16"/>
  <c r="O44" i="16"/>
  <c r="N44" i="16"/>
  <c r="U44" i="16" s="1"/>
  <c r="M44" i="16"/>
  <c r="L44" i="16"/>
  <c r="S44" i="16" s="1"/>
  <c r="K44" i="16"/>
  <c r="J44" i="16"/>
  <c r="Q44" i="16" s="1"/>
  <c r="I44" i="16"/>
  <c r="V43" i="16"/>
  <c r="T43" i="16"/>
  <c r="R43" i="16"/>
  <c r="P43" i="16"/>
  <c r="O43" i="16"/>
  <c r="N43" i="16"/>
  <c r="U43" i="16" s="1"/>
  <c r="M43" i="16"/>
  <c r="L43" i="16"/>
  <c r="S43" i="16" s="1"/>
  <c r="K43" i="16"/>
  <c r="J43" i="16"/>
  <c r="Q43" i="16" s="1"/>
  <c r="I43" i="16"/>
  <c r="V42" i="16"/>
  <c r="T42" i="16"/>
  <c r="R42" i="16"/>
  <c r="P42" i="16"/>
  <c r="O42" i="16"/>
  <c r="N42" i="16"/>
  <c r="U42" i="16" s="1"/>
  <c r="M42" i="16"/>
  <c r="L42" i="16"/>
  <c r="S42" i="16" s="1"/>
  <c r="K42" i="16"/>
  <c r="J42" i="16"/>
  <c r="Q42" i="16" s="1"/>
  <c r="I42" i="16"/>
  <c r="R40" i="16"/>
  <c r="P40" i="16"/>
  <c r="N40" i="16"/>
  <c r="U40" i="16" s="1"/>
  <c r="L40" i="16"/>
  <c r="S40" i="16" s="1"/>
  <c r="K40" i="16"/>
  <c r="J40" i="16"/>
  <c r="I40" i="16"/>
  <c r="M40" i="16" s="1"/>
  <c r="T40" i="16" s="1"/>
  <c r="V39" i="16"/>
  <c r="U39" i="16"/>
  <c r="T39" i="16"/>
  <c r="S39" i="16"/>
  <c r="R39" i="16"/>
  <c r="Q39" i="16"/>
  <c r="P39" i="16"/>
  <c r="L39" i="16"/>
  <c r="V38" i="16"/>
  <c r="U38" i="16"/>
  <c r="T38" i="16"/>
  <c r="R38" i="16"/>
  <c r="Q38" i="16"/>
  <c r="P38" i="16"/>
  <c r="L38" i="16"/>
  <c r="S38" i="16" s="1"/>
  <c r="V37" i="16"/>
  <c r="U37" i="16"/>
  <c r="T37" i="16"/>
  <c r="S37" i="16"/>
  <c r="R37" i="16"/>
  <c r="Q37" i="16"/>
  <c r="P37" i="16"/>
  <c r="L37" i="16"/>
  <c r="V36" i="16"/>
  <c r="T36" i="16"/>
  <c r="R36" i="16"/>
  <c r="P36" i="16"/>
  <c r="O36" i="16"/>
  <c r="N36" i="16"/>
  <c r="U36" i="16" s="1"/>
  <c r="M36" i="16"/>
  <c r="L36" i="16"/>
  <c r="S36" i="16" s="1"/>
  <c r="K36" i="16"/>
  <c r="J36" i="16"/>
  <c r="Q36" i="16" s="1"/>
  <c r="I36" i="16"/>
  <c r="V35" i="16"/>
  <c r="T35" i="16"/>
  <c r="R35" i="16"/>
  <c r="P35" i="16"/>
  <c r="O35" i="16"/>
  <c r="N35" i="16"/>
  <c r="U35" i="16" s="1"/>
  <c r="M35" i="16"/>
  <c r="L35" i="16"/>
  <c r="S35" i="16" s="1"/>
  <c r="K35" i="16"/>
  <c r="J35" i="16"/>
  <c r="Q35" i="16" s="1"/>
  <c r="I35" i="16"/>
  <c r="V34" i="16"/>
  <c r="T34" i="16"/>
  <c r="R34" i="16"/>
  <c r="P34" i="16"/>
  <c r="O34" i="16"/>
  <c r="N34" i="16"/>
  <c r="U34" i="16" s="1"/>
  <c r="M34" i="16"/>
  <c r="L34" i="16"/>
  <c r="S34" i="16" s="1"/>
  <c r="K34" i="16"/>
  <c r="J34" i="16"/>
  <c r="Q34" i="16" s="1"/>
  <c r="I34" i="16"/>
  <c r="V33" i="16"/>
  <c r="T33" i="16"/>
  <c r="R33" i="16"/>
  <c r="P33" i="16"/>
  <c r="O33" i="16"/>
  <c r="N33" i="16"/>
  <c r="U33" i="16" s="1"/>
  <c r="M33" i="16"/>
  <c r="L33" i="16"/>
  <c r="S33" i="16" s="1"/>
  <c r="K33" i="16"/>
  <c r="J33" i="16"/>
  <c r="Q33" i="16" s="1"/>
  <c r="I33" i="16"/>
  <c r="V32" i="16"/>
  <c r="U32" i="16"/>
  <c r="T32" i="16"/>
  <c r="S32" i="16"/>
  <c r="R32" i="16"/>
  <c r="Q32" i="16"/>
  <c r="L32" i="16"/>
  <c r="M30" i="16"/>
  <c r="T30" i="16" s="1"/>
  <c r="E30" i="16"/>
  <c r="U29" i="16"/>
  <c r="S29" i="16"/>
  <c r="Q29" i="16"/>
  <c r="O29" i="16"/>
  <c r="V29" i="16" s="1"/>
  <c r="N29" i="16"/>
  <c r="M29" i="16"/>
  <c r="T29" i="16" s="1"/>
  <c r="L29" i="16"/>
  <c r="K29" i="16"/>
  <c r="R29" i="16" s="1"/>
  <c r="J29" i="16"/>
  <c r="I29" i="16"/>
  <c r="P29" i="16" s="1"/>
  <c r="E28" i="16"/>
  <c r="F28" i="16" s="1"/>
  <c r="E27" i="16"/>
  <c r="F27" i="16" s="1"/>
  <c r="E26" i="16"/>
  <c r="F26" i="16" s="1"/>
  <c r="U25" i="16"/>
  <c r="S25" i="16"/>
  <c r="Q25" i="16"/>
  <c r="O25" i="16"/>
  <c r="V25" i="16" s="1"/>
  <c r="N25" i="16"/>
  <c r="M25" i="16"/>
  <c r="T25" i="16" s="1"/>
  <c r="L25" i="16"/>
  <c r="K25" i="16"/>
  <c r="R25" i="16" s="1"/>
  <c r="J25" i="16"/>
  <c r="I25" i="16"/>
  <c r="P25" i="16" s="1"/>
  <c r="E25" i="16"/>
  <c r="F25" i="16" s="1"/>
  <c r="U24" i="16"/>
  <c r="S24" i="16"/>
  <c r="Q24" i="16"/>
  <c r="O24" i="16"/>
  <c r="N24" i="16"/>
  <c r="M24" i="16"/>
  <c r="T24" i="16" s="1"/>
  <c r="L24" i="16"/>
  <c r="K24" i="16"/>
  <c r="R24" i="16" s="1"/>
  <c r="J24" i="16"/>
  <c r="I24" i="16"/>
  <c r="P24" i="16" s="1"/>
  <c r="E24" i="16"/>
  <c r="F24" i="16" s="1"/>
  <c r="U23" i="16"/>
  <c r="S23" i="16"/>
  <c r="Q23" i="16"/>
  <c r="O23" i="16"/>
  <c r="V23" i="16" s="1"/>
  <c r="N23" i="16"/>
  <c r="M23" i="16"/>
  <c r="L23" i="16"/>
  <c r="K23" i="16"/>
  <c r="R23" i="16" s="1"/>
  <c r="J23" i="16"/>
  <c r="I23" i="16"/>
  <c r="P23" i="16" s="1"/>
  <c r="E23" i="16"/>
  <c r="F23" i="16" s="1"/>
  <c r="U22" i="16"/>
  <c r="S22" i="16"/>
  <c r="Q22" i="16"/>
  <c r="O22" i="16"/>
  <c r="V22" i="16" s="1"/>
  <c r="N22" i="16"/>
  <c r="M22" i="16"/>
  <c r="T22" i="16" s="1"/>
  <c r="L22" i="16"/>
  <c r="K22" i="16"/>
  <c r="R22" i="16" s="1"/>
  <c r="J22" i="16"/>
  <c r="I22" i="16"/>
  <c r="P22" i="16" s="1"/>
  <c r="E22" i="16"/>
  <c r="F22" i="16" s="1"/>
  <c r="S21" i="16"/>
  <c r="O21" i="16"/>
  <c r="V21" i="16" s="1"/>
  <c r="N21" i="16"/>
  <c r="U21" i="16" s="1"/>
  <c r="M21" i="16"/>
  <c r="T21" i="16" s="1"/>
  <c r="L21" i="16"/>
  <c r="K21" i="16"/>
  <c r="R21" i="16" s="1"/>
  <c r="J21" i="16"/>
  <c r="Q21" i="16" s="1"/>
  <c r="I21" i="16"/>
  <c r="P21" i="16" s="1"/>
  <c r="E21" i="16"/>
  <c r="F21" i="16" s="1"/>
  <c r="U20" i="16"/>
  <c r="Q20" i="16"/>
  <c r="P20" i="16"/>
  <c r="O20" i="16"/>
  <c r="V20" i="16" s="1"/>
  <c r="N20" i="16"/>
  <c r="M20" i="16"/>
  <c r="L20" i="16"/>
  <c r="S20" i="16" s="1"/>
  <c r="K20" i="16"/>
  <c r="R20" i="16" s="1"/>
  <c r="J20" i="16"/>
  <c r="I20" i="16"/>
  <c r="F20" i="16"/>
  <c r="T20" i="16" s="1"/>
  <c r="E20" i="16"/>
  <c r="U19" i="16"/>
  <c r="Q19" i="16"/>
  <c r="P19" i="16"/>
  <c r="O19" i="16"/>
  <c r="V19" i="16" s="1"/>
  <c r="N19" i="16"/>
  <c r="M19" i="16"/>
  <c r="L19" i="16"/>
  <c r="S19" i="16" s="1"/>
  <c r="K19" i="16"/>
  <c r="R19" i="16" s="1"/>
  <c r="J19" i="16"/>
  <c r="I19" i="16"/>
  <c r="F19" i="16"/>
  <c r="T19" i="16" s="1"/>
  <c r="E19" i="16"/>
  <c r="U17" i="16"/>
  <c r="T17" i="16"/>
  <c r="Q17" i="16"/>
  <c r="P17" i="16"/>
  <c r="O17" i="16"/>
  <c r="V17" i="16" s="1"/>
  <c r="N17" i="16"/>
  <c r="M17" i="16"/>
  <c r="L17" i="16"/>
  <c r="S17" i="16" s="1"/>
  <c r="K17" i="16"/>
  <c r="R17" i="16" s="1"/>
  <c r="J17" i="16"/>
  <c r="I17" i="16"/>
  <c r="F17" i="16"/>
  <c r="E17" i="16"/>
  <c r="U15" i="16"/>
  <c r="T15" i="16"/>
  <c r="Q15" i="16"/>
  <c r="P15" i="16"/>
  <c r="O15" i="16"/>
  <c r="V15" i="16" s="1"/>
  <c r="N15" i="16"/>
  <c r="M15" i="16"/>
  <c r="L15" i="16"/>
  <c r="S15" i="16" s="1"/>
  <c r="K15" i="16"/>
  <c r="R15" i="16" s="1"/>
  <c r="J15" i="16"/>
  <c r="I15" i="16"/>
  <c r="F15" i="16"/>
  <c r="E15" i="16"/>
  <c r="U14" i="16"/>
  <c r="T14" i="16"/>
  <c r="Q14" i="16"/>
  <c r="P14" i="16"/>
  <c r="O14" i="16"/>
  <c r="V14" i="16" s="1"/>
  <c r="N14" i="16"/>
  <c r="M14" i="16"/>
  <c r="L14" i="16"/>
  <c r="S14" i="16" s="1"/>
  <c r="K14" i="16"/>
  <c r="R14" i="16" s="1"/>
  <c r="J14" i="16"/>
  <c r="I14" i="16"/>
  <c r="F14" i="16"/>
  <c r="E14" i="16"/>
  <c r="U12" i="16"/>
  <c r="T12" i="16"/>
  <c r="Q12" i="16"/>
  <c r="P12" i="16"/>
  <c r="O12" i="16"/>
  <c r="V12" i="16" s="1"/>
  <c r="N12" i="16"/>
  <c r="M12" i="16"/>
  <c r="L12" i="16"/>
  <c r="S12" i="16" s="1"/>
  <c r="K12" i="16"/>
  <c r="R12" i="16" s="1"/>
  <c r="J12" i="16"/>
  <c r="I12" i="16"/>
  <c r="F12" i="16"/>
  <c r="E12" i="16"/>
  <c r="U11" i="16"/>
  <c r="T11" i="16"/>
  <c r="Q11" i="16"/>
  <c r="P11" i="16"/>
  <c r="O11" i="16"/>
  <c r="V11" i="16" s="1"/>
  <c r="N11" i="16"/>
  <c r="M11" i="16"/>
  <c r="L11" i="16"/>
  <c r="S11" i="16" s="1"/>
  <c r="K11" i="16"/>
  <c r="R11" i="16" s="1"/>
  <c r="J11" i="16"/>
  <c r="I11" i="16"/>
  <c r="V10" i="16"/>
  <c r="S10" i="16"/>
  <c r="R10" i="16"/>
  <c r="O10" i="16"/>
  <c r="N10" i="16"/>
  <c r="U10" i="16" s="1"/>
  <c r="M10" i="16"/>
  <c r="T10" i="16" s="1"/>
  <c r="L10" i="16"/>
  <c r="K10" i="16"/>
  <c r="J10" i="16"/>
  <c r="Q10" i="16" s="1"/>
  <c r="I10" i="16"/>
  <c r="P10" i="16" s="1"/>
  <c r="E10" i="16"/>
  <c r="F10" i="16" s="1"/>
  <c r="V9" i="16"/>
  <c r="S9" i="16"/>
  <c r="R9" i="16"/>
  <c r="O9" i="16"/>
  <c r="N9" i="16"/>
  <c r="U9" i="16" s="1"/>
  <c r="M9" i="16"/>
  <c r="T9" i="16" s="1"/>
  <c r="L9" i="16"/>
  <c r="K9" i="16"/>
  <c r="J9" i="16"/>
  <c r="Q9" i="16" s="1"/>
  <c r="I9" i="16"/>
  <c r="P9" i="16" s="1"/>
  <c r="E9" i="16"/>
  <c r="F9" i="16" s="1"/>
  <c r="V8" i="16"/>
  <c r="S8" i="16"/>
  <c r="R8" i="16"/>
  <c r="O8" i="16"/>
  <c r="N8" i="16"/>
  <c r="U8" i="16" s="1"/>
  <c r="M8" i="16"/>
  <c r="T8" i="16" s="1"/>
  <c r="L8" i="16"/>
  <c r="K8" i="16"/>
  <c r="J8" i="16"/>
  <c r="Q8" i="16" s="1"/>
  <c r="I8" i="16"/>
  <c r="P8" i="16" s="1"/>
  <c r="E8" i="16"/>
  <c r="F8" i="16" s="1"/>
  <c r="V7" i="16"/>
  <c r="S7" i="16"/>
  <c r="R7" i="16"/>
  <c r="O7" i="16"/>
  <c r="N7" i="16"/>
  <c r="M7" i="16"/>
  <c r="M48" i="16" s="1"/>
  <c r="L7" i="16"/>
  <c r="K7" i="16"/>
  <c r="J7" i="16"/>
  <c r="I7" i="16"/>
  <c r="P7" i="16" s="1"/>
  <c r="E7" i="16"/>
  <c r="F7" i="16" s="1"/>
  <c r="N2" i="16"/>
  <c r="L2" i="16"/>
  <c r="J2" i="16"/>
  <c r="G2" i="16"/>
  <c r="F2" i="16"/>
  <c r="E2" i="16"/>
  <c r="D2" i="16"/>
  <c r="B2" i="16"/>
  <c r="A2" i="16"/>
  <c r="A73" i="15"/>
  <c r="V72" i="15"/>
  <c r="S72" i="15"/>
  <c r="R72" i="15"/>
  <c r="O72" i="15"/>
  <c r="N72" i="15"/>
  <c r="U72" i="15" s="1"/>
  <c r="M72" i="15"/>
  <c r="T72" i="15" s="1"/>
  <c r="L72" i="15"/>
  <c r="K72" i="15"/>
  <c r="J72" i="15"/>
  <c r="Q72" i="15" s="1"/>
  <c r="I72" i="15"/>
  <c r="P72" i="15" s="1"/>
  <c r="U71" i="15"/>
  <c r="T71" i="15"/>
  <c r="Q71" i="15"/>
  <c r="O71" i="15"/>
  <c r="V71" i="15" s="1"/>
  <c r="N71" i="15"/>
  <c r="M71" i="15"/>
  <c r="L71" i="15"/>
  <c r="S71" i="15" s="1"/>
  <c r="K71" i="15"/>
  <c r="R71" i="15" s="1"/>
  <c r="J71" i="15"/>
  <c r="I71" i="15"/>
  <c r="P71" i="15" s="1"/>
  <c r="V70" i="15"/>
  <c r="S70" i="15"/>
  <c r="R70" i="15"/>
  <c r="O70" i="15"/>
  <c r="N70" i="15"/>
  <c r="U70" i="15" s="1"/>
  <c r="M70" i="15"/>
  <c r="T70" i="15" s="1"/>
  <c r="L70" i="15"/>
  <c r="K70" i="15"/>
  <c r="J70" i="15"/>
  <c r="Q70" i="15" s="1"/>
  <c r="I70" i="15"/>
  <c r="P70" i="15" s="1"/>
  <c r="F70" i="15"/>
  <c r="V69" i="15"/>
  <c r="R69" i="15"/>
  <c r="Q69" i="15"/>
  <c r="O69" i="15"/>
  <c r="N69" i="15"/>
  <c r="U69" i="15" s="1"/>
  <c r="M69" i="15"/>
  <c r="T69" i="15" s="1"/>
  <c r="L69" i="15"/>
  <c r="S69" i="15" s="1"/>
  <c r="K69" i="15"/>
  <c r="J69" i="15"/>
  <c r="I69" i="15"/>
  <c r="P69" i="15" s="1"/>
  <c r="F69" i="15"/>
  <c r="U68" i="15"/>
  <c r="Q68" i="15"/>
  <c r="P68" i="15"/>
  <c r="O68" i="15"/>
  <c r="V68" i="15" s="1"/>
  <c r="N68" i="15"/>
  <c r="M68" i="15"/>
  <c r="T68" i="15" s="1"/>
  <c r="L68" i="15"/>
  <c r="S68" i="15" s="1"/>
  <c r="K68" i="15"/>
  <c r="R68" i="15" s="1"/>
  <c r="J68" i="15"/>
  <c r="I68" i="15"/>
  <c r="F68" i="15"/>
  <c r="T67" i="15"/>
  <c r="P67" i="15"/>
  <c r="O67" i="15"/>
  <c r="V67" i="15" s="1"/>
  <c r="N67" i="15"/>
  <c r="U67" i="15" s="1"/>
  <c r="M67" i="15"/>
  <c r="L67" i="15"/>
  <c r="S67" i="15" s="1"/>
  <c r="K67" i="15"/>
  <c r="R67" i="15" s="1"/>
  <c r="J67" i="15"/>
  <c r="Q67" i="15" s="1"/>
  <c r="I67" i="15"/>
  <c r="F67" i="15"/>
  <c r="V66" i="15"/>
  <c r="S66" i="15"/>
  <c r="O66" i="15"/>
  <c r="O73" i="15" s="1"/>
  <c r="N66" i="15"/>
  <c r="U66" i="15" s="1"/>
  <c r="M66" i="15"/>
  <c r="T66" i="15" s="1"/>
  <c r="L66" i="15"/>
  <c r="K66" i="15"/>
  <c r="R66" i="15" s="1"/>
  <c r="J66" i="15"/>
  <c r="Q66" i="15" s="1"/>
  <c r="I66" i="15"/>
  <c r="P66" i="15" s="1"/>
  <c r="F66" i="15"/>
  <c r="V65" i="15"/>
  <c r="R65" i="15"/>
  <c r="O65" i="15"/>
  <c r="N65" i="15"/>
  <c r="U65" i="15" s="1"/>
  <c r="M65" i="15"/>
  <c r="T65" i="15" s="1"/>
  <c r="L65" i="15"/>
  <c r="S65" i="15" s="1"/>
  <c r="K65" i="15"/>
  <c r="J65" i="15"/>
  <c r="Q65" i="15" s="1"/>
  <c r="I65" i="15"/>
  <c r="P65" i="15" s="1"/>
  <c r="F65" i="15"/>
  <c r="U61" i="15"/>
  <c r="T61" i="15"/>
  <c r="Q61" i="15"/>
  <c r="O61" i="15"/>
  <c r="V61" i="15" s="1"/>
  <c r="N61" i="15"/>
  <c r="M61" i="15"/>
  <c r="L61" i="15"/>
  <c r="S61" i="15" s="1"/>
  <c r="K61" i="15"/>
  <c r="R61" i="15" s="1"/>
  <c r="J61" i="15"/>
  <c r="I61" i="15"/>
  <c r="P61" i="15" s="1"/>
  <c r="F61" i="15"/>
  <c r="E61" i="15"/>
  <c r="U60" i="15"/>
  <c r="T60" i="15"/>
  <c r="Q60" i="15"/>
  <c r="P60" i="15"/>
  <c r="O60" i="15"/>
  <c r="V60" i="15" s="1"/>
  <c r="N60" i="15"/>
  <c r="M60" i="15"/>
  <c r="L60" i="15"/>
  <c r="S60" i="15" s="1"/>
  <c r="K60" i="15"/>
  <c r="R60" i="15" s="1"/>
  <c r="J60" i="15"/>
  <c r="I60" i="15"/>
  <c r="F60" i="15"/>
  <c r="E60" i="15"/>
  <c r="U59" i="15"/>
  <c r="Q59" i="15"/>
  <c r="P59" i="15"/>
  <c r="O59" i="15"/>
  <c r="V59" i="15" s="1"/>
  <c r="N59" i="15"/>
  <c r="M59" i="15"/>
  <c r="T59" i="15" s="1"/>
  <c r="L59" i="15"/>
  <c r="S59" i="15" s="1"/>
  <c r="K59" i="15"/>
  <c r="R59" i="15" s="1"/>
  <c r="J59" i="15"/>
  <c r="I59" i="15"/>
  <c r="F59" i="15"/>
  <c r="E59" i="15"/>
  <c r="U58" i="15"/>
  <c r="Q58" i="15"/>
  <c r="O58" i="15"/>
  <c r="V58" i="15" s="1"/>
  <c r="N58" i="15"/>
  <c r="M58" i="15"/>
  <c r="T58" i="15" s="1"/>
  <c r="L58" i="15"/>
  <c r="S58" i="15" s="1"/>
  <c r="K58" i="15"/>
  <c r="R58" i="15" s="1"/>
  <c r="J58" i="15"/>
  <c r="I58" i="15"/>
  <c r="P58" i="15" s="1"/>
  <c r="F58" i="15"/>
  <c r="E58" i="15"/>
  <c r="U57" i="15"/>
  <c r="T57" i="15"/>
  <c r="Q57" i="15"/>
  <c r="P57" i="15"/>
  <c r="O57" i="15"/>
  <c r="V57" i="15" s="1"/>
  <c r="N57" i="15"/>
  <c r="M57" i="15"/>
  <c r="L57" i="15"/>
  <c r="S57" i="15" s="1"/>
  <c r="K57" i="15"/>
  <c r="R57" i="15" s="1"/>
  <c r="J57" i="15"/>
  <c r="I57" i="15"/>
  <c r="F57" i="15"/>
  <c r="E57" i="15"/>
  <c r="U56" i="15"/>
  <c r="Q56" i="15"/>
  <c r="P56" i="15"/>
  <c r="O56" i="15"/>
  <c r="V56" i="15" s="1"/>
  <c r="N56" i="15"/>
  <c r="M56" i="15"/>
  <c r="T56" i="15" s="1"/>
  <c r="L56" i="15"/>
  <c r="S56" i="15" s="1"/>
  <c r="K56" i="15"/>
  <c r="R56" i="15" s="1"/>
  <c r="J56" i="15"/>
  <c r="I56" i="15"/>
  <c r="F56" i="15"/>
  <c r="E56" i="15"/>
  <c r="U55" i="15"/>
  <c r="Q55" i="15"/>
  <c r="P55" i="15"/>
  <c r="O55" i="15"/>
  <c r="V55" i="15" s="1"/>
  <c r="N55" i="15"/>
  <c r="M55" i="15"/>
  <c r="T55" i="15" s="1"/>
  <c r="L55" i="15"/>
  <c r="S55" i="15" s="1"/>
  <c r="K55" i="15"/>
  <c r="R55" i="15" s="1"/>
  <c r="J55" i="15"/>
  <c r="I55" i="15"/>
  <c r="F55" i="15"/>
  <c r="E55" i="15"/>
  <c r="U54" i="15"/>
  <c r="Q54" i="15"/>
  <c r="O54" i="15"/>
  <c r="V54" i="15" s="1"/>
  <c r="N54" i="15"/>
  <c r="M54" i="15"/>
  <c r="T54" i="15" s="1"/>
  <c r="L54" i="15"/>
  <c r="S54" i="15" s="1"/>
  <c r="K54" i="15"/>
  <c r="R54" i="15" s="1"/>
  <c r="J54" i="15"/>
  <c r="I54" i="15"/>
  <c r="P54" i="15" s="1"/>
  <c r="F54" i="15"/>
  <c r="E54" i="15"/>
  <c r="U53" i="15"/>
  <c r="T53" i="15"/>
  <c r="Q53" i="15"/>
  <c r="P53" i="15"/>
  <c r="O53" i="15"/>
  <c r="V53" i="15" s="1"/>
  <c r="N53" i="15"/>
  <c r="M53" i="15"/>
  <c r="L53" i="15"/>
  <c r="S53" i="15" s="1"/>
  <c r="K53" i="15"/>
  <c r="R53" i="15" s="1"/>
  <c r="J53" i="15"/>
  <c r="I53" i="15"/>
  <c r="F53" i="15"/>
  <c r="E53" i="15"/>
  <c r="U52" i="15"/>
  <c r="Q52" i="15"/>
  <c r="P52" i="15"/>
  <c r="O52" i="15"/>
  <c r="V52" i="15" s="1"/>
  <c r="N52" i="15"/>
  <c r="M52" i="15"/>
  <c r="T52" i="15" s="1"/>
  <c r="L52" i="15"/>
  <c r="S52" i="15" s="1"/>
  <c r="K52" i="15"/>
  <c r="R52" i="15" s="1"/>
  <c r="J52" i="15"/>
  <c r="I52" i="15"/>
  <c r="F52" i="15"/>
  <c r="E52" i="15"/>
  <c r="U51" i="15"/>
  <c r="Q51" i="15"/>
  <c r="P51" i="15"/>
  <c r="O51" i="15"/>
  <c r="V51" i="15" s="1"/>
  <c r="N51" i="15"/>
  <c r="M51" i="15"/>
  <c r="L51" i="15"/>
  <c r="K51" i="15"/>
  <c r="R51" i="15" s="1"/>
  <c r="J51" i="15"/>
  <c r="I51" i="15"/>
  <c r="F51" i="15"/>
  <c r="E51" i="15"/>
  <c r="U49" i="15"/>
  <c r="S49" i="15"/>
  <c r="R49" i="15"/>
  <c r="Q49" i="15"/>
  <c r="P49" i="15"/>
  <c r="T47" i="15"/>
  <c r="S47" i="15"/>
  <c r="P47" i="15"/>
  <c r="O47" i="15"/>
  <c r="V47" i="15" s="1"/>
  <c r="N47" i="15"/>
  <c r="U47" i="15" s="1"/>
  <c r="L47" i="15"/>
  <c r="K47" i="15"/>
  <c r="R47" i="15" s="1"/>
  <c r="J47" i="15"/>
  <c r="Q47" i="15" s="1"/>
  <c r="I47" i="15"/>
  <c r="U45" i="15"/>
  <c r="Q45" i="15"/>
  <c r="P45" i="15"/>
  <c r="O45" i="15"/>
  <c r="V45" i="15" s="1"/>
  <c r="N45" i="15"/>
  <c r="M45" i="15"/>
  <c r="T45" i="15" s="1"/>
  <c r="L45" i="15"/>
  <c r="S45" i="15" s="1"/>
  <c r="K45" i="15"/>
  <c r="R45" i="15" s="1"/>
  <c r="J45" i="15"/>
  <c r="I45" i="15"/>
  <c r="V44" i="15"/>
  <c r="S44" i="15"/>
  <c r="O44" i="15"/>
  <c r="N44" i="15"/>
  <c r="U44" i="15" s="1"/>
  <c r="M44" i="15"/>
  <c r="T44" i="15" s="1"/>
  <c r="L44" i="15"/>
  <c r="K44" i="15"/>
  <c r="R44" i="15" s="1"/>
  <c r="J44" i="15"/>
  <c r="Q44" i="15" s="1"/>
  <c r="I44" i="15"/>
  <c r="P44" i="15" s="1"/>
  <c r="U43" i="15"/>
  <c r="Q43" i="15"/>
  <c r="P43" i="15"/>
  <c r="O43" i="15"/>
  <c r="V43" i="15" s="1"/>
  <c r="N43" i="15"/>
  <c r="M43" i="15"/>
  <c r="T43" i="15" s="1"/>
  <c r="L43" i="15"/>
  <c r="S43" i="15" s="1"/>
  <c r="K43" i="15"/>
  <c r="R43" i="15" s="1"/>
  <c r="J43" i="15"/>
  <c r="I43" i="15"/>
  <c r="V42" i="15"/>
  <c r="S42" i="15"/>
  <c r="O42" i="15"/>
  <c r="N42" i="15"/>
  <c r="U42" i="15" s="1"/>
  <c r="M42" i="15"/>
  <c r="T42" i="15" s="1"/>
  <c r="L42" i="15"/>
  <c r="K42" i="15"/>
  <c r="R42" i="15" s="1"/>
  <c r="J42" i="15"/>
  <c r="Q42" i="15" s="1"/>
  <c r="I42" i="15"/>
  <c r="P42" i="15" s="1"/>
  <c r="U40" i="15"/>
  <c r="Q40" i="15"/>
  <c r="P40" i="15"/>
  <c r="N40" i="15"/>
  <c r="L40" i="15"/>
  <c r="S40" i="15" s="1"/>
  <c r="K40" i="15"/>
  <c r="R40" i="15" s="1"/>
  <c r="J40" i="15"/>
  <c r="O40" i="15" s="1"/>
  <c r="V40" i="15" s="1"/>
  <c r="I40" i="15"/>
  <c r="M40" i="15" s="1"/>
  <c r="T40" i="15" s="1"/>
  <c r="V39" i="15"/>
  <c r="U39" i="15"/>
  <c r="T39" i="15"/>
  <c r="S39" i="15"/>
  <c r="L39" i="15" s="1"/>
  <c r="R39" i="15"/>
  <c r="Q39" i="15"/>
  <c r="P39" i="15"/>
  <c r="V38" i="15"/>
  <c r="U38" i="15"/>
  <c r="T38" i="15"/>
  <c r="R38" i="15"/>
  <c r="Q38" i="15"/>
  <c r="P38" i="15"/>
  <c r="L38" i="15"/>
  <c r="S38" i="15" s="1"/>
  <c r="V37" i="15"/>
  <c r="U37" i="15"/>
  <c r="T37" i="15"/>
  <c r="S37" i="15"/>
  <c r="R37" i="15"/>
  <c r="Q37" i="15"/>
  <c r="P37" i="15"/>
  <c r="L37" i="15"/>
  <c r="T36" i="15"/>
  <c r="S36" i="15"/>
  <c r="P36" i="15"/>
  <c r="O36" i="15"/>
  <c r="V36" i="15" s="1"/>
  <c r="N36" i="15"/>
  <c r="U36" i="15" s="1"/>
  <c r="M36" i="15"/>
  <c r="L36" i="15"/>
  <c r="K36" i="15"/>
  <c r="R36" i="15" s="1"/>
  <c r="J36" i="15"/>
  <c r="Q36" i="15" s="1"/>
  <c r="I36" i="15"/>
  <c r="V35" i="15"/>
  <c r="U35" i="15"/>
  <c r="R35" i="15"/>
  <c r="Q35" i="15"/>
  <c r="P35" i="15"/>
  <c r="O35" i="15"/>
  <c r="N35" i="15"/>
  <c r="M35" i="15"/>
  <c r="T35" i="15" s="1"/>
  <c r="L35" i="15"/>
  <c r="S35" i="15" s="1"/>
  <c r="K35" i="15"/>
  <c r="J35" i="15"/>
  <c r="I35" i="15"/>
  <c r="V34" i="15"/>
  <c r="T34" i="15"/>
  <c r="S34" i="15"/>
  <c r="R34" i="15"/>
  <c r="P34" i="15"/>
  <c r="O34" i="15"/>
  <c r="N34" i="15"/>
  <c r="U34" i="15" s="1"/>
  <c r="M34" i="15"/>
  <c r="L34" i="15"/>
  <c r="K34" i="15"/>
  <c r="J34" i="15"/>
  <c r="Q34" i="15" s="1"/>
  <c r="I34" i="15"/>
  <c r="V33" i="15"/>
  <c r="U33" i="15"/>
  <c r="R33" i="15"/>
  <c r="Q33" i="15"/>
  <c r="O33" i="15"/>
  <c r="N33" i="15"/>
  <c r="M33" i="15"/>
  <c r="T33" i="15" s="1"/>
  <c r="L33" i="15"/>
  <c r="S33" i="15" s="1"/>
  <c r="K33" i="15"/>
  <c r="J33" i="15"/>
  <c r="I33" i="15"/>
  <c r="P33" i="15" s="1"/>
  <c r="V32" i="15"/>
  <c r="U32" i="15"/>
  <c r="T32" i="15"/>
  <c r="S32" i="15"/>
  <c r="L32" i="15" s="1"/>
  <c r="R32" i="15"/>
  <c r="Q32" i="15"/>
  <c r="U30" i="15"/>
  <c r="Q30" i="15"/>
  <c r="N30" i="15"/>
  <c r="M30" i="15"/>
  <c r="T30" i="15" s="1"/>
  <c r="J30" i="15"/>
  <c r="I30" i="15"/>
  <c r="P30" i="15" s="1"/>
  <c r="E30" i="15"/>
  <c r="L30" i="15" s="1"/>
  <c r="S30" i="15" s="1"/>
  <c r="V29" i="15"/>
  <c r="S29" i="15"/>
  <c r="R29" i="15"/>
  <c r="Q29" i="15"/>
  <c r="O29" i="15"/>
  <c r="N29" i="15"/>
  <c r="U29" i="15" s="1"/>
  <c r="M29" i="15"/>
  <c r="T29" i="15" s="1"/>
  <c r="L29" i="15"/>
  <c r="K29" i="15"/>
  <c r="J29" i="15"/>
  <c r="I29" i="15"/>
  <c r="P29" i="15" s="1"/>
  <c r="F28" i="15"/>
  <c r="E28" i="15"/>
  <c r="E27" i="15"/>
  <c r="F27" i="15" s="1"/>
  <c r="F26" i="15"/>
  <c r="E26" i="15"/>
  <c r="U25" i="15"/>
  <c r="T25" i="15"/>
  <c r="S25" i="15"/>
  <c r="Q25" i="15"/>
  <c r="P25" i="15"/>
  <c r="O25" i="15"/>
  <c r="V25" i="15" s="1"/>
  <c r="N25" i="15"/>
  <c r="M25" i="15"/>
  <c r="L25" i="15"/>
  <c r="K25" i="15"/>
  <c r="R25" i="15" s="1"/>
  <c r="J25" i="15"/>
  <c r="I25" i="15"/>
  <c r="E25" i="15"/>
  <c r="F25" i="15" s="1"/>
  <c r="U24" i="15"/>
  <c r="Q24" i="15"/>
  <c r="P24" i="15"/>
  <c r="O24" i="15"/>
  <c r="N24" i="15"/>
  <c r="M24" i="15"/>
  <c r="T24" i="15" s="1"/>
  <c r="L24" i="15"/>
  <c r="S24" i="15" s="1"/>
  <c r="K24" i="15"/>
  <c r="R24" i="15" s="1"/>
  <c r="J24" i="15"/>
  <c r="I24" i="15"/>
  <c r="F24" i="15"/>
  <c r="E24" i="15"/>
  <c r="U23" i="15"/>
  <c r="S23" i="15"/>
  <c r="Q23" i="15"/>
  <c r="P23" i="15"/>
  <c r="O23" i="15"/>
  <c r="N23" i="15"/>
  <c r="M23" i="15"/>
  <c r="L23" i="15"/>
  <c r="K23" i="15"/>
  <c r="R23" i="15" s="1"/>
  <c r="J23" i="15"/>
  <c r="I23" i="15"/>
  <c r="E23" i="15"/>
  <c r="F23" i="15" s="1"/>
  <c r="T23" i="15" s="1"/>
  <c r="U22" i="15"/>
  <c r="Q22" i="15"/>
  <c r="P22" i="15"/>
  <c r="O22" i="15"/>
  <c r="V22" i="15" s="1"/>
  <c r="N22" i="15"/>
  <c r="M22" i="15"/>
  <c r="T22" i="15" s="1"/>
  <c r="L22" i="15"/>
  <c r="S22" i="15" s="1"/>
  <c r="K22" i="15"/>
  <c r="R22" i="15" s="1"/>
  <c r="J22" i="15"/>
  <c r="I22" i="15"/>
  <c r="F22" i="15"/>
  <c r="E22" i="15"/>
  <c r="U21" i="15"/>
  <c r="T21" i="15"/>
  <c r="S21" i="15"/>
  <c r="Q21" i="15"/>
  <c r="P21" i="15"/>
  <c r="O21" i="15"/>
  <c r="V21" i="15" s="1"/>
  <c r="N21" i="15"/>
  <c r="M21" i="15"/>
  <c r="L21" i="15"/>
  <c r="K21" i="15"/>
  <c r="R21" i="15" s="1"/>
  <c r="J21" i="15"/>
  <c r="I21" i="15"/>
  <c r="E21" i="15"/>
  <c r="F21" i="15" s="1"/>
  <c r="U20" i="15"/>
  <c r="Q20" i="15"/>
  <c r="P20" i="15"/>
  <c r="O20" i="15"/>
  <c r="N20" i="15"/>
  <c r="M20" i="15"/>
  <c r="T20" i="15" s="1"/>
  <c r="L20" i="15"/>
  <c r="S20" i="15" s="1"/>
  <c r="K20" i="15"/>
  <c r="R20" i="15" s="1"/>
  <c r="J20" i="15"/>
  <c r="I20" i="15"/>
  <c r="F20" i="15"/>
  <c r="E20" i="15"/>
  <c r="U19" i="15"/>
  <c r="S19" i="15"/>
  <c r="Q19" i="15"/>
  <c r="P19" i="15"/>
  <c r="O19" i="15"/>
  <c r="N19" i="15"/>
  <c r="M19" i="15"/>
  <c r="L19" i="15"/>
  <c r="K19" i="15"/>
  <c r="R19" i="15" s="1"/>
  <c r="J19" i="15"/>
  <c r="I19" i="15"/>
  <c r="E19" i="15"/>
  <c r="F19" i="15" s="1"/>
  <c r="T19" i="15" s="1"/>
  <c r="U17" i="15"/>
  <c r="Q17" i="15"/>
  <c r="P17" i="15"/>
  <c r="O17" i="15"/>
  <c r="V17" i="15" s="1"/>
  <c r="N17" i="15"/>
  <c r="M17" i="15"/>
  <c r="T17" i="15" s="1"/>
  <c r="L17" i="15"/>
  <c r="S17" i="15" s="1"/>
  <c r="K17" i="15"/>
  <c r="R17" i="15" s="1"/>
  <c r="J17" i="15"/>
  <c r="I17" i="15"/>
  <c r="F17" i="15"/>
  <c r="E17" i="15"/>
  <c r="U15" i="15"/>
  <c r="T15" i="15"/>
  <c r="S15" i="15"/>
  <c r="Q15" i="15"/>
  <c r="P15" i="15"/>
  <c r="O15" i="15"/>
  <c r="V15" i="15" s="1"/>
  <c r="N15" i="15"/>
  <c r="M15" i="15"/>
  <c r="L15" i="15"/>
  <c r="K15" i="15"/>
  <c r="R15" i="15" s="1"/>
  <c r="J15" i="15"/>
  <c r="I15" i="15"/>
  <c r="E15" i="15"/>
  <c r="F15" i="15" s="1"/>
  <c r="U14" i="15"/>
  <c r="Q14" i="15"/>
  <c r="P14" i="15"/>
  <c r="O14" i="15"/>
  <c r="V14" i="15" s="1"/>
  <c r="N14" i="15"/>
  <c r="M14" i="15"/>
  <c r="T14" i="15" s="1"/>
  <c r="L14" i="15"/>
  <c r="S14" i="15" s="1"/>
  <c r="K14" i="15"/>
  <c r="R14" i="15" s="1"/>
  <c r="J14" i="15"/>
  <c r="I14" i="15"/>
  <c r="F14" i="15"/>
  <c r="E14" i="15"/>
  <c r="U12" i="15"/>
  <c r="T12" i="15"/>
  <c r="S12" i="15"/>
  <c r="Q12" i="15"/>
  <c r="P12" i="15"/>
  <c r="O12" i="15"/>
  <c r="V12" i="15" s="1"/>
  <c r="N12" i="15"/>
  <c r="M12" i="15"/>
  <c r="L12" i="15"/>
  <c r="K12" i="15"/>
  <c r="R12" i="15" s="1"/>
  <c r="J12" i="15"/>
  <c r="I12" i="15"/>
  <c r="E12" i="15"/>
  <c r="F12" i="15" s="1"/>
  <c r="U11" i="15"/>
  <c r="Q11" i="15"/>
  <c r="P11" i="15"/>
  <c r="O11" i="15"/>
  <c r="V11" i="15" s="1"/>
  <c r="N11" i="15"/>
  <c r="M11" i="15"/>
  <c r="T11" i="15" s="1"/>
  <c r="L11" i="15"/>
  <c r="S11" i="15" s="1"/>
  <c r="K11" i="15"/>
  <c r="R11" i="15" s="1"/>
  <c r="J11" i="15"/>
  <c r="I11" i="15"/>
  <c r="V10" i="15"/>
  <c r="S10" i="15"/>
  <c r="R10" i="15"/>
  <c r="Q10" i="15"/>
  <c r="O10" i="15"/>
  <c r="N10" i="15"/>
  <c r="U10" i="15" s="1"/>
  <c r="M10" i="15"/>
  <c r="T10" i="15" s="1"/>
  <c r="L10" i="15"/>
  <c r="K10" i="15"/>
  <c r="J10" i="15"/>
  <c r="I10" i="15"/>
  <c r="P10" i="15" s="1"/>
  <c r="E10" i="15"/>
  <c r="F10" i="15" s="1"/>
  <c r="V9" i="15"/>
  <c r="U9" i="15"/>
  <c r="S9" i="15"/>
  <c r="R9" i="15"/>
  <c r="Q9" i="15"/>
  <c r="O9" i="15"/>
  <c r="N9" i="15"/>
  <c r="M9" i="15"/>
  <c r="T9" i="15" s="1"/>
  <c r="L9" i="15"/>
  <c r="K9" i="15"/>
  <c r="J9" i="15"/>
  <c r="I9" i="15"/>
  <c r="P9" i="15" s="1"/>
  <c r="E9" i="15"/>
  <c r="F9" i="15" s="1"/>
  <c r="V8" i="15"/>
  <c r="U8" i="15"/>
  <c r="S8" i="15"/>
  <c r="R8" i="15"/>
  <c r="Q8" i="15"/>
  <c r="O8" i="15"/>
  <c r="N8" i="15"/>
  <c r="M8" i="15"/>
  <c r="T8" i="15" s="1"/>
  <c r="L8" i="15"/>
  <c r="K8" i="15"/>
  <c r="J8" i="15"/>
  <c r="I8" i="15"/>
  <c r="P8" i="15" s="1"/>
  <c r="E8" i="15"/>
  <c r="F8" i="15" s="1"/>
  <c r="V7" i="15"/>
  <c r="U7" i="15"/>
  <c r="U48" i="15" s="1"/>
  <c r="G13" i="9" s="1"/>
  <c r="S7" i="15"/>
  <c r="R7" i="15"/>
  <c r="Q7" i="15"/>
  <c r="Q48" i="15" s="1"/>
  <c r="C13" i="9" s="1"/>
  <c r="O7" i="15"/>
  <c r="N7" i="15"/>
  <c r="N48" i="15" s="1"/>
  <c r="M7" i="15"/>
  <c r="T7" i="15" s="1"/>
  <c r="L7" i="15"/>
  <c r="K7" i="15"/>
  <c r="J7" i="15"/>
  <c r="J48" i="15" s="1"/>
  <c r="I7" i="15"/>
  <c r="P7" i="15" s="1"/>
  <c r="E7" i="15"/>
  <c r="F7" i="15" s="1"/>
  <c r="N2" i="15"/>
  <c r="L2" i="15"/>
  <c r="J2" i="15"/>
  <c r="G2" i="15"/>
  <c r="F2" i="15"/>
  <c r="E2" i="15"/>
  <c r="D2" i="15"/>
  <c r="B2" i="15"/>
  <c r="A2" i="15"/>
  <c r="A73" i="14"/>
  <c r="V72" i="14"/>
  <c r="T72" i="14"/>
  <c r="R72" i="14"/>
  <c r="P72" i="14"/>
  <c r="O72" i="14"/>
  <c r="N72" i="14"/>
  <c r="U72" i="14" s="1"/>
  <c r="M72" i="14"/>
  <c r="L72" i="14"/>
  <c r="S72" i="14" s="1"/>
  <c r="K72" i="14"/>
  <c r="J72" i="14"/>
  <c r="Q72" i="14" s="1"/>
  <c r="I72" i="14"/>
  <c r="V71" i="14"/>
  <c r="T71" i="14"/>
  <c r="R71" i="14"/>
  <c r="P71" i="14"/>
  <c r="O71" i="14"/>
  <c r="N71" i="14"/>
  <c r="U71" i="14" s="1"/>
  <c r="M71" i="14"/>
  <c r="L71" i="14"/>
  <c r="S71" i="14" s="1"/>
  <c r="K71" i="14"/>
  <c r="J71" i="14"/>
  <c r="Q71" i="14" s="1"/>
  <c r="I71" i="14"/>
  <c r="V70" i="14"/>
  <c r="T70" i="14"/>
  <c r="R70" i="14"/>
  <c r="P70" i="14"/>
  <c r="O70" i="14"/>
  <c r="N70" i="14"/>
  <c r="U70" i="14" s="1"/>
  <c r="M70" i="14"/>
  <c r="L70" i="14"/>
  <c r="S70" i="14" s="1"/>
  <c r="K70" i="14"/>
  <c r="J70" i="14"/>
  <c r="Q70" i="14" s="1"/>
  <c r="I70" i="14"/>
  <c r="F70" i="14"/>
  <c r="U69" i="14"/>
  <c r="S69" i="14"/>
  <c r="Q69" i="14"/>
  <c r="O69" i="14"/>
  <c r="V69" i="14" s="1"/>
  <c r="N69" i="14"/>
  <c r="M69" i="14"/>
  <c r="T69" i="14" s="1"/>
  <c r="L69" i="14"/>
  <c r="K69" i="14"/>
  <c r="R69" i="14" s="1"/>
  <c r="J69" i="14"/>
  <c r="I69" i="14"/>
  <c r="P69" i="14" s="1"/>
  <c r="F69" i="14"/>
  <c r="V68" i="14"/>
  <c r="T68" i="14"/>
  <c r="R68" i="14"/>
  <c r="P68" i="14"/>
  <c r="O68" i="14"/>
  <c r="N68" i="14"/>
  <c r="U68" i="14" s="1"/>
  <c r="M68" i="14"/>
  <c r="L68" i="14"/>
  <c r="S68" i="14" s="1"/>
  <c r="K68" i="14"/>
  <c r="J68" i="14"/>
  <c r="Q68" i="14" s="1"/>
  <c r="I68" i="14"/>
  <c r="F68" i="14"/>
  <c r="U67" i="14"/>
  <c r="S67" i="14"/>
  <c r="Q67" i="14"/>
  <c r="O67" i="14"/>
  <c r="V67" i="14" s="1"/>
  <c r="N67" i="14"/>
  <c r="M67" i="14"/>
  <c r="T67" i="14" s="1"/>
  <c r="L67" i="14"/>
  <c r="K67" i="14"/>
  <c r="R67" i="14" s="1"/>
  <c r="J67" i="14"/>
  <c r="I67" i="14"/>
  <c r="P67" i="14" s="1"/>
  <c r="F67" i="14"/>
  <c r="V66" i="14"/>
  <c r="T66" i="14"/>
  <c r="R66" i="14"/>
  <c r="P66" i="14"/>
  <c r="O66" i="14"/>
  <c r="N66" i="14"/>
  <c r="U66" i="14" s="1"/>
  <c r="M66" i="14"/>
  <c r="L66" i="14"/>
  <c r="S66" i="14" s="1"/>
  <c r="K66" i="14"/>
  <c r="J66" i="14"/>
  <c r="Q66" i="14" s="1"/>
  <c r="I66" i="14"/>
  <c r="F66" i="14"/>
  <c r="U65" i="14"/>
  <c r="S65" i="14"/>
  <c r="Q65" i="14"/>
  <c r="O65" i="14"/>
  <c r="V65" i="14" s="1"/>
  <c r="N65" i="14"/>
  <c r="M65" i="14"/>
  <c r="T65" i="14" s="1"/>
  <c r="L65" i="14"/>
  <c r="K65" i="14"/>
  <c r="R65" i="14" s="1"/>
  <c r="J65" i="14"/>
  <c r="I65" i="14"/>
  <c r="P65" i="14" s="1"/>
  <c r="F65" i="14"/>
  <c r="V61" i="14"/>
  <c r="T61" i="14"/>
  <c r="R61" i="14"/>
  <c r="P61" i="14"/>
  <c r="O61" i="14"/>
  <c r="N61" i="14"/>
  <c r="U61" i="14" s="1"/>
  <c r="M61" i="14"/>
  <c r="L61" i="14"/>
  <c r="S61" i="14" s="1"/>
  <c r="K61" i="14"/>
  <c r="J61" i="14"/>
  <c r="Q61" i="14" s="1"/>
  <c r="I61" i="14"/>
  <c r="F61" i="14"/>
  <c r="E61" i="14"/>
  <c r="V60" i="14"/>
  <c r="T60" i="14"/>
  <c r="R60" i="14"/>
  <c r="P60" i="14"/>
  <c r="O60" i="14"/>
  <c r="N60" i="14"/>
  <c r="U60" i="14" s="1"/>
  <c r="M60" i="14"/>
  <c r="L60" i="14"/>
  <c r="S60" i="14" s="1"/>
  <c r="K60" i="14"/>
  <c r="J60" i="14"/>
  <c r="Q60" i="14" s="1"/>
  <c r="I60" i="14"/>
  <c r="F60" i="14"/>
  <c r="E60" i="14"/>
  <c r="V59" i="14"/>
  <c r="T59" i="14"/>
  <c r="R59" i="14"/>
  <c r="P59" i="14"/>
  <c r="O59" i="14"/>
  <c r="N59" i="14"/>
  <c r="U59" i="14" s="1"/>
  <c r="M59" i="14"/>
  <c r="L59" i="14"/>
  <c r="S59" i="14" s="1"/>
  <c r="K59" i="14"/>
  <c r="J59" i="14"/>
  <c r="Q59" i="14" s="1"/>
  <c r="I59" i="14"/>
  <c r="F59" i="14"/>
  <c r="E59" i="14"/>
  <c r="V58" i="14"/>
  <c r="T58" i="14"/>
  <c r="R58" i="14"/>
  <c r="P58" i="14"/>
  <c r="O58" i="14"/>
  <c r="N58" i="14"/>
  <c r="U58" i="14" s="1"/>
  <c r="M58" i="14"/>
  <c r="L58" i="14"/>
  <c r="S58" i="14" s="1"/>
  <c r="K58" i="14"/>
  <c r="J58" i="14"/>
  <c r="Q58" i="14" s="1"/>
  <c r="I58" i="14"/>
  <c r="F58" i="14"/>
  <c r="E58" i="14"/>
  <c r="V57" i="14"/>
  <c r="T57" i="14"/>
  <c r="R57" i="14"/>
  <c r="P57" i="14"/>
  <c r="O57" i="14"/>
  <c r="N57" i="14"/>
  <c r="U57" i="14" s="1"/>
  <c r="M57" i="14"/>
  <c r="L57" i="14"/>
  <c r="S57" i="14" s="1"/>
  <c r="K57" i="14"/>
  <c r="J57" i="14"/>
  <c r="Q57" i="14" s="1"/>
  <c r="I57" i="14"/>
  <c r="F57" i="14"/>
  <c r="E57" i="14"/>
  <c r="V56" i="14"/>
  <c r="T56" i="14"/>
  <c r="R56" i="14"/>
  <c r="P56" i="14"/>
  <c r="O56" i="14"/>
  <c r="N56" i="14"/>
  <c r="U56" i="14" s="1"/>
  <c r="M56" i="14"/>
  <c r="L56" i="14"/>
  <c r="S56" i="14" s="1"/>
  <c r="K56" i="14"/>
  <c r="J56" i="14"/>
  <c r="Q56" i="14" s="1"/>
  <c r="I56" i="14"/>
  <c r="F56" i="14"/>
  <c r="E56" i="14"/>
  <c r="V55" i="14"/>
  <c r="T55" i="14"/>
  <c r="R55" i="14"/>
  <c r="P55" i="14"/>
  <c r="O55" i="14"/>
  <c r="N55" i="14"/>
  <c r="U55" i="14" s="1"/>
  <c r="M55" i="14"/>
  <c r="L55" i="14"/>
  <c r="S55" i="14" s="1"/>
  <c r="K55" i="14"/>
  <c r="J55" i="14"/>
  <c r="Q55" i="14" s="1"/>
  <c r="I55" i="14"/>
  <c r="F55" i="14"/>
  <c r="E55" i="14"/>
  <c r="V54" i="14"/>
  <c r="T54" i="14"/>
  <c r="R54" i="14"/>
  <c r="P54" i="14"/>
  <c r="O54" i="14"/>
  <c r="N54" i="14"/>
  <c r="U54" i="14" s="1"/>
  <c r="M54" i="14"/>
  <c r="L54" i="14"/>
  <c r="S54" i="14" s="1"/>
  <c r="K54" i="14"/>
  <c r="J54" i="14"/>
  <c r="Q54" i="14" s="1"/>
  <c r="I54" i="14"/>
  <c r="F54" i="14"/>
  <c r="E54" i="14"/>
  <c r="V53" i="14"/>
  <c r="T53" i="14"/>
  <c r="R53" i="14"/>
  <c r="P53" i="14"/>
  <c r="O53" i="14"/>
  <c r="N53" i="14"/>
  <c r="U53" i="14" s="1"/>
  <c r="M53" i="14"/>
  <c r="L53" i="14"/>
  <c r="S53" i="14" s="1"/>
  <c r="K53" i="14"/>
  <c r="J53" i="14"/>
  <c r="Q53" i="14" s="1"/>
  <c r="I53" i="14"/>
  <c r="F53" i="14"/>
  <c r="E53" i="14"/>
  <c r="V52" i="14"/>
  <c r="T52" i="14"/>
  <c r="R52" i="14"/>
  <c r="P52" i="14"/>
  <c r="O52" i="14"/>
  <c r="N52" i="14"/>
  <c r="U52" i="14" s="1"/>
  <c r="M52" i="14"/>
  <c r="L52" i="14"/>
  <c r="S52" i="14" s="1"/>
  <c r="K52" i="14"/>
  <c r="J52" i="14"/>
  <c r="Q52" i="14" s="1"/>
  <c r="I52" i="14"/>
  <c r="F52" i="14"/>
  <c r="E52" i="14"/>
  <c r="V51" i="14"/>
  <c r="T51" i="14"/>
  <c r="R51" i="14"/>
  <c r="R73" i="14" s="1"/>
  <c r="P51" i="14"/>
  <c r="O51" i="14"/>
  <c r="N51" i="14"/>
  <c r="M51" i="14"/>
  <c r="L51" i="14"/>
  <c r="K51" i="14"/>
  <c r="J51" i="14"/>
  <c r="I51" i="14"/>
  <c r="F51" i="14"/>
  <c r="E51" i="14"/>
  <c r="U49" i="14"/>
  <c r="S49" i="14"/>
  <c r="R49" i="14"/>
  <c r="Q49" i="14"/>
  <c r="P49" i="14"/>
  <c r="U47" i="14"/>
  <c r="T47" i="14"/>
  <c r="P47" i="14"/>
  <c r="O47" i="14"/>
  <c r="V47" i="14" s="1"/>
  <c r="N47" i="14"/>
  <c r="L47" i="14"/>
  <c r="S47" i="14" s="1"/>
  <c r="K47" i="14"/>
  <c r="R47" i="14" s="1"/>
  <c r="J47" i="14"/>
  <c r="Q47" i="14" s="1"/>
  <c r="I47" i="14"/>
  <c r="V45" i="14"/>
  <c r="T45" i="14"/>
  <c r="R45" i="14"/>
  <c r="P45" i="14"/>
  <c r="O45" i="14"/>
  <c r="N45" i="14"/>
  <c r="U45" i="14" s="1"/>
  <c r="M45" i="14"/>
  <c r="L45" i="14"/>
  <c r="S45" i="14" s="1"/>
  <c r="K45" i="14"/>
  <c r="J45" i="14"/>
  <c r="Q45" i="14" s="1"/>
  <c r="I45" i="14"/>
  <c r="V44" i="14"/>
  <c r="T44" i="14"/>
  <c r="R44" i="14"/>
  <c r="P44" i="14"/>
  <c r="O44" i="14"/>
  <c r="N44" i="14"/>
  <c r="U44" i="14" s="1"/>
  <c r="M44" i="14"/>
  <c r="L44" i="14"/>
  <c r="S44" i="14" s="1"/>
  <c r="K44" i="14"/>
  <c r="J44" i="14"/>
  <c r="Q44" i="14" s="1"/>
  <c r="I44" i="14"/>
  <c r="V43" i="14"/>
  <c r="T43" i="14"/>
  <c r="R43" i="14"/>
  <c r="P43" i="14"/>
  <c r="O43" i="14"/>
  <c r="N43" i="14"/>
  <c r="U43" i="14" s="1"/>
  <c r="M43" i="14"/>
  <c r="L43" i="14"/>
  <c r="S43" i="14" s="1"/>
  <c r="K43" i="14"/>
  <c r="J43" i="14"/>
  <c r="Q43" i="14" s="1"/>
  <c r="I43" i="14"/>
  <c r="V42" i="14"/>
  <c r="T42" i="14"/>
  <c r="R42" i="14"/>
  <c r="P42" i="14"/>
  <c r="O42" i="14"/>
  <c r="N42" i="14"/>
  <c r="U42" i="14" s="1"/>
  <c r="M42" i="14"/>
  <c r="L42" i="14"/>
  <c r="S42" i="14" s="1"/>
  <c r="K42" i="14"/>
  <c r="J42" i="14"/>
  <c r="Q42" i="14" s="1"/>
  <c r="I42" i="14"/>
  <c r="R40" i="14"/>
  <c r="P40" i="14"/>
  <c r="N40" i="14"/>
  <c r="U40" i="14" s="1"/>
  <c r="L40" i="14"/>
  <c r="S40" i="14" s="1"/>
  <c r="K40" i="14"/>
  <c r="J40" i="14"/>
  <c r="I40" i="14"/>
  <c r="M40" i="14" s="1"/>
  <c r="T40" i="14" s="1"/>
  <c r="V39" i="14"/>
  <c r="U39" i="14"/>
  <c r="T39" i="14"/>
  <c r="S39" i="14"/>
  <c r="R39" i="14"/>
  <c r="Q39" i="14"/>
  <c r="P39" i="14"/>
  <c r="L39" i="14"/>
  <c r="V38" i="14"/>
  <c r="U38" i="14"/>
  <c r="T38" i="14"/>
  <c r="R38" i="14"/>
  <c r="Q38" i="14"/>
  <c r="P38" i="14"/>
  <c r="L38" i="14"/>
  <c r="S38" i="14" s="1"/>
  <c r="V37" i="14"/>
  <c r="U37" i="14"/>
  <c r="T37" i="14"/>
  <c r="S37" i="14"/>
  <c r="R37" i="14"/>
  <c r="Q37" i="14"/>
  <c r="P37" i="14"/>
  <c r="L37" i="14"/>
  <c r="V36" i="14"/>
  <c r="T36" i="14"/>
  <c r="R36" i="14"/>
  <c r="P36" i="14"/>
  <c r="O36" i="14"/>
  <c r="N36" i="14"/>
  <c r="U36" i="14" s="1"/>
  <c r="M36" i="14"/>
  <c r="L36" i="14"/>
  <c r="S36" i="14" s="1"/>
  <c r="K36" i="14"/>
  <c r="J36" i="14"/>
  <c r="Q36" i="14" s="1"/>
  <c r="I36" i="14"/>
  <c r="V35" i="14"/>
  <c r="T35" i="14"/>
  <c r="R35" i="14"/>
  <c r="P35" i="14"/>
  <c r="O35" i="14"/>
  <c r="N35" i="14"/>
  <c r="U35" i="14" s="1"/>
  <c r="M35" i="14"/>
  <c r="L35" i="14"/>
  <c r="S35" i="14" s="1"/>
  <c r="K35" i="14"/>
  <c r="J35" i="14"/>
  <c r="Q35" i="14" s="1"/>
  <c r="I35" i="14"/>
  <c r="V34" i="14"/>
  <c r="T34" i="14"/>
  <c r="R34" i="14"/>
  <c r="P34" i="14"/>
  <c r="O34" i="14"/>
  <c r="N34" i="14"/>
  <c r="U34" i="14" s="1"/>
  <c r="M34" i="14"/>
  <c r="L34" i="14"/>
  <c r="S34" i="14" s="1"/>
  <c r="K34" i="14"/>
  <c r="J34" i="14"/>
  <c r="Q34" i="14" s="1"/>
  <c r="I34" i="14"/>
  <c r="V33" i="14"/>
  <c r="T33" i="14"/>
  <c r="R33" i="14"/>
  <c r="P33" i="14"/>
  <c r="O33" i="14"/>
  <c r="N33" i="14"/>
  <c r="U33" i="14" s="1"/>
  <c r="M33" i="14"/>
  <c r="L33" i="14"/>
  <c r="S33" i="14" s="1"/>
  <c r="K33" i="14"/>
  <c r="J33" i="14"/>
  <c r="Q33" i="14" s="1"/>
  <c r="I33" i="14"/>
  <c r="V32" i="14"/>
  <c r="U32" i="14"/>
  <c r="T32" i="14"/>
  <c r="S32" i="14"/>
  <c r="R32" i="14"/>
  <c r="Q32" i="14"/>
  <c r="L32" i="14"/>
  <c r="M30" i="14"/>
  <c r="T30" i="14" s="1"/>
  <c r="K30" i="14"/>
  <c r="R30" i="14" s="1"/>
  <c r="E30" i="14"/>
  <c r="U29" i="14"/>
  <c r="S29" i="14"/>
  <c r="Q29" i="14"/>
  <c r="O29" i="14"/>
  <c r="V29" i="14" s="1"/>
  <c r="N29" i="14"/>
  <c r="M29" i="14"/>
  <c r="T29" i="14" s="1"/>
  <c r="L29" i="14"/>
  <c r="K29" i="14"/>
  <c r="R29" i="14" s="1"/>
  <c r="J29" i="14"/>
  <c r="I29" i="14"/>
  <c r="P29" i="14" s="1"/>
  <c r="E28" i="14"/>
  <c r="F28" i="14" s="1"/>
  <c r="E27" i="14"/>
  <c r="F27" i="14" s="1"/>
  <c r="E26" i="14"/>
  <c r="F26" i="14" s="1"/>
  <c r="U25" i="14"/>
  <c r="S25" i="14"/>
  <c r="Q25" i="14"/>
  <c r="O25" i="14"/>
  <c r="V25" i="14" s="1"/>
  <c r="N25" i="14"/>
  <c r="M25" i="14"/>
  <c r="T25" i="14" s="1"/>
  <c r="L25" i="14"/>
  <c r="K25" i="14"/>
  <c r="R25" i="14" s="1"/>
  <c r="J25" i="14"/>
  <c r="I25" i="14"/>
  <c r="P25" i="14" s="1"/>
  <c r="E25" i="14"/>
  <c r="F25" i="14" s="1"/>
  <c r="S24" i="14"/>
  <c r="R24" i="14"/>
  <c r="Q24" i="14"/>
  <c r="O24" i="14"/>
  <c r="N24" i="14"/>
  <c r="U24" i="14" s="1"/>
  <c r="M24" i="14"/>
  <c r="T24" i="14" s="1"/>
  <c r="L24" i="14"/>
  <c r="K24" i="14"/>
  <c r="J24" i="14"/>
  <c r="I24" i="14"/>
  <c r="P24" i="14" s="1"/>
  <c r="E24" i="14"/>
  <c r="F24" i="14" s="1"/>
  <c r="V24" i="14" s="1"/>
  <c r="S23" i="14"/>
  <c r="R23" i="14"/>
  <c r="O23" i="14"/>
  <c r="V23" i="14" s="1"/>
  <c r="N23" i="14"/>
  <c r="U23" i="14" s="1"/>
  <c r="M23" i="14"/>
  <c r="T23" i="14" s="1"/>
  <c r="L23" i="14"/>
  <c r="K23" i="14"/>
  <c r="J23" i="14"/>
  <c r="Q23" i="14" s="1"/>
  <c r="I23" i="14"/>
  <c r="P23" i="14" s="1"/>
  <c r="E23" i="14"/>
  <c r="F23" i="14" s="1"/>
  <c r="S22" i="14"/>
  <c r="O22" i="14"/>
  <c r="V22" i="14" s="1"/>
  <c r="N22" i="14"/>
  <c r="U22" i="14" s="1"/>
  <c r="M22" i="14"/>
  <c r="T22" i="14" s="1"/>
  <c r="L22" i="14"/>
  <c r="K22" i="14"/>
  <c r="R22" i="14" s="1"/>
  <c r="J22" i="14"/>
  <c r="Q22" i="14" s="1"/>
  <c r="I22" i="14"/>
  <c r="P22" i="14" s="1"/>
  <c r="E22" i="14"/>
  <c r="F22" i="14" s="1"/>
  <c r="V21" i="14"/>
  <c r="T21" i="14"/>
  <c r="S21" i="14"/>
  <c r="R21" i="14"/>
  <c r="P21" i="14"/>
  <c r="O21" i="14"/>
  <c r="N21" i="14"/>
  <c r="U21" i="14" s="1"/>
  <c r="M21" i="14"/>
  <c r="L21" i="14"/>
  <c r="K21" i="14"/>
  <c r="J21" i="14"/>
  <c r="Q21" i="14" s="1"/>
  <c r="I21" i="14"/>
  <c r="E21" i="14"/>
  <c r="F21" i="14" s="1"/>
  <c r="S20" i="14"/>
  <c r="R20" i="14"/>
  <c r="P20" i="14"/>
  <c r="O20" i="14"/>
  <c r="N20" i="14"/>
  <c r="U20" i="14" s="1"/>
  <c r="M20" i="14"/>
  <c r="L20" i="14"/>
  <c r="K20" i="14"/>
  <c r="J20" i="14"/>
  <c r="Q20" i="14" s="1"/>
  <c r="I20" i="14"/>
  <c r="E20" i="14"/>
  <c r="F20" i="14" s="1"/>
  <c r="S19" i="14"/>
  <c r="R19" i="14"/>
  <c r="P19" i="14"/>
  <c r="O19" i="14"/>
  <c r="N19" i="14"/>
  <c r="U19" i="14" s="1"/>
  <c r="M19" i="14"/>
  <c r="L19" i="14"/>
  <c r="K19" i="14"/>
  <c r="J19" i="14"/>
  <c r="Q19" i="14" s="1"/>
  <c r="I19" i="14"/>
  <c r="E19" i="14"/>
  <c r="F19" i="14" s="1"/>
  <c r="V17" i="14"/>
  <c r="T17" i="14"/>
  <c r="S17" i="14"/>
  <c r="R17" i="14"/>
  <c r="P17" i="14"/>
  <c r="O17" i="14"/>
  <c r="N17" i="14"/>
  <c r="U17" i="14" s="1"/>
  <c r="M17" i="14"/>
  <c r="L17" i="14"/>
  <c r="K17" i="14"/>
  <c r="J17" i="14"/>
  <c r="Q17" i="14" s="1"/>
  <c r="I17" i="14"/>
  <c r="E17" i="14"/>
  <c r="F17" i="14" s="1"/>
  <c r="V15" i="14"/>
  <c r="T15" i="14"/>
  <c r="S15" i="14"/>
  <c r="R15" i="14"/>
  <c r="P15" i="14"/>
  <c r="O15" i="14"/>
  <c r="N15" i="14"/>
  <c r="U15" i="14" s="1"/>
  <c r="M15" i="14"/>
  <c r="L15" i="14"/>
  <c r="K15" i="14"/>
  <c r="J15" i="14"/>
  <c r="Q15" i="14" s="1"/>
  <c r="I15" i="14"/>
  <c r="E15" i="14"/>
  <c r="F15" i="14" s="1"/>
  <c r="V14" i="14"/>
  <c r="T14" i="14"/>
  <c r="S14" i="14"/>
  <c r="R14" i="14"/>
  <c r="P14" i="14"/>
  <c r="O14" i="14"/>
  <c r="N14" i="14"/>
  <c r="U14" i="14" s="1"/>
  <c r="M14" i="14"/>
  <c r="L14" i="14"/>
  <c r="K14" i="14"/>
  <c r="J14" i="14"/>
  <c r="Q14" i="14" s="1"/>
  <c r="I14" i="14"/>
  <c r="E14" i="14"/>
  <c r="F14" i="14" s="1"/>
  <c r="V12" i="14"/>
  <c r="T12" i="14"/>
  <c r="S12" i="14"/>
  <c r="R12" i="14"/>
  <c r="P12" i="14"/>
  <c r="O12" i="14"/>
  <c r="N12" i="14"/>
  <c r="U12" i="14" s="1"/>
  <c r="M12" i="14"/>
  <c r="L12" i="14"/>
  <c r="K12" i="14"/>
  <c r="J12" i="14"/>
  <c r="Q12" i="14" s="1"/>
  <c r="I12" i="14"/>
  <c r="E12" i="14"/>
  <c r="F12" i="14" s="1"/>
  <c r="V11" i="14"/>
  <c r="T11" i="14"/>
  <c r="S11" i="14"/>
  <c r="R11" i="14"/>
  <c r="P11" i="14"/>
  <c r="O11" i="14"/>
  <c r="N11" i="14"/>
  <c r="U11" i="14" s="1"/>
  <c r="M11" i="14"/>
  <c r="L11" i="14"/>
  <c r="K11" i="14"/>
  <c r="J11" i="14"/>
  <c r="Q11" i="14" s="1"/>
  <c r="I11" i="14"/>
  <c r="V10" i="14"/>
  <c r="U10" i="14"/>
  <c r="T10" i="14"/>
  <c r="R10" i="14"/>
  <c r="Q10" i="14"/>
  <c r="P10" i="14"/>
  <c r="O10" i="14"/>
  <c r="N10" i="14"/>
  <c r="M10" i="14"/>
  <c r="L10" i="14"/>
  <c r="S10" i="14" s="1"/>
  <c r="K10" i="14"/>
  <c r="J10" i="14"/>
  <c r="I10" i="14"/>
  <c r="F10" i="14"/>
  <c r="E10" i="14"/>
  <c r="V9" i="14"/>
  <c r="U9" i="14"/>
  <c r="T9" i="14"/>
  <c r="R9" i="14"/>
  <c r="Q9" i="14"/>
  <c r="P9" i="14"/>
  <c r="O9" i="14"/>
  <c r="N9" i="14"/>
  <c r="M9" i="14"/>
  <c r="L9" i="14"/>
  <c r="S9" i="14" s="1"/>
  <c r="K9" i="14"/>
  <c r="J9" i="14"/>
  <c r="I9" i="14"/>
  <c r="F9" i="14"/>
  <c r="E9" i="14"/>
  <c r="V8" i="14"/>
  <c r="U8" i="14"/>
  <c r="T8" i="14"/>
  <c r="R8" i="14"/>
  <c r="Q8" i="14"/>
  <c r="P8" i="14"/>
  <c r="O8" i="14"/>
  <c r="N8" i="14"/>
  <c r="M8" i="14"/>
  <c r="L8" i="14"/>
  <c r="S8" i="14" s="1"/>
  <c r="K8" i="14"/>
  <c r="J8" i="14"/>
  <c r="I8" i="14"/>
  <c r="F8" i="14"/>
  <c r="E8" i="14"/>
  <c r="V7" i="14"/>
  <c r="U7" i="14"/>
  <c r="T7" i="14"/>
  <c r="R7" i="14"/>
  <c r="Q7" i="14"/>
  <c r="P7" i="14"/>
  <c r="O7" i="14"/>
  <c r="N7" i="14"/>
  <c r="M7" i="14"/>
  <c r="L7" i="14"/>
  <c r="K7" i="14"/>
  <c r="K48" i="14" s="1"/>
  <c r="J7" i="14"/>
  <c r="I7" i="14"/>
  <c r="F7" i="14"/>
  <c r="E7" i="14"/>
  <c r="N2" i="14"/>
  <c r="L2" i="14"/>
  <c r="J2" i="14"/>
  <c r="G2" i="14"/>
  <c r="F2" i="14"/>
  <c r="E2" i="14"/>
  <c r="D2" i="14"/>
  <c r="B2" i="14"/>
  <c r="A2" i="14"/>
  <c r="O73" i="13"/>
  <c r="K73" i="13"/>
  <c r="A73" i="13"/>
  <c r="V72" i="13"/>
  <c r="R72" i="13"/>
  <c r="O72" i="13"/>
  <c r="N72" i="13"/>
  <c r="U72" i="13" s="1"/>
  <c r="M72" i="13"/>
  <c r="T72" i="13" s="1"/>
  <c r="L72" i="13"/>
  <c r="S72" i="13" s="1"/>
  <c r="K72" i="13"/>
  <c r="J72" i="13"/>
  <c r="Q72" i="13" s="1"/>
  <c r="I72" i="13"/>
  <c r="P72" i="13" s="1"/>
  <c r="T71" i="13"/>
  <c r="P71" i="13"/>
  <c r="O71" i="13"/>
  <c r="V71" i="13" s="1"/>
  <c r="N71" i="13"/>
  <c r="U71" i="13" s="1"/>
  <c r="M71" i="13"/>
  <c r="L71" i="13"/>
  <c r="S71" i="13" s="1"/>
  <c r="K71" i="13"/>
  <c r="R71" i="13" s="1"/>
  <c r="J71" i="13"/>
  <c r="Q71" i="13" s="1"/>
  <c r="I71" i="13"/>
  <c r="V70" i="13"/>
  <c r="S70" i="13"/>
  <c r="R70" i="13"/>
  <c r="O70" i="13"/>
  <c r="N70" i="13"/>
  <c r="U70" i="13" s="1"/>
  <c r="M70" i="13"/>
  <c r="T70" i="13" s="1"/>
  <c r="L70" i="13"/>
  <c r="K70" i="13"/>
  <c r="J70" i="13"/>
  <c r="Q70" i="13" s="1"/>
  <c r="I70" i="13"/>
  <c r="P70" i="13" s="1"/>
  <c r="F70" i="13"/>
  <c r="V69" i="13"/>
  <c r="U69" i="13"/>
  <c r="R69" i="13"/>
  <c r="Q69" i="13"/>
  <c r="O69" i="13"/>
  <c r="N69" i="13"/>
  <c r="M69" i="13"/>
  <c r="T69" i="13" s="1"/>
  <c r="L69" i="13"/>
  <c r="S69" i="13" s="1"/>
  <c r="K69" i="13"/>
  <c r="J69" i="13"/>
  <c r="I69" i="13"/>
  <c r="P69" i="13" s="1"/>
  <c r="F69" i="13"/>
  <c r="U68" i="13"/>
  <c r="T68" i="13"/>
  <c r="Q68" i="13"/>
  <c r="P68" i="13"/>
  <c r="O68" i="13"/>
  <c r="V68" i="13" s="1"/>
  <c r="N68" i="13"/>
  <c r="M68" i="13"/>
  <c r="L68" i="13"/>
  <c r="S68" i="13" s="1"/>
  <c r="K68" i="13"/>
  <c r="R68" i="13" s="1"/>
  <c r="J68" i="13"/>
  <c r="I68" i="13"/>
  <c r="F68" i="13"/>
  <c r="T67" i="13"/>
  <c r="S67" i="13"/>
  <c r="P67" i="13"/>
  <c r="O67" i="13"/>
  <c r="V67" i="13" s="1"/>
  <c r="N67" i="13"/>
  <c r="U67" i="13" s="1"/>
  <c r="M67" i="13"/>
  <c r="L67" i="13"/>
  <c r="K67" i="13"/>
  <c r="R67" i="13" s="1"/>
  <c r="J67" i="13"/>
  <c r="Q67" i="13" s="1"/>
  <c r="I67" i="13"/>
  <c r="F67" i="13"/>
  <c r="V66" i="13"/>
  <c r="S66" i="13"/>
  <c r="R66" i="13"/>
  <c r="O66" i="13"/>
  <c r="N66" i="13"/>
  <c r="U66" i="13" s="1"/>
  <c r="M66" i="13"/>
  <c r="T66" i="13" s="1"/>
  <c r="L66" i="13"/>
  <c r="K66" i="13"/>
  <c r="J66" i="13"/>
  <c r="Q66" i="13" s="1"/>
  <c r="I66" i="13"/>
  <c r="P66" i="13" s="1"/>
  <c r="F66" i="13"/>
  <c r="V65" i="13"/>
  <c r="U65" i="13"/>
  <c r="R65" i="13"/>
  <c r="Q65" i="13"/>
  <c r="O65" i="13"/>
  <c r="N65" i="13"/>
  <c r="M65" i="13"/>
  <c r="T65" i="13" s="1"/>
  <c r="L65" i="13"/>
  <c r="S65" i="13" s="1"/>
  <c r="K65" i="13"/>
  <c r="J65" i="13"/>
  <c r="I65" i="13"/>
  <c r="P65" i="13" s="1"/>
  <c r="F65" i="13"/>
  <c r="U61" i="13"/>
  <c r="T61" i="13"/>
  <c r="Q61" i="13"/>
  <c r="P61" i="13"/>
  <c r="O61" i="13"/>
  <c r="V61" i="13" s="1"/>
  <c r="N61" i="13"/>
  <c r="M61" i="13"/>
  <c r="L61" i="13"/>
  <c r="S61" i="13" s="1"/>
  <c r="K61" i="13"/>
  <c r="R61" i="13" s="1"/>
  <c r="J61" i="13"/>
  <c r="I61" i="13"/>
  <c r="F61" i="13"/>
  <c r="E61" i="13"/>
  <c r="U60" i="13"/>
  <c r="T60" i="13"/>
  <c r="Q60" i="13"/>
  <c r="P60" i="13"/>
  <c r="O60" i="13"/>
  <c r="V60" i="13" s="1"/>
  <c r="N60" i="13"/>
  <c r="M60" i="13"/>
  <c r="L60" i="13"/>
  <c r="S60" i="13" s="1"/>
  <c r="K60" i="13"/>
  <c r="R60" i="13" s="1"/>
  <c r="J60" i="13"/>
  <c r="I60" i="13"/>
  <c r="F60" i="13"/>
  <c r="E60" i="13"/>
  <c r="U59" i="13"/>
  <c r="T59" i="13"/>
  <c r="Q59" i="13"/>
  <c r="P59" i="13"/>
  <c r="O59" i="13"/>
  <c r="V59" i="13" s="1"/>
  <c r="N59" i="13"/>
  <c r="M59" i="13"/>
  <c r="L59" i="13"/>
  <c r="S59" i="13" s="1"/>
  <c r="K59" i="13"/>
  <c r="R59" i="13" s="1"/>
  <c r="J59" i="13"/>
  <c r="I59" i="13"/>
  <c r="F59" i="13"/>
  <c r="E59" i="13"/>
  <c r="U58" i="13"/>
  <c r="T58" i="13"/>
  <c r="Q58" i="13"/>
  <c r="P58" i="13"/>
  <c r="O58" i="13"/>
  <c r="V58" i="13" s="1"/>
  <c r="N58" i="13"/>
  <c r="M58" i="13"/>
  <c r="L58" i="13"/>
  <c r="S58" i="13" s="1"/>
  <c r="K58" i="13"/>
  <c r="R58" i="13" s="1"/>
  <c r="J58" i="13"/>
  <c r="I58" i="13"/>
  <c r="F58" i="13"/>
  <c r="E58" i="13"/>
  <c r="U57" i="13"/>
  <c r="T57" i="13"/>
  <c r="Q57" i="13"/>
  <c r="P57" i="13"/>
  <c r="O57" i="13"/>
  <c r="V57" i="13" s="1"/>
  <c r="N57" i="13"/>
  <c r="M57" i="13"/>
  <c r="L57" i="13"/>
  <c r="S57" i="13" s="1"/>
  <c r="K57" i="13"/>
  <c r="R57" i="13" s="1"/>
  <c r="J57" i="13"/>
  <c r="I57" i="13"/>
  <c r="F57" i="13"/>
  <c r="E57" i="13"/>
  <c r="U56" i="13"/>
  <c r="T56" i="13"/>
  <c r="Q56" i="13"/>
  <c r="P56" i="13"/>
  <c r="O56" i="13"/>
  <c r="V56" i="13" s="1"/>
  <c r="N56" i="13"/>
  <c r="M56" i="13"/>
  <c r="L56" i="13"/>
  <c r="S56" i="13" s="1"/>
  <c r="K56" i="13"/>
  <c r="R56" i="13" s="1"/>
  <c r="J56" i="13"/>
  <c r="I56" i="13"/>
  <c r="F56" i="13"/>
  <c r="E56" i="13"/>
  <c r="U55" i="13"/>
  <c r="T55" i="13"/>
  <c r="Q55" i="13"/>
  <c r="P55" i="13"/>
  <c r="O55" i="13"/>
  <c r="V55" i="13" s="1"/>
  <c r="N55" i="13"/>
  <c r="M55" i="13"/>
  <c r="L55" i="13"/>
  <c r="S55" i="13" s="1"/>
  <c r="K55" i="13"/>
  <c r="R55" i="13" s="1"/>
  <c r="J55" i="13"/>
  <c r="I55" i="13"/>
  <c r="F55" i="13"/>
  <c r="E55" i="13"/>
  <c r="U54" i="13"/>
  <c r="T54" i="13"/>
  <c r="Q54" i="13"/>
  <c r="P54" i="13"/>
  <c r="O54" i="13"/>
  <c r="V54" i="13" s="1"/>
  <c r="N54" i="13"/>
  <c r="M54" i="13"/>
  <c r="L54" i="13"/>
  <c r="S54" i="13" s="1"/>
  <c r="K54" i="13"/>
  <c r="R54" i="13" s="1"/>
  <c r="J54" i="13"/>
  <c r="I54" i="13"/>
  <c r="F54" i="13"/>
  <c r="E54" i="13"/>
  <c r="U53" i="13"/>
  <c r="T53" i="13"/>
  <c r="Q53" i="13"/>
  <c r="P53" i="13"/>
  <c r="O53" i="13"/>
  <c r="V53" i="13" s="1"/>
  <c r="N53" i="13"/>
  <c r="M53" i="13"/>
  <c r="L53" i="13"/>
  <c r="S53" i="13" s="1"/>
  <c r="K53" i="13"/>
  <c r="R53" i="13" s="1"/>
  <c r="J53" i="13"/>
  <c r="I53" i="13"/>
  <c r="F53" i="13"/>
  <c r="E53" i="13"/>
  <c r="U52" i="13"/>
  <c r="T52" i="13"/>
  <c r="Q52" i="13"/>
  <c r="P52" i="13"/>
  <c r="O52" i="13"/>
  <c r="V52" i="13" s="1"/>
  <c r="N52" i="13"/>
  <c r="M52" i="13"/>
  <c r="L52" i="13"/>
  <c r="S52" i="13" s="1"/>
  <c r="K52" i="13"/>
  <c r="R52" i="13" s="1"/>
  <c r="J52" i="13"/>
  <c r="I52" i="13"/>
  <c r="F52" i="13"/>
  <c r="E52" i="13"/>
  <c r="U51" i="13"/>
  <c r="T51" i="13"/>
  <c r="Q51" i="13"/>
  <c r="Q73" i="13" s="1"/>
  <c r="P51" i="13"/>
  <c r="O51" i="13"/>
  <c r="V51" i="13" s="1"/>
  <c r="N51" i="13"/>
  <c r="M51" i="13"/>
  <c r="M73" i="13" s="1"/>
  <c r="L51" i="13"/>
  <c r="K51" i="13"/>
  <c r="R51" i="13" s="1"/>
  <c r="J51" i="13"/>
  <c r="I51" i="13"/>
  <c r="I73" i="13" s="1"/>
  <c r="F51" i="13"/>
  <c r="E51" i="13"/>
  <c r="U49" i="13"/>
  <c r="S49" i="13"/>
  <c r="R49" i="13"/>
  <c r="Q49" i="13"/>
  <c r="P49" i="13"/>
  <c r="T47" i="13"/>
  <c r="S47" i="13"/>
  <c r="R47" i="13"/>
  <c r="O47" i="13"/>
  <c r="V47" i="13" s="1"/>
  <c r="N47" i="13"/>
  <c r="U47" i="13" s="1"/>
  <c r="L47" i="13"/>
  <c r="K47" i="13"/>
  <c r="J47" i="13"/>
  <c r="Q47" i="13" s="1"/>
  <c r="I47" i="13"/>
  <c r="P47" i="13" s="1"/>
  <c r="U45" i="13"/>
  <c r="T45" i="13"/>
  <c r="Q45" i="13"/>
  <c r="P45" i="13"/>
  <c r="O45" i="13"/>
  <c r="V45" i="13" s="1"/>
  <c r="N45" i="13"/>
  <c r="M45" i="13"/>
  <c r="L45" i="13"/>
  <c r="S45" i="13" s="1"/>
  <c r="K45" i="13"/>
  <c r="R45" i="13" s="1"/>
  <c r="J45" i="13"/>
  <c r="I45" i="13"/>
  <c r="V44" i="13"/>
  <c r="S44" i="13"/>
  <c r="R44" i="13"/>
  <c r="O44" i="13"/>
  <c r="N44" i="13"/>
  <c r="U44" i="13" s="1"/>
  <c r="M44" i="13"/>
  <c r="T44" i="13" s="1"/>
  <c r="L44" i="13"/>
  <c r="K44" i="13"/>
  <c r="J44" i="13"/>
  <c r="Q44" i="13" s="1"/>
  <c r="I44" i="13"/>
  <c r="P44" i="13" s="1"/>
  <c r="U43" i="13"/>
  <c r="T43" i="13"/>
  <c r="Q43" i="13"/>
  <c r="P43" i="13"/>
  <c r="O43" i="13"/>
  <c r="V43" i="13" s="1"/>
  <c r="N43" i="13"/>
  <c r="M43" i="13"/>
  <c r="L43" i="13"/>
  <c r="S43" i="13" s="1"/>
  <c r="K43" i="13"/>
  <c r="R43" i="13" s="1"/>
  <c r="J43" i="13"/>
  <c r="I43" i="13"/>
  <c r="V42" i="13"/>
  <c r="S42" i="13"/>
  <c r="R42" i="13"/>
  <c r="O42" i="13"/>
  <c r="N42" i="13"/>
  <c r="U42" i="13" s="1"/>
  <c r="M42" i="13"/>
  <c r="T42" i="13" s="1"/>
  <c r="L42" i="13"/>
  <c r="K42" i="13"/>
  <c r="J42" i="13"/>
  <c r="Q42" i="13" s="1"/>
  <c r="I42" i="13"/>
  <c r="P42" i="13" s="1"/>
  <c r="U40" i="13"/>
  <c r="Q40" i="13"/>
  <c r="P40" i="13"/>
  <c r="O40" i="13"/>
  <c r="V40" i="13" s="1"/>
  <c r="N40" i="13"/>
  <c r="L40" i="13"/>
  <c r="S40" i="13" s="1"/>
  <c r="K40" i="13"/>
  <c r="R40" i="13" s="1"/>
  <c r="J40" i="13"/>
  <c r="I40" i="13"/>
  <c r="M40" i="13" s="1"/>
  <c r="T40" i="13" s="1"/>
  <c r="V39" i="13"/>
  <c r="U39" i="13"/>
  <c r="T39" i="13"/>
  <c r="S39" i="13"/>
  <c r="R39" i="13"/>
  <c r="Q39" i="13"/>
  <c r="P39" i="13"/>
  <c r="L39" i="13"/>
  <c r="V38" i="13"/>
  <c r="U38" i="13"/>
  <c r="T38" i="13"/>
  <c r="R38" i="13"/>
  <c r="Q38" i="13"/>
  <c r="P38" i="13"/>
  <c r="L38" i="13"/>
  <c r="S38" i="13" s="1"/>
  <c r="V37" i="13"/>
  <c r="U37" i="13"/>
  <c r="T37" i="13"/>
  <c r="S37" i="13"/>
  <c r="R37" i="13"/>
  <c r="Q37" i="13"/>
  <c r="P37" i="13"/>
  <c r="L37" i="13"/>
  <c r="V36" i="13"/>
  <c r="U36" i="13"/>
  <c r="S36" i="13"/>
  <c r="R36" i="13"/>
  <c r="O36" i="13"/>
  <c r="N36" i="13"/>
  <c r="M36" i="13"/>
  <c r="T36" i="13" s="1"/>
  <c r="L36" i="13"/>
  <c r="K36" i="13"/>
  <c r="J36" i="13"/>
  <c r="Q36" i="13" s="1"/>
  <c r="I36" i="13"/>
  <c r="P36" i="13" s="1"/>
  <c r="U35" i="13"/>
  <c r="T35" i="13"/>
  <c r="S35" i="13"/>
  <c r="Q35" i="13"/>
  <c r="P35" i="13"/>
  <c r="O35" i="13"/>
  <c r="V35" i="13" s="1"/>
  <c r="N35" i="13"/>
  <c r="M35" i="13"/>
  <c r="L35" i="13"/>
  <c r="K35" i="13"/>
  <c r="R35" i="13" s="1"/>
  <c r="J35" i="13"/>
  <c r="I35" i="13"/>
  <c r="V34" i="13"/>
  <c r="U34" i="13"/>
  <c r="S34" i="13"/>
  <c r="R34" i="13"/>
  <c r="O34" i="13"/>
  <c r="N34" i="13"/>
  <c r="M34" i="13"/>
  <c r="T34" i="13" s="1"/>
  <c r="L34" i="13"/>
  <c r="K34" i="13"/>
  <c r="J34" i="13"/>
  <c r="Q34" i="13" s="1"/>
  <c r="I34" i="13"/>
  <c r="P34" i="13" s="1"/>
  <c r="U33" i="13"/>
  <c r="T33" i="13"/>
  <c r="S33" i="13"/>
  <c r="Q33" i="13"/>
  <c r="P33" i="13"/>
  <c r="O33" i="13"/>
  <c r="V33" i="13" s="1"/>
  <c r="N33" i="13"/>
  <c r="M33" i="13"/>
  <c r="L33" i="13"/>
  <c r="K33" i="13"/>
  <c r="R33" i="13" s="1"/>
  <c r="J33" i="13"/>
  <c r="I33" i="13"/>
  <c r="V32" i="13"/>
  <c r="U32" i="13"/>
  <c r="T32" i="13"/>
  <c r="S32" i="13"/>
  <c r="L32" i="13" s="1"/>
  <c r="R32" i="13"/>
  <c r="Q32" i="13"/>
  <c r="U30" i="13"/>
  <c r="Q30" i="13"/>
  <c r="P30" i="13"/>
  <c r="N30" i="13"/>
  <c r="M30" i="13"/>
  <c r="T30" i="13" s="1"/>
  <c r="L30" i="13"/>
  <c r="S30" i="13" s="1"/>
  <c r="J30" i="13"/>
  <c r="I30" i="13"/>
  <c r="F30" i="13"/>
  <c r="E30" i="13"/>
  <c r="O30" i="13" s="1"/>
  <c r="V30" i="13" s="1"/>
  <c r="V29" i="13"/>
  <c r="U29" i="13"/>
  <c r="T29" i="13"/>
  <c r="R29" i="13"/>
  <c r="Q29" i="13"/>
  <c r="O29" i="13"/>
  <c r="N29" i="13"/>
  <c r="M29" i="13"/>
  <c r="L29" i="13"/>
  <c r="S29" i="13" s="1"/>
  <c r="K29" i="13"/>
  <c r="J29" i="13"/>
  <c r="I29" i="13"/>
  <c r="P29" i="13" s="1"/>
  <c r="E28" i="13"/>
  <c r="F28" i="13" s="1"/>
  <c r="E27" i="13"/>
  <c r="F27" i="13" s="1"/>
  <c r="E26" i="13"/>
  <c r="F26" i="13" s="1"/>
  <c r="V25" i="13"/>
  <c r="T25" i="13"/>
  <c r="S25" i="13"/>
  <c r="P25" i="13"/>
  <c r="O25" i="13"/>
  <c r="N25" i="13"/>
  <c r="U25" i="13" s="1"/>
  <c r="M25" i="13"/>
  <c r="L25" i="13"/>
  <c r="K25" i="13"/>
  <c r="R25" i="13" s="1"/>
  <c r="J25" i="13"/>
  <c r="Q25" i="13" s="1"/>
  <c r="I25" i="13"/>
  <c r="E25" i="13"/>
  <c r="F25" i="13" s="1"/>
  <c r="T24" i="13"/>
  <c r="S24" i="13"/>
  <c r="P24" i="13"/>
  <c r="O24" i="13"/>
  <c r="V24" i="13" s="1"/>
  <c r="N24" i="13"/>
  <c r="U24" i="13" s="1"/>
  <c r="M24" i="13"/>
  <c r="L24" i="13"/>
  <c r="K24" i="13"/>
  <c r="R24" i="13" s="1"/>
  <c r="J24" i="13"/>
  <c r="Q24" i="13" s="1"/>
  <c r="I24" i="13"/>
  <c r="E24" i="13"/>
  <c r="F24" i="13" s="1"/>
  <c r="P23" i="13"/>
  <c r="O23" i="13"/>
  <c r="N23" i="13"/>
  <c r="U23" i="13" s="1"/>
  <c r="M23" i="13"/>
  <c r="L23" i="13"/>
  <c r="S23" i="13" s="1"/>
  <c r="K23" i="13"/>
  <c r="R23" i="13" s="1"/>
  <c r="J23" i="13"/>
  <c r="Q23" i="13" s="1"/>
  <c r="I23" i="13"/>
  <c r="E23" i="13"/>
  <c r="F23" i="13" s="1"/>
  <c r="T23" i="13" s="1"/>
  <c r="T22" i="13"/>
  <c r="S22" i="13"/>
  <c r="R22" i="13"/>
  <c r="P22" i="13"/>
  <c r="O22" i="13"/>
  <c r="V22" i="13" s="1"/>
  <c r="N22" i="13"/>
  <c r="U22" i="13" s="1"/>
  <c r="M22" i="13"/>
  <c r="L22" i="13"/>
  <c r="K22" i="13"/>
  <c r="J22" i="13"/>
  <c r="Q22" i="13" s="1"/>
  <c r="I22" i="13"/>
  <c r="E22" i="13"/>
  <c r="F22" i="13" s="1"/>
  <c r="T21" i="13"/>
  <c r="P21" i="13"/>
  <c r="O21" i="13"/>
  <c r="V21" i="13" s="1"/>
  <c r="N21" i="13"/>
  <c r="U21" i="13" s="1"/>
  <c r="M21" i="13"/>
  <c r="L21" i="13"/>
  <c r="S21" i="13" s="1"/>
  <c r="K21" i="13"/>
  <c r="R21" i="13" s="1"/>
  <c r="J21" i="13"/>
  <c r="Q21" i="13" s="1"/>
  <c r="I21" i="13"/>
  <c r="E21" i="13"/>
  <c r="F21" i="13" s="1"/>
  <c r="U20" i="13"/>
  <c r="S20" i="13"/>
  <c r="Q20" i="13"/>
  <c r="P20" i="13"/>
  <c r="O20" i="13"/>
  <c r="V20" i="13" s="1"/>
  <c r="N20" i="13"/>
  <c r="M20" i="13"/>
  <c r="L20" i="13"/>
  <c r="K20" i="13"/>
  <c r="R20" i="13" s="1"/>
  <c r="J20" i="13"/>
  <c r="I20" i="13"/>
  <c r="E20" i="13"/>
  <c r="F20" i="13" s="1"/>
  <c r="T20" i="13" s="1"/>
  <c r="U19" i="13"/>
  <c r="S19" i="13"/>
  <c r="Q19" i="13"/>
  <c r="P19" i="13"/>
  <c r="O19" i="13"/>
  <c r="V19" i="13" s="1"/>
  <c r="N19" i="13"/>
  <c r="M19" i="13"/>
  <c r="L19" i="13"/>
  <c r="K19" i="13"/>
  <c r="R19" i="13" s="1"/>
  <c r="J19" i="13"/>
  <c r="I19" i="13"/>
  <c r="E19" i="13"/>
  <c r="F19" i="13" s="1"/>
  <c r="T19" i="13" s="1"/>
  <c r="U17" i="13"/>
  <c r="T17" i="13"/>
  <c r="S17" i="13"/>
  <c r="Q17" i="13"/>
  <c r="P17" i="13"/>
  <c r="O17" i="13"/>
  <c r="V17" i="13" s="1"/>
  <c r="N17" i="13"/>
  <c r="M17" i="13"/>
  <c r="L17" i="13"/>
  <c r="K17" i="13"/>
  <c r="R17" i="13" s="1"/>
  <c r="J17" i="13"/>
  <c r="I17" i="13"/>
  <c r="E17" i="13"/>
  <c r="F17" i="13" s="1"/>
  <c r="U15" i="13"/>
  <c r="T15" i="13"/>
  <c r="S15" i="13"/>
  <c r="Q15" i="13"/>
  <c r="P15" i="13"/>
  <c r="O15" i="13"/>
  <c r="V15" i="13" s="1"/>
  <c r="N15" i="13"/>
  <c r="M15" i="13"/>
  <c r="L15" i="13"/>
  <c r="K15" i="13"/>
  <c r="R15" i="13" s="1"/>
  <c r="J15" i="13"/>
  <c r="I15" i="13"/>
  <c r="E15" i="13"/>
  <c r="F15" i="13" s="1"/>
  <c r="U14" i="13"/>
  <c r="T14" i="13"/>
  <c r="S14" i="13"/>
  <c r="Q14" i="13"/>
  <c r="P14" i="13"/>
  <c r="O14" i="13"/>
  <c r="V14" i="13" s="1"/>
  <c r="N14" i="13"/>
  <c r="M14" i="13"/>
  <c r="L14" i="13"/>
  <c r="K14" i="13"/>
  <c r="R14" i="13" s="1"/>
  <c r="J14" i="13"/>
  <c r="I14" i="13"/>
  <c r="E14" i="13"/>
  <c r="F14" i="13" s="1"/>
  <c r="U12" i="13"/>
  <c r="T12" i="13"/>
  <c r="S12" i="13"/>
  <c r="Q12" i="13"/>
  <c r="P12" i="13"/>
  <c r="O12" i="13"/>
  <c r="V12" i="13" s="1"/>
  <c r="N12" i="13"/>
  <c r="M12" i="13"/>
  <c r="L12" i="13"/>
  <c r="K12" i="13"/>
  <c r="R12" i="13" s="1"/>
  <c r="J12" i="13"/>
  <c r="I12" i="13"/>
  <c r="E12" i="13"/>
  <c r="F12" i="13" s="1"/>
  <c r="U11" i="13"/>
  <c r="T11" i="13"/>
  <c r="S11" i="13"/>
  <c r="Q11" i="13"/>
  <c r="P11" i="13"/>
  <c r="O11" i="13"/>
  <c r="V11" i="13" s="1"/>
  <c r="N11" i="13"/>
  <c r="M11" i="13"/>
  <c r="L11" i="13"/>
  <c r="K11" i="13"/>
  <c r="R11" i="13" s="1"/>
  <c r="J11" i="13"/>
  <c r="I11" i="13"/>
  <c r="V10" i="13"/>
  <c r="U10" i="13"/>
  <c r="S10" i="13"/>
  <c r="R10" i="13"/>
  <c r="Q10" i="13"/>
  <c r="O10" i="13"/>
  <c r="N10" i="13"/>
  <c r="M10" i="13"/>
  <c r="T10" i="13" s="1"/>
  <c r="L10" i="13"/>
  <c r="K10" i="13"/>
  <c r="J10" i="13"/>
  <c r="I10" i="13"/>
  <c r="P10" i="13" s="1"/>
  <c r="E10" i="13"/>
  <c r="F10" i="13" s="1"/>
  <c r="V9" i="13"/>
  <c r="U9" i="13"/>
  <c r="S9" i="13"/>
  <c r="R9" i="13"/>
  <c r="Q9" i="13"/>
  <c r="O9" i="13"/>
  <c r="N9" i="13"/>
  <c r="M9" i="13"/>
  <c r="T9" i="13" s="1"/>
  <c r="L9" i="13"/>
  <c r="K9" i="13"/>
  <c r="J9" i="13"/>
  <c r="I9" i="13"/>
  <c r="P9" i="13" s="1"/>
  <c r="E9" i="13"/>
  <c r="F9" i="13" s="1"/>
  <c r="V8" i="13"/>
  <c r="U8" i="13"/>
  <c r="S8" i="13"/>
  <c r="R8" i="13"/>
  <c r="Q8" i="13"/>
  <c r="O8" i="13"/>
  <c r="N8" i="13"/>
  <c r="M8" i="13"/>
  <c r="T8" i="13" s="1"/>
  <c r="L8" i="13"/>
  <c r="K8" i="13"/>
  <c r="J8" i="13"/>
  <c r="I8" i="13"/>
  <c r="P8" i="13" s="1"/>
  <c r="E8" i="13"/>
  <c r="F8" i="13" s="1"/>
  <c r="V7" i="13"/>
  <c r="U7" i="13"/>
  <c r="U48" i="13" s="1"/>
  <c r="G10" i="9" s="1"/>
  <c r="S7" i="13"/>
  <c r="R7" i="13"/>
  <c r="Q7" i="13"/>
  <c r="O7" i="13"/>
  <c r="N7" i="13"/>
  <c r="M7" i="13"/>
  <c r="T7" i="13" s="1"/>
  <c r="L7" i="13"/>
  <c r="K7" i="13"/>
  <c r="J7" i="13"/>
  <c r="I7" i="13"/>
  <c r="P7" i="13" s="1"/>
  <c r="E7" i="13"/>
  <c r="F7" i="13" s="1"/>
  <c r="N2" i="13"/>
  <c r="L2" i="13"/>
  <c r="J2" i="13"/>
  <c r="G2" i="13"/>
  <c r="F2" i="13"/>
  <c r="E2" i="13"/>
  <c r="D2" i="13"/>
  <c r="B2" i="13"/>
  <c r="A2" i="13"/>
  <c r="A73" i="12"/>
  <c r="V72" i="12"/>
  <c r="S72" i="12"/>
  <c r="O72" i="12"/>
  <c r="N72" i="12"/>
  <c r="U72" i="12" s="1"/>
  <c r="M72" i="12"/>
  <c r="T72" i="12" s="1"/>
  <c r="L72" i="12"/>
  <c r="K72" i="12"/>
  <c r="R72" i="12" s="1"/>
  <c r="J72" i="12"/>
  <c r="Q72" i="12" s="1"/>
  <c r="I72" i="12"/>
  <c r="P72" i="12" s="1"/>
  <c r="U71" i="12"/>
  <c r="Q71" i="12"/>
  <c r="O71" i="12"/>
  <c r="V71" i="12" s="1"/>
  <c r="N71" i="12"/>
  <c r="M71" i="12"/>
  <c r="T71" i="12" s="1"/>
  <c r="L71" i="12"/>
  <c r="S71" i="12" s="1"/>
  <c r="K71" i="12"/>
  <c r="R71" i="12" s="1"/>
  <c r="J71" i="12"/>
  <c r="I71" i="12"/>
  <c r="P71" i="12" s="1"/>
  <c r="S70" i="12"/>
  <c r="O70" i="12"/>
  <c r="V70" i="12" s="1"/>
  <c r="N70" i="12"/>
  <c r="U70" i="12" s="1"/>
  <c r="M70" i="12"/>
  <c r="T70" i="12" s="1"/>
  <c r="L70" i="12"/>
  <c r="K70" i="12"/>
  <c r="R70" i="12" s="1"/>
  <c r="J70" i="12"/>
  <c r="Q70" i="12" s="1"/>
  <c r="I70" i="12"/>
  <c r="P70" i="12" s="1"/>
  <c r="F70" i="12"/>
  <c r="V69" i="12"/>
  <c r="R69" i="12"/>
  <c r="O69" i="12"/>
  <c r="N69" i="12"/>
  <c r="U69" i="12" s="1"/>
  <c r="M69" i="12"/>
  <c r="T69" i="12" s="1"/>
  <c r="L69" i="12"/>
  <c r="S69" i="12" s="1"/>
  <c r="K69" i="12"/>
  <c r="J69" i="12"/>
  <c r="Q69" i="12" s="1"/>
  <c r="I69" i="12"/>
  <c r="P69" i="12" s="1"/>
  <c r="F69" i="12"/>
  <c r="U68" i="12"/>
  <c r="T68" i="12"/>
  <c r="Q68" i="12"/>
  <c r="P68" i="12"/>
  <c r="O68" i="12"/>
  <c r="V68" i="12" s="1"/>
  <c r="N68" i="12"/>
  <c r="M68" i="12"/>
  <c r="L68" i="12"/>
  <c r="S68" i="12" s="1"/>
  <c r="K68" i="12"/>
  <c r="R68" i="12" s="1"/>
  <c r="J68" i="12"/>
  <c r="I68" i="12"/>
  <c r="F68" i="12"/>
  <c r="T67" i="12"/>
  <c r="S67" i="12"/>
  <c r="P67" i="12"/>
  <c r="O67" i="12"/>
  <c r="V67" i="12" s="1"/>
  <c r="N67" i="12"/>
  <c r="U67" i="12" s="1"/>
  <c r="M67" i="12"/>
  <c r="L67" i="12"/>
  <c r="K67" i="12"/>
  <c r="R67" i="12" s="1"/>
  <c r="J67" i="12"/>
  <c r="Q67" i="12" s="1"/>
  <c r="I67" i="12"/>
  <c r="F67" i="12"/>
  <c r="T66" i="12"/>
  <c r="S66" i="12"/>
  <c r="P66" i="12"/>
  <c r="O66" i="12"/>
  <c r="V66" i="12" s="1"/>
  <c r="N66" i="12"/>
  <c r="U66" i="12" s="1"/>
  <c r="M66" i="12"/>
  <c r="L66" i="12"/>
  <c r="K66" i="12"/>
  <c r="R66" i="12" s="1"/>
  <c r="J66" i="12"/>
  <c r="Q66" i="12" s="1"/>
  <c r="I66" i="12"/>
  <c r="F66" i="12"/>
  <c r="V65" i="12"/>
  <c r="U65" i="12"/>
  <c r="S65" i="12"/>
  <c r="R65" i="12"/>
  <c r="Q65" i="12"/>
  <c r="O65" i="12"/>
  <c r="N65" i="12"/>
  <c r="M65" i="12"/>
  <c r="T65" i="12" s="1"/>
  <c r="L65" i="12"/>
  <c r="K65" i="12"/>
  <c r="J65" i="12"/>
  <c r="I65" i="12"/>
  <c r="P65" i="12" s="1"/>
  <c r="F65" i="12"/>
  <c r="V61" i="12"/>
  <c r="U61" i="12"/>
  <c r="R61" i="12"/>
  <c r="Q61" i="12"/>
  <c r="O61" i="12"/>
  <c r="N61" i="12"/>
  <c r="M61" i="12"/>
  <c r="T61" i="12" s="1"/>
  <c r="L61" i="12"/>
  <c r="S61" i="12" s="1"/>
  <c r="K61" i="12"/>
  <c r="J61" i="12"/>
  <c r="I61" i="12"/>
  <c r="P61" i="12" s="1"/>
  <c r="F61" i="12"/>
  <c r="E61" i="12"/>
  <c r="V60" i="12"/>
  <c r="U60" i="12"/>
  <c r="R60" i="12"/>
  <c r="Q60" i="12"/>
  <c r="O60" i="12"/>
  <c r="N60" i="12"/>
  <c r="M60" i="12"/>
  <c r="T60" i="12" s="1"/>
  <c r="L60" i="12"/>
  <c r="S60" i="12" s="1"/>
  <c r="K60" i="12"/>
  <c r="J60" i="12"/>
  <c r="I60" i="12"/>
  <c r="P60" i="12" s="1"/>
  <c r="F60" i="12"/>
  <c r="E60" i="12"/>
  <c r="V59" i="12"/>
  <c r="U59" i="12"/>
  <c r="T59" i="12"/>
  <c r="R59" i="12"/>
  <c r="Q59" i="12"/>
  <c r="P59" i="12"/>
  <c r="O59" i="12"/>
  <c r="N59" i="12"/>
  <c r="M59" i="12"/>
  <c r="L59" i="12"/>
  <c r="S59" i="12" s="1"/>
  <c r="K59" i="12"/>
  <c r="J59" i="12"/>
  <c r="I59" i="12"/>
  <c r="F59" i="12"/>
  <c r="E59" i="12"/>
  <c r="V58" i="12"/>
  <c r="U58" i="12"/>
  <c r="T58" i="12"/>
  <c r="R58" i="12"/>
  <c r="Q58" i="12"/>
  <c r="P58" i="12"/>
  <c r="O58" i="12"/>
  <c r="N58" i="12"/>
  <c r="M58" i="12"/>
  <c r="L58" i="12"/>
  <c r="S58" i="12" s="1"/>
  <c r="K58" i="12"/>
  <c r="J58" i="12"/>
  <c r="I58" i="12"/>
  <c r="E58" i="12"/>
  <c r="F58" i="12" s="1"/>
  <c r="U57" i="12"/>
  <c r="Q57" i="12"/>
  <c r="O57" i="12"/>
  <c r="V57" i="12" s="1"/>
  <c r="N57" i="12"/>
  <c r="M57" i="12"/>
  <c r="T57" i="12" s="1"/>
  <c r="L57" i="12"/>
  <c r="S57" i="12" s="1"/>
  <c r="K57" i="12"/>
  <c r="R57" i="12" s="1"/>
  <c r="J57" i="12"/>
  <c r="I57" i="12"/>
  <c r="P57" i="12" s="1"/>
  <c r="F57" i="12"/>
  <c r="E57" i="12"/>
  <c r="U56" i="12"/>
  <c r="T56" i="12"/>
  <c r="S56" i="12"/>
  <c r="Q56" i="12"/>
  <c r="P56" i="12"/>
  <c r="O56" i="12"/>
  <c r="V56" i="12" s="1"/>
  <c r="N56" i="12"/>
  <c r="M56" i="12"/>
  <c r="L56" i="12"/>
  <c r="K56" i="12"/>
  <c r="R56" i="12" s="1"/>
  <c r="J56" i="12"/>
  <c r="I56" i="12"/>
  <c r="E56" i="12"/>
  <c r="F56" i="12" s="1"/>
  <c r="U55" i="12"/>
  <c r="Q55" i="12"/>
  <c r="O55" i="12"/>
  <c r="V55" i="12" s="1"/>
  <c r="N55" i="12"/>
  <c r="M55" i="12"/>
  <c r="T55" i="12" s="1"/>
  <c r="L55" i="12"/>
  <c r="S55" i="12" s="1"/>
  <c r="K55" i="12"/>
  <c r="R55" i="12" s="1"/>
  <c r="J55" i="12"/>
  <c r="I55" i="12"/>
  <c r="P55" i="12" s="1"/>
  <c r="F55" i="12"/>
  <c r="E55" i="12"/>
  <c r="U54" i="12"/>
  <c r="T54" i="12"/>
  <c r="S54" i="12"/>
  <c r="Q54" i="12"/>
  <c r="P54" i="12"/>
  <c r="O54" i="12"/>
  <c r="V54" i="12" s="1"/>
  <c r="N54" i="12"/>
  <c r="M54" i="12"/>
  <c r="L54" i="12"/>
  <c r="K54" i="12"/>
  <c r="R54" i="12" s="1"/>
  <c r="J54" i="12"/>
  <c r="I54" i="12"/>
  <c r="E54" i="12"/>
  <c r="F54" i="12" s="1"/>
  <c r="U53" i="12"/>
  <c r="Q53" i="12"/>
  <c r="O53" i="12"/>
  <c r="V53" i="12" s="1"/>
  <c r="N53" i="12"/>
  <c r="M53" i="12"/>
  <c r="T53" i="12" s="1"/>
  <c r="L53" i="12"/>
  <c r="S53" i="12" s="1"/>
  <c r="K53" i="12"/>
  <c r="R53" i="12" s="1"/>
  <c r="J53" i="12"/>
  <c r="I53" i="12"/>
  <c r="P53" i="12" s="1"/>
  <c r="F53" i="12"/>
  <c r="E53" i="12"/>
  <c r="U52" i="12"/>
  <c r="T52" i="12"/>
  <c r="S52" i="12"/>
  <c r="Q52" i="12"/>
  <c r="P52" i="12"/>
  <c r="O52" i="12"/>
  <c r="V52" i="12" s="1"/>
  <c r="N52" i="12"/>
  <c r="M52" i="12"/>
  <c r="L52" i="12"/>
  <c r="K52" i="12"/>
  <c r="R52" i="12" s="1"/>
  <c r="J52" i="12"/>
  <c r="I52" i="12"/>
  <c r="E52" i="12"/>
  <c r="F52" i="12" s="1"/>
  <c r="U51" i="12"/>
  <c r="Q51" i="12"/>
  <c r="O51" i="12"/>
  <c r="V51" i="12" s="1"/>
  <c r="N51" i="12"/>
  <c r="M51" i="12"/>
  <c r="M73" i="12" s="1"/>
  <c r="L51" i="12"/>
  <c r="L73" i="12" s="1"/>
  <c r="K51" i="12"/>
  <c r="R51" i="12" s="1"/>
  <c r="J51" i="12"/>
  <c r="I51" i="12"/>
  <c r="I73" i="12" s="1"/>
  <c r="F51" i="12"/>
  <c r="E51" i="12"/>
  <c r="U49" i="12"/>
  <c r="S49" i="12"/>
  <c r="R49" i="12"/>
  <c r="Q49" i="12"/>
  <c r="P49" i="12"/>
  <c r="T47" i="12"/>
  <c r="S47" i="12"/>
  <c r="O47" i="12"/>
  <c r="V47" i="12" s="1"/>
  <c r="N47" i="12"/>
  <c r="U47" i="12" s="1"/>
  <c r="L47" i="12"/>
  <c r="K47" i="12"/>
  <c r="R47" i="12" s="1"/>
  <c r="J47" i="12"/>
  <c r="Q47" i="12" s="1"/>
  <c r="I47" i="12"/>
  <c r="P47" i="12" s="1"/>
  <c r="U45" i="12"/>
  <c r="S45" i="12"/>
  <c r="Q45" i="12"/>
  <c r="O45" i="12"/>
  <c r="V45" i="12" s="1"/>
  <c r="N45" i="12"/>
  <c r="M45" i="12"/>
  <c r="T45" i="12" s="1"/>
  <c r="L45" i="12"/>
  <c r="K45" i="12"/>
  <c r="R45" i="12" s="1"/>
  <c r="J45" i="12"/>
  <c r="I45" i="12"/>
  <c r="P45" i="12" s="1"/>
  <c r="S44" i="12"/>
  <c r="R44" i="12"/>
  <c r="O44" i="12"/>
  <c r="V44" i="12" s="1"/>
  <c r="N44" i="12"/>
  <c r="U44" i="12" s="1"/>
  <c r="M44" i="12"/>
  <c r="T44" i="12" s="1"/>
  <c r="L44" i="12"/>
  <c r="K44" i="12"/>
  <c r="J44" i="12"/>
  <c r="Q44" i="12" s="1"/>
  <c r="I44" i="12"/>
  <c r="P44" i="12" s="1"/>
  <c r="U43" i="12"/>
  <c r="S43" i="12"/>
  <c r="Q43" i="12"/>
  <c r="O43" i="12"/>
  <c r="V43" i="12" s="1"/>
  <c r="N43" i="12"/>
  <c r="M43" i="12"/>
  <c r="T43" i="12" s="1"/>
  <c r="L43" i="12"/>
  <c r="K43" i="12"/>
  <c r="R43" i="12" s="1"/>
  <c r="J43" i="12"/>
  <c r="I43" i="12"/>
  <c r="P43" i="12" s="1"/>
  <c r="S42" i="12"/>
  <c r="R42" i="12"/>
  <c r="O42" i="12"/>
  <c r="V42" i="12" s="1"/>
  <c r="N42" i="12"/>
  <c r="U42" i="12" s="1"/>
  <c r="M42" i="12"/>
  <c r="T42" i="12" s="1"/>
  <c r="L42" i="12"/>
  <c r="K42" i="12"/>
  <c r="J42" i="12"/>
  <c r="Q42" i="12" s="1"/>
  <c r="I42" i="12"/>
  <c r="P42" i="12" s="1"/>
  <c r="U40" i="12"/>
  <c r="Q40" i="12"/>
  <c r="O40" i="12"/>
  <c r="V40" i="12" s="1"/>
  <c r="N40" i="12"/>
  <c r="L40" i="12"/>
  <c r="S40" i="12" s="1"/>
  <c r="K40" i="12"/>
  <c r="R40" i="12" s="1"/>
  <c r="J40" i="12"/>
  <c r="I40" i="12"/>
  <c r="P40" i="12" s="1"/>
  <c r="V39" i="12"/>
  <c r="U39" i="12"/>
  <c r="T39" i="12"/>
  <c r="S39" i="12"/>
  <c r="R39" i="12"/>
  <c r="Q39" i="12"/>
  <c r="P39" i="12"/>
  <c r="L39" i="12"/>
  <c r="V38" i="12"/>
  <c r="U38" i="12"/>
  <c r="T38" i="12"/>
  <c r="R38" i="12"/>
  <c r="Q38" i="12"/>
  <c r="P38" i="12"/>
  <c r="L38" i="12"/>
  <c r="S38" i="12" s="1"/>
  <c r="V37" i="12"/>
  <c r="U37" i="12"/>
  <c r="T37" i="12"/>
  <c r="S37" i="12"/>
  <c r="R37" i="12"/>
  <c r="Q37" i="12"/>
  <c r="P37" i="12"/>
  <c r="L37" i="12"/>
  <c r="V36" i="12"/>
  <c r="S36" i="12"/>
  <c r="R36" i="12"/>
  <c r="Q36" i="12"/>
  <c r="O36" i="12"/>
  <c r="N36" i="12"/>
  <c r="U36" i="12" s="1"/>
  <c r="M36" i="12"/>
  <c r="T36" i="12" s="1"/>
  <c r="L36" i="12"/>
  <c r="K36" i="12"/>
  <c r="J36" i="12"/>
  <c r="I36" i="12"/>
  <c r="P36" i="12" s="1"/>
  <c r="U35" i="12"/>
  <c r="Q35" i="12"/>
  <c r="O35" i="12"/>
  <c r="V35" i="12" s="1"/>
  <c r="N35" i="12"/>
  <c r="M35" i="12"/>
  <c r="T35" i="12" s="1"/>
  <c r="L35" i="12"/>
  <c r="S35" i="12" s="1"/>
  <c r="K35" i="12"/>
  <c r="R35" i="12" s="1"/>
  <c r="J35" i="12"/>
  <c r="I35" i="12"/>
  <c r="P35" i="12" s="1"/>
  <c r="V34" i="12"/>
  <c r="S34" i="12"/>
  <c r="R34" i="12"/>
  <c r="Q34" i="12"/>
  <c r="O34" i="12"/>
  <c r="N34" i="12"/>
  <c r="U34" i="12" s="1"/>
  <c r="M34" i="12"/>
  <c r="T34" i="12" s="1"/>
  <c r="L34" i="12"/>
  <c r="K34" i="12"/>
  <c r="J34" i="12"/>
  <c r="I34" i="12"/>
  <c r="P34" i="12" s="1"/>
  <c r="U33" i="12"/>
  <c r="Q33" i="12"/>
  <c r="O33" i="12"/>
  <c r="V33" i="12" s="1"/>
  <c r="N33" i="12"/>
  <c r="M33" i="12"/>
  <c r="T33" i="12" s="1"/>
  <c r="L33" i="12"/>
  <c r="S33" i="12" s="1"/>
  <c r="K33" i="12"/>
  <c r="R33" i="12" s="1"/>
  <c r="J33" i="12"/>
  <c r="I33" i="12"/>
  <c r="P33" i="12" s="1"/>
  <c r="V32" i="12"/>
  <c r="U32" i="12"/>
  <c r="T32" i="12"/>
  <c r="S32" i="12"/>
  <c r="L32" i="12" s="1"/>
  <c r="R32" i="12"/>
  <c r="Q32" i="12"/>
  <c r="U30" i="12"/>
  <c r="T30" i="12"/>
  <c r="P30" i="12"/>
  <c r="N30" i="12"/>
  <c r="M30" i="12"/>
  <c r="L30" i="12"/>
  <c r="S30" i="12" s="1"/>
  <c r="J30" i="12"/>
  <c r="Q30" i="12" s="1"/>
  <c r="I30" i="12"/>
  <c r="F30" i="12"/>
  <c r="E30" i="12"/>
  <c r="O30" i="12" s="1"/>
  <c r="V30" i="12" s="1"/>
  <c r="V29" i="12"/>
  <c r="U29" i="12"/>
  <c r="R29" i="12"/>
  <c r="Q29" i="12"/>
  <c r="O29" i="12"/>
  <c r="N29" i="12"/>
  <c r="M29" i="12"/>
  <c r="T29" i="12" s="1"/>
  <c r="L29" i="12"/>
  <c r="S29" i="12" s="1"/>
  <c r="K29" i="12"/>
  <c r="J29" i="12"/>
  <c r="I29" i="12"/>
  <c r="P29" i="12" s="1"/>
  <c r="F28" i="12"/>
  <c r="E28" i="12"/>
  <c r="E27" i="12"/>
  <c r="F27" i="12" s="1"/>
  <c r="F26" i="12"/>
  <c r="E26" i="12"/>
  <c r="T25" i="12"/>
  <c r="S25" i="12"/>
  <c r="P25" i="12"/>
  <c r="O25" i="12"/>
  <c r="V25" i="12" s="1"/>
  <c r="N25" i="12"/>
  <c r="U25" i="12" s="1"/>
  <c r="M25" i="12"/>
  <c r="L25" i="12"/>
  <c r="K25" i="12"/>
  <c r="R25" i="12" s="1"/>
  <c r="J25" i="12"/>
  <c r="Q25" i="12" s="1"/>
  <c r="I25" i="12"/>
  <c r="E25" i="12"/>
  <c r="F25" i="12" s="1"/>
  <c r="T24" i="12"/>
  <c r="R24" i="12"/>
  <c r="P24" i="12"/>
  <c r="O24" i="12"/>
  <c r="N24" i="12"/>
  <c r="U24" i="12" s="1"/>
  <c r="M24" i="12"/>
  <c r="L24" i="12"/>
  <c r="S24" i="12" s="1"/>
  <c r="K24" i="12"/>
  <c r="J24" i="12"/>
  <c r="Q24" i="12" s="1"/>
  <c r="I24" i="12"/>
  <c r="F24" i="12"/>
  <c r="V24" i="12" s="1"/>
  <c r="E24" i="12"/>
  <c r="S23" i="12"/>
  <c r="P23" i="12"/>
  <c r="O23" i="12"/>
  <c r="V23" i="12" s="1"/>
  <c r="N23" i="12"/>
  <c r="U23" i="12" s="1"/>
  <c r="M23" i="12"/>
  <c r="L23" i="12"/>
  <c r="K23" i="12"/>
  <c r="R23" i="12" s="1"/>
  <c r="J23" i="12"/>
  <c r="Q23" i="12" s="1"/>
  <c r="I23" i="12"/>
  <c r="E23" i="12"/>
  <c r="F23" i="12" s="1"/>
  <c r="T23" i="12" s="1"/>
  <c r="V22" i="12"/>
  <c r="T22" i="12"/>
  <c r="R22" i="12"/>
  <c r="P22" i="12"/>
  <c r="O22" i="12"/>
  <c r="N22" i="12"/>
  <c r="U22" i="12" s="1"/>
  <c r="M22" i="12"/>
  <c r="L22" i="12"/>
  <c r="S22" i="12" s="1"/>
  <c r="K22" i="12"/>
  <c r="J22" i="12"/>
  <c r="Q22" i="12" s="1"/>
  <c r="I22" i="12"/>
  <c r="F22" i="12"/>
  <c r="E22" i="12"/>
  <c r="T21" i="12"/>
  <c r="S21" i="12"/>
  <c r="P21" i="12"/>
  <c r="O21" i="12"/>
  <c r="V21" i="12" s="1"/>
  <c r="N21" i="12"/>
  <c r="U21" i="12" s="1"/>
  <c r="M21" i="12"/>
  <c r="L21" i="12"/>
  <c r="K21" i="12"/>
  <c r="R21" i="12" s="1"/>
  <c r="J21" i="12"/>
  <c r="Q21" i="12" s="1"/>
  <c r="I21" i="12"/>
  <c r="E21" i="12"/>
  <c r="F21" i="12" s="1"/>
  <c r="R20" i="12"/>
  <c r="P20" i="12"/>
  <c r="O20" i="12"/>
  <c r="N20" i="12"/>
  <c r="U20" i="12" s="1"/>
  <c r="M20" i="12"/>
  <c r="L20" i="12"/>
  <c r="S20" i="12" s="1"/>
  <c r="K20" i="12"/>
  <c r="J20" i="12"/>
  <c r="Q20" i="12" s="1"/>
  <c r="I20" i="12"/>
  <c r="F20" i="12"/>
  <c r="V20" i="12" s="1"/>
  <c r="E20" i="12"/>
  <c r="S19" i="12"/>
  <c r="P19" i="12"/>
  <c r="O19" i="12"/>
  <c r="V19" i="12" s="1"/>
  <c r="N19" i="12"/>
  <c r="U19" i="12" s="1"/>
  <c r="M19" i="12"/>
  <c r="L19" i="12"/>
  <c r="K19" i="12"/>
  <c r="R19" i="12" s="1"/>
  <c r="J19" i="12"/>
  <c r="Q19" i="12" s="1"/>
  <c r="I19" i="12"/>
  <c r="E19" i="12"/>
  <c r="F19" i="12" s="1"/>
  <c r="T19" i="12" s="1"/>
  <c r="V17" i="12"/>
  <c r="T17" i="12"/>
  <c r="R17" i="12"/>
  <c r="P17" i="12"/>
  <c r="O17" i="12"/>
  <c r="N17" i="12"/>
  <c r="U17" i="12" s="1"/>
  <c r="M17" i="12"/>
  <c r="L17" i="12"/>
  <c r="S17" i="12" s="1"/>
  <c r="K17" i="12"/>
  <c r="J17" i="12"/>
  <c r="Q17" i="12" s="1"/>
  <c r="I17" i="12"/>
  <c r="F17" i="12"/>
  <c r="E17" i="12"/>
  <c r="T15" i="12"/>
  <c r="S15" i="12"/>
  <c r="P15" i="12"/>
  <c r="O15" i="12"/>
  <c r="V15" i="12" s="1"/>
  <c r="N15" i="12"/>
  <c r="U15" i="12" s="1"/>
  <c r="M15" i="12"/>
  <c r="L15" i="12"/>
  <c r="K15" i="12"/>
  <c r="R15" i="12" s="1"/>
  <c r="J15" i="12"/>
  <c r="Q15" i="12" s="1"/>
  <c r="I15" i="12"/>
  <c r="E15" i="12"/>
  <c r="F15" i="12" s="1"/>
  <c r="V14" i="12"/>
  <c r="T14" i="12"/>
  <c r="R14" i="12"/>
  <c r="P14" i="12"/>
  <c r="O14" i="12"/>
  <c r="N14" i="12"/>
  <c r="U14" i="12" s="1"/>
  <c r="M14" i="12"/>
  <c r="L14" i="12"/>
  <c r="S14" i="12" s="1"/>
  <c r="K14" i="12"/>
  <c r="J14" i="12"/>
  <c r="Q14" i="12" s="1"/>
  <c r="I14" i="12"/>
  <c r="F14" i="12"/>
  <c r="E14" i="12"/>
  <c r="T12" i="12"/>
  <c r="Q12" i="12"/>
  <c r="P12" i="12"/>
  <c r="O12" i="12"/>
  <c r="V12" i="12" s="1"/>
  <c r="N12" i="12"/>
  <c r="U12" i="12" s="1"/>
  <c r="M12" i="12"/>
  <c r="L12" i="12"/>
  <c r="S12" i="12" s="1"/>
  <c r="K12" i="12"/>
  <c r="R12" i="12" s="1"/>
  <c r="J12" i="12"/>
  <c r="I12" i="12"/>
  <c r="F12" i="12"/>
  <c r="E12" i="12"/>
  <c r="U11" i="12"/>
  <c r="T11" i="12"/>
  <c r="Q11" i="12"/>
  <c r="P11" i="12"/>
  <c r="O11" i="12"/>
  <c r="V11" i="12" s="1"/>
  <c r="N11" i="12"/>
  <c r="M11" i="12"/>
  <c r="L11" i="12"/>
  <c r="S11" i="12" s="1"/>
  <c r="K11" i="12"/>
  <c r="R11" i="12" s="1"/>
  <c r="J11" i="12"/>
  <c r="I11" i="12"/>
  <c r="V10" i="12"/>
  <c r="S10" i="12"/>
  <c r="R10" i="12"/>
  <c r="O10" i="12"/>
  <c r="N10" i="12"/>
  <c r="U10" i="12" s="1"/>
  <c r="M10" i="12"/>
  <c r="T10" i="12" s="1"/>
  <c r="L10" i="12"/>
  <c r="K10" i="12"/>
  <c r="J10" i="12"/>
  <c r="Q10" i="12" s="1"/>
  <c r="I10" i="12"/>
  <c r="P10" i="12" s="1"/>
  <c r="E10" i="12"/>
  <c r="F10" i="12" s="1"/>
  <c r="V9" i="12"/>
  <c r="S9" i="12"/>
  <c r="R9" i="12"/>
  <c r="O9" i="12"/>
  <c r="N9" i="12"/>
  <c r="U9" i="12" s="1"/>
  <c r="M9" i="12"/>
  <c r="T9" i="12" s="1"/>
  <c r="L9" i="12"/>
  <c r="K9" i="12"/>
  <c r="J9" i="12"/>
  <c r="Q9" i="12" s="1"/>
  <c r="I9" i="12"/>
  <c r="P9" i="12" s="1"/>
  <c r="E9" i="12"/>
  <c r="F9" i="12" s="1"/>
  <c r="V8" i="12"/>
  <c r="S8" i="12"/>
  <c r="R8" i="12"/>
  <c r="O8" i="12"/>
  <c r="N8" i="12"/>
  <c r="U8" i="12" s="1"/>
  <c r="M8" i="12"/>
  <c r="T8" i="12" s="1"/>
  <c r="L8" i="12"/>
  <c r="K8" i="12"/>
  <c r="J8" i="12"/>
  <c r="Q8" i="12" s="1"/>
  <c r="I8" i="12"/>
  <c r="P8" i="12" s="1"/>
  <c r="E8" i="12"/>
  <c r="F8" i="12" s="1"/>
  <c r="V7" i="12"/>
  <c r="S7" i="12"/>
  <c r="R7" i="12"/>
  <c r="O7" i="12"/>
  <c r="N7" i="12"/>
  <c r="U7" i="12" s="1"/>
  <c r="M7" i="12"/>
  <c r="T7" i="12" s="1"/>
  <c r="L7" i="12"/>
  <c r="K7" i="12"/>
  <c r="J7" i="12"/>
  <c r="J48" i="12" s="1"/>
  <c r="I7" i="12"/>
  <c r="I48" i="12" s="1"/>
  <c r="E7" i="12"/>
  <c r="F7" i="12" s="1"/>
  <c r="N2" i="12"/>
  <c r="L2" i="12"/>
  <c r="J2" i="12"/>
  <c r="G2" i="12"/>
  <c r="F2" i="12"/>
  <c r="E2" i="12"/>
  <c r="D2" i="12"/>
  <c r="B2" i="12"/>
  <c r="A2" i="12"/>
  <c r="A73" i="11"/>
  <c r="V72" i="11"/>
  <c r="T72" i="11"/>
  <c r="R72" i="11"/>
  <c r="P72" i="11"/>
  <c r="O72" i="11"/>
  <c r="N72" i="11"/>
  <c r="U72" i="11" s="1"/>
  <c r="M72" i="11"/>
  <c r="L72" i="11"/>
  <c r="S72" i="11" s="1"/>
  <c r="K72" i="11"/>
  <c r="J72" i="11"/>
  <c r="Q72" i="11" s="1"/>
  <c r="I72" i="11"/>
  <c r="V71" i="11"/>
  <c r="R71" i="11"/>
  <c r="Q71" i="11"/>
  <c r="O71" i="11"/>
  <c r="N71" i="11"/>
  <c r="U71" i="11" s="1"/>
  <c r="M71" i="11"/>
  <c r="T71" i="11" s="1"/>
  <c r="L71" i="11"/>
  <c r="S71" i="11" s="1"/>
  <c r="K71" i="11"/>
  <c r="J71" i="11"/>
  <c r="I71" i="11"/>
  <c r="P71" i="11" s="1"/>
  <c r="T70" i="11"/>
  <c r="S70" i="11"/>
  <c r="R70" i="11"/>
  <c r="P70" i="11"/>
  <c r="O70" i="11"/>
  <c r="V70" i="11" s="1"/>
  <c r="N70" i="11"/>
  <c r="U70" i="11" s="1"/>
  <c r="M70" i="11"/>
  <c r="L70" i="11"/>
  <c r="K70" i="11"/>
  <c r="J70" i="11"/>
  <c r="Q70" i="11" s="1"/>
  <c r="I70" i="11"/>
  <c r="F70" i="11"/>
  <c r="S69" i="11"/>
  <c r="O69" i="11"/>
  <c r="V69" i="11" s="1"/>
  <c r="N69" i="11"/>
  <c r="U69" i="11" s="1"/>
  <c r="M69" i="11"/>
  <c r="T69" i="11" s="1"/>
  <c r="L69" i="11"/>
  <c r="K69" i="11"/>
  <c r="R69" i="11" s="1"/>
  <c r="J69" i="11"/>
  <c r="Q69" i="11" s="1"/>
  <c r="I69" i="11"/>
  <c r="P69" i="11" s="1"/>
  <c r="F69" i="11"/>
  <c r="V68" i="11"/>
  <c r="U68" i="11"/>
  <c r="R68" i="11"/>
  <c r="Q68" i="11"/>
  <c r="P68" i="11"/>
  <c r="O68" i="11"/>
  <c r="N68" i="11"/>
  <c r="M68" i="11"/>
  <c r="T68" i="11" s="1"/>
  <c r="L68" i="11"/>
  <c r="S68" i="11" s="1"/>
  <c r="K68" i="11"/>
  <c r="J68" i="11"/>
  <c r="I68" i="11"/>
  <c r="F68" i="11"/>
  <c r="U67" i="11"/>
  <c r="S67" i="11"/>
  <c r="Q67" i="11"/>
  <c r="O67" i="11"/>
  <c r="V67" i="11" s="1"/>
  <c r="N67" i="11"/>
  <c r="M67" i="11"/>
  <c r="T67" i="11" s="1"/>
  <c r="L67" i="11"/>
  <c r="K67" i="11"/>
  <c r="R67" i="11" s="1"/>
  <c r="J67" i="11"/>
  <c r="I67" i="11"/>
  <c r="P67" i="11" s="1"/>
  <c r="F67" i="11"/>
  <c r="T66" i="11"/>
  <c r="S66" i="11"/>
  <c r="P66" i="11"/>
  <c r="O66" i="11"/>
  <c r="V66" i="11" s="1"/>
  <c r="N66" i="11"/>
  <c r="U66" i="11" s="1"/>
  <c r="M66" i="11"/>
  <c r="L66" i="11"/>
  <c r="K66" i="11"/>
  <c r="R66" i="11" s="1"/>
  <c r="J66" i="11"/>
  <c r="Q66" i="11" s="1"/>
  <c r="I66" i="11"/>
  <c r="F66" i="11"/>
  <c r="U65" i="11"/>
  <c r="S65" i="11"/>
  <c r="Q65" i="11"/>
  <c r="O65" i="11"/>
  <c r="V65" i="11" s="1"/>
  <c r="N65" i="11"/>
  <c r="M65" i="11"/>
  <c r="T65" i="11" s="1"/>
  <c r="L65" i="11"/>
  <c r="K65" i="11"/>
  <c r="K73" i="11" s="1"/>
  <c r="J65" i="11"/>
  <c r="I65" i="11"/>
  <c r="P65" i="11" s="1"/>
  <c r="F65" i="11"/>
  <c r="V61" i="11"/>
  <c r="R61" i="11"/>
  <c r="Q61" i="11"/>
  <c r="O61" i="11"/>
  <c r="N61" i="11"/>
  <c r="U61" i="11" s="1"/>
  <c r="M61" i="11"/>
  <c r="T61" i="11" s="1"/>
  <c r="L61" i="11"/>
  <c r="S61" i="11" s="1"/>
  <c r="K61" i="11"/>
  <c r="J61" i="11"/>
  <c r="I61" i="11"/>
  <c r="P61" i="11" s="1"/>
  <c r="F61" i="11"/>
  <c r="E61" i="11"/>
  <c r="V60" i="11"/>
  <c r="U60" i="11"/>
  <c r="R60" i="11"/>
  <c r="Q60" i="11"/>
  <c r="P60" i="11"/>
  <c r="O60" i="11"/>
  <c r="N60" i="11"/>
  <c r="M60" i="11"/>
  <c r="T60" i="11" s="1"/>
  <c r="L60" i="11"/>
  <c r="S60" i="11" s="1"/>
  <c r="K60" i="11"/>
  <c r="J60" i="11"/>
  <c r="I60" i="11"/>
  <c r="F60" i="11"/>
  <c r="E60" i="11"/>
  <c r="V59" i="11"/>
  <c r="U59" i="11"/>
  <c r="T59" i="11"/>
  <c r="R59" i="11"/>
  <c r="Q59" i="11"/>
  <c r="P59" i="11"/>
  <c r="O59" i="11"/>
  <c r="N59" i="11"/>
  <c r="M59" i="11"/>
  <c r="L59" i="11"/>
  <c r="S59" i="11" s="1"/>
  <c r="K59" i="11"/>
  <c r="J59" i="11"/>
  <c r="I59" i="11"/>
  <c r="F59" i="11"/>
  <c r="E59" i="11"/>
  <c r="V58" i="11"/>
  <c r="T58" i="11"/>
  <c r="R58" i="11"/>
  <c r="P58" i="11"/>
  <c r="O58" i="11"/>
  <c r="N58" i="11"/>
  <c r="U58" i="11" s="1"/>
  <c r="M58" i="11"/>
  <c r="L58" i="11"/>
  <c r="S58" i="11" s="1"/>
  <c r="K58" i="11"/>
  <c r="J58" i="11"/>
  <c r="Q58" i="11" s="1"/>
  <c r="I58" i="11"/>
  <c r="F58" i="11"/>
  <c r="E58" i="11"/>
  <c r="V57" i="11"/>
  <c r="R57" i="11"/>
  <c r="Q57" i="11"/>
  <c r="O57" i="11"/>
  <c r="N57" i="11"/>
  <c r="U57" i="11" s="1"/>
  <c r="M57" i="11"/>
  <c r="T57" i="11" s="1"/>
  <c r="L57" i="11"/>
  <c r="S57" i="11" s="1"/>
  <c r="K57" i="11"/>
  <c r="J57" i="11"/>
  <c r="I57" i="11"/>
  <c r="P57" i="11" s="1"/>
  <c r="F57" i="11"/>
  <c r="E57" i="11"/>
  <c r="V56" i="11"/>
  <c r="U56" i="11"/>
  <c r="R56" i="11"/>
  <c r="Q56" i="11"/>
  <c r="P56" i="11"/>
  <c r="O56" i="11"/>
  <c r="N56" i="11"/>
  <c r="M56" i="11"/>
  <c r="T56" i="11" s="1"/>
  <c r="L56" i="11"/>
  <c r="S56" i="11" s="1"/>
  <c r="K56" i="11"/>
  <c r="J56" i="11"/>
  <c r="I56" i="11"/>
  <c r="F56" i="11"/>
  <c r="E56" i="11"/>
  <c r="V55" i="11"/>
  <c r="U55" i="11"/>
  <c r="T55" i="11"/>
  <c r="R55" i="11"/>
  <c r="Q55" i="11"/>
  <c r="P55" i="11"/>
  <c r="O55" i="11"/>
  <c r="N55" i="11"/>
  <c r="M55" i="11"/>
  <c r="L55" i="11"/>
  <c r="S55" i="11" s="1"/>
  <c r="K55" i="11"/>
  <c r="J55" i="11"/>
  <c r="I55" i="11"/>
  <c r="F55" i="11"/>
  <c r="E55" i="11"/>
  <c r="V54" i="11"/>
  <c r="T54" i="11"/>
  <c r="R54" i="11"/>
  <c r="O54" i="11"/>
  <c r="N54" i="11"/>
  <c r="U54" i="11" s="1"/>
  <c r="M54" i="11"/>
  <c r="L54" i="11"/>
  <c r="S54" i="11" s="1"/>
  <c r="K54" i="11"/>
  <c r="J54" i="11"/>
  <c r="Q54" i="11" s="1"/>
  <c r="I54" i="11"/>
  <c r="P54" i="11" s="1"/>
  <c r="F54" i="11"/>
  <c r="E54" i="11"/>
  <c r="V53" i="11"/>
  <c r="R53" i="11"/>
  <c r="Q53" i="11"/>
  <c r="O53" i="11"/>
  <c r="N53" i="11"/>
  <c r="U53" i="11" s="1"/>
  <c r="M53" i="11"/>
  <c r="T53" i="11" s="1"/>
  <c r="L53" i="11"/>
  <c r="S53" i="11" s="1"/>
  <c r="K53" i="11"/>
  <c r="J53" i="11"/>
  <c r="I53" i="11"/>
  <c r="P53" i="11" s="1"/>
  <c r="F53" i="11"/>
  <c r="E53" i="11"/>
  <c r="V52" i="11"/>
  <c r="U52" i="11"/>
  <c r="R52" i="11"/>
  <c r="Q52" i="11"/>
  <c r="P52" i="11"/>
  <c r="O52" i="11"/>
  <c r="N52" i="11"/>
  <c r="M52" i="11"/>
  <c r="T52" i="11" s="1"/>
  <c r="L52" i="11"/>
  <c r="S52" i="11" s="1"/>
  <c r="K52" i="11"/>
  <c r="J52" i="11"/>
  <c r="I52" i="11"/>
  <c r="F52" i="11"/>
  <c r="E52" i="11"/>
  <c r="V51" i="11"/>
  <c r="U51" i="11"/>
  <c r="U73" i="11" s="1"/>
  <c r="T51" i="11"/>
  <c r="R51" i="11"/>
  <c r="P51" i="11"/>
  <c r="P73" i="11" s="1"/>
  <c r="O51" i="11"/>
  <c r="N51" i="11"/>
  <c r="M51" i="11"/>
  <c r="L51" i="11"/>
  <c r="S51" i="11" s="1"/>
  <c r="S73" i="11" s="1"/>
  <c r="K51" i="11"/>
  <c r="J51" i="11"/>
  <c r="Q51" i="11" s="1"/>
  <c r="I51" i="11"/>
  <c r="I73" i="11" s="1"/>
  <c r="F51" i="11"/>
  <c r="E51" i="11"/>
  <c r="U49" i="11"/>
  <c r="S49" i="11"/>
  <c r="R49" i="11"/>
  <c r="Q49" i="11"/>
  <c r="P49" i="11"/>
  <c r="U47" i="11"/>
  <c r="T47" i="11"/>
  <c r="Q47" i="11"/>
  <c r="P47" i="11"/>
  <c r="O47" i="11"/>
  <c r="V47" i="11" s="1"/>
  <c r="N47" i="11"/>
  <c r="L47" i="11"/>
  <c r="S47" i="11" s="1"/>
  <c r="K47" i="11"/>
  <c r="R47" i="11" s="1"/>
  <c r="J47" i="11"/>
  <c r="I47" i="11"/>
  <c r="V45" i="11"/>
  <c r="R45" i="11"/>
  <c r="Q45" i="11"/>
  <c r="O45" i="11"/>
  <c r="N45" i="11"/>
  <c r="U45" i="11" s="1"/>
  <c r="M45" i="11"/>
  <c r="T45" i="11" s="1"/>
  <c r="L45" i="11"/>
  <c r="S45" i="11" s="1"/>
  <c r="K45" i="11"/>
  <c r="J45" i="11"/>
  <c r="I45" i="11"/>
  <c r="P45" i="11" s="1"/>
  <c r="T44" i="11"/>
  <c r="S44" i="11"/>
  <c r="R44" i="11"/>
  <c r="P44" i="11"/>
  <c r="O44" i="11"/>
  <c r="V44" i="11" s="1"/>
  <c r="N44" i="11"/>
  <c r="U44" i="11" s="1"/>
  <c r="M44" i="11"/>
  <c r="L44" i="11"/>
  <c r="K44" i="11"/>
  <c r="J44" i="11"/>
  <c r="Q44" i="11" s="1"/>
  <c r="I44" i="11"/>
  <c r="V43" i="11"/>
  <c r="T43" i="11"/>
  <c r="R43" i="11"/>
  <c r="P43" i="11"/>
  <c r="O43" i="11"/>
  <c r="N43" i="11"/>
  <c r="U43" i="11" s="1"/>
  <c r="M43" i="11"/>
  <c r="L43" i="11"/>
  <c r="S43" i="11" s="1"/>
  <c r="K43" i="11"/>
  <c r="J43" i="11"/>
  <c r="Q43" i="11" s="1"/>
  <c r="I43" i="11"/>
  <c r="T42" i="11"/>
  <c r="S42" i="11"/>
  <c r="P42" i="11"/>
  <c r="O42" i="11"/>
  <c r="V42" i="11" s="1"/>
  <c r="N42" i="11"/>
  <c r="U42" i="11" s="1"/>
  <c r="M42" i="11"/>
  <c r="L42" i="11"/>
  <c r="K42" i="11"/>
  <c r="R42" i="11" s="1"/>
  <c r="J42" i="11"/>
  <c r="Q42" i="11" s="1"/>
  <c r="I42" i="11"/>
  <c r="R40" i="11"/>
  <c r="N40" i="11"/>
  <c r="U40" i="11" s="1"/>
  <c r="L40" i="11"/>
  <c r="S40" i="11" s="1"/>
  <c r="K40" i="11"/>
  <c r="J40" i="11"/>
  <c r="O40" i="11" s="1"/>
  <c r="V40" i="11" s="1"/>
  <c r="I40" i="11"/>
  <c r="P40" i="11" s="1"/>
  <c r="V39" i="11"/>
  <c r="U39" i="11"/>
  <c r="T39" i="11"/>
  <c r="S39" i="11"/>
  <c r="R39" i="11"/>
  <c r="Q39" i="11"/>
  <c r="P39" i="11"/>
  <c r="L39" i="11"/>
  <c r="V38" i="11"/>
  <c r="U38" i="11"/>
  <c r="T38" i="11"/>
  <c r="R38" i="11"/>
  <c r="Q38" i="11"/>
  <c r="P38" i="11"/>
  <c r="L38" i="11"/>
  <c r="S38" i="11" s="1"/>
  <c r="V37" i="11"/>
  <c r="U37" i="11"/>
  <c r="T37" i="11"/>
  <c r="S37" i="11"/>
  <c r="R37" i="11"/>
  <c r="Q37" i="11"/>
  <c r="P37" i="11"/>
  <c r="L37" i="11"/>
  <c r="T36" i="11"/>
  <c r="S36" i="11"/>
  <c r="R36" i="11"/>
  <c r="P36" i="11"/>
  <c r="O36" i="11"/>
  <c r="V36" i="11" s="1"/>
  <c r="N36" i="11"/>
  <c r="U36" i="11" s="1"/>
  <c r="M36" i="11"/>
  <c r="L36" i="11"/>
  <c r="K36" i="11"/>
  <c r="J36" i="11"/>
  <c r="Q36" i="11" s="1"/>
  <c r="I36" i="11"/>
  <c r="V35" i="11"/>
  <c r="T35" i="11"/>
  <c r="R35" i="11"/>
  <c r="P35" i="11"/>
  <c r="O35" i="11"/>
  <c r="N35" i="11"/>
  <c r="U35" i="11" s="1"/>
  <c r="M35" i="11"/>
  <c r="L35" i="11"/>
  <c r="S35" i="11" s="1"/>
  <c r="K35" i="11"/>
  <c r="J35" i="11"/>
  <c r="Q35" i="11" s="1"/>
  <c r="I35" i="11"/>
  <c r="T34" i="11"/>
  <c r="S34" i="11"/>
  <c r="P34" i="11"/>
  <c r="O34" i="11"/>
  <c r="V34" i="11" s="1"/>
  <c r="N34" i="11"/>
  <c r="U34" i="11" s="1"/>
  <c r="M34" i="11"/>
  <c r="L34" i="11"/>
  <c r="K34" i="11"/>
  <c r="R34" i="11" s="1"/>
  <c r="J34" i="11"/>
  <c r="Q34" i="11" s="1"/>
  <c r="I34" i="11"/>
  <c r="V33" i="11"/>
  <c r="U33" i="11"/>
  <c r="T33" i="11"/>
  <c r="R33" i="11"/>
  <c r="Q33" i="11"/>
  <c r="P33" i="11"/>
  <c r="O33" i="11"/>
  <c r="N33" i="11"/>
  <c r="M33" i="11"/>
  <c r="L33" i="11"/>
  <c r="S33" i="11" s="1"/>
  <c r="K33" i="11"/>
  <c r="J33" i="11"/>
  <c r="I33" i="11"/>
  <c r="V32" i="11"/>
  <c r="U32" i="11"/>
  <c r="T32" i="11"/>
  <c r="S32" i="11"/>
  <c r="L32" i="11" s="1"/>
  <c r="R32" i="11"/>
  <c r="Q32" i="11"/>
  <c r="O30" i="11"/>
  <c r="V30" i="11" s="1"/>
  <c r="N30" i="11"/>
  <c r="U30" i="11" s="1"/>
  <c r="K30" i="11"/>
  <c r="R30" i="11" s="1"/>
  <c r="J30" i="11"/>
  <c r="Q30" i="11" s="1"/>
  <c r="I30" i="11"/>
  <c r="P30" i="11" s="1"/>
  <c r="E30" i="11"/>
  <c r="S29" i="11"/>
  <c r="O29" i="11"/>
  <c r="V29" i="11" s="1"/>
  <c r="N29" i="11"/>
  <c r="U29" i="11" s="1"/>
  <c r="M29" i="11"/>
  <c r="T29" i="11" s="1"/>
  <c r="L29" i="11"/>
  <c r="K29" i="11"/>
  <c r="R29" i="11" s="1"/>
  <c r="J29" i="11"/>
  <c r="Q29" i="11" s="1"/>
  <c r="I29" i="11"/>
  <c r="P29" i="11" s="1"/>
  <c r="E28" i="11"/>
  <c r="F28" i="11" s="1"/>
  <c r="F27" i="11"/>
  <c r="E27" i="11"/>
  <c r="E26" i="11"/>
  <c r="F26" i="11" s="1"/>
  <c r="U25" i="11"/>
  <c r="Q25" i="11"/>
  <c r="P25" i="11"/>
  <c r="O25" i="11"/>
  <c r="V25" i="11" s="1"/>
  <c r="N25" i="11"/>
  <c r="M25" i="11"/>
  <c r="T25" i="11" s="1"/>
  <c r="L25" i="11"/>
  <c r="S25" i="11" s="1"/>
  <c r="K25" i="11"/>
  <c r="R25" i="11" s="1"/>
  <c r="J25" i="11"/>
  <c r="I25" i="11"/>
  <c r="F25" i="11"/>
  <c r="E25" i="11"/>
  <c r="U24" i="11"/>
  <c r="T24" i="11"/>
  <c r="S24" i="11"/>
  <c r="Q24" i="11"/>
  <c r="P24" i="11"/>
  <c r="O24" i="11"/>
  <c r="N24" i="11"/>
  <c r="M24" i="11"/>
  <c r="L24" i="11"/>
  <c r="K24" i="11"/>
  <c r="R24" i="11" s="1"/>
  <c r="J24" i="11"/>
  <c r="I24" i="11"/>
  <c r="E24" i="11"/>
  <c r="F24" i="11" s="1"/>
  <c r="U23" i="11"/>
  <c r="Q23" i="11"/>
  <c r="P23" i="11"/>
  <c r="O23" i="11"/>
  <c r="N23" i="11"/>
  <c r="M23" i="11"/>
  <c r="T23" i="11" s="1"/>
  <c r="L23" i="11"/>
  <c r="S23" i="11" s="1"/>
  <c r="K23" i="11"/>
  <c r="R23" i="11" s="1"/>
  <c r="J23" i="11"/>
  <c r="I23" i="11"/>
  <c r="F23" i="11"/>
  <c r="E23" i="11"/>
  <c r="U22" i="11"/>
  <c r="T22" i="11"/>
  <c r="S22" i="11"/>
  <c r="Q22" i="11"/>
  <c r="P22" i="11"/>
  <c r="O22" i="11"/>
  <c r="V22" i="11" s="1"/>
  <c r="N22" i="11"/>
  <c r="M22" i="11"/>
  <c r="L22" i="11"/>
  <c r="K22" i="11"/>
  <c r="R22" i="11" s="1"/>
  <c r="J22" i="11"/>
  <c r="I22" i="11"/>
  <c r="E22" i="11"/>
  <c r="F22" i="11" s="1"/>
  <c r="U21" i="11"/>
  <c r="Q21" i="11"/>
  <c r="P21" i="11"/>
  <c r="O21" i="11"/>
  <c r="V21" i="11" s="1"/>
  <c r="N21" i="11"/>
  <c r="M21" i="11"/>
  <c r="T21" i="11" s="1"/>
  <c r="L21" i="11"/>
  <c r="S21" i="11" s="1"/>
  <c r="K21" i="11"/>
  <c r="R21" i="11" s="1"/>
  <c r="J21" i="11"/>
  <c r="I21" i="11"/>
  <c r="F21" i="11"/>
  <c r="E21" i="11"/>
  <c r="U20" i="11"/>
  <c r="S20" i="11"/>
  <c r="Q20" i="11"/>
  <c r="P20" i="11"/>
  <c r="O20" i="11"/>
  <c r="N20" i="11"/>
  <c r="M20" i="11"/>
  <c r="L20" i="11"/>
  <c r="K20" i="11"/>
  <c r="R20" i="11" s="1"/>
  <c r="J20" i="11"/>
  <c r="I20" i="11"/>
  <c r="E20" i="11"/>
  <c r="F20" i="11" s="1"/>
  <c r="T20" i="11" s="1"/>
  <c r="U19" i="11"/>
  <c r="Q19" i="11"/>
  <c r="P19" i="11"/>
  <c r="O19" i="11"/>
  <c r="N19" i="11"/>
  <c r="M19" i="11"/>
  <c r="T19" i="11" s="1"/>
  <c r="L19" i="11"/>
  <c r="S19" i="11" s="1"/>
  <c r="K19" i="11"/>
  <c r="R19" i="11" s="1"/>
  <c r="J19" i="11"/>
  <c r="I19" i="11"/>
  <c r="F19" i="11"/>
  <c r="E19" i="11"/>
  <c r="U17" i="11"/>
  <c r="T17" i="11"/>
  <c r="S17" i="11"/>
  <c r="Q17" i="11"/>
  <c r="P17" i="11"/>
  <c r="O17" i="11"/>
  <c r="V17" i="11" s="1"/>
  <c r="N17" i="11"/>
  <c r="M17" i="11"/>
  <c r="L17" i="11"/>
  <c r="K17" i="11"/>
  <c r="R17" i="11" s="1"/>
  <c r="J17" i="11"/>
  <c r="I17" i="11"/>
  <c r="E17" i="11"/>
  <c r="F17" i="11" s="1"/>
  <c r="U15" i="11"/>
  <c r="Q15" i="11"/>
  <c r="P15" i="11"/>
  <c r="O15" i="11"/>
  <c r="V15" i="11" s="1"/>
  <c r="N15" i="11"/>
  <c r="M15" i="11"/>
  <c r="T15" i="11" s="1"/>
  <c r="L15" i="11"/>
  <c r="S15" i="11" s="1"/>
  <c r="K15" i="11"/>
  <c r="R15" i="11" s="1"/>
  <c r="J15" i="11"/>
  <c r="I15" i="11"/>
  <c r="F15" i="11"/>
  <c r="E15" i="11"/>
  <c r="U14" i="11"/>
  <c r="T14" i="11"/>
  <c r="S14" i="11"/>
  <c r="Q14" i="11"/>
  <c r="P14" i="11"/>
  <c r="O14" i="11"/>
  <c r="V14" i="11" s="1"/>
  <c r="N14" i="11"/>
  <c r="M14" i="11"/>
  <c r="L14" i="11"/>
  <c r="K14" i="11"/>
  <c r="R14" i="11" s="1"/>
  <c r="J14" i="11"/>
  <c r="I14" i="11"/>
  <c r="E14" i="11"/>
  <c r="F14" i="11" s="1"/>
  <c r="U12" i="11"/>
  <c r="Q12" i="11"/>
  <c r="P12" i="11"/>
  <c r="O12" i="11"/>
  <c r="V12" i="11" s="1"/>
  <c r="N12" i="11"/>
  <c r="M12" i="11"/>
  <c r="T12" i="11" s="1"/>
  <c r="L12" i="11"/>
  <c r="S12" i="11" s="1"/>
  <c r="K12" i="11"/>
  <c r="R12" i="11" s="1"/>
  <c r="J12" i="11"/>
  <c r="I12" i="11"/>
  <c r="F12" i="11"/>
  <c r="E12" i="11"/>
  <c r="T11" i="11"/>
  <c r="S11" i="11"/>
  <c r="P11" i="11"/>
  <c r="O11" i="11"/>
  <c r="V11" i="11" s="1"/>
  <c r="N11" i="11"/>
  <c r="U11" i="11" s="1"/>
  <c r="M11" i="11"/>
  <c r="L11" i="11"/>
  <c r="K11" i="11"/>
  <c r="R11" i="11" s="1"/>
  <c r="J11" i="11"/>
  <c r="Q11" i="11" s="1"/>
  <c r="I11" i="11"/>
  <c r="V10" i="11"/>
  <c r="U10" i="11"/>
  <c r="T10" i="11"/>
  <c r="R10" i="11"/>
  <c r="Q10" i="11"/>
  <c r="P10" i="11"/>
  <c r="O10" i="11"/>
  <c r="N10" i="11"/>
  <c r="M10" i="11"/>
  <c r="L10" i="11"/>
  <c r="S10" i="11" s="1"/>
  <c r="K10" i="11"/>
  <c r="J10" i="11"/>
  <c r="I10" i="11"/>
  <c r="F10" i="11"/>
  <c r="E10" i="11"/>
  <c r="V9" i="11"/>
  <c r="U9" i="11"/>
  <c r="T9" i="11"/>
  <c r="R9" i="11"/>
  <c r="Q9" i="11"/>
  <c r="P9" i="11"/>
  <c r="O9" i="11"/>
  <c r="N9" i="11"/>
  <c r="M9" i="11"/>
  <c r="L9" i="11"/>
  <c r="S9" i="11" s="1"/>
  <c r="K9" i="11"/>
  <c r="J9" i="11"/>
  <c r="I9" i="11"/>
  <c r="F9" i="11"/>
  <c r="E9" i="11"/>
  <c r="V8" i="11"/>
  <c r="U8" i="11"/>
  <c r="T8" i="11"/>
  <c r="R8" i="11"/>
  <c r="Q8" i="11"/>
  <c r="P8" i="11"/>
  <c r="O8" i="11"/>
  <c r="N8" i="11"/>
  <c r="M8" i="11"/>
  <c r="L8" i="11"/>
  <c r="S8" i="11" s="1"/>
  <c r="K8" i="11"/>
  <c r="J8" i="11"/>
  <c r="I8" i="11"/>
  <c r="F8" i="11"/>
  <c r="E8" i="11"/>
  <c r="V7" i="11"/>
  <c r="U7" i="11"/>
  <c r="T7" i="11"/>
  <c r="R7" i="11"/>
  <c r="Q7" i="11"/>
  <c r="P7" i="11"/>
  <c r="O7" i="11"/>
  <c r="N7" i="11"/>
  <c r="M7" i="11"/>
  <c r="L7" i="11"/>
  <c r="K7" i="11"/>
  <c r="K48" i="11" s="1"/>
  <c r="J7" i="11"/>
  <c r="I7" i="11"/>
  <c r="F7" i="11"/>
  <c r="E7" i="11"/>
  <c r="N2" i="11"/>
  <c r="L2" i="11"/>
  <c r="J2" i="11"/>
  <c r="G2" i="11"/>
  <c r="F2" i="11"/>
  <c r="E2" i="11"/>
  <c r="D2" i="11"/>
  <c r="B2" i="11"/>
  <c r="A2" i="11"/>
  <c r="O20" i="4"/>
  <c r="N20" i="4"/>
  <c r="M20" i="4"/>
  <c r="L20" i="4"/>
  <c r="K20" i="4"/>
  <c r="J20" i="4"/>
  <c r="I20" i="4"/>
  <c r="O19" i="4"/>
  <c r="N19" i="4"/>
  <c r="M19" i="4"/>
  <c r="L19" i="4"/>
  <c r="K19" i="4"/>
  <c r="J19" i="4"/>
  <c r="I19" i="4"/>
  <c r="I7" i="4"/>
  <c r="J18" i="3"/>
  <c r="I61" i="4"/>
  <c r="I60" i="4"/>
  <c r="I59" i="4"/>
  <c r="I58" i="4"/>
  <c r="I57" i="4"/>
  <c r="I56" i="4"/>
  <c r="I55" i="4"/>
  <c r="I54" i="4"/>
  <c r="I53" i="4"/>
  <c r="I52" i="4"/>
  <c r="I51" i="4"/>
  <c r="I22" i="4"/>
  <c r="I21" i="4"/>
  <c r="I17" i="4"/>
  <c r="I15" i="4"/>
  <c r="I14" i="4"/>
  <c r="I12" i="4"/>
  <c r="I10" i="4"/>
  <c r="I9" i="4"/>
  <c r="I8" i="4"/>
  <c r="I47" i="4"/>
  <c r="Q28" i="11" l="1"/>
  <c r="S28" i="11"/>
  <c r="U28" i="11"/>
  <c r="R28" i="11"/>
  <c r="S27" i="11"/>
  <c r="Q27" i="11"/>
  <c r="R27" i="11"/>
  <c r="U27" i="11"/>
  <c r="Q26" i="11"/>
  <c r="S26" i="11"/>
  <c r="U26" i="11"/>
  <c r="R26" i="11"/>
  <c r="R48" i="11" s="1"/>
  <c r="D8" i="9" s="1"/>
  <c r="T20" i="19"/>
  <c r="T19" i="19"/>
  <c r="V20" i="19"/>
  <c r="M40" i="19"/>
  <c r="T40" i="19" s="1"/>
  <c r="T48" i="19" s="1"/>
  <c r="F16" i="9" s="1"/>
  <c r="L48" i="19"/>
  <c r="S48" i="19"/>
  <c r="E16" i="9" s="1"/>
  <c r="I73" i="19"/>
  <c r="M73" i="19"/>
  <c r="S73" i="19"/>
  <c r="N73" i="19"/>
  <c r="I48" i="19"/>
  <c r="Q48" i="19"/>
  <c r="C16" i="9" s="1"/>
  <c r="U48" i="19"/>
  <c r="G16" i="9" s="1"/>
  <c r="K48" i="19"/>
  <c r="J48" i="19"/>
  <c r="N48" i="19"/>
  <c r="R7" i="19"/>
  <c r="V7" i="19"/>
  <c r="V48" i="19" s="1"/>
  <c r="H16" i="9" s="1"/>
  <c r="R51" i="19"/>
  <c r="R73" i="19" s="1"/>
  <c r="K73" i="19"/>
  <c r="V51" i="19"/>
  <c r="V73" i="19" s="1"/>
  <c r="O73" i="19"/>
  <c r="P51" i="19"/>
  <c r="P73" i="19" s="1"/>
  <c r="T51" i="19"/>
  <c r="T73" i="19" s="1"/>
  <c r="K30" i="19"/>
  <c r="R30" i="19" s="1"/>
  <c r="I48" i="18"/>
  <c r="T48" i="18"/>
  <c r="F15" i="9" s="1"/>
  <c r="S73" i="18"/>
  <c r="V73" i="18"/>
  <c r="V19" i="18"/>
  <c r="V48" i="18" s="1"/>
  <c r="H15" i="9" s="1"/>
  <c r="V23" i="18"/>
  <c r="M48" i="18"/>
  <c r="J48" i="18"/>
  <c r="U73" i="18"/>
  <c r="S48" i="18"/>
  <c r="E15" i="9" s="1"/>
  <c r="L30" i="18"/>
  <c r="S30" i="18" s="1"/>
  <c r="F30" i="18"/>
  <c r="L48" i="18"/>
  <c r="P7" i="18"/>
  <c r="P48" i="18" s="1"/>
  <c r="B15" i="9" s="1"/>
  <c r="I30" i="18"/>
  <c r="P30" i="18" s="1"/>
  <c r="N30" i="18"/>
  <c r="U30" i="18" s="1"/>
  <c r="U48" i="18" s="1"/>
  <c r="G15" i="9" s="1"/>
  <c r="N48" i="18"/>
  <c r="I73" i="18"/>
  <c r="M73" i="18"/>
  <c r="Q73" i="18"/>
  <c r="K73" i="18"/>
  <c r="R73" i="18"/>
  <c r="O73" i="18"/>
  <c r="K48" i="18"/>
  <c r="V20" i="18"/>
  <c r="V24" i="18"/>
  <c r="J30" i="18"/>
  <c r="Q30" i="18" s="1"/>
  <c r="Q48" i="18" s="1"/>
  <c r="C15" i="9" s="1"/>
  <c r="O30" i="18"/>
  <c r="V30" i="18" s="1"/>
  <c r="J73" i="18"/>
  <c r="N73" i="18"/>
  <c r="T51" i="18"/>
  <c r="T73" i="18" s="1"/>
  <c r="L73" i="18"/>
  <c r="P73" i="17"/>
  <c r="Q48" i="17"/>
  <c r="C14" i="9" s="1"/>
  <c r="U48" i="17"/>
  <c r="G14" i="9" s="1"/>
  <c r="O48" i="17"/>
  <c r="P40" i="17"/>
  <c r="P48" i="17" s="1"/>
  <c r="B14" i="9" s="1"/>
  <c r="T19" i="17"/>
  <c r="V23" i="17"/>
  <c r="R73" i="17"/>
  <c r="U73" i="17"/>
  <c r="O73" i="17"/>
  <c r="L48" i="17"/>
  <c r="T48" i="17"/>
  <c r="F14" i="9" s="1"/>
  <c r="V20" i="17"/>
  <c r="V48" i="17" s="1"/>
  <c r="H14" i="9" s="1"/>
  <c r="N48" i="17"/>
  <c r="I73" i="17"/>
  <c r="M73" i="17"/>
  <c r="Q73" i="17"/>
  <c r="K73" i="17"/>
  <c r="J48" i="17"/>
  <c r="V73" i="17"/>
  <c r="J73" i="17"/>
  <c r="N73" i="17"/>
  <c r="T51" i="17"/>
  <c r="T73" i="17" s="1"/>
  <c r="L73" i="17"/>
  <c r="K30" i="17"/>
  <c r="R30" i="17" s="1"/>
  <c r="R48" i="17" s="1"/>
  <c r="D14" i="9" s="1"/>
  <c r="K48" i="16"/>
  <c r="L30" i="16"/>
  <c r="S30" i="16" s="1"/>
  <c r="S48" i="16" s="1"/>
  <c r="E12" i="9" s="1"/>
  <c r="F30" i="16"/>
  <c r="N30" i="16"/>
  <c r="U30" i="16" s="1"/>
  <c r="J30" i="16"/>
  <c r="Q30" i="16" s="1"/>
  <c r="O30" i="16"/>
  <c r="V30" i="16" s="1"/>
  <c r="S51" i="16"/>
  <c r="S73" i="16" s="1"/>
  <c r="L73" i="16"/>
  <c r="P73" i="16"/>
  <c r="K73" i="16"/>
  <c r="L48" i="16"/>
  <c r="T7" i="16"/>
  <c r="T23" i="16"/>
  <c r="I30" i="16"/>
  <c r="P30" i="16" s="1"/>
  <c r="P48" i="16" s="1"/>
  <c r="B12" i="9" s="1"/>
  <c r="I73" i="16"/>
  <c r="M73" i="16"/>
  <c r="R73" i="16"/>
  <c r="O73" i="16"/>
  <c r="N48" i="16"/>
  <c r="O40" i="16"/>
  <c r="V40" i="16" s="1"/>
  <c r="Q40" i="16"/>
  <c r="Q7" i="16"/>
  <c r="Q48" i="16" s="1"/>
  <c r="C12" i="9" s="1"/>
  <c r="U7" i="16"/>
  <c r="U48" i="16" s="1"/>
  <c r="G12" i="9" s="1"/>
  <c r="V24" i="16"/>
  <c r="V48" i="16" s="1"/>
  <c r="H12" i="9" s="1"/>
  <c r="K30" i="16"/>
  <c r="R30" i="16" s="1"/>
  <c r="R48" i="16" s="1"/>
  <c r="D12" i="9" s="1"/>
  <c r="J73" i="16"/>
  <c r="Q51" i="16"/>
  <c r="Q73" i="16" s="1"/>
  <c r="N73" i="16"/>
  <c r="U51" i="16"/>
  <c r="U73" i="16" s="1"/>
  <c r="T73" i="16"/>
  <c r="P48" i="15"/>
  <c r="B13" i="9" s="1"/>
  <c r="T48" i="15"/>
  <c r="F13" i="9" s="1"/>
  <c r="M48" i="15"/>
  <c r="S51" i="15"/>
  <c r="S73" i="15" s="1"/>
  <c r="L73" i="15"/>
  <c r="I73" i="15"/>
  <c r="M73" i="15"/>
  <c r="Q73" i="15"/>
  <c r="K73" i="15"/>
  <c r="V23" i="15"/>
  <c r="S48" i="15"/>
  <c r="E13" i="9" s="1"/>
  <c r="I48" i="15"/>
  <c r="J73" i="15"/>
  <c r="N73" i="15"/>
  <c r="T51" i="15"/>
  <c r="T73" i="15" s="1"/>
  <c r="P73" i="15"/>
  <c r="V19" i="15"/>
  <c r="V48" i="15" s="1"/>
  <c r="H13" i="9" s="1"/>
  <c r="L48" i="15"/>
  <c r="V20" i="15"/>
  <c r="V24" i="15"/>
  <c r="R73" i="15"/>
  <c r="V73" i="15"/>
  <c r="U73" i="15"/>
  <c r="K30" i="15"/>
  <c r="R30" i="15" s="1"/>
  <c r="R48" i="15" s="1"/>
  <c r="D13" i="9" s="1"/>
  <c r="O30" i="15"/>
  <c r="V30" i="15" s="1"/>
  <c r="F30" i="15"/>
  <c r="T19" i="14"/>
  <c r="V19" i="14"/>
  <c r="U48" i="14"/>
  <c r="G11" i="9" s="1"/>
  <c r="I48" i="14"/>
  <c r="T20" i="14"/>
  <c r="T48" i="14" s="1"/>
  <c r="F11" i="9" s="1"/>
  <c r="V20" i="14"/>
  <c r="V48" i="14" s="1"/>
  <c r="H11" i="9" s="1"/>
  <c r="V73" i="14"/>
  <c r="K73" i="14"/>
  <c r="P48" i="14"/>
  <c r="B11" i="9" s="1"/>
  <c r="M48" i="14"/>
  <c r="O73" i="14"/>
  <c r="O40" i="14"/>
  <c r="V40" i="14" s="1"/>
  <c r="Q40" i="14"/>
  <c r="J73" i="14"/>
  <c r="Q51" i="14"/>
  <c r="Q73" i="14" s="1"/>
  <c r="N73" i="14"/>
  <c r="U51" i="14"/>
  <c r="U73" i="14" s="1"/>
  <c r="T73" i="14"/>
  <c r="I73" i="14"/>
  <c r="J48" i="14"/>
  <c r="R48" i="14"/>
  <c r="D11" i="9" s="1"/>
  <c r="L30" i="14"/>
  <c r="S30" i="14" s="1"/>
  <c r="F30" i="14"/>
  <c r="N30" i="14"/>
  <c r="U30" i="14" s="1"/>
  <c r="J30" i="14"/>
  <c r="Q30" i="14" s="1"/>
  <c r="Q48" i="14" s="1"/>
  <c r="C11" i="9" s="1"/>
  <c r="O30" i="14"/>
  <c r="V30" i="14" s="1"/>
  <c r="S7" i="14"/>
  <c r="I30" i="14"/>
  <c r="P30" i="14" s="1"/>
  <c r="S51" i="14"/>
  <c r="S73" i="14" s="1"/>
  <c r="L73" i="14"/>
  <c r="P73" i="14"/>
  <c r="M73" i="14"/>
  <c r="Q48" i="13"/>
  <c r="C10" i="9" s="1"/>
  <c r="P48" i="13"/>
  <c r="B10" i="9" s="1"/>
  <c r="T48" i="13"/>
  <c r="F10" i="9" s="1"/>
  <c r="V23" i="13"/>
  <c r="V48" i="13" s="1"/>
  <c r="H10" i="9" s="1"/>
  <c r="J48" i="13"/>
  <c r="N48" i="13"/>
  <c r="I48" i="13"/>
  <c r="J73" i="13"/>
  <c r="N73" i="13"/>
  <c r="T73" i="13"/>
  <c r="O48" i="13"/>
  <c r="M48" i="13"/>
  <c r="R73" i="13"/>
  <c r="V73" i="13"/>
  <c r="U73" i="13"/>
  <c r="S48" i="13"/>
  <c r="E10" i="9" s="1"/>
  <c r="L48" i="13"/>
  <c r="S51" i="13"/>
  <c r="S73" i="13" s="1"/>
  <c r="L73" i="13"/>
  <c r="P73" i="13"/>
  <c r="K30" i="13"/>
  <c r="R30" i="13" s="1"/>
  <c r="R48" i="13" s="1"/>
  <c r="D10" i="9" s="1"/>
  <c r="U48" i="12"/>
  <c r="G9" i="9" s="1"/>
  <c r="V48" i="12"/>
  <c r="H9" i="9" s="1"/>
  <c r="M40" i="12"/>
  <c r="T40" i="12" s="1"/>
  <c r="L48" i="12"/>
  <c r="Q73" i="12"/>
  <c r="O73" i="12"/>
  <c r="K48" i="12"/>
  <c r="O48" i="12"/>
  <c r="S48" i="12"/>
  <c r="E9" i="9" s="1"/>
  <c r="M48" i="12"/>
  <c r="J73" i="12"/>
  <c r="N73" i="12"/>
  <c r="S51" i="12"/>
  <c r="S73" i="12" s="1"/>
  <c r="P7" i="12"/>
  <c r="P48" i="12" s="1"/>
  <c r="B9" i="9" s="1"/>
  <c r="T20" i="12"/>
  <c r="T48" i="12" s="1"/>
  <c r="F9" i="9" s="1"/>
  <c r="N48" i="12"/>
  <c r="R73" i="12"/>
  <c r="V73" i="12"/>
  <c r="T51" i="12"/>
  <c r="T73" i="12" s="1"/>
  <c r="K73" i="12"/>
  <c r="Q7" i="12"/>
  <c r="Q48" i="12" s="1"/>
  <c r="C9" i="9" s="1"/>
  <c r="P51" i="12"/>
  <c r="P73" i="12" s="1"/>
  <c r="U73" i="12"/>
  <c r="K30" i="12"/>
  <c r="R30" i="12" s="1"/>
  <c r="R48" i="12" s="1"/>
  <c r="D9" i="9" s="1"/>
  <c r="U48" i="11"/>
  <c r="G8" i="9" s="1"/>
  <c r="Q73" i="11"/>
  <c r="T73" i="11"/>
  <c r="L48" i="11"/>
  <c r="V73" i="11"/>
  <c r="R65" i="11"/>
  <c r="O73" i="11"/>
  <c r="P48" i="11"/>
  <c r="B8" i="9" s="1"/>
  <c r="M40" i="11"/>
  <c r="T40" i="11" s="1"/>
  <c r="I48" i="11"/>
  <c r="N48" i="11"/>
  <c r="L73" i="11"/>
  <c r="V20" i="11"/>
  <c r="V24" i="11"/>
  <c r="J48" i="11"/>
  <c r="O48" i="11"/>
  <c r="M73" i="11"/>
  <c r="S7" i="11"/>
  <c r="V19" i="11"/>
  <c r="V48" i="11" s="1"/>
  <c r="H8" i="9" s="1"/>
  <c r="V23" i="11"/>
  <c r="L30" i="11"/>
  <c r="S30" i="11" s="1"/>
  <c r="F30" i="11"/>
  <c r="M30" i="11"/>
  <c r="T30" i="11" s="1"/>
  <c r="T48" i="11" s="1"/>
  <c r="F8" i="9" s="1"/>
  <c r="Q40" i="11"/>
  <c r="J73" i="11"/>
  <c r="N73" i="11"/>
  <c r="R73" i="11"/>
  <c r="O29" i="4"/>
  <c r="N29" i="4"/>
  <c r="M29" i="4"/>
  <c r="L29" i="4"/>
  <c r="S29" i="4" s="1"/>
  <c r="K29" i="4"/>
  <c r="R29" i="4" s="1"/>
  <c r="J29" i="4"/>
  <c r="Q29" i="4" s="1"/>
  <c r="I29" i="4"/>
  <c r="P29" i="4" s="1"/>
  <c r="T29" i="4"/>
  <c r="V29" i="4"/>
  <c r="U29" i="4"/>
  <c r="S48" i="11" l="1"/>
  <c r="E8" i="9" s="1"/>
  <c r="Q48" i="11"/>
  <c r="C8" i="9" s="1"/>
  <c r="R48" i="19"/>
  <c r="D16" i="9" s="1"/>
  <c r="M48" i="19"/>
  <c r="O48" i="18"/>
  <c r="K48" i="17"/>
  <c r="I48" i="16"/>
  <c r="O48" i="16"/>
  <c r="T48" i="16"/>
  <c r="F12" i="9" s="1"/>
  <c r="J48" i="16"/>
  <c r="O48" i="15"/>
  <c r="K48" i="15"/>
  <c r="L48" i="14"/>
  <c r="O48" i="14"/>
  <c r="S48" i="14"/>
  <c r="E11" i="9" s="1"/>
  <c r="N48" i="14"/>
  <c r="K48" i="13"/>
  <c r="M48" i="11"/>
  <c r="O25" i="4"/>
  <c r="N25" i="4"/>
  <c r="M25" i="4"/>
  <c r="L25" i="4"/>
  <c r="K25" i="4"/>
  <c r="J25" i="4"/>
  <c r="T47" i="4"/>
  <c r="O47" i="4"/>
  <c r="N47" i="4"/>
  <c r="L47" i="4"/>
  <c r="K47" i="4"/>
  <c r="J47" i="4"/>
  <c r="F66" i="4" l="1"/>
  <c r="P49" i="4"/>
  <c r="B17" i="9" s="1"/>
  <c r="Q49" i="4"/>
  <c r="S37" i="4" l="1"/>
  <c r="L37" i="4" s="1"/>
  <c r="L38" i="4"/>
  <c r="O45" i="4"/>
  <c r="O44" i="4"/>
  <c r="O43" i="4"/>
  <c r="O36" i="4"/>
  <c r="O35" i="4"/>
  <c r="O34" i="4"/>
  <c r="M45" i="4"/>
  <c r="M44" i="4"/>
  <c r="M43" i="4"/>
  <c r="M36" i="4"/>
  <c r="M35" i="4"/>
  <c r="M34" i="4"/>
  <c r="U49" i="4" l="1"/>
  <c r="A7" i="9"/>
  <c r="A73" i="4"/>
  <c r="O10" i="4" l="1"/>
  <c r="N10" i="4"/>
  <c r="M10" i="4"/>
  <c r="O9" i="4"/>
  <c r="N9" i="4"/>
  <c r="M9" i="4"/>
  <c r="O8" i="4"/>
  <c r="N8" i="4"/>
  <c r="M8" i="4"/>
  <c r="O7" i="4"/>
  <c r="N7" i="4"/>
  <c r="M7" i="4"/>
  <c r="L10" i="4"/>
  <c r="K10" i="4"/>
  <c r="J10" i="4"/>
  <c r="L9" i="4"/>
  <c r="K9" i="4"/>
  <c r="J9" i="4"/>
  <c r="L8" i="4"/>
  <c r="K8" i="4"/>
  <c r="J8" i="4"/>
  <c r="L7" i="4"/>
  <c r="K7" i="4"/>
  <c r="J7" i="4"/>
  <c r="O12" i="4"/>
  <c r="N12" i="4"/>
  <c r="M12" i="4"/>
  <c r="L12" i="4"/>
  <c r="K12" i="4"/>
  <c r="J12" i="4"/>
  <c r="S32" i="4" l="1"/>
  <c r="L32" i="4" s="1"/>
  <c r="I23" i="4" l="1"/>
  <c r="P23" i="4" s="1"/>
  <c r="M42" i="4"/>
  <c r="S38" i="4"/>
  <c r="S39" i="4"/>
  <c r="L39" i="4" s="1"/>
  <c r="T32" i="4" l="1"/>
  <c r="L33" i="4"/>
  <c r="F14" i="3" l="1"/>
  <c r="E6" i="3"/>
  <c r="F25" i="3"/>
  <c r="F24" i="3"/>
  <c r="F23" i="3"/>
  <c r="F22" i="3"/>
  <c r="H25" i="3"/>
  <c r="H24" i="3"/>
  <c r="H23" i="3"/>
  <c r="H22" i="3"/>
  <c r="E25" i="3"/>
  <c r="E24" i="3"/>
  <c r="E22" i="3"/>
  <c r="E23" i="3"/>
  <c r="D22" i="3" l="1"/>
  <c r="I33" i="4" l="1"/>
  <c r="O72" i="4" l="1"/>
  <c r="N72" i="4"/>
  <c r="M72" i="4"/>
  <c r="T72" i="4" s="1"/>
  <c r="L72" i="4"/>
  <c r="K72" i="4"/>
  <c r="J72" i="4"/>
  <c r="I72" i="4"/>
  <c r="O21" i="4"/>
  <c r="N21" i="4"/>
  <c r="M21" i="4"/>
  <c r="L21" i="4"/>
  <c r="K21" i="4"/>
  <c r="J21" i="4"/>
  <c r="O61" i="4"/>
  <c r="N61" i="4"/>
  <c r="M61" i="4"/>
  <c r="L61" i="4"/>
  <c r="K61" i="4"/>
  <c r="J61" i="4"/>
  <c r="O11" i="4"/>
  <c r="N11" i="4"/>
  <c r="M11" i="4"/>
  <c r="L11" i="4"/>
  <c r="K11" i="4"/>
  <c r="J11" i="4"/>
  <c r="O60" i="4"/>
  <c r="N60" i="4"/>
  <c r="M60" i="4"/>
  <c r="L60" i="4"/>
  <c r="K60" i="4"/>
  <c r="J60" i="4"/>
  <c r="O59" i="4"/>
  <c r="N59" i="4"/>
  <c r="M59" i="4"/>
  <c r="L59" i="4"/>
  <c r="K59" i="4"/>
  <c r="J59" i="4"/>
  <c r="O58" i="4"/>
  <c r="N58" i="4"/>
  <c r="M58" i="4"/>
  <c r="L58" i="4"/>
  <c r="K58" i="4"/>
  <c r="J58" i="4"/>
  <c r="O17" i="4"/>
  <c r="N17" i="4"/>
  <c r="M17" i="4"/>
  <c r="L17" i="4"/>
  <c r="K17" i="4"/>
  <c r="J17" i="4"/>
  <c r="O57" i="4"/>
  <c r="N57" i="4"/>
  <c r="M57" i="4"/>
  <c r="L57" i="4"/>
  <c r="K57" i="4"/>
  <c r="J57" i="4"/>
  <c r="O56" i="4"/>
  <c r="N56" i="4"/>
  <c r="M56" i="4"/>
  <c r="L56" i="4"/>
  <c r="K56" i="4"/>
  <c r="J56" i="4"/>
  <c r="O55" i="4"/>
  <c r="N55" i="4"/>
  <c r="M55" i="4"/>
  <c r="L55" i="4"/>
  <c r="K55" i="4"/>
  <c r="J55" i="4"/>
  <c r="O15" i="4"/>
  <c r="N15" i="4"/>
  <c r="M15" i="4"/>
  <c r="L15" i="4"/>
  <c r="K15" i="4"/>
  <c r="J15" i="4"/>
  <c r="O54" i="4"/>
  <c r="N54" i="4"/>
  <c r="M54" i="4"/>
  <c r="L54" i="4"/>
  <c r="K54" i="4"/>
  <c r="J54" i="4"/>
  <c r="O14" i="4"/>
  <c r="N14" i="4"/>
  <c r="M14" i="4"/>
  <c r="L14" i="4"/>
  <c r="K14" i="4"/>
  <c r="J14" i="4"/>
  <c r="O53" i="4"/>
  <c r="N53" i="4"/>
  <c r="M53" i="4"/>
  <c r="L53" i="4"/>
  <c r="K53" i="4"/>
  <c r="J53" i="4"/>
  <c r="O52" i="4"/>
  <c r="N52" i="4"/>
  <c r="M52" i="4"/>
  <c r="L52" i="4"/>
  <c r="K52" i="4"/>
  <c r="J52" i="4"/>
  <c r="O51" i="4"/>
  <c r="N51" i="4"/>
  <c r="M51" i="4"/>
  <c r="L51" i="4"/>
  <c r="K51" i="4"/>
  <c r="J51" i="4"/>
  <c r="I11" i="4"/>
  <c r="O22" i="4"/>
  <c r="N22" i="4"/>
  <c r="M22" i="4"/>
  <c r="L22" i="4"/>
  <c r="K22" i="4"/>
  <c r="J22" i="4"/>
  <c r="P11" i="4" l="1"/>
  <c r="V11" i="4"/>
  <c r="U11" i="4"/>
  <c r="T11" i="4"/>
  <c r="S11" i="4"/>
  <c r="R11" i="4"/>
  <c r="Q11" i="4"/>
  <c r="B20" i="3" l="1"/>
  <c r="K20" i="3"/>
  <c r="J20" i="3"/>
  <c r="I20" i="3"/>
  <c r="V22" i="4" s="1"/>
  <c r="H20" i="3"/>
  <c r="G20" i="3"/>
  <c r="F20" i="3"/>
  <c r="S22" i="4" s="1"/>
  <c r="E20" i="3"/>
  <c r="R22" i="4" s="1"/>
  <c r="D20" i="3"/>
  <c r="P22" i="4"/>
  <c r="U22" i="4"/>
  <c r="T22" i="4"/>
  <c r="Q22" i="4"/>
  <c r="I15" i="3" l="1"/>
  <c r="T43" i="4" l="1"/>
  <c r="V43" i="4"/>
  <c r="T44" i="4"/>
  <c r="V44" i="4"/>
  <c r="T45" i="4"/>
  <c r="V45" i="4"/>
  <c r="O42" i="4"/>
  <c r="V42" i="4" s="1"/>
  <c r="T42" i="4"/>
  <c r="I2" i="3" l="1"/>
  <c r="G2" i="3"/>
  <c r="E61" i="4" l="1"/>
  <c r="F61" i="4" s="1"/>
  <c r="U61" i="4" s="1"/>
  <c r="E22" i="4"/>
  <c r="F22" i="4" s="1"/>
  <c r="P61" i="4"/>
  <c r="E25" i="4"/>
  <c r="F25" i="4" s="1"/>
  <c r="V25" i="4" s="1"/>
  <c r="C2" i="3"/>
  <c r="E2" i="3"/>
  <c r="T61" i="4" l="1"/>
  <c r="S61" i="4"/>
  <c r="Q61" i="4"/>
  <c r="R61" i="4"/>
  <c r="V61" i="4"/>
  <c r="N42" i="4" l="1"/>
  <c r="U42" i="4" s="1"/>
  <c r="N44" i="4"/>
  <c r="U44" i="4" s="1"/>
  <c r="N43" i="4"/>
  <c r="U43" i="4" s="1"/>
  <c r="K45" i="4"/>
  <c r="R45" i="4" s="1"/>
  <c r="L43" i="4"/>
  <c r="S43" i="4" s="1"/>
  <c r="K44" i="4"/>
  <c r="R44" i="4" s="1"/>
  <c r="N45" i="4"/>
  <c r="U45" i="4" s="1"/>
  <c r="L45" i="4"/>
  <c r="S45" i="4" s="1"/>
  <c r="K42" i="4"/>
  <c r="R42" i="4" s="1"/>
  <c r="L44" i="4"/>
  <c r="S44" i="4" s="1"/>
  <c r="L42" i="4"/>
  <c r="S42" i="4" s="1"/>
  <c r="K43" i="4"/>
  <c r="R43" i="4" s="1"/>
  <c r="N65" i="4"/>
  <c r="L40" i="4"/>
  <c r="N40" i="4"/>
  <c r="J40" i="4"/>
  <c r="O40" i="4" s="1"/>
  <c r="K40" i="4"/>
  <c r="I40" i="4"/>
  <c r="M40" i="4" s="1"/>
  <c r="V41" i="4"/>
  <c r="T41" i="4"/>
  <c r="V39" i="4"/>
  <c r="U39" i="4"/>
  <c r="T39" i="4"/>
  <c r="R39" i="4"/>
  <c r="Q39" i="4"/>
  <c r="P39" i="4"/>
  <c r="V38" i="4"/>
  <c r="U38" i="4"/>
  <c r="T38" i="4"/>
  <c r="R38" i="4"/>
  <c r="Q38" i="4"/>
  <c r="P38" i="4"/>
  <c r="V37" i="4"/>
  <c r="U37" i="4"/>
  <c r="T37" i="4"/>
  <c r="R37" i="4"/>
  <c r="Q37" i="4"/>
  <c r="P37" i="4"/>
  <c r="V32" i="4"/>
  <c r="U32" i="4"/>
  <c r="R32" i="4"/>
  <c r="Q32" i="4"/>
  <c r="O71" i="4"/>
  <c r="N71" i="4"/>
  <c r="M71" i="4"/>
  <c r="T71" i="4" s="1"/>
  <c r="O70" i="4"/>
  <c r="N70" i="4"/>
  <c r="M70" i="4"/>
  <c r="T70" i="4" s="1"/>
  <c r="L70" i="4"/>
  <c r="K70" i="4"/>
  <c r="J70" i="4"/>
  <c r="I70" i="4"/>
  <c r="O69" i="4"/>
  <c r="N69" i="4"/>
  <c r="M69" i="4"/>
  <c r="T69" i="4" s="1"/>
  <c r="L69" i="4"/>
  <c r="K69" i="4"/>
  <c r="J69" i="4"/>
  <c r="I69" i="4"/>
  <c r="O68" i="4"/>
  <c r="N68" i="4"/>
  <c r="M68" i="4"/>
  <c r="T68" i="4" s="1"/>
  <c r="L68" i="4"/>
  <c r="K68" i="4"/>
  <c r="J68" i="4"/>
  <c r="I68" i="4"/>
  <c r="O67" i="4"/>
  <c r="N67" i="4"/>
  <c r="M67" i="4"/>
  <c r="T67" i="4" s="1"/>
  <c r="L67" i="4"/>
  <c r="K67" i="4"/>
  <c r="J67" i="4"/>
  <c r="I67" i="4"/>
  <c r="O66" i="4"/>
  <c r="N66" i="4"/>
  <c r="M66" i="4"/>
  <c r="T66" i="4" s="1"/>
  <c r="L66" i="4"/>
  <c r="K66" i="4"/>
  <c r="J66" i="4"/>
  <c r="I66" i="4"/>
  <c r="O65" i="4"/>
  <c r="M65" i="4"/>
  <c r="T65" i="4" s="1"/>
  <c r="L65" i="4"/>
  <c r="K65" i="4"/>
  <c r="J65" i="4"/>
  <c r="I65" i="4"/>
  <c r="O33" i="4"/>
  <c r="V33" i="4" s="1"/>
  <c r="M33" i="4"/>
  <c r="T33" i="4" s="1"/>
  <c r="O24" i="4"/>
  <c r="O23" i="4"/>
  <c r="M23" i="4"/>
  <c r="N73" i="4" l="1"/>
  <c r="M73" i="4"/>
  <c r="O73" i="4"/>
  <c r="T40" i="4"/>
  <c r="U40" i="4"/>
  <c r="V40" i="4"/>
  <c r="P40" i="4"/>
  <c r="V34" i="4"/>
  <c r="K34" i="4"/>
  <c r="R34" i="4" s="1"/>
  <c r="L34" i="4"/>
  <c r="T34" i="4"/>
  <c r="N34" i="4"/>
  <c r="U34" i="4" s="1"/>
  <c r="K35" i="4"/>
  <c r="R35" i="4" s="1"/>
  <c r="L35" i="4"/>
  <c r="S35" i="4" s="1"/>
  <c r="N35" i="4"/>
  <c r="U35" i="4" s="1"/>
  <c r="K36" i="4"/>
  <c r="R36" i="4" s="1"/>
  <c r="L36" i="4"/>
  <c r="S36" i="4" s="1"/>
  <c r="T36" i="4"/>
  <c r="N36" i="4"/>
  <c r="U36" i="4" s="1"/>
  <c r="V36" i="4"/>
  <c r="D25" i="3"/>
  <c r="D24" i="3"/>
  <c r="D23" i="3"/>
  <c r="V35" i="4" l="1"/>
  <c r="T35" i="4"/>
  <c r="S34" i="4"/>
  <c r="J45" i="4"/>
  <c r="Q45" i="4" s="1"/>
  <c r="I42" i="4"/>
  <c r="P42" i="4" s="1"/>
  <c r="I43" i="4"/>
  <c r="P43" i="4" s="1"/>
  <c r="J42" i="4"/>
  <c r="Q42" i="4" s="1"/>
  <c r="I45" i="4"/>
  <c r="P45" i="4" s="1"/>
  <c r="J43" i="4"/>
  <c r="Q43" i="4" s="1"/>
  <c r="J44" i="4"/>
  <c r="Q44" i="4" s="1"/>
  <c r="I44" i="4"/>
  <c r="P44" i="4" s="1"/>
  <c r="I34" i="4"/>
  <c r="P34" i="4" s="1"/>
  <c r="I36" i="4"/>
  <c r="P36" i="4" s="1"/>
  <c r="J35" i="4"/>
  <c r="Q35" i="4" s="1"/>
  <c r="J34" i="4"/>
  <c r="Q34" i="4" s="1"/>
  <c r="I35" i="4"/>
  <c r="P35" i="4" s="1"/>
  <c r="J36" i="4"/>
  <c r="Q36" i="4" s="1"/>
  <c r="S40" i="4"/>
  <c r="R40" i="4"/>
  <c r="Q40" i="4"/>
  <c r="Q72" i="4"/>
  <c r="R72" i="4"/>
  <c r="S72" i="4"/>
  <c r="U72" i="4"/>
  <c r="V72" i="4"/>
  <c r="P72" i="4"/>
  <c r="P47" i="4"/>
  <c r="E23" i="4"/>
  <c r="H14" i="3" l="1"/>
  <c r="E14" i="3"/>
  <c r="D13" i="3"/>
  <c r="D12" i="3"/>
  <c r="H9" i="3"/>
  <c r="H8" i="3"/>
  <c r="H7" i="3"/>
  <c r="E9" i="3"/>
  <c r="E8" i="3"/>
  <c r="E7" i="3"/>
  <c r="D6" i="3"/>
  <c r="R25" i="4" l="1"/>
  <c r="E15" i="3"/>
  <c r="U25" i="4"/>
  <c r="I25" i="4" l="1"/>
  <c r="P25" i="4" s="1"/>
  <c r="D14" i="3"/>
  <c r="F6" i="3"/>
  <c r="Q25" i="4" l="1"/>
  <c r="D15" i="3"/>
  <c r="G14" i="3"/>
  <c r="F9" i="3"/>
  <c r="D9" i="3"/>
  <c r="F8" i="3"/>
  <c r="D8" i="3"/>
  <c r="F7" i="3"/>
  <c r="D7" i="3"/>
  <c r="H6" i="3"/>
  <c r="H15" i="3" s="1"/>
  <c r="T25" i="4" l="1"/>
  <c r="G15" i="3"/>
  <c r="S25" i="4"/>
  <c r="F15" i="3"/>
  <c r="N23" i="4"/>
  <c r="D27" i="3"/>
  <c r="Q47" i="4" l="1"/>
  <c r="R47" i="4"/>
  <c r="S47" i="4"/>
  <c r="U47" i="4"/>
  <c r="V47" i="4"/>
  <c r="V71" i="4"/>
  <c r="P66" i="4"/>
  <c r="R66" i="4"/>
  <c r="S66" i="4"/>
  <c r="U66" i="4"/>
  <c r="P67" i="4"/>
  <c r="R67" i="4"/>
  <c r="S67" i="4"/>
  <c r="U67" i="4"/>
  <c r="V67" i="4"/>
  <c r="P68" i="4"/>
  <c r="R68" i="4"/>
  <c r="S68" i="4"/>
  <c r="U68" i="4"/>
  <c r="V68" i="4"/>
  <c r="P69" i="4"/>
  <c r="R69" i="4"/>
  <c r="S69" i="4"/>
  <c r="U69" i="4"/>
  <c r="V69" i="4"/>
  <c r="P70" i="4"/>
  <c r="S70" i="4"/>
  <c r="U70" i="4"/>
  <c r="I71" i="4"/>
  <c r="I73" i="4" s="1"/>
  <c r="J71" i="4"/>
  <c r="J73" i="4" s="1"/>
  <c r="K71" i="4"/>
  <c r="K73" i="4" s="1"/>
  <c r="L71" i="4"/>
  <c r="L73" i="4" s="1"/>
  <c r="U71" i="4"/>
  <c r="Q65" i="4"/>
  <c r="R65" i="4"/>
  <c r="S65" i="4"/>
  <c r="U65" i="4"/>
  <c r="V65" i="4"/>
  <c r="P65" i="4"/>
  <c r="Q66" i="4"/>
  <c r="V66" i="4"/>
  <c r="Q67" i="4"/>
  <c r="Q68" i="4"/>
  <c r="Q69" i="4"/>
  <c r="Q70" i="4"/>
  <c r="R70" i="4"/>
  <c r="V70" i="4"/>
  <c r="F67" i="4"/>
  <c r="F68" i="4"/>
  <c r="F69" i="4"/>
  <c r="F70" i="4"/>
  <c r="F65" i="4"/>
  <c r="E7" i="4"/>
  <c r="R71" i="4" l="1"/>
  <c r="S71" i="4"/>
  <c r="Q71" i="4"/>
  <c r="P71" i="4"/>
  <c r="K33" i="4"/>
  <c r="R33" i="4" s="1"/>
  <c r="S33" i="4"/>
  <c r="N33" i="4"/>
  <c r="U33" i="4" s="1"/>
  <c r="P33" i="4"/>
  <c r="J33" i="4"/>
  <c r="Q33" i="4" s="1"/>
  <c r="E24" i="4"/>
  <c r="F24" i="4" s="1"/>
  <c r="V24" i="4" s="1"/>
  <c r="J23" i="4"/>
  <c r="K23" i="4"/>
  <c r="L23" i="4"/>
  <c r="J24" i="4"/>
  <c r="K24" i="4"/>
  <c r="L24" i="4"/>
  <c r="M24" i="4"/>
  <c r="N24" i="4"/>
  <c r="I27" i="4"/>
  <c r="I28" i="4"/>
  <c r="P28" i="4" s="1"/>
  <c r="I26" i="4"/>
  <c r="P26" i="4" s="1"/>
  <c r="I24" i="4"/>
  <c r="P24" i="4" s="1"/>
  <c r="Q24" i="4" l="1"/>
  <c r="R24" i="4"/>
  <c r="S24" i="4"/>
  <c r="T24" i="4"/>
  <c r="U24" i="4"/>
  <c r="F2" i="9" l="1"/>
  <c r="N2" i="4"/>
  <c r="A25" i="2" l="1"/>
  <c r="A24" i="2"/>
  <c r="A23" i="2"/>
  <c r="A22" i="2"/>
  <c r="A21" i="2"/>
  <c r="A20" i="2"/>
  <c r="A19" i="2"/>
  <c r="A18" i="2"/>
  <c r="A17" i="2"/>
  <c r="A16" i="2"/>
  <c r="E60" i="4"/>
  <c r="F60" i="4" s="1"/>
  <c r="R60" i="4" s="1"/>
  <c r="E59" i="4"/>
  <c r="F59" i="4" s="1"/>
  <c r="U59" i="4" s="1"/>
  <c r="E57" i="4"/>
  <c r="F57" i="4" s="1"/>
  <c r="E56" i="4"/>
  <c r="F56" i="4" s="1"/>
  <c r="U56" i="4" s="1"/>
  <c r="E55" i="4"/>
  <c r="F55" i="4" s="1"/>
  <c r="E53" i="4"/>
  <c r="F53" i="4" s="1"/>
  <c r="P53" i="4" s="1"/>
  <c r="E52" i="4"/>
  <c r="F52" i="4" s="1"/>
  <c r="E12" i="4"/>
  <c r="F12" i="4" s="1"/>
  <c r="G17" i="9"/>
  <c r="E51" i="4"/>
  <c r="F51" i="4" s="1"/>
  <c r="E10" i="4"/>
  <c r="F10" i="4" s="1"/>
  <c r="R10" i="4" s="1"/>
  <c r="E9" i="4"/>
  <c r="F9" i="4" s="1"/>
  <c r="P9" i="4" s="1"/>
  <c r="E8" i="4"/>
  <c r="F8" i="4" s="1"/>
  <c r="F7" i="4"/>
  <c r="U7" i="4" s="1"/>
  <c r="A2" i="4"/>
  <c r="B2" i="4"/>
  <c r="D2" i="4"/>
  <c r="E2" i="4"/>
  <c r="F2" i="4"/>
  <c r="G2" i="4"/>
  <c r="J2" i="4"/>
  <c r="L2" i="4"/>
  <c r="E14" i="4"/>
  <c r="F14" i="4" s="1"/>
  <c r="R14" i="4" s="1"/>
  <c r="E54" i="4"/>
  <c r="F54" i="4" s="1"/>
  <c r="E15" i="4"/>
  <c r="F15" i="4" s="1"/>
  <c r="E17" i="4"/>
  <c r="E58" i="4"/>
  <c r="F58" i="4" s="1"/>
  <c r="P58" i="4" s="1"/>
  <c r="E19" i="4"/>
  <c r="F19" i="4" s="1"/>
  <c r="S19" i="4" s="1"/>
  <c r="E20" i="4"/>
  <c r="F20" i="4" s="1"/>
  <c r="P20" i="4" s="1"/>
  <c r="E21" i="4"/>
  <c r="F21" i="4" s="1"/>
  <c r="F23" i="4"/>
  <c r="U23" i="4" s="1"/>
  <c r="E26" i="4"/>
  <c r="F26" i="4" s="1"/>
  <c r="S26" i="4"/>
  <c r="U26" i="4"/>
  <c r="E27" i="4"/>
  <c r="F27" i="4" s="1"/>
  <c r="P27" i="4" s="1"/>
  <c r="R27" i="4"/>
  <c r="S27" i="4"/>
  <c r="U27" i="4"/>
  <c r="E28" i="4"/>
  <c r="F28" i="4" s="1"/>
  <c r="S28" i="4"/>
  <c r="U28" i="4"/>
  <c r="E30" i="4"/>
  <c r="P41" i="4"/>
  <c r="K41" i="4"/>
  <c r="R41" i="4" s="1"/>
  <c r="L41" i="4"/>
  <c r="C17" i="9"/>
  <c r="R49" i="4"/>
  <c r="D17" i="9" s="1"/>
  <c r="S49" i="4"/>
  <c r="E17" i="9" s="1"/>
  <c r="Q26" i="4"/>
  <c r="J41" i="4"/>
  <c r="Q41" i="4" s="1"/>
  <c r="A2" i="9"/>
  <c r="C2" i="9"/>
  <c r="D2" i="9"/>
  <c r="E2" i="9"/>
  <c r="Q27" i="4"/>
  <c r="Q23" i="4"/>
  <c r="Q28" i="4"/>
  <c r="Q53" i="4" l="1"/>
  <c r="S23" i="4"/>
  <c r="R23" i="4"/>
  <c r="U19" i="4"/>
  <c r="U20" i="4"/>
  <c r="S20" i="4"/>
  <c r="R20" i="4"/>
  <c r="U41" i="4"/>
  <c r="S41" i="4"/>
  <c r="Q20" i="4"/>
  <c r="Q52" i="4"/>
  <c r="Q12" i="4"/>
  <c r="Q19" i="4"/>
  <c r="R9" i="4"/>
  <c r="U60" i="4"/>
  <c r="R19" i="4"/>
  <c r="Q15" i="4"/>
  <c r="P19" i="4"/>
  <c r="S15" i="4"/>
  <c r="P15" i="4"/>
  <c r="S58" i="4"/>
  <c r="S56" i="4"/>
  <c r="U8" i="4"/>
  <c r="Q54" i="4"/>
  <c r="R8" i="4"/>
  <c r="R58" i="4"/>
  <c r="P10" i="4"/>
  <c r="Q58" i="4"/>
  <c r="R53" i="4"/>
  <c r="U53" i="4"/>
  <c r="R15" i="4"/>
  <c r="S53" i="4"/>
  <c r="R59" i="4"/>
  <c r="Q9" i="4"/>
  <c r="S59" i="4"/>
  <c r="R51" i="4"/>
  <c r="Q10" i="4"/>
  <c r="Q21" i="4"/>
  <c r="S21" i="4"/>
  <c r="U9" i="4"/>
  <c r="P56" i="4"/>
  <c r="P52" i="4"/>
  <c r="R52" i="4"/>
  <c r="S52" i="4"/>
  <c r="U21" i="4"/>
  <c r="R21" i="4"/>
  <c r="P21" i="4"/>
  <c r="V60" i="4"/>
  <c r="P60" i="4"/>
  <c r="S60" i="4"/>
  <c r="V59" i="4"/>
  <c r="P59" i="4"/>
  <c r="V58" i="4"/>
  <c r="U58" i="4"/>
  <c r="P57" i="4"/>
  <c r="Q57" i="4"/>
  <c r="R57" i="4"/>
  <c r="S57" i="4"/>
  <c r="U57" i="4"/>
  <c r="Q56" i="4"/>
  <c r="R56" i="4"/>
  <c r="P55" i="4"/>
  <c r="Q55" i="4"/>
  <c r="U55" i="4"/>
  <c r="S55" i="4"/>
  <c r="R55" i="4"/>
  <c r="U15" i="4"/>
  <c r="U54" i="4"/>
  <c r="S54" i="4"/>
  <c r="R54" i="4"/>
  <c r="P54" i="4"/>
  <c r="P14" i="4"/>
  <c r="Q14" i="4"/>
  <c r="U14" i="4"/>
  <c r="S14" i="4"/>
  <c r="V53" i="4"/>
  <c r="T53" i="4"/>
  <c r="U52" i="4"/>
  <c r="S51" i="4"/>
  <c r="P51" i="4"/>
  <c r="Q51" i="4"/>
  <c r="U51" i="4"/>
  <c r="U10" i="4"/>
  <c r="S10" i="4"/>
  <c r="P12" i="4"/>
  <c r="R12" i="4"/>
  <c r="S12" i="4"/>
  <c r="U12" i="4"/>
  <c r="S9" i="4"/>
  <c r="Q8" i="4"/>
  <c r="S8" i="4"/>
  <c r="S7" i="4"/>
  <c r="P7" i="4"/>
  <c r="T23" i="4"/>
  <c r="V23" i="4"/>
  <c r="T58" i="4"/>
  <c r="T59" i="4"/>
  <c r="T60" i="4"/>
  <c r="T56" i="4"/>
  <c r="V56" i="4"/>
  <c r="T19" i="4"/>
  <c r="V19" i="4"/>
  <c r="V14" i="4"/>
  <c r="T14" i="4"/>
  <c r="T51" i="4"/>
  <c r="V51" i="4"/>
  <c r="T55" i="4"/>
  <c r="V55" i="4"/>
  <c r="T20" i="4"/>
  <c r="V20" i="4"/>
  <c r="V54" i="4"/>
  <c r="T54" i="4"/>
  <c r="T52" i="4"/>
  <c r="V52" i="4"/>
  <c r="V7" i="4"/>
  <c r="T7" i="4"/>
  <c r="V12" i="4"/>
  <c r="T12" i="4"/>
  <c r="V8" i="4"/>
  <c r="T8" i="4"/>
  <c r="T10" i="4"/>
  <c r="V10" i="4"/>
  <c r="V57" i="4"/>
  <c r="T57" i="4"/>
  <c r="T21" i="4"/>
  <c r="V21" i="4"/>
  <c r="V15" i="4"/>
  <c r="T15" i="4"/>
  <c r="T9" i="4"/>
  <c r="V9" i="4"/>
  <c r="N30" i="4"/>
  <c r="N48" i="4" s="1"/>
  <c r="L30" i="4"/>
  <c r="L48" i="4" s="1"/>
  <c r="O30" i="4"/>
  <c r="O48" i="4" s="1"/>
  <c r="I30" i="4"/>
  <c r="I48" i="4" s="1"/>
  <c r="M30" i="4"/>
  <c r="M48" i="4" s="1"/>
  <c r="P8" i="4"/>
  <c r="R7" i="4"/>
  <c r="F17" i="4"/>
  <c r="R17" i="4" s="1"/>
  <c r="Q7" i="4"/>
  <c r="F30" i="4"/>
  <c r="J30" i="4"/>
  <c r="K30" i="4"/>
  <c r="K48" i="4" s="1"/>
  <c r="Q59" i="4"/>
  <c r="Q60" i="4"/>
  <c r="R73" i="4" l="1"/>
  <c r="Q30" i="4"/>
  <c r="P73" i="4"/>
  <c r="S73" i="4"/>
  <c r="J48" i="4"/>
  <c r="V73" i="4"/>
  <c r="U73" i="4"/>
  <c r="T73" i="4"/>
  <c r="Q73" i="4"/>
  <c r="S30" i="4"/>
  <c r="U30" i="4"/>
  <c r="T30" i="4"/>
  <c r="V17" i="4"/>
  <c r="S17" i="4"/>
  <c r="P17" i="4"/>
  <c r="Q17" i="4"/>
  <c r="T17" i="4"/>
  <c r="P30" i="4"/>
  <c r="V30" i="4"/>
  <c r="R30" i="4"/>
  <c r="R48" i="4" s="1"/>
  <c r="V48" i="4" l="1"/>
  <c r="H7" i="9" s="1"/>
  <c r="S48" i="4"/>
  <c r="E7" i="9" s="1"/>
  <c r="T48" i="4"/>
  <c r="F7" i="9" s="1"/>
  <c r="P48" i="4"/>
  <c r="B7" i="9" s="1"/>
  <c r="Q48" i="4"/>
  <c r="C7" i="9" s="1"/>
  <c r="D7" i="9"/>
  <c r="U17" i="4"/>
  <c r="U48" i="4" s="1"/>
  <c r="G7" i="9" l="1"/>
</calcChain>
</file>

<file path=xl/sharedStrings.xml><?xml version="1.0" encoding="utf-8"?>
<sst xmlns="http://schemas.openxmlformats.org/spreadsheetml/2006/main" count="2159" uniqueCount="230">
  <si>
    <t xml:space="preserve"> </t>
  </si>
  <si>
    <t>COMPANY</t>
  </si>
  <si>
    <t>AREA</t>
  </si>
  <si>
    <t>BLOCK</t>
  </si>
  <si>
    <t xml:space="preserve">   </t>
  </si>
  <si>
    <t>LEASE</t>
  </si>
  <si>
    <t xml:space="preserve">  </t>
  </si>
  <si>
    <t>WELL</t>
  </si>
  <si>
    <t xml:space="preserve">    </t>
  </si>
  <si>
    <t>COMPANY CONTACT</t>
  </si>
  <si>
    <t>TELEPHONE NO.</t>
  </si>
  <si>
    <t>REMARKS</t>
  </si>
  <si>
    <t>LEASE TERM PIPELINE CONSTRUCTION INFORMATION:</t>
  </si>
  <si>
    <t>YEAR</t>
  </si>
  <si>
    <t>NUMBER OF</t>
  </si>
  <si>
    <t>TOTAL NUMBER OF CONSTRUCTION DAYS</t>
  </si>
  <si>
    <t>PIPELINES</t>
  </si>
  <si>
    <t>Fuel Usage Conversion Factors</t>
  </si>
  <si>
    <t>Natural Gas Turbines</t>
  </si>
  <si>
    <t>Natural Gas Engines</t>
  </si>
  <si>
    <t>Diesel Recip. Engine</t>
  </si>
  <si>
    <t>REF.</t>
  </si>
  <si>
    <t>DATE</t>
  </si>
  <si>
    <t>SCF/hp-hr</t>
  </si>
  <si>
    <t>GAL/hp-hr</t>
  </si>
  <si>
    <t>AP42 3.2-1</t>
  </si>
  <si>
    <t>Equipment/Emission Factors</t>
  </si>
  <si>
    <t>units</t>
  </si>
  <si>
    <t>SOx</t>
  </si>
  <si>
    <t>NOx</t>
  </si>
  <si>
    <t>VOC</t>
  </si>
  <si>
    <t>CO</t>
  </si>
  <si>
    <t>10/96</t>
  </si>
  <si>
    <t>AP42 3.3-1</t>
  </si>
  <si>
    <t>Diesel Boiler</t>
  </si>
  <si>
    <t>lbs/bbl</t>
  </si>
  <si>
    <t>Liquid Flaring</t>
  </si>
  <si>
    <t>Fugitives</t>
  </si>
  <si>
    <t>API Study</t>
  </si>
  <si>
    <t xml:space="preserve"> 12/93</t>
  </si>
  <si>
    <t>Value</t>
  </si>
  <si>
    <t>Units</t>
  </si>
  <si>
    <t>Fuel Gas</t>
  </si>
  <si>
    <t>ppm</t>
  </si>
  <si>
    <t>Diesel Fuel</t>
  </si>
  <si>
    <t>% weight</t>
  </si>
  <si>
    <t>Produced Oil (Liquid Flaring)</t>
  </si>
  <si>
    <t xml:space="preserve"> PHONE</t>
  </si>
  <si>
    <t>OPERATIONS</t>
  </si>
  <si>
    <t>EQUIPMENT</t>
  </si>
  <si>
    <t>RATING</t>
  </si>
  <si>
    <t>MAX. FUEL</t>
  </si>
  <si>
    <t>ACT. FUEL</t>
  </si>
  <si>
    <t>RUN TIME</t>
  </si>
  <si>
    <t>MAXIMUM POUNDS PER HOUR</t>
  </si>
  <si>
    <t>ESTIMATED TONS</t>
  </si>
  <si>
    <t>Diesel Engines</t>
  </si>
  <si>
    <t>HP</t>
  </si>
  <si>
    <t>GAL/HR</t>
  </si>
  <si>
    <t>GAL/D</t>
  </si>
  <si>
    <t>Nat. Gas Engines</t>
  </si>
  <si>
    <t>SCF/HR</t>
  </si>
  <si>
    <t>SCF/D</t>
  </si>
  <si>
    <t>Burners</t>
  </si>
  <si>
    <t>MMBTU/HR</t>
  </si>
  <si>
    <t>HR/D</t>
  </si>
  <si>
    <t>DRILLING</t>
  </si>
  <si>
    <t>PIPELINE</t>
  </si>
  <si>
    <t>INSTALLATION</t>
  </si>
  <si>
    <t>FACILITY</t>
  </si>
  <si>
    <t>PRODUCTION</t>
  </si>
  <si>
    <t>MISC.</t>
  </si>
  <si>
    <t>BPD</t>
  </si>
  <si>
    <t>COUNT</t>
  </si>
  <si>
    <t>WELL TEST</t>
  </si>
  <si>
    <t>EXEMPTION CALCULATION</t>
  </si>
  <si>
    <t>DISTANCE FROM LAND IN MILES</t>
  </si>
  <si>
    <t xml:space="preserve"> LEASE</t>
  </si>
  <si>
    <t>Year</t>
  </si>
  <si>
    <t>Allowable</t>
  </si>
  <si>
    <t>Sulphur Content Source</t>
  </si>
  <si>
    <t>D/YR</t>
  </si>
  <si>
    <t>Pb</t>
  </si>
  <si>
    <t>Diesel Turbine</t>
  </si>
  <si>
    <t>AP42 3.1-1&amp; 3.1-2a</t>
  </si>
  <si>
    <t>4/00</t>
  </si>
  <si>
    <t>7/00</t>
  </si>
  <si>
    <t>AP42 3.2-2</t>
  </si>
  <si>
    <t>AP42 3.2-3</t>
  </si>
  <si>
    <t>AP42 3.4-1 &amp; 3.4-2</t>
  </si>
  <si>
    <t>NH3</t>
  </si>
  <si>
    <t>CONTACT</t>
  </si>
  <si>
    <t>Diesel Turbines</t>
  </si>
  <si>
    <t>g/hp-hr</t>
  </si>
  <si>
    <t>lbs/MMscf</t>
  </si>
  <si>
    <t>N/A</t>
  </si>
  <si>
    <t>lbs/gal </t>
  </si>
  <si>
    <t>On-Ice – Other Construction Equipment</t>
  </si>
  <si>
    <t xml:space="preserve">On-Ice – Other Survey Equipment </t>
  </si>
  <si>
    <t>On-Ice – Truck (for gravel island)</t>
  </si>
  <si>
    <t>On-Ice – Truck (for surveys)</t>
  </si>
  <si>
    <t>Man Camp - Operation</t>
  </si>
  <si>
    <t>tons/person/day</t>
  </si>
  <si>
    <t>Density</t>
  </si>
  <si>
    <t>Density and Heat Value of Diesel Fuel</t>
  </si>
  <si>
    <t>lbs/gal</t>
  </si>
  <si>
    <t>Heat Value</t>
  </si>
  <si>
    <t>Btu/lb</t>
  </si>
  <si>
    <t>Heat Value of Natural Gas</t>
  </si>
  <si>
    <t>MMBtu/MMscf</t>
  </si>
  <si>
    <t>g/kW-hr</t>
  </si>
  <si>
    <t>kW</t>
  </si>
  <si>
    <t>EQUIPMENT ID</t>
  </si>
  <si>
    <t>On-Ice – Other Survey Equipment</t>
  </si>
  <si>
    <t xml:space="preserve">On-Ice – Truck (for surveys) </t>
  </si>
  <si>
    <t>AP42 1.3-6; Pb and NH3: WebFIRE (08/2018)</t>
  </si>
  <si>
    <t>AP42 1.4-1 &amp; 1.4-2; Pb and NH3: WebFIRE (08/2018)</t>
  </si>
  <si>
    <t>lb/ton</t>
  </si>
  <si>
    <t>On-Ice Equipment</t>
  </si>
  <si>
    <t>--</t>
  </si>
  <si>
    <t>Diesel Recip. &lt; 600 hp</t>
  </si>
  <si>
    <t>Diesel Recip. &gt; 600 hp</t>
  </si>
  <si>
    <t>USEPA NONROAD2008 model</t>
  </si>
  <si>
    <t>USEPA NEI 2014</t>
  </si>
  <si>
    <t>AP 42 2.1-12</t>
  </si>
  <si>
    <t>BOEM 2014-1001</t>
  </si>
  <si>
    <t>Vessels – Propulsion</t>
  </si>
  <si>
    <t>VESSELS- Crew Diesel</t>
  </si>
  <si>
    <t>VESSELS - Supply Diesel</t>
  </si>
  <si>
    <t>VESSELS - Tugs Diesel</t>
  </si>
  <si>
    <t>VESSELS - Crew Diesel</t>
  </si>
  <si>
    <t>VESSELS - Material Tug Diesel</t>
  </si>
  <si>
    <t>VESSELS - Support Diesel</t>
  </si>
  <si>
    <t>VESSELS - Ice Management Diesel</t>
  </si>
  <si>
    <t>VESSELS - Heavy Lift Vessel/Derrick Barge Diesel</t>
  </si>
  <si>
    <t>Facility Emitted Substance</t>
  </si>
  <si>
    <t>Facility Total Emissions</t>
  </si>
  <si>
    <t>Non-Facility Total Emissions</t>
  </si>
  <si>
    <t>REMARKS*</t>
  </si>
  <si>
    <t>* Indicate if the calculated projected emission estimates are for a facility, a temporary facility, or construction activities of a facility (including installation activities for lease-term pipelines).</t>
  </si>
  <si>
    <t>Storage Tank</t>
  </si>
  <si>
    <t>Cold Vent</t>
  </si>
  <si>
    <t>Glycol Dehydrator</t>
  </si>
  <si>
    <t>COMBUSTION FLARE - no smoke</t>
  </si>
  <si>
    <t>COMBUSTION FLARE - light smoke</t>
  </si>
  <si>
    <t>COMBUSTION FLARE - medium smoke</t>
  </si>
  <si>
    <t>COMBUSTION FLARE - heavy smoke</t>
  </si>
  <si>
    <t>STORAGE TANK</t>
  </si>
  <si>
    <t>COLD VENT</t>
  </si>
  <si>
    <t>FUGITIVES</t>
  </si>
  <si>
    <t>GLYCOL DEHYDRATOR</t>
  </si>
  <si>
    <t>PEOPLE/DAY</t>
  </si>
  <si>
    <t>PM</t>
  </si>
  <si>
    <t>VESSELS - Shuttle Tankers</t>
  </si>
  <si>
    <t>VESSELS - Well Stimulation</t>
  </si>
  <si>
    <t>WASTE INCINERATOR</t>
  </si>
  <si>
    <t>VESSELS - Hovercraft Diesel</t>
  </si>
  <si>
    <t>tons/yr/vent</t>
  </si>
  <si>
    <t>2014 Gulfwide Inventory; Avg emiss (upper bound of 95% CI)</t>
  </si>
  <si>
    <t>tons/yr/dehydrator</t>
  </si>
  <si>
    <t>2011 Gulfwide Inventory; Avg emiss (upper bound of 95% CI)</t>
  </si>
  <si>
    <t>tons/yr/tank</t>
  </si>
  <si>
    <t>Reference Links</t>
  </si>
  <si>
    <t>https://www.boem.gov/environment/environmental-studies/2014-gulfwide-emission-inventory</t>
  </si>
  <si>
    <t>https://www.boem.gov/environment/environmental-studies/2011-gulfwide-emission-inventory</t>
  </si>
  <si>
    <t>https://www3.epa.gov/ttnchie1/ap42/ch02/final/c02s01.pdf</t>
  </si>
  <si>
    <t>https://www.epa.gov/moves/nonroad2008a-installation-and-updates</t>
  </si>
  <si>
    <t>https://www.epa.gov/air-emissions-inventories/2014-national-emissions-inventory-nei-data</t>
  </si>
  <si>
    <t>https://www3.epa.gov/ttnchie1/ap42/ch03/final/c03s01.pdf</t>
  </si>
  <si>
    <t>https://www3.epa.gov/ttn/chief/ap42/ch03/final/c03s02.pdf</t>
  </si>
  <si>
    <t>https://www3.epa.gov/ttnchie1/ap42/ch03/final/c03s03.pdf</t>
  </si>
  <si>
    <t>https://www3.epa.gov/ttn/chief/ap42/ch03/final/c03s04.pdf</t>
  </si>
  <si>
    <t>Man Camp - Operation (maximum people per day)</t>
  </si>
  <si>
    <t>https://www3.epa.gov/ttnchie1/ap42/ch01/final/c01s03.pdf
https://cfpub.epa.gov/webfire/</t>
  </si>
  <si>
    <t>https://www3.epa.gov/ttnchie1/ap42/ch03/final/c03s01.pdf
https://cfpub.epa.gov/webfire/</t>
  </si>
  <si>
    <t>Dual Fuel Turbine</t>
  </si>
  <si>
    <t>Waste Incinerator</t>
  </si>
  <si>
    <t>On-Ice – Loader</t>
  </si>
  <si>
    <t>On-Ice – Tractor</t>
  </si>
  <si>
    <t>3/19</t>
  </si>
  <si>
    <t>9/98 and 5/10</t>
  </si>
  <si>
    <t>7/98 and 8/18</t>
  </si>
  <si>
    <t>Man Camp - Operation (max people/day)</t>
  </si>
  <si>
    <t>Produced Gas (Flare)</t>
  </si>
  <si>
    <t>VESSELS</t>
  </si>
  <si>
    <t>lbs/hr/component</t>
  </si>
  <si>
    <t>https://www.epa.gov/air-emissions-inventories/2017-national-emissions-inventory-nei-data</t>
  </si>
  <si>
    <t>https://www3.epa.gov/ttnchie1/ap42/ch01/final/c01s03.pdf</t>
  </si>
  <si>
    <t>VESSELS - Pipeline Laying Vessel - Diesel</t>
  </si>
  <si>
    <t>https://www.api.org/</t>
  </si>
  <si>
    <t>VESSELS- Drilling - Propulsion Engine - Diesel</t>
  </si>
  <si>
    <t>Vessels – Drilling Prime Engine, Auxilliary</t>
  </si>
  <si>
    <t>VESSELS - Pipeline Burying - Diesel</t>
  </si>
  <si>
    <t>RECIP.&lt;600hp Diesel</t>
  </si>
  <si>
    <t>RECIP.&gt;600hp Diesel</t>
  </si>
  <si>
    <t>RECIP. 2 Cycle Lean Natural Gas</t>
  </si>
  <si>
    <t>RECIP. 4 Cycle Lean Natural Gas</t>
  </si>
  <si>
    <t>RECIP. 4 Cycle Rich Natural Gas</t>
  </si>
  <si>
    <t>Combustion Flare (no smoke)</t>
  </si>
  <si>
    <t>Combustion Flare (light smoke)</t>
  </si>
  <si>
    <t>Combustion Flare (medium smoke)</t>
  </si>
  <si>
    <t>Combustion Flare (heavy smoke)</t>
  </si>
  <si>
    <t>AP42 13.5-1, 13.5-2</t>
  </si>
  <si>
    <t>2/18</t>
  </si>
  <si>
    <t>https://www3.epa.gov/ttnchie1/ap42/ch01/final/c01s04.pdf
https://cfpub.epa.gov/webfire/</t>
  </si>
  <si>
    <t>https://www3.epa.gov/ttn/chief/ap42/ch13/final/C13S05_02-05-18.pdf</t>
  </si>
  <si>
    <t>VOC Content of Flare Gas</t>
  </si>
  <si>
    <t>lb VOC/lb-mol gas</t>
  </si>
  <si>
    <t>%</t>
  </si>
  <si>
    <t>5/10</t>
  </si>
  <si>
    <t>AP42 1.3-1 through 1.3-3 and 1.3-5</t>
  </si>
  <si>
    <t>https://www.boem.gov/sites/default/files/uploadedFiles/BOEM/BOEM_Newsroom/Library/Publications/2014-1001.pdf</t>
  </si>
  <si>
    <t>VESSELS - Support Diesel, Laying</t>
  </si>
  <si>
    <t>VESSELS - Support Diesel, Burying</t>
  </si>
  <si>
    <t>FACILITY INSTALLATION</t>
  </si>
  <si>
    <t>ALASKA-SPECIFIC SOURCES</t>
  </si>
  <si>
    <t xml:space="preserve">https://www.boem.gov/environment/environmental-studies/2014-gulfwide-emission-inventory  </t>
  </si>
  <si>
    <t>EPA CMV model (2019)</t>
  </si>
  <si>
    <t>Natural Gas Turbine</t>
  </si>
  <si>
    <t>Natural Gas Heater/Boiler/Burner</t>
  </si>
  <si>
    <t xml:space="preserve">Vessels – Well Stimulation </t>
  </si>
  <si>
    <t>Vessels - Hovercraft Diesel</t>
  </si>
  <si>
    <t>Vessels - Ice Management Diesel</t>
  </si>
  <si>
    <t>Natural Gas Flare Parameters</t>
  </si>
  <si>
    <t>Natural Gas Flare Efficiency</t>
  </si>
  <si>
    <t>Vessels –  Diesel Boiler</t>
  </si>
  <si>
    <t>Vessels - Diesel Boiler</t>
  </si>
  <si>
    <t>EPA CMV model (2019); PM: refer to Diesel Recip. &gt; 600 hp reference</t>
  </si>
  <si>
    <t>AP42 3.1-1 &amp; 3.1-2a</t>
  </si>
  <si>
    <t>AP42 3.1-1&amp; 3.1-2a; AP42 3.1-1 &amp; 3.1-2a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</si>
</sst>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[$-409]mmm\-yy;@"/>
    <numFmt numFmtId="168" formatCode="0.00000000000000"/>
  </numFmts>
  <fonts count="10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u/>
      <sz val="10"/>
      <color theme="10"/>
      <name val="MS Sans Serif"/>
    </font>
    <font>
      <sz val="12"/>
      <color rgb="FF222222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lightGray"/>
    </fill>
    <fill>
      <patternFill patternType="darkGray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darkGray">
        <bgColor theme="8" tint="0.79998168889431442"/>
      </patternFill>
    </fill>
    <fill>
      <patternFill patternType="solid">
        <fgColor theme="5" tint="0.59999389629810485"/>
        <bgColor indexed="64"/>
      </patternFill>
    </fill>
    <fill>
      <patternFill patternType="darkGray">
        <bgColor theme="5" tint="0.59999389629810485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8">
    <xf numFmtId="0" fontId="0" fillId="0" borderId="0" xfId="0"/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" fontId="3" fillId="0" borderId="14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0" xfId="0" applyNumberFormat="1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Continuous" vertical="center"/>
    </xf>
    <xf numFmtId="0" fontId="1" fillId="0" borderId="28" xfId="0" applyFont="1" applyBorder="1" applyAlignment="1">
      <alignment horizontal="centerContinuous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/>
    <xf numFmtId="164" fontId="1" fillId="0" borderId="30" xfId="0" applyNumberFormat="1" applyFont="1" applyBorder="1"/>
    <xf numFmtId="2" fontId="2" fillId="0" borderId="3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1" fillId="1" borderId="7" xfId="0" applyFont="1" applyFill="1" applyBorder="1" applyAlignment="1">
      <alignment horizontal="center" vertical="center"/>
    </xf>
    <xf numFmtId="0" fontId="1" fillId="1" borderId="54" xfId="0" applyFont="1" applyFill="1" applyBorder="1" applyAlignment="1">
      <alignment horizontal="center" vertical="center"/>
    </xf>
    <xf numFmtId="0" fontId="1" fillId="1" borderId="55" xfId="0" applyFont="1" applyFill="1" applyBorder="1" applyAlignment="1">
      <alignment horizontal="center" vertical="center"/>
    </xf>
    <xf numFmtId="0" fontId="1" fillId="1" borderId="9" xfId="0" applyFont="1" applyFill="1" applyBorder="1" applyAlignment="1">
      <alignment horizontal="center" vertical="center"/>
    </xf>
    <xf numFmtId="0" fontId="1" fillId="1" borderId="56" xfId="0" applyFont="1" applyFill="1" applyBorder="1" applyAlignment="1">
      <alignment horizontal="center" vertical="center"/>
    </xf>
    <xf numFmtId="0" fontId="1" fillId="1" borderId="57" xfId="0" applyFont="1" applyFill="1" applyBorder="1" applyAlignment="1">
      <alignment horizontal="center" vertical="center"/>
    </xf>
    <xf numFmtId="0" fontId="1" fillId="1" borderId="35" xfId="0" applyFont="1" applyFill="1" applyBorder="1" applyAlignment="1">
      <alignment horizontal="center" vertical="center"/>
    </xf>
    <xf numFmtId="0" fontId="1" fillId="1" borderId="58" xfId="0" applyFont="1" applyFill="1" applyBorder="1" applyAlignment="1">
      <alignment horizontal="center" vertical="center"/>
    </xf>
    <xf numFmtId="0" fontId="1" fillId="1" borderId="59" xfId="0" applyFont="1" applyFill="1" applyBorder="1" applyAlignment="1">
      <alignment horizontal="center" vertical="center"/>
    </xf>
    <xf numFmtId="0" fontId="1" fillId="1" borderId="60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2" fontId="1" fillId="0" borderId="63" xfId="0" applyNumberFormat="1" applyFont="1" applyBorder="1" applyAlignment="1">
      <alignment horizontal="center" vertical="center"/>
    </xf>
    <xf numFmtId="164" fontId="1" fillId="0" borderId="64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7" fontId="3" fillId="0" borderId="14" xfId="0" quotePrefix="1" applyNumberFormat="1" applyFont="1" applyBorder="1" applyAlignment="1">
      <alignment horizontal="center" vertical="center"/>
    </xf>
    <xf numFmtId="0" fontId="1" fillId="1" borderId="0" xfId="0" applyFont="1" applyFill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1" fillId="0" borderId="36" xfId="0" applyNumberFormat="1" applyFont="1" applyBorder="1"/>
    <xf numFmtId="164" fontId="3" fillId="0" borderId="77" xfId="0" applyNumberFormat="1" applyFont="1" applyBorder="1" applyAlignment="1">
      <alignment horizontal="center"/>
    </xf>
    <xf numFmtId="0" fontId="1" fillId="1" borderId="81" xfId="0" applyFont="1" applyFill="1" applyBorder="1" applyAlignment="1">
      <alignment horizontal="center" vertical="center"/>
    </xf>
    <xf numFmtId="0" fontId="1" fillId="1" borderId="8" xfId="0" applyFont="1" applyFill="1" applyBorder="1" applyAlignment="1">
      <alignment horizontal="center" vertical="center"/>
    </xf>
    <xf numFmtId="0" fontId="1" fillId="1" borderId="53" xfId="0" applyFont="1" applyFill="1" applyBorder="1" applyAlignment="1">
      <alignment horizontal="center" vertical="center"/>
    </xf>
    <xf numFmtId="0" fontId="1" fillId="1" borderId="82" xfId="0" applyFont="1" applyFill="1" applyBorder="1" applyAlignment="1">
      <alignment horizontal="center" vertical="center"/>
    </xf>
    <xf numFmtId="166" fontId="2" fillId="4" borderId="13" xfId="0" applyNumberFormat="1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wrapText="1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3" fillId="4" borderId="14" xfId="0" quotePrefix="1" applyNumberFormat="1" applyFont="1" applyFill="1" applyBorder="1" applyAlignment="1">
      <alignment horizontal="center" vertical="center"/>
    </xf>
    <xf numFmtId="17" fontId="3" fillId="4" borderId="14" xfId="0" quotePrefix="1" applyNumberFormat="1" applyFont="1" applyFill="1" applyBorder="1" applyAlignment="1">
      <alignment horizontal="center" vertical="center"/>
    </xf>
    <xf numFmtId="164" fontId="3" fillId="0" borderId="14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1" fillId="2" borderId="13" xfId="0" quotePrefix="1" applyFont="1" applyFill="1" applyBorder="1" applyAlignment="1">
      <alignment horizontal="center" vertical="center"/>
    </xf>
    <xf numFmtId="166" fontId="2" fillId="5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2" xfId="0" applyFont="1" applyBorder="1"/>
    <xf numFmtId="0" fontId="2" fillId="0" borderId="16" xfId="0" applyFont="1" applyBorder="1"/>
    <xf numFmtId="0" fontId="2" fillId="0" borderId="1" xfId="0" applyFont="1" applyBorder="1" applyAlignment="1">
      <alignment horizontal="left"/>
    </xf>
    <xf numFmtId="0" fontId="2" fillId="0" borderId="71" xfId="0" applyFont="1" applyBorder="1"/>
    <xf numFmtId="0" fontId="2" fillId="0" borderId="15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70" xfId="0" applyFont="1" applyBorder="1"/>
    <xf numFmtId="0" fontId="5" fillId="0" borderId="13" xfId="0" applyFont="1" applyBorder="1" applyAlignment="1">
      <alignment horizontal="center"/>
    </xf>
    <xf numFmtId="0" fontId="1" fillId="0" borderId="6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" fontId="2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164" fontId="3" fillId="0" borderId="68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0" fontId="2" fillId="0" borderId="83" xfId="0" applyFont="1" applyBorder="1"/>
    <xf numFmtId="0" fontId="2" fillId="0" borderId="87" xfId="0" applyFont="1" applyBorder="1"/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center" vertical="center"/>
    </xf>
    <xf numFmtId="164" fontId="3" fillId="6" borderId="14" xfId="0" quotePrefix="1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5" fontId="2" fillId="6" borderId="13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1" fontId="3" fillId="4" borderId="14" xfId="0" applyNumberFormat="1" applyFont="1" applyFill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166" fontId="2" fillId="6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2" fontId="2" fillId="0" borderId="88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" fontId="3" fillId="0" borderId="69" xfId="0" applyNumberFormat="1" applyFont="1" applyBorder="1" applyAlignment="1">
      <alignment horizontal="center" vertical="center"/>
    </xf>
    <xf numFmtId="1" fontId="3" fillId="4" borderId="14" xfId="0" quotePrefix="1" applyNumberFormat="1" applyFont="1" applyFill="1" applyBorder="1" applyAlignment="1">
      <alignment horizontal="center" vertical="center"/>
    </xf>
    <xf numFmtId="0" fontId="2" fillId="0" borderId="67" xfId="0" applyFont="1" applyBorder="1"/>
    <xf numFmtId="3" fontId="2" fillId="0" borderId="6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/>
    <xf numFmtId="0" fontId="2" fillId="0" borderId="69" xfId="0" applyFont="1" applyBorder="1"/>
    <xf numFmtId="165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2" fillId="8" borderId="95" xfId="0" applyFont="1" applyFill="1" applyBorder="1"/>
    <xf numFmtId="0" fontId="2" fillId="8" borderId="31" xfId="0" applyFont="1" applyFill="1" applyBorder="1" applyAlignment="1">
      <alignment horizontal="left" vertical="center"/>
    </xf>
    <xf numFmtId="0" fontId="2" fillId="8" borderId="32" xfId="0" applyFont="1" applyFill="1" applyBorder="1" applyAlignment="1">
      <alignment horizontal="left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2" fontId="2" fillId="8" borderId="32" xfId="0" applyNumberFormat="1" applyFont="1" applyFill="1" applyBorder="1" applyAlignment="1">
      <alignment horizontal="center" vertical="center"/>
    </xf>
    <xf numFmtId="1" fontId="2" fillId="8" borderId="32" xfId="0" applyNumberFormat="1" applyFont="1" applyFill="1" applyBorder="1" applyAlignment="1">
      <alignment horizontal="center" vertical="center"/>
    </xf>
    <xf numFmtId="1" fontId="2" fillId="8" borderId="11" xfId="0" applyNumberFormat="1" applyFont="1" applyFill="1" applyBorder="1" applyAlignment="1">
      <alignment horizontal="center" vertical="center"/>
    </xf>
    <xf numFmtId="2" fontId="2" fillId="8" borderId="0" xfId="0" applyNumberFormat="1" applyFont="1" applyFill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51" xfId="0" applyNumberFormat="1" applyFont="1" applyFill="1" applyBorder="1" applyAlignment="1">
      <alignment horizontal="center" vertical="center"/>
    </xf>
    <xf numFmtId="0" fontId="2" fillId="8" borderId="0" xfId="0" applyFont="1" applyFill="1"/>
    <xf numFmtId="2" fontId="2" fillId="8" borderId="4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1" fontId="2" fillId="8" borderId="40" xfId="0" applyNumberFormat="1" applyFont="1" applyFill="1" applyBorder="1" applyAlignment="1">
      <alignment horizontal="center" vertical="center"/>
    </xf>
    <xf numFmtId="2" fontId="2" fillId="8" borderId="41" xfId="0" applyNumberFormat="1" applyFont="1" applyFill="1" applyBorder="1" applyAlignment="1">
      <alignment horizontal="center" vertical="center"/>
    </xf>
    <xf numFmtId="2" fontId="2" fillId="8" borderId="38" xfId="0" applyNumberFormat="1" applyFont="1" applyFill="1" applyBorder="1" applyAlignment="1">
      <alignment horizontal="center" vertical="center"/>
    </xf>
    <xf numFmtId="2" fontId="2" fillId="8" borderId="43" xfId="0" applyNumberFormat="1" applyFont="1" applyFill="1" applyBorder="1" applyAlignment="1">
      <alignment horizontal="center" vertical="center"/>
    </xf>
    <xf numFmtId="2" fontId="2" fillId="8" borderId="44" xfId="0" applyNumberFormat="1" applyFont="1" applyFill="1" applyBorder="1" applyAlignment="1">
      <alignment horizontal="center" vertical="center"/>
    </xf>
    <xf numFmtId="2" fontId="2" fillId="8" borderId="42" xfId="0" applyNumberFormat="1" applyFont="1" applyFill="1" applyBorder="1" applyAlignment="1">
      <alignment horizontal="center" vertical="center"/>
    </xf>
    <xf numFmtId="2" fontId="2" fillId="8" borderId="58" xfId="0" applyNumberFormat="1" applyFont="1" applyFill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/>
    </xf>
    <xf numFmtId="164" fontId="1" fillId="0" borderId="98" xfId="0" applyNumberFormat="1" applyFont="1" applyBorder="1" applyAlignment="1">
      <alignment horizontal="center" vertical="center"/>
    </xf>
    <xf numFmtId="164" fontId="1" fillId="0" borderId="99" xfId="0" applyNumberFormat="1" applyFont="1" applyBorder="1" applyAlignment="1">
      <alignment horizontal="center" vertical="center"/>
    </xf>
    <xf numFmtId="164" fontId="1" fillId="0" borderId="100" xfId="0" applyNumberFormat="1" applyFont="1" applyBorder="1" applyAlignment="1">
      <alignment horizontal="center" vertical="center"/>
    </xf>
    <xf numFmtId="2" fontId="2" fillId="8" borderId="39" xfId="0" applyNumberFormat="1" applyFont="1" applyFill="1" applyBorder="1" applyAlignment="1">
      <alignment horizontal="center" vertical="center"/>
    </xf>
    <xf numFmtId="2" fontId="2" fillId="8" borderId="92" xfId="0" applyNumberFormat="1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93" xfId="0" applyFont="1" applyFill="1" applyBorder="1" applyAlignment="1">
      <alignment horizontal="center" vertical="center"/>
    </xf>
    <xf numFmtId="2" fontId="2" fillId="10" borderId="18" xfId="0" applyNumberFormat="1" applyFont="1" applyFill="1" applyBorder="1" applyAlignment="1">
      <alignment horizontal="center" vertical="center"/>
    </xf>
    <xf numFmtId="1" fontId="2" fillId="10" borderId="18" xfId="0" applyNumberFormat="1" applyFont="1" applyFill="1" applyBorder="1" applyAlignment="1">
      <alignment horizontal="center" vertical="center"/>
    </xf>
    <xf numFmtId="1" fontId="2" fillId="10" borderId="94" xfId="0" applyNumberFormat="1" applyFont="1" applyFill="1" applyBorder="1" applyAlignment="1">
      <alignment horizontal="center" vertical="center"/>
    </xf>
    <xf numFmtId="2" fontId="2" fillId="10" borderId="47" xfId="0" applyNumberFormat="1" applyFont="1" applyFill="1" applyBorder="1" applyAlignment="1">
      <alignment horizontal="center" vertical="center"/>
    </xf>
    <xf numFmtId="2" fontId="2" fillId="10" borderId="32" xfId="0" applyNumberFormat="1" applyFont="1" applyFill="1" applyBorder="1" applyAlignment="1">
      <alignment horizontal="center" vertical="center"/>
    </xf>
    <xf numFmtId="2" fontId="2" fillId="10" borderId="10" xfId="0" applyNumberFormat="1" applyFont="1" applyFill="1" applyBorder="1" applyAlignment="1">
      <alignment horizontal="center" vertical="center"/>
    </xf>
    <xf numFmtId="2" fontId="2" fillId="10" borderId="93" xfId="0" applyNumberFormat="1" applyFont="1" applyFill="1" applyBorder="1" applyAlignment="1">
      <alignment horizontal="center" vertical="center"/>
    </xf>
    <xf numFmtId="2" fontId="2" fillId="10" borderId="58" xfId="0" applyNumberFormat="1" applyFont="1" applyFill="1" applyBorder="1" applyAlignment="1">
      <alignment horizontal="center" vertical="center"/>
    </xf>
    <xf numFmtId="2" fontId="2" fillId="10" borderId="95" xfId="0" applyNumberFormat="1" applyFont="1" applyFill="1" applyBorder="1" applyAlignment="1">
      <alignment horizontal="center" vertical="center"/>
    </xf>
    <xf numFmtId="2" fontId="2" fillId="10" borderId="85" xfId="0" applyNumberFormat="1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left" vertical="center"/>
    </xf>
    <xf numFmtId="0" fontId="2" fillId="10" borderId="32" xfId="0" applyFont="1" applyFill="1" applyBorder="1" applyAlignment="1">
      <alignment horizontal="left" vertical="center"/>
    </xf>
    <xf numFmtId="0" fontId="2" fillId="10" borderId="32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1" fontId="2" fillId="10" borderId="32" xfId="0" applyNumberFormat="1" applyFont="1" applyFill="1" applyBorder="1" applyAlignment="1">
      <alignment horizontal="center" vertical="center"/>
    </xf>
    <xf numFmtId="1" fontId="2" fillId="10" borderId="11" xfId="0" applyNumberFormat="1" applyFont="1" applyFill="1" applyBorder="1" applyAlignment="1">
      <alignment horizontal="center" vertical="center"/>
    </xf>
    <xf numFmtId="2" fontId="2" fillId="10" borderId="0" xfId="0" applyNumberFormat="1" applyFont="1" applyFill="1" applyAlignment="1">
      <alignment horizontal="center" vertical="center"/>
    </xf>
    <xf numFmtId="2" fontId="2" fillId="10" borderId="51" xfId="0" applyNumberFormat="1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center" vertical="center"/>
    </xf>
    <xf numFmtId="164" fontId="2" fillId="11" borderId="32" xfId="0" applyNumberFormat="1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2" fontId="2" fillId="10" borderId="52" xfId="0" applyNumberFormat="1" applyFont="1" applyFill="1" applyBorder="1" applyAlignment="1">
      <alignment horizontal="center" vertical="center"/>
    </xf>
    <xf numFmtId="2" fontId="2" fillId="10" borderId="23" xfId="0" applyNumberFormat="1" applyFont="1" applyFill="1" applyBorder="1" applyAlignment="1">
      <alignment horizontal="center" vertical="center"/>
    </xf>
    <xf numFmtId="2" fontId="2" fillId="10" borderId="33" xfId="0" applyNumberFormat="1" applyFont="1" applyFill="1" applyBorder="1" applyAlignment="1">
      <alignment horizontal="center" vertical="center"/>
    </xf>
    <xf numFmtId="2" fontId="2" fillId="10" borderId="24" xfId="0" applyNumberFormat="1" applyFont="1" applyFill="1" applyBorder="1" applyAlignment="1">
      <alignment horizontal="center" vertical="center"/>
    </xf>
    <xf numFmtId="2" fontId="2" fillId="10" borderId="34" xfId="0" applyNumberFormat="1" applyFont="1" applyFill="1" applyBorder="1" applyAlignment="1">
      <alignment horizontal="center" vertical="center"/>
    </xf>
    <xf numFmtId="2" fontId="2" fillId="10" borderId="75" xfId="0" applyNumberFormat="1" applyFont="1" applyFill="1" applyBorder="1" applyAlignment="1">
      <alignment horizontal="center" vertical="center"/>
    </xf>
    <xf numFmtId="2" fontId="2" fillId="10" borderId="25" xfId="0" applyNumberFormat="1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2" fontId="2" fillId="10" borderId="9" xfId="0" applyNumberFormat="1" applyFont="1" applyFill="1" applyBorder="1" applyAlignment="1">
      <alignment horizontal="center" vertical="center"/>
    </xf>
    <xf numFmtId="2" fontId="2" fillId="10" borderId="35" xfId="0" applyNumberFormat="1" applyFont="1" applyFill="1" applyBorder="1" applyAlignment="1">
      <alignment horizontal="center" vertical="center"/>
    </xf>
    <xf numFmtId="2" fontId="2" fillId="10" borderId="41" xfId="0" applyNumberFormat="1" applyFont="1" applyFill="1" applyBorder="1" applyAlignment="1">
      <alignment horizontal="center" vertical="center"/>
    </xf>
    <xf numFmtId="2" fontId="2" fillId="10" borderId="39" xfId="0" applyNumberFormat="1" applyFont="1" applyFill="1" applyBorder="1" applyAlignment="1">
      <alignment horizontal="center" vertical="center"/>
    </xf>
    <xf numFmtId="2" fontId="2" fillId="10" borderId="42" xfId="0" applyNumberFormat="1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/>
    </xf>
    <xf numFmtId="164" fontId="2" fillId="11" borderId="33" xfId="0" applyNumberFormat="1" applyFont="1" applyFill="1" applyBorder="1" applyAlignment="1">
      <alignment horizontal="center" vertical="center"/>
    </xf>
    <xf numFmtId="2" fontId="2" fillId="10" borderId="32" xfId="0" quotePrefix="1" applyNumberFormat="1" applyFont="1" applyFill="1" applyBorder="1" applyAlignment="1">
      <alignment horizontal="center" vertical="center"/>
    </xf>
    <xf numFmtId="2" fontId="2" fillId="10" borderId="10" xfId="0" quotePrefix="1" applyNumberFormat="1" applyFont="1" applyFill="1" applyBorder="1" applyAlignment="1">
      <alignment horizontal="center" vertical="center"/>
    </xf>
    <xf numFmtId="2" fontId="2" fillId="10" borderId="58" xfId="0" quotePrefix="1" applyNumberFormat="1" applyFont="1" applyFill="1" applyBorder="1" applyAlignment="1">
      <alignment horizontal="center" vertical="center"/>
    </xf>
    <xf numFmtId="2" fontId="2" fillId="10" borderId="34" xfId="0" quotePrefix="1" applyNumberFormat="1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2" fillId="10" borderId="96" xfId="0" applyFont="1" applyFill="1" applyBorder="1" applyAlignment="1">
      <alignment horizontal="left" vertical="center"/>
    </xf>
    <xf numFmtId="0" fontId="2" fillId="10" borderId="23" xfId="0" applyFont="1" applyFill="1" applyBorder="1" applyAlignment="1">
      <alignment horizontal="left" vertical="center"/>
    </xf>
    <xf numFmtId="0" fontId="2" fillId="10" borderId="3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1" fontId="2" fillId="10" borderId="49" xfId="0" applyNumberFormat="1" applyFont="1" applyFill="1" applyBorder="1" applyAlignment="1">
      <alignment horizontal="center" vertical="center"/>
    </xf>
    <xf numFmtId="2" fontId="2" fillId="10" borderId="50" xfId="0" applyNumberFormat="1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1" borderId="35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10" borderId="3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9" borderId="32" xfId="0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2" fontId="2" fillId="8" borderId="35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1" fillId="10" borderId="31" xfId="0" applyFont="1" applyFill="1" applyBorder="1" applyAlignment="1">
      <alignment horizontal="right" vertical="center"/>
    </xf>
    <xf numFmtId="0" fontId="1" fillId="10" borderId="0" xfId="0" applyFont="1" applyFill="1" applyAlignment="1">
      <alignment horizontal="left" vertical="center"/>
    </xf>
    <xf numFmtId="164" fontId="1" fillId="10" borderId="32" xfId="0" applyNumberFormat="1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2" fillId="10" borderId="0" xfId="0" applyFont="1" applyFill="1"/>
    <xf numFmtId="4" fontId="1" fillId="10" borderId="3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4" borderId="0" xfId="0" applyFont="1" applyFill="1"/>
    <xf numFmtId="0" fontId="2" fillId="0" borderId="0" xfId="0" applyFont="1" applyFill="1"/>
    <xf numFmtId="164" fontId="2" fillId="4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6" fontId="2" fillId="0" borderId="13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7" fontId="3" fillId="0" borderId="14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4" fontId="1" fillId="10" borderId="51" xfId="0" applyNumberFormat="1" applyFont="1" applyFill="1" applyBorder="1" applyAlignment="1">
      <alignment horizontal="center" vertical="center"/>
    </xf>
    <xf numFmtId="0" fontId="2" fillId="0" borderId="95" xfId="0" applyFont="1" applyFill="1" applyBorder="1"/>
    <xf numFmtId="168" fontId="2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73" xfId="1" applyBorder="1" applyAlignment="1">
      <alignment wrapText="1"/>
    </xf>
    <xf numFmtId="14" fontId="3" fillId="4" borderId="14" xfId="0" quotePrefix="1" applyNumberFormat="1" applyFont="1" applyFill="1" applyBorder="1" applyAlignment="1">
      <alignment horizontal="center" vertical="center"/>
    </xf>
    <xf numFmtId="167" fontId="3" fillId="0" borderId="14" xfId="0" quotePrefix="1" applyNumberFormat="1" applyFont="1" applyFill="1" applyBorder="1" applyAlignment="1">
      <alignment horizontal="center" vertical="center"/>
    </xf>
    <xf numFmtId="11" fontId="2" fillId="0" borderId="13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165" fontId="9" fillId="0" borderId="13" xfId="0" applyNumberFormat="1" applyFont="1" applyFill="1" applyBorder="1" applyAlignment="1">
      <alignment horizontal="center"/>
    </xf>
    <xf numFmtId="164" fontId="2" fillId="11" borderId="38" xfId="0" applyNumberFormat="1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74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2" fontId="2" fillId="10" borderId="47" xfId="0" quotePrefix="1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/>
    <xf numFmtId="0" fontId="1" fillId="7" borderId="27" xfId="0" applyFont="1" applyFill="1" applyBorder="1" applyAlignment="1">
      <alignment horizontal="center" vertical="center"/>
    </xf>
    <xf numFmtId="0" fontId="1" fillId="7" borderId="23" xfId="0" quotePrefix="1" applyFont="1" applyFill="1" applyBorder="1" applyAlignment="1">
      <alignment horizontal="center" vertical="center"/>
    </xf>
    <xf numFmtId="0" fontId="2" fillId="10" borderId="9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8" borderId="74" xfId="0" applyFont="1" applyFill="1" applyBorder="1" applyAlignment="1">
      <alignment horizontal="left" vertical="center"/>
    </xf>
    <xf numFmtId="0" fontId="1" fillId="8" borderId="38" xfId="0" applyFont="1" applyFill="1" applyBorder="1" applyAlignment="1">
      <alignment horizontal="center" vertical="center"/>
    </xf>
    <xf numFmtId="164" fontId="1" fillId="8" borderId="38" xfId="0" applyNumberFormat="1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4" fontId="1" fillId="8" borderId="38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1" fillId="8" borderId="27" xfId="0" applyFont="1" applyFill="1" applyBorder="1" applyAlignment="1">
      <alignment horizontal="right" vertical="center"/>
    </xf>
    <xf numFmtId="0" fontId="1" fillId="8" borderId="46" xfId="0" applyFont="1" applyFill="1" applyBorder="1" applyAlignment="1">
      <alignment horizontal="left" vertical="center"/>
    </xf>
    <xf numFmtId="4" fontId="1" fillId="0" borderId="13" xfId="0" applyNumberFormat="1" applyFont="1" applyBorder="1" applyAlignment="1">
      <alignment horizontal="center"/>
    </xf>
    <xf numFmtId="2" fontId="1" fillId="0" borderId="105" xfId="0" applyNumberFormat="1" applyFont="1" applyBorder="1" applyAlignment="1">
      <alignment horizontal="center"/>
    </xf>
    <xf numFmtId="4" fontId="1" fillId="8" borderId="27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4" fontId="1" fillId="8" borderId="10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2" xfId="0" applyFont="1" applyFill="1" applyBorder="1" applyAlignment="1">
      <alignment horizontal="center"/>
    </xf>
    <xf numFmtId="0" fontId="2" fillId="0" borderId="86" xfId="0" applyFont="1" applyFill="1" applyBorder="1" applyAlignment="1">
      <alignment horizontal="center"/>
    </xf>
    <xf numFmtId="0" fontId="2" fillId="10" borderId="95" xfId="0" applyFont="1" applyFill="1" applyBorder="1" applyAlignment="1">
      <alignment horizontal="left" vertical="center"/>
    </xf>
    <xf numFmtId="0" fontId="2" fillId="10" borderId="0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1" fillId="0" borderId="101" xfId="0" applyNumberFormat="1" applyFont="1" applyBorder="1" applyAlignment="1">
      <alignment horizontal="center" vertical="center" wrapText="1"/>
    </xf>
    <xf numFmtId="164" fontId="2" fillId="0" borderId="73" xfId="0" applyNumberFormat="1" applyFont="1" applyBorder="1" applyAlignment="1">
      <alignment horizontal="left" vertical="center" wrapText="1"/>
    </xf>
    <xf numFmtId="164" fontId="2" fillId="6" borderId="73" xfId="0" applyNumberFormat="1" applyFont="1" applyFill="1" applyBorder="1" applyAlignment="1">
      <alignment horizontal="left" vertical="center" wrapText="1"/>
    </xf>
    <xf numFmtId="164" fontId="7" fillId="0" borderId="73" xfId="1" applyNumberFormat="1" applyBorder="1" applyAlignment="1">
      <alignment horizontal="left" vertical="center" wrapText="1"/>
    </xf>
    <xf numFmtId="164" fontId="7" fillId="4" borderId="73" xfId="1" applyNumberFormat="1" applyFill="1" applyBorder="1" applyAlignment="1">
      <alignment horizontal="left" vertical="center" wrapText="1"/>
    </xf>
    <xf numFmtId="0" fontId="7" fillId="0" borderId="0" xfId="1" applyAlignment="1">
      <alignment wrapText="1"/>
    </xf>
    <xf numFmtId="0" fontId="7" fillId="0" borderId="102" xfId="1" applyBorder="1" applyAlignment="1">
      <alignment wrapText="1"/>
    </xf>
    <xf numFmtId="0" fontId="2" fillId="0" borderId="0" xfId="0" applyFont="1" applyAlignment="1">
      <alignment horizontal="left" wrapText="1"/>
    </xf>
    <xf numFmtId="2" fontId="2" fillId="4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5" fontId="9" fillId="4" borderId="13" xfId="0" applyNumberFormat="1" applyFont="1" applyFill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7" fillId="0" borderId="73" xfId="1" applyBorder="1" applyAlignment="1">
      <alignment vertical="center" wrapText="1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12" xfId="0" applyFont="1" applyBorder="1"/>
    <xf numFmtId="1" fontId="2" fillId="0" borderId="68" xfId="0" applyNumberFormat="1" applyFont="1" applyBorder="1" applyAlignment="1">
      <alignment horizontal="center"/>
    </xf>
    <xf numFmtId="2" fontId="2" fillId="0" borderId="13" xfId="0" applyNumberFormat="1" applyFont="1" applyFill="1" applyBorder="1" applyAlignment="1">
      <alignment horizontal="center" vertical="center"/>
    </xf>
    <xf numFmtId="1" fontId="2" fillId="10" borderId="10" xfId="0" applyNumberFormat="1" applyFont="1" applyFill="1" applyBorder="1" applyAlignment="1">
      <alignment horizontal="center" vertical="center"/>
    </xf>
    <xf numFmtId="1" fontId="2" fillId="10" borderId="32" xfId="0" applyNumberFormat="1" applyFont="1" applyFill="1" applyBorder="1" applyAlignment="1" applyProtection="1">
      <alignment horizontal="center" vertical="center"/>
      <protection locked="0" hidden="1"/>
    </xf>
    <xf numFmtId="0" fontId="9" fillId="4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1" fillId="0" borderId="61" xfId="0" applyNumberFormat="1" applyFont="1" applyFill="1" applyBorder="1" applyAlignment="1">
      <alignment horizontal="center" vertical="center"/>
    </xf>
    <xf numFmtId="2" fontId="1" fillId="0" borderId="61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2" fontId="2" fillId="8" borderId="50" xfId="0" applyNumberFormat="1" applyFont="1" applyFill="1" applyBorder="1" applyAlignment="1">
      <alignment horizontal="center" vertical="center"/>
    </xf>
    <xf numFmtId="2" fontId="2" fillId="8" borderId="34" xfId="0" applyNumberFormat="1" applyFont="1" applyFill="1" applyBorder="1" applyAlignment="1">
      <alignment horizontal="center" vertical="center"/>
    </xf>
    <xf numFmtId="2" fontId="2" fillId="8" borderId="75" xfId="0" applyNumberFormat="1" applyFont="1" applyFill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05" xfId="0" applyNumberFormat="1" applyFont="1" applyBorder="1" applyAlignment="1">
      <alignment horizontal="center" vertical="center"/>
    </xf>
    <xf numFmtId="0" fontId="2" fillId="8" borderId="33" xfId="0" applyFont="1" applyFill="1" applyBorder="1" applyAlignment="1">
      <alignment horizontal="left" vertical="center"/>
    </xf>
    <xf numFmtId="0" fontId="2" fillId="10" borderId="48" xfId="0" applyFont="1" applyFill="1" applyBorder="1" applyAlignment="1">
      <alignment horizontal="left" vertical="center"/>
    </xf>
    <xf numFmtId="1" fontId="2" fillId="10" borderId="40" xfId="0" applyNumberFormat="1" applyFont="1" applyFill="1" applyBorder="1" applyAlignment="1">
      <alignment horizontal="center" vertical="center"/>
    </xf>
    <xf numFmtId="2" fontId="2" fillId="10" borderId="38" xfId="0" applyNumberFormat="1" applyFont="1" applyFill="1" applyBorder="1" applyAlignment="1">
      <alignment horizontal="center" vertical="center"/>
    </xf>
    <xf numFmtId="2" fontId="2" fillId="10" borderId="44" xfId="0" applyNumberFormat="1" applyFont="1" applyFill="1" applyBorder="1" applyAlignment="1">
      <alignment horizontal="center" vertical="center"/>
    </xf>
    <xf numFmtId="2" fontId="2" fillId="10" borderId="43" xfId="0" applyNumberFormat="1" applyFont="1" applyFill="1" applyBorder="1" applyAlignment="1">
      <alignment horizontal="center" vertical="center"/>
    </xf>
    <xf numFmtId="2" fontId="2" fillId="0" borderId="74" xfId="0" applyNumberFormat="1" applyFont="1" applyBorder="1" applyAlignment="1">
      <alignment horizontal="center" vertical="center"/>
    </xf>
    <xf numFmtId="2" fontId="2" fillId="8" borderId="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8" borderId="22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2" fontId="2" fillId="8" borderId="23" xfId="0" applyNumberFormat="1" applyFont="1" applyFill="1" applyBorder="1" applyAlignment="1">
      <alignment horizontal="center" vertical="center"/>
    </xf>
    <xf numFmtId="1" fontId="2" fillId="8" borderId="23" xfId="0" applyNumberFormat="1" applyFont="1" applyFill="1" applyBorder="1" applyAlignment="1">
      <alignment horizontal="center" vertical="center"/>
    </xf>
    <xf numFmtId="1" fontId="2" fillId="8" borderId="49" xfId="0" applyNumberFormat="1" applyFont="1" applyFill="1" applyBorder="1" applyAlignment="1">
      <alignment horizontal="center" vertical="center"/>
    </xf>
    <xf numFmtId="2" fontId="2" fillId="8" borderId="52" xfId="0" applyNumberFormat="1" applyFont="1" applyFill="1" applyBorder="1" applyAlignment="1">
      <alignment horizontal="center" vertical="center"/>
    </xf>
    <xf numFmtId="2" fontId="2" fillId="8" borderId="33" xfId="0" applyNumberFormat="1" applyFont="1" applyFill="1" applyBorder="1" applyAlignment="1">
      <alignment horizontal="center" vertical="center"/>
    </xf>
    <xf numFmtId="2" fontId="2" fillId="8" borderId="24" xfId="0" applyNumberFormat="1" applyFont="1" applyFill="1" applyBorder="1" applyAlignment="1">
      <alignment horizontal="center" vertical="center"/>
    </xf>
    <xf numFmtId="2" fontId="2" fillId="8" borderId="25" xfId="0" applyNumberFormat="1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left" vertical="center"/>
    </xf>
    <xf numFmtId="0" fontId="2" fillId="8" borderId="39" xfId="0" applyFont="1" applyFill="1" applyBorder="1" applyAlignment="1">
      <alignment horizontal="center" vertical="center"/>
    </xf>
    <xf numFmtId="2" fontId="2" fillId="8" borderId="7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7" borderId="39" xfId="0" quotePrefix="1" applyFont="1" applyFill="1" applyBorder="1" applyAlignment="1">
      <alignment horizontal="center" vertical="center"/>
    </xf>
    <xf numFmtId="164" fontId="2" fillId="7" borderId="38" xfId="0" applyNumberFormat="1" applyFont="1" applyFill="1" applyBorder="1" applyAlignment="1">
      <alignment horizontal="center" vertical="center"/>
    </xf>
    <xf numFmtId="164" fontId="2" fillId="7" borderId="40" xfId="0" applyNumberFormat="1" applyFont="1" applyFill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0" borderId="92" xfId="0" applyNumberFormat="1" applyFont="1" applyBorder="1" applyAlignment="1">
      <alignment horizontal="center" vertical="center"/>
    </xf>
    <xf numFmtId="0" fontId="2" fillId="8" borderId="26" xfId="0" applyFont="1" applyFill="1" applyBorder="1" applyAlignment="1">
      <alignment horizontal="left" vertical="center"/>
    </xf>
    <xf numFmtId="0" fontId="2" fillId="8" borderId="27" xfId="0" applyFont="1" applyFill="1" applyBorder="1" applyAlignment="1">
      <alignment horizontal="left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2" fontId="2" fillId="8" borderId="27" xfId="0" applyNumberFormat="1" applyFont="1" applyFill="1" applyBorder="1" applyAlignment="1">
      <alignment horizontal="center" vertical="center"/>
    </xf>
    <xf numFmtId="1" fontId="2" fillId="8" borderId="27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2" fontId="2" fillId="8" borderId="88" xfId="0" applyNumberFormat="1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center" vertical="center"/>
    </xf>
    <xf numFmtId="2" fontId="2" fillId="8" borderId="28" xfId="0" applyNumberFormat="1" applyFont="1" applyFill="1" applyBorder="1" applyAlignment="1">
      <alignment horizontal="center" vertical="center"/>
    </xf>
    <xf numFmtId="2" fontId="2" fillId="8" borderId="29" xfId="0" applyNumberFormat="1" applyFont="1" applyFill="1" applyBorder="1" applyAlignment="1">
      <alignment horizontal="center" vertical="center"/>
    </xf>
    <xf numFmtId="2" fontId="2" fillId="8" borderId="105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12" xfId="0" applyNumberFormat="1" applyFont="1" applyBorder="1"/>
    <xf numFmtId="2" fontId="2" fillId="0" borderId="13" xfId="0" applyNumberFormat="1" applyFont="1" applyBorder="1"/>
    <xf numFmtId="2" fontId="2" fillId="0" borderId="105" xfId="0" applyNumberFormat="1" applyFont="1" applyBorder="1"/>
    <xf numFmtId="0" fontId="1" fillId="10" borderId="39" xfId="0" applyFont="1" applyFill="1" applyBorder="1" applyAlignment="1">
      <alignment horizontal="left" vertical="center"/>
    </xf>
    <xf numFmtId="4" fontId="1" fillId="10" borderId="9" xfId="0" applyNumberFormat="1" applyFont="1" applyFill="1" applyBorder="1" applyAlignment="1">
      <alignment horizontal="center" vertical="center"/>
    </xf>
    <xf numFmtId="2" fontId="2" fillId="10" borderId="92" xfId="0" applyNumberFormat="1" applyFont="1" applyFill="1" applyBorder="1" applyAlignment="1">
      <alignment horizontal="center" vertical="center"/>
    </xf>
    <xf numFmtId="0" fontId="1" fillId="2" borderId="33" xfId="0" quotePrefix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2" fontId="2" fillId="10" borderId="39" xfId="0" quotePrefix="1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2" fontId="2" fillId="10" borderId="35" xfId="0" quotePrefix="1" applyNumberFormat="1" applyFont="1" applyFill="1" applyBorder="1" applyAlignment="1">
      <alignment horizontal="center" vertical="center"/>
    </xf>
    <xf numFmtId="2" fontId="2" fillId="10" borderId="5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0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1" fillId="0" borderId="89" xfId="0" applyFont="1" applyBorder="1" applyAlignment="1">
      <alignment horizontal="center" wrapText="1"/>
    </xf>
    <xf numFmtId="0" fontId="1" fillId="0" borderId="90" xfId="0" applyFont="1" applyBorder="1" applyAlignment="1">
      <alignment horizontal="center" wrapText="1"/>
    </xf>
    <xf numFmtId="0" fontId="1" fillId="0" borderId="9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15" xfId="0" quotePrefix="1" applyNumberFormat="1" applyFont="1" applyBorder="1" applyAlignment="1">
      <alignment horizontal="center" vertical="center"/>
    </xf>
    <xf numFmtId="0" fontId="7" fillId="0" borderId="73" xfId="1" applyBorder="1" applyAlignment="1">
      <alignment horizontal="left" wrapText="1"/>
    </xf>
    <xf numFmtId="0" fontId="7" fillId="0" borderId="61" xfId="1" applyBorder="1" applyAlignment="1">
      <alignment horizontal="left" vertical="center" wrapText="1"/>
    </xf>
    <xf numFmtId="0" fontId="7" fillId="0" borderId="103" xfId="1" applyBorder="1" applyAlignment="1">
      <alignment horizontal="left" vertical="center" wrapText="1"/>
    </xf>
    <xf numFmtId="0" fontId="7" fillId="0" borderId="104" xfId="1" applyBorder="1" applyAlignment="1">
      <alignment horizontal="left" vertical="center" wrapText="1"/>
    </xf>
    <xf numFmtId="0" fontId="7" fillId="0" borderId="61" xfId="1" applyFill="1" applyBorder="1" applyAlignment="1">
      <alignment horizontal="left" vertical="center" wrapText="1"/>
    </xf>
    <xf numFmtId="0" fontId="6" fillId="0" borderId="103" xfId="0" applyFont="1" applyFill="1" applyBorder="1" applyAlignment="1">
      <alignment horizontal="left" vertical="center" wrapText="1"/>
    </xf>
    <xf numFmtId="0" fontId="6" fillId="0" borderId="104" xfId="0" applyFont="1" applyFill="1" applyBorder="1" applyAlignment="1">
      <alignment horizontal="left" vertical="center" wrapText="1"/>
    </xf>
    <xf numFmtId="0" fontId="1" fillId="0" borderId="89" xfId="0" applyFont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84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1842226</xdr:colOff>
      <xdr:row>2</xdr:row>
      <xdr:rowOff>17293</xdr:rowOff>
    </xdr:from>
    <xdr:ext cx="2524124" cy="95939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A223546-CF4D-46B9-8E7D-498FCB877677}"/>
            </a:ext>
          </a:extLst>
        </xdr:cNvPr>
        <xdr:cNvSpPr/>
      </xdr:nvSpPr>
      <xdr:spPr>
        <a:xfrm rot="2395023">
          <a:off x="3451951" y="360193"/>
          <a:ext cx="2524124" cy="959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DRAFT </a:t>
          </a:r>
          <a:r>
            <a:rPr 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Pending Approval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MS\2014\04%20AQS%20Revisions\28%20Spreadsheet%20updates\04%20Working%20-%20Sheet%20Revisions\07%20version%204.2\BOEM-0139_DOCD_Emission_Workbook_0204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TITLE"/>
      <sheetName val="FACILITY FACTORS"/>
      <sheetName val="ATTRIBUTED FACTORS"/>
      <sheetName val="VESSEL FACTORS"/>
      <sheetName val="CONSTANTS"/>
      <sheetName val="ERM"/>
      <sheetName val="LOAD"/>
      <sheetName val="METHODOLOGY"/>
      <sheetName val="EMISSIONS_1"/>
      <sheetName val="EMISSIONS_2"/>
      <sheetName val="EMISSIONS_3"/>
      <sheetName val="EMISSIONS_4"/>
      <sheetName val="EMISSIONS_5"/>
      <sheetName val="EMISSIONS_6"/>
      <sheetName val="EMISSIONS_7"/>
      <sheetName val="EMISSIONS_8"/>
      <sheetName val="EMISSIONS_9"/>
      <sheetName val="EMISSIONS_10"/>
      <sheetName val="SUMMARY"/>
      <sheetName val="Rolling Sum"/>
    </sheetNames>
    <sheetDataSet>
      <sheetData sheetId="0">
        <row r="1">
          <cell r="BE1" t="str">
            <v>VESSEL EF type</v>
          </cell>
        </row>
        <row r="2">
          <cell r="BE2" t="str">
            <v>Default</v>
          </cell>
        </row>
        <row r="3">
          <cell r="BE3" t="str">
            <v>Stack test</v>
          </cell>
        </row>
        <row r="4">
          <cell r="BE4" t="str">
            <v>Manufacturer</v>
          </cell>
        </row>
        <row r="5">
          <cell r="BE5" t="str">
            <v>Model</v>
          </cell>
        </row>
        <row r="6">
          <cell r="BE6" t="str">
            <v>FAA</v>
          </cell>
        </row>
        <row r="7">
          <cell r="BE7" t="str">
            <v>MARPOL</v>
          </cell>
        </row>
        <row r="8">
          <cell r="BE8" t="str">
            <v>Default from BOEM Study</v>
          </cell>
        </row>
        <row r="9">
          <cell r="BE9" t="str">
            <v>ERG 2012</v>
          </cell>
        </row>
        <row r="10">
          <cell r="BE10" t="str">
            <v>IHS 2014 Data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epa.gov/ttn/chief/ap42/ch03/final/c03s04.pdf" TargetMode="External"/><Relationship Id="rId13" Type="http://schemas.openxmlformats.org/officeDocument/2006/relationships/hyperlink" Target="https://www.boem.gov/sites/default/files/uploadedFiles/BOEM/BOEM_Newsroom/Library/Publications/2014-1001.pdf" TargetMode="External"/><Relationship Id="rId18" Type="http://schemas.openxmlformats.org/officeDocument/2006/relationships/hyperlink" Target="https://www3.epa.gov/ttnchie1/ap42/ch01/final/c01s03.pdf" TargetMode="External"/><Relationship Id="rId3" Type="http://schemas.openxmlformats.org/officeDocument/2006/relationships/hyperlink" Target="https://www3.epa.gov/ttnchie1/ap42/ch03/final/c03s01.pdf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3.epa.gov/ttnchie1/ap42/ch03/final/c03s03.pdf" TargetMode="External"/><Relationship Id="rId12" Type="http://schemas.openxmlformats.org/officeDocument/2006/relationships/hyperlink" Target="https://www.epa.gov/air-emissions-inventories/2014-national-emissions-inventory-nei-data" TargetMode="External"/><Relationship Id="rId17" Type="http://schemas.openxmlformats.org/officeDocument/2006/relationships/hyperlink" Target="https://www.epa.gov/air-emissions-inventories/2017-national-emissions-inventory-nei-data" TargetMode="External"/><Relationship Id="rId2" Type="http://schemas.openxmlformats.org/officeDocument/2006/relationships/hyperlink" Target="https://www.boem.gov/environment/environmental-studies/2014-gulfwide-emission-inventory" TargetMode="External"/><Relationship Id="rId16" Type="http://schemas.openxmlformats.org/officeDocument/2006/relationships/hyperlink" Target="https://www.boem.gov/environment/environmental-studies/2011-gulfwide-emission-inventory" TargetMode="External"/><Relationship Id="rId20" Type="http://schemas.openxmlformats.org/officeDocument/2006/relationships/hyperlink" Target="https://www.boem.gov/environment/environmental-studies/2014-gulfwide-emission-inventory" TargetMode="External"/><Relationship Id="rId1" Type="http://schemas.openxmlformats.org/officeDocument/2006/relationships/hyperlink" Target="https://www3.epa.gov/ttnchie1/ap42/ch01/final/c01s04.pdf" TargetMode="External"/><Relationship Id="rId6" Type="http://schemas.openxmlformats.org/officeDocument/2006/relationships/hyperlink" Target="https://www3.epa.gov/ttn/chief/ap42/ch03/final/c03s02.pdf" TargetMode="External"/><Relationship Id="rId11" Type="http://schemas.openxmlformats.org/officeDocument/2006/relationships/hyperlink" Target="https://www.epa.gov/air-emissions-inventories/2014-national-emissions-inventory-nei-data" TargetMode="External"/><Relationship Id="rId5" Type="http://schemas.openxmlformats.org/officeDocument/2006/relationships/hyperlink" Target="https://www3.epa.gov/ttn/chief/ap42/ch03/final/c03s02.pdf" TargetMode="External"/><Relationship Id="rId15" Type="http://schemas.openxmlformats.org/officeDocument/2006/relationships/hyperlink" Target="https://www3.epa.gov/ttnchie1/ap42/ch02/final/c02s01.pdf" TargetMode="External"/><Relationship Id="rId10" Type="http://schemas.openxmlformats.org/officeDocument/2006/relationships/hyperlink" Target="https://www3.epa.gov/ttnchie1/ap42/ch03/final/c03s01.pdf" TargetMode="External"/><Relationship Id="rId19" Type="http://schemas.openxmlformats.org/officeDocument/2006/relationships/hyperlink" Target="https://nam04.safelinks.protection.outlook.com/?url=https%3A%2F%2Fwww.api.org%2F&amp;data=02%7C01%7CRoger.Chang%40erg.com%7C87f6275ddc13416a4c7008d7ba2a3276%7Ca17e3fab8d2346f287f33fceb7c6a000%7C1%7C0%7C637182562721202140&amp;sdata=7WBintfvlEcDSq7ji8JCyFvnrb19px99HiLkPbOjGr0%3D&amp;reserved=0" TargetMode="External"/><Relationship Id="rId4" Type="http://schemas.openxmlformats.org/officeDocument/2006/relationships/hyperlink" Target="https://www3.epa.gov/ttn/chief/ap42/ch03/final/c03s02.pdf" TargetMode="External"/><Relationship Id="rId9" Type="http://schemas.openxmlformats.org/officeDocument/2006/relationships/hyperlink" Target="https://www3.epa.gov/ttnchie1/ap42/ch01/final/c01s03.pdf" TargetMode="External"/><Relationship Id="rId14" Type="http://schemas.openxmlformats.org/officeDocument/2006/relationships/hyperlink" Target="https://www.epa.gov/moves/nonroad2008a-installation-and-updat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28"/>
  <sheetViews>
    <sheetView tabSelected="1" view="pageLayout" zoomScaleNormal="100" workbookViewId="0">
      <selection activeCell="C8" sqref="C8"/>
    </sheetView>
  </sheetViews>
  <sheetFormatPr defaultColWidth="9.1796875" defaultRowHeight="12.5" x14ac:dyDescent="0.25"/>
  <cols>
    <col min="1" max="1" width="11.1796875" style="2" customWidth="1"/>
    <col min="2" max="2" width="11.81640625" style="2" customWidth="1"/>
    <col min="3" max="3" width="64" style="2" customWidth="1"/>
    <col min="4" max="4" width="57.7265625" style="2" customWidth="1"/>
    <col min="5" max="16384" width="9.1796875" style="2"/>
  </cols>
  <sheetData>
    <row r="1" spans="1:3" ht="13.5" thickBot="1" x14ac:dyDescent="0.35">
      <c r="A1" s="132" t="s">
        <v>1</v>
      </c>
      <c r="B1" s="133"/>
      <c r="C1" s="134"/>
    </row>
    <row r="2" spans="1:3" ht="13.5" thickBot="1" x14ac:dyDescent="0.35">
      <c r="A2" s="132" t="s">
        <v>2</v>
      </c>
      <c r="B2" s="135"/>
      <c r="C2" s="134"/>
    </row>
    <row r="3" spans="1:3" ht="13.5" thickBot="1" x14ac:dyDescent="0.35">
      <c r="A3" s="132" t="s">
        <v>3</v>
      </c>
      <c r="B3" s="135"/>
      <c r="C3" s="134" t="s">
        <v>4</v>
      </c>
    </row>
    <row r="4" spans="1:3" ht="13.5" thickBot="1" x14ac:dyDescent="0.35">
      <c r="A4" s="132" t="s">
        <v>5</v>
      </c>
      <c r="B4" s="135"/>
      <c r="C4" s="134" t="s">
        <v>6</v>
      </c>
    </row>
    <row r="5" spans="1:3" ht="13.5" thickBot="1" x14ac:dyDescent="0.35">
      <c r="A5" s="132" t="s">
        <v>69</v>
      </c>
      <c r="B5" s="135"/>
      <c r="C5" s="134" t="s">
        <v>0</v>
      </c>
    </row>
    <row r="6" spans="1:3" ht="13.5" thickBot="1" x14ac:dyDescent="0.35">
      <c r="A6" s="132" t="s">
        <v>7</v>
      </c>
      <c r="B6" s="135"/>
      <c r="C6" s="134" t="s">
        <v>8</v>
      </c>
    </row>
    <row r="7" spans="1:3" ht="13.5" thickBot="1" x14ac:dyDescent="0.35">
      <c r="A7" s="132" t="s">
        <v>9</v>
      </c>
      <c r="B7" s="135"/>
      <c r="C7" s="134" t="s">
        <v>6</v>
      </c>
    </row>
    <row r="8" spans="1:3" ht="13.5" thickBot="1" x14ac:dyDescent="0.35">
      <c r="A8" s="132" t="s">
        <v>10</v>
      </c>
      <c r="B8" s="135"/>
      <c r="C8" s="134" t="s">
        <v>0</v>
      </c>
    </row>
    <row r="9" spans="1:3" ht="13.5" thickBot="1" x14ac:dyDescent="0.35">
      <c r="A9" s="132" t="s">
        <v>138</v>
      </c>
      <c r="B9" s="135"/>
      <c r="C9" s="134" t="s">
        <v>0</v>
      </c>
    </row>
    <row r="11" spans="1:3" ht="13" thickBot="1" x14ac:dyDescent="0.3"/>
    <row r="12" spans="1:3" ht="13.5" thickBot="1" x14ac:dyDescent="0.35">
      <c r="A12" s="132" t="s">
        <v>12</v>
      </c>
      <c r="B12" s="133"/>
      <c r="C12" s="136"/>
    </row>
    <row r="13" spans="1:3" x14ac:dyDescent="0.25">
      <c r="A13" s="137" t="s">
        <v>13</v>
      </c>
      <c r="B13" s="138" t="s">
        <v>14</v>
      </c>
      <c r="C13" s="137" t="s">
        <v>15</v>
      </c>
    </row>
    <row r="14" spans="1:3" ht="13" thickBot="1" x14ac:dyDescent="0.3">
      <c r="A14" s="139"/>
      <c r="B14" s="140" t="s">
        <v>16</v>
      </c>
      <c r="C14" s="140"/>
    </row>
    <row r="15" spans="1:3" x14ac:dyDescent="0.25">
      <c r="A15" s="335">
        <v>2020</v>
      </c>
      <c r="B15" s="155"/>
      <c r="C15" s="155"/>
    </row>
    <row r="16" spans="1:3" x14ac:dyDescent="0.25">
      <c r="A16" s="336">
        <f>A15+1</f>
        <v>2021</v>
      </c>
      <c r="B16" s="141"/>
      <c r="C16" s="141"/>
    </row>
    <row r="17" spans="1:3" x14ac:dyDescent="0.25">
      <c r="A17" s="336">
        <f>A15+2</f>
        <v>2022</v>
      </c>
      <c r="B17" s="141"/>
      <c r="C17" s="141"/>
    </row>
    <row r="18" spans="1:3" x14ac:dyDescent="0.25">
      <c r="A18" s="336">
        <f>A15+3</f>
        <v>2023</v>
      </c>
      <c r="B18" s="141"/>
      <c r="C18" s="141"/>
    </row>
    <row r="19" spans="1:3" x14ac:dyDescent="0.25">
      <c r="A19" s="336">
        <f>A15+4</f>
        <v>2024</v>
      </c>
      <c r="B19" s="141"/>
      <c r="C19" s="141"/>
    </row>
    <row r="20" spans="1:3" x14ac:dyDescent="0.25">
      <c r="A20" s="336">
        <f>A15+5</f>
        <v>2025</v>
      </c>
      <c r="B20" s="141"/>
      <c r="C20" s="141"/>
    </row>
    <row r="21" spans="1:3" x14ac:dyDescent="0.25">
      <c r="A21" s="336">
        <f>A15+6</f>
        <v>2026</v>
      </c>
      <c r="B21" s="141"/>
      <c r="C21" s="141"/>
    </row>
    <row r="22" spans="1:3" x14ac:dyDescent="0.25">
      <c r="A22" s="336">
        <f>A15+7</f>
        <v>2027</v>
      </c>
      <c r="B22" s="141"/>
      <c r="C22" s="141"/>
    </row>
    <row r="23" spans="1:3" x14ac:dyDescent="0.25">
      <c r="A23" s="336">
        <f>A15+8</f>
        <v>2028</v>
      </c>
      <c r="B23" s="141"/>
      <c r="C23" s="141"/>
    </row>
    <row r="24" spans="1:3" x14ac:dyDescent="0.25">
      <c r="A24" s="336">
        <f>A15+9</f>
        <v>2029</v>
      </c>
      <c r="B24" s="141"/>
      <c r="C24" s="141"/>
    </row>
    <row r="25" spans="1:3" ht="13" thickBot="1" x14ac:dyDescent="0.3">
      <c r="A25" s="337">
        <f>A15+10</f>
        <v>2030</v>
      </c>
      <c r="B25" s="156"/>
      <c r="C25" s="156"/>
    </row>
    <row r="26" spans="1:3" ht="13" x14ac:dyDescent="0.3">
      <c r="A26" s="19"/>
    </row>
    <row r="28" spans="1:3" ht="30" customHeight="1" x14ac:dyDescent="0.25">
      <c r="A28" s="438" t="s">
        <v>139</v>
      </c>
      <c r="B28" s="438"/>
      <c r="C28" s="438"/>
    </row>
  </sheetData>
  <mergeCells count="1">
    <mergeCell ref="A28:C28"/>
  </mergeCells>
  <phoneticPr fontId="0" type="noConversion"/>
  <printOptions horizontalCentered="1"/>
  <pageMargins left="0.25" right="0.25" top="1.1399999999999999" bottom="0.75" header="0.45" footer="0.45"/>
  <pageSetup orientation="portrait" r:id="rId1"/>
  <headerFooter alignWithMargins="0">
    <oddHeader>&amp;C&amp;"MS Sans Serif,Bold"DOCD/DPP - AIR QUALITY
&amp;R&amp;"MS Sans Serif,Bold"&amp;9OMB Control No. 1010-0151
OMB Approval Expires:  xx/xx/xxxx</oddHeader>
    <oddFooter xml:space="preserve">&amp;L&amp;"MS Sans Serif,Bold"BOEM FORM 0139&amp;"MS Sans Serif,Regular" (July 2020- Supersedes all previous versions of this form which may not be used).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DDE7-EE94-4F59-860C-82D0F7225DF3}">
  <sheetPr codeName="Sheet11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EMISSIONS7!A48+1</f>
        <v>2027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2027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F66B-97A8-47F8-9C7A-9F93709A6060}">
  <sheetPr codeName="Sheet12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EMISSIONS8!A48+1</f>
        <v>2028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2028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1F5B-9443-45B0-A943-4E6B577F4592}">
  <sheetPr codeName="Sheet13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EMISSIONS9!A48+1</f>
        <v>2029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2029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>
    <pageSetUpPr fitToPage="1"/>
  </sheetPr>
  <dimension ref="A1:H112"/>
  <sheetViews>
    <sheetView view="pageLayout" zoomScaleNormal="100" zoomScaleSheetLayoutView="85" workbookViewId="0">
      <selection activeCell="G19" sqref="G19"/>
    </sheetView>
  </sheetViews>
  <sheetFormatPr defaultColWidth="10.54296875" defaultRowHeight="13.5" customHeight="1" x14ac:dyDescent="0.25"/>
  <cols>
    <col min="1" max="16384" width="10.54296875" style="2"/>
  </cols>
  <sheetData>
    <row r="1" spans="1:8" ht="13.5" customHeight="1" thickBot="1" x14ac:dyDescent="0.3">
      <c r="A1" s="466" t="s">
        <v>1</v>
      </c>
      <c r="B1" s="467"/>
      <c r="C1" s="80" t="s">
        <v>2</v>
      </c>
      <c r="D1" s="80" t="s">
        <v>3</v>
      </c>
      <c r="E1" s="80" t="s">
        <v>77</v>
      </c>
      <c r="F1" s="80" t="s">
        <v>69</v>
      </c>
      <c r="G1" s="80" t="s">
        <v>7</v>
      </c>
      <c r="H1" s="80"/>
    </row>
    <row r="2" spans="1:8" ht="13.5" customHeight="1" thickBot="1" x14ac:dyDescent="0.3">
      <c r="A2" s="464">
        <f>TITLE!$C$1</f>
        <v>0</v>
      </c>
      <c r="B2" s="465"/>
      <c r="C2" s="31" t="str">
        <f>TITLE!$C$3</f>
        <v xml:space="preserve">   </v>
      </c>
      <c r="D2" s="31" t="str">
        <f>TITLE!$C$4</f>
        <v xml:space="preserve">  </v>
      </c>
      <c r="E2" s="31" t="str">
        <f>TITLE!$C$5</f>
        <v xml:space="preserve"> </v>
      </c>
      <c r="F2" s="31" t="str">
        <f>TITLE!$C$6</f>
        <v xml:space="preserve">    </v>
      </c>
      <c r="G2" s="31"/>
      <c r="H2" s="31"/>
    </row>
    <row r="3" spans="1:8" ht="13.5" customHeight="1" thickTop="1" x14ac:dyDescent="0.25">
      <c r="A3" s="81"/>
      <c r="B3" s="107"/>
      <c r="C3" s="82"/>
      <c r="D3" s="82" t="s">
        <v>135</v>
      </c>
      <c r="E3" s="82"/>
      <c r="F3" s="82"/>
      <c r="G3" s="82"/>
      <c r="H3" s="83"/>
    </row>
    <row r="4" spans="1:8" ht="13.5" customHeight="1" thickBot="1" x14ac:dyDescent="0.3">
      <c r="A4" s="84" t="s">
        <v>78</v>
      </c>
      <c r="B4" s="85"/>
      <c r="C4" s="85"/>
      <c r="D4" s="85"/>
      <c r="E4" s="85"/>
      <c r="F4" s="85"/>
      <c r="G4" s="85"/>
      <c r="H4" s="86"/>
    </row>
    <row r="5" spans="1:8" ht="13.5" customHeight="1" thickTop="1" x14ac:dyDescent="0.25">
      <c r="A5" s="84"/>
      <c r="B5" s="87"/>
      <c r="C5" s="87"/>
      <c r="D5" s="87"/>
      <c r="E5" s="87"/>
      <c r="F5" s="98"/>
      <c r="G5" s="105"/>
      <c r="H5" s="88"/>
    </row>
    <row r="6" spans="1:8" ht="13.5" customHeight="1" thickBot="1" x14ac:dyDescent="0.3">
      <c r="A6" s="89" t="s">
        <v>0</v>
      </c>
      <c r="B6" s="90" t="s">
        <v>152</v>
      </c>
      <c r="C6" s="90" t="s">
        <v>28</v>
      </c>
      <c r="D6" s="90" t="s">
        <v>29</v>
      </c>
      <c r="E6" s="90" t="s">
        <v>30</v>
      </c>
      <c r="F6" s="90" t="s">
        <v>82</v>
      </c>
      <c r="G6" s="106" t="s">
        <v>31</v>
      </c>
      <c r="H6" s="104" t="s">
        <v>90</v>
      </c>
    </row>
    <row r="7" spans="1:8" ht="13.5" customHeight="1" thickTop="1" x14ac:dyDescent="0.25">
      <c r="A7" s="365">
        <f>EMISSIONS1!A$48</f>
        <v>2020</v>
      </c>
      <c r="B7" s="366">
        <f>EMISSIONS1!P$48</f>
        <v>0</v>
      </c>
      <c r="C7" s="366">
        <f>EMISSIONS1!$Q$48</f>
        <v>0</v>
      </c>
      <c r="D7" s="366">
        <f>EMISSIONS1!$R$48</f>
        <v>0</v>
      </c>
      <c r="E7" s="366">
        <f>EMISSIONS1!$S$48</f>
        <v>0</v>
      </c>
      <c r="F7" s="366">
        <f>EMISSIONS1!$T$48</f>
        <v>0</v>
      </c>
      <c r="G7" s="366">
        <f>EMISSIONS1!$U$48</f>
        <v>0</v>
      </c>
      <c r="H7" s="366">
        <f>EMISSIONS1!$V$48</f>
        <v>0</v>
      </c>
    </row>
    <row r="8" spans="1:8" ht="13.5" customHeight="1" x14ac:dyDescent="0.25">
      <c r="A8" s="365">
        <f>EMISSIONS2!A$48</f>
        <v>2021</v>
      </c>
      <c r="B8" s="366">
        <f>EMISSIONS2!P$48</f>
        <v>0</v>
      </c>
      <c r="C8" s="366">
        <f>EMISSIONS2!Q$48</f>
        <v>0</v>
      </c>
      <c r="D8" s="366">
        <f>EMISSIONS2!R$48</f>
        <v>0</v>
      </c>
      <c r="E8" s="366">
        <f>EMISSIONS2!S$48</f>
        <v>0</v>
      </c>
      <c r="F8" s="366">
        <f>EMISSIONS2!T$48</f>
        <v>0</v>
      </c>
      <c r="G8" s="366">
        <f>EMISSIONS2!U$48</f>
        <v>0</v>
      </c>
      <c r="H8" s="366">
        <f>EMISSIONS2!V$48</f>
        <v>0</v>
      </c>
    </row>
    <row r="9" spans="1:8" ht="13.5" customHeight="1" x14ac:dyDescent="0.25">
      <c r="A9" s="365">
        <f>EMISSIONS3!A$48</f>
        <v>2022</v>
      </c>
      <c r="B9" s="366">
        <f>EMISSIONS3!P$48</f>
        <v>0</v>
      </c>
      <c r="C9" s="366">
        <f>EMISSIONS3!Q$48</f>
        <v>0</v>
      </c>
      <c r="D9" s="366">
        <f>EMISSIONS3!R$48</f>
        <v>0</v>
      </c>
      <c r="E9" s="366">
        <f>EMISSIONS3!S$48</f>
        <v>0</v>
      </c>
      <c r="F9" s="366">
        <f>EMISSIONS3!T$48</f>
        <v>0</v>
      </c>
      <c r="G9" s="366">
        <f>EMISSIONS3!U$48</f>
        <v>0</v>
      </c>
      <c r="H9" s="366">
        <f>EMISSIONS3!V$48</f>
        <v>0</v>
      </c>
    </row>
    <row r="10" spans="1:8" ht="13.5" customHeight="1" x14ac:dyDescent="0.25">
      <c r="A10" s="365">
        <f>EMISSIONS4!A$48</f>
        <v>2023</v>
      </c>
      <c r="B10" s="366">
        <f>EMISSIONS4!P$48</f>
        <v>0</v>
      </c>
      <c r="C10" s="366">
        <f>EMISSIONS4!Q$48</f>
        <v>0</v>
      </c>
      <c r="D10" s="366">
        <f>EMISSIONS4!R$48</f>
        <v>0</v>
      </c>
      <c r="E10" s="366">
        <f>EMISSIONS4!S$48</f>
        <v>0</v>
      </c>
      <c r="F10" s="366">
        <f>EMISSIONS4!T$48</f>
        <v>0</v>
      </c>
      <c r="G10" s="366">
        <f>EMISSIONS4!U$48</f>
        <v>0</v>
      </c>
      <c r="H10" s="366">
        <f>EMISSIONS4!V$48</f>
        <v>0</v>
      </c>
    </row>
    <row r="11" spans="1:8" ht="13.5" customHeight="1" x14ac:dyDescent="0.25">
      <c r="A11" s="365">
        <f>EMISSIONS5!A$48</f>
        <v>2024</v>
      </c>
      <c r="B11" s="366">
        <f>EMISSIONS5!P$48</f>
        <v>0</v>
      </c>
      <c r="C11" s="366">
        <f>EMISSIONS5!Q$48</f>
        <v>0</v>
      </c>
      <c r="D11" s="366">
        <f>EMISSIONS5!R$48</f>
        <v>0</v>
      </c>
      <c r="E11" s="366">
        <f>EMISSIONS5!S$48</f>
        <v>0</v>
      </c>
      <c r="F11" s="366">
        <f>EMISSIONS5!T$48</f>
        <v>0</v>
      </c>
      <c r="G11" s="366">
        <f>EMISSIONS5!U$48</f>
        <v>0</v>
      </c>
      <c r="H11" s="366">
        <f>EMISSIONS5!V$48</f>
        <v>0</v>
      </c>
    </row>
    <row r="12" spans="1:8" ht="13.5" customHeight="1" x14ac:dyDescent="0.25">
      <c r="A12" s="365">
        <f>EMISSIONS6!A$48</f>
        <v>2025</v>
      </c>
      <c r="B12" s="366">
        <f>EMISSIONS6!P$48</f>
        <v>0</v>
      </c>
      <c r="C12" s="366">
        <f>EMISSIONS6!Q$48</f>
        <v>0</v>
      </c>
      <c r="D12" s="366">
        <f>EMISSIONS6!R$48</f>
        <v>0</v>
      </c>
      <c r="E12" s="366">
        <f>EMISSIONS6!S$48</f>
        <v>0</v>
      </c>
      <c r="F12" s="366">
        <f>EMISSIONS6!T$48</f>
        <v>0</v>
      </c>
      <c r="G12" s="366">
        <f>EMISSIONS6!U$48</f>
        <v>0</v>
      </c>
      <c r="H12" s="366">
        <f>EMISSIONS6!V$48</f>
        <v>0</v>
      </c>
    </row>
    <row r="13" spans="1:8" ht="13.5" customHeight="1" x14ac:dyDescent="0.25">
      <c r="A13" s="365">
        <f>EMISSIONS7!A$48</f>
        <v>2026</v>
      </c>
      <c r="B13" s="366">
        <f>EMISSIONS7!P$48</f>
        <v>0</v>
      </c>
      <c r="C13" s="366">
        <f>EMISSIONS7!Q$48</f>
        <v>0</v>
      </c>
      <c r="D13" s="366">
        <f>EMISSIONS7!R$48</f>
        <v>0</v>
      </c>
      <c r="E13" s="366">
        <f>EMISSIONS7!S$48</f>
        <v>0</v>
      </c>
      <c r="F13" s="366">
        <f>EMISSIONS7!T$48</f>
        <v>0</v>
      </c>
      <c r="G13" s="366">
        <f>EMISSIONS7!U$48</f>
        <v>0</v>
      </c>
      <c r="H13" s="366">
        <f>EMISSIONS7!V$48</f>
        <v>0</v>
      </c>
    </row>
    <row r="14" spans="1:8" ht="13.5" customHeight="1" x14ac:dyDescent="0.25">
      <c r="A14" s="365">
        <f>EMISSIONS8!A$48</f>
        <v>2027</v>
      </c>
      <c r="B14" s="366">
        <f>EMISSIONS8!P$48</f>
        <v>0</v>
      </c>
      <c r="C14" s="366">
        <f>EMISSIONS8!Q$48</f>
        <v>0</v>
      </c>
      <c r="D14" s="366">
        <f>EMISSIONS8!R$48</f>
        <v>0</v>
      </c>
      <c r="E14" s="366">
        <f>EMISSIONS8!S$48</f>
        <v>0</v>
      </c>
      <c r="F14" s="366">
        <f>EMISSIONS8!T$48</f>
        <v>0</v>
      </c>
      <c r="G14" s="366">
        <f>EMISSIONS8!U$48</f>
        <v>0</v>
      </c>
      <c r="H14" s="366">
        <f>EMISSIONS8!V$48</f>
        <v>0</v>
      </c>
    </row>
    <row r="15" spans="1:8" ht="13.5" customHeight="1" x14ac:dyDescent="0.25">
      <c r="A15" s="365">
        <f>EMISSIONS9!A$48</f>
        <v>2028</v>
      </c>
      <c r="B15" s="366">
        <f>EMISSIONS9!P$48</f>
        <v>0</v>
      </c>
      <c r="C15" s="366">
        <f>EMISSIONS9!Q$48</f>
        <v>0</v>
      </c>
      <c r="D15" s="366">
        <f>EMISSIONS9!R$48</f>
        <v>0</v>
      </c>
      <c r="E15" s="366">
        <f>EMISSIONS9!S$48</f>
        <v>0</v>
      </c>
      <c r="F15" s="366">
        <f>EMISSIONS9!T$48</f>
        <v>0</v>
      </c>
      <c r="G15" s="366">
        <f>EMISSIONS9!U$48</f>
        <v>0</v>
      </c>
      <c r="H15" s="366">
        <f>EMISSIONS9!V$48</f>
        <v>0</v>
      </c>
    </row>
    <row r="16" spans="1:8" ht="13.5" customHeight="1" thickBot="1" x14ac:dyDescent="0.3">
      <c r="A16" s="365">
        <f>EMISSIONS10!A$48</f>
        <v>2029</v>
      </c>
      <c r="B16" s="366">
        <f>EMISSIONS10!P$48</f>
        <v>0</v>
      </c>
      <c r="C16" s="366">
        <f>EMISSIONS10!Q$48</f>
        <v>0</v>
      </c>
      <c r="D16" s="366">
        <f>EMISSIONS10!R$48</f>
        <v>0</v>
      </c>
      <c r="E16" s="366">
        <f>EMISSIONS10!S$48</f>
        <v>0</v>
      </c>
      <c r="F16" s="366">
        <f>EMISSIONS10!T$48</f>
        <v>0</v>
      </c>
      <c r="G16" s="366">
        <f>EMISSIONS10!U$48</f>
        <v>0</v>
      </c>
      <c r="H16" s="366">
        <f>EMISSIONS10!V$48</f>
        <v>0</v>
      </c>
    </row>
    <row r="17" spans="1:8" ht="13.5" customHeight="1" thickTop="1" thickBot="1" x14ac:dyDescent="0.35">
      <c r="A17" s="91" t="s">
        <v>79</v>
      </c>
      <c r="B17" s="92">
        <f>EMISSIONS1!$P$49</f>
        <v>0</v>
      </c>
      <c r="C17" s="92">
        <f>EMISSIONS1!$Q$49</f>
        <v>0</v>
      </c>
      <c r="D17" s="92">
        <f>EMISSIONS1!$R$49</f>
        <v>0</v>
      </c>
      <c r="E17" s="92">
        <f>EMISSIONS1!$S$49</f>
        <v>0</v>
      </c>
      <c r="F17" s="92"/>
      <c r="G17" s="92">
        <f>EMISSIONS1!$U$49</f>
        <v>0</v>
      </c>
      <c r="H17" s="92"/>
    </row>
    <row r="18" spans="1:8" ht="13.5" customHeight="1" thickTop="1" x14ac:dyDescent="0.25"/>
    <row r="64" spans="1:1" ht="13.5" customHeight="1" x14ac:dyDescent="0.3">
      <c r="A64" s="19"/>
    </row>
    <row r="67" spans="1:1" ht="13.5" customHeight="1" x14ac:dyDescent="0.3">
      <c r="A67" s="19"/>
    </row>
    <row r="76" spans="1:1" ht="13.5" customHeight="1" x14ac:dyDescent="0.25">
      <c r="A76" s="20"/>
    </row>
    <row r="77" spans="1:1" ht="13.5" customHeight="1" x14ac:dyDescent="0.25">
      <c r="A77" s="20"/>
    </row>
    <row r="78" spans="1:1" ht="13.5" customHeight="1" x14ac:dyDescent="0.25">
      <c r="A78" s="20"/>
    </row>
    <row r="79" spans="1:1" ht="13.5" customHeight="1" x14ac:dyDescent="0.3">
      <c r="A79" s="19"/>
    </row>
    <row r="109" spans="1:1" ht="13.5" customHeight="1" x14ac:dyDescent="0.3">
      <c r="A109" s="19"/>
    </row>
    <row r="112" spans="1:1" ht="13.5" customHeight="1" x14ac:dyDescent="0.3">
      <c r="A112" s="19"/>
    </row>
  </sheetData>
  <mergeCells count="2">
    <mergeCell ref="A2:B2"/>
    <mergeCell ref="A1:B1"/>
  </mergeCells>
  <phoneticPr fontId="0" type="noConversion"/>
  <printOptions horizontalCentered="1"/>
  <pageMargins left="0.25" right="0.25" top="1" bottom="0.5" header="0.5" footer="0.5"/>
  <pageSetup orientation="portrait" horizontalDpi="300" verticalDpi="300" r:id="rId1"/>
  <headerFooter alignWithMargins="0">
    <oddHeader>&amp;C&amp;"Helvetica,Bold"AIR EMISSIONS CALCULATIONS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74"/>
  <sheetViews>
    <sheetView view="pageLayout" zoomScale="80" zoomScaleNormal="100" zoomScalePageLayoutView="80" workbookViewId="0">
      <selection activeCell="J9" sqref="J9"/>
    </sheetView>
  </sheetViews>
  <sheetFormatPr defaultColWidth="9.1796875" defaultRowHeight="12.5" x14ac:dyDescent="0.25"/>
  <cols>
    <col min="1" max="1" width="37.7265625" style="6" customWidth="1"/>
    <col min="2" max="2" width="16.7265625" style="7" customWidth="1"/>
    <col min="3" max="3" width="17.1796875" style="7" customWidth="1"/>
    <col min="4" max="4" width="10.26953125" style="8" customWidth="1"/>
    <col min="5" max="7" width="10.26953125" style="7" customWidth="1"/>
    <col min="8" max="9" width="10.26953125" style="13" customWidth="1"/>
    <col min="10" max="10" width="58.1796875" style="13" customWidth="1"/>
    <col min="11" max="11" width="10.453125" style="13" bestFit="1" customWidth="1"/>
    <col min="12" max="12" width="60.26953125" style="340" customWidth="1"/>
    <col min="13" max="16384" width="9.1796875" style="2"/>
  </cols>
  <sheetData>
    <row r="1" spans="1:12" ht="13.5" thickBot="1" x14ac:dyDescent="0.3">
      <c r="A1" s="1" t="s">
        <v>17</v>
      </c>
      <c r="B1" s="446" t="s">
        <v>18</v>
      </c>
      <c r="C1" s="447"/>
      <c r="D1" s="448" t="s">
        <v>19</v>
      </c>
      <c r="E1" s="449"/>
      <c r="F1" s="444" t="s">
        <v>20</v>
      </c>
      <c r="G1" s="445"/>
      <c r="H1" s="444" t="s">
        <v>92</v>
      </c>
      <c r="I1" s="445"/>
      <c r="J1" s="99"/>
      <c r="K1" s="99"/>
    </row>
    <row r="2" spans="1:12" ht="13" thickBot="1" x14ac:dyDescent="0.3">
      <c r="A2" s="3"/>
      <c r="B2" s="4" t="s">
        <v>23</v>
      </c>
      <c r="C2" s="185">
        <f>10000/$F$50</f>
        <v>9.5238095238095237</v>
      </c>
      <c r="D2" s="5" t="s">
        <v>23</v>
      </c>
      <c r="E2" s="185">
        <f>7500/$F$50</f>
        <v>7.1428571428571432</v>
      </c>
      <c r="F2" s="4" t="s">
        <v>24</v>
      </c>
      <c r="G2" s="186">
        <f>7000/($F$46*$F$47)</f>
        <v>5.1446000073494286E-2</v>
      </c>
      <c r="H2" s="4" t="s">
        <v>24</v>
      </c>
      <c r="I2" s="186">
        <f>7000/($F$46*$F$47)</f>
        <v>5.1446000073494286E-2</v>
      </c>
      <c r="J2" s="100"/>
      <c r="K2" s="101"/>
    </row>
    <row r="3" spans="1:12" ht="13" thickBot="1" x14ac:dyDescent="0.3">
      <c r="H3" s="7"/>
      <c r="I3" s="7"/>
      <c r="J3" s="9"/>
      <c r="K3" s="9"/>
    </row>
    <row r="4" spans="1:12" ht="13.5" thickTop="1" x14ac:dyDescent="0.25">
      <c r="A4" s="143" t="s">
        <v>26</v>
      </c>
      <c r="B4" s="94" t="s">
        <v>27</v>
      </c>
      <c r="C4" s="94" t="s">
        <v>152</v>
      </c>
      <c r="D4" s="152" t="s">
        <v>28</v>
      </c>
      <c r="E4" s="94" t="s">
        <v>29</v>
      </c>
      <c r="F4" s="94" t="s">
        <v>30</v>
      </c>
      <c r="G4" s="94" t="s">
        <v>82</v>
      </c>
      <c r="H4" s="153" t="s">
        <v>31</v>
      </c>
      <c r="I4" s="153" t="s">
        <v>90</v>
      </c>
      <c r="J4" s="153" t="s">
        <v>21</v>
      </c>
      <c r="K4" s="154" t="s">
        <v>22</v>
      </c>
      <c r="L4" s="341" t="s">
        <v>162</v>
      </c>
    </row>
    <row r="5" spans="1:12" ht="13" x14ac:dyDescent="0.25">
      <c r="A5" s="144"/>
      <c r="B5" s="11"/>
      <c r="C5" s="11"/>
      <c r="D5" s="145"/>
      <c r="E5" s="11"/>
      <c r="F5" s="11"/>
      <c r="G5" s="11"/>
      <c r="H5" s="146"/>
      <c r="I5" s="146"/>
      <c r="J5" s="146"/>
      <c r="K5" s="147"/>
      <c r="L5" s="342"/>
    </row>
    <row r="6" spans="1:12" ht="13" x14ac:dyDescent="0.3">
      <c r="A6" s="115" t="s">
        <v>218</v>
      </c>
      <c r="B6" s="116" t="s">
        <v>93</v>
      </c>
      <c r="C6" s="108"/>
      <c r="D6" s="108">
        <f>(0.94*0.000178*$B$46)*453.592*$F$50*$C$2/1000000</f>
        <v>2.5652514542719991E-3</v>
      </c>
      <c r="E6" s="108">
        <f>0.32*$F$50*$C$2*453.592/1000000</f>
        <v>1.4514943999999999</v>
      </c>
      <c r="F6" s="108">
        <f>0.0021*$F$50*$C$2*453.592/1000000</f>
        <v>9.5254319999999986E-3</v>
      </c>
      <c r="G6" s="108" t="s">
        <v>95</v>
      </c>
      <c r="H6" s="108">
        <f>0.082*$F$50*$C$2*453.592/1000000</f>
        <v>0.37194544000000007</v>
      </c>
      <c r="I6" s="108" t="s">
        <v>95</v>
      </c>
      <c r="J6" s="117" t="s">
        <v>84</v>
      </c>
      <c r="K6" s="119" t="s">
        <v>85</v>
      </c>
      <c r="L6" s="301" t="s">
        <v>168</v>
      </c>
    </row>
    <row r="7" spans="1:12" ht="13" x14ac:dyDescent="0.3">
      <c r="A7" s="10" t="s">
        <v>195</v>
      </c>
      <c r="B7" s="11" t="s">
        <v>93</v>
      </c>
      <c r="C7" s="109"/>
      <c r="D7" s="109">
        <f>0.000588*$F$50*$E$2*453.592/1000000</f>
        <v>2.0003407199999999E-3</v>
      </c>
      <c r="E7" s="109">
        <f>1.94*$F$50*$E$2*453.592/1000000</f>
        <v>6.5997635999999993</v>
      </c>
      <c r="F7" s="109">
        <f>0.12*$F$50*$E$2*453.592/1000000</f>
        <v>0.40823280000000001</v>
      </c>
      <c r="G7" s="109" t="s">
        <v>95</v>
      </c>
      <c r="H7" s="109">
        <f>0.353*$F$50*$E$2*453.592/1000000</f>
        <v>1.20088482</v>
      </c>
      <c r="I7" s="109" t="s">
        <v>95</v>
      </c>
      <c r="J7" s="12" t="s">
        <v>25</v>
      </c>
      <c r="K7" s="97" t="s">
        <v>86</v>
      </c>
      <c r="L7" s="301" t="s">
        <v>169</v>
      </c>
    </row>
    <row r="8" spans="1:12" ht="13" x14ac:dyDescent="0.3">
      <c r="A8" s="115" t="s">
        <v>196</v>
      </c>
      <c r="B8" s="116" t="s">
        <v>93</v>
      </c>
      <c r="C8" s="108"/>
      <c r="D8" s="108">
        <f>0.000588*$F$50*$E$2*453.592/1000000</f>
        <v>2.0003407199999999E-3</v>
      </c>
      <c r="E8" s="108">
        <f>0.847*$F$50*$E$2*453.592/1000000</f>
        <v>2.8814431800000002</v>
      </c>
      <c r="F8" s="108">
        <f>0.118*$F$50*$E$2*453.592/1000000</f>
        <v>0.40142891999999997</v>
      </c>
      <c r="G8" s="108" t="s">
        <v>95</v>
      </c>
      <c r="H8" s="108">
        <f>0.557*$F$50*$E$2*453.592/1000000</f>
        <v>1.8948805799999999</v>
      </c>
      <c r="I8" s="108" t="s">
        <v>95</v>
      </c>
      <c r="J8" s="117" t="s">
        <v>87</v>
      </c>
      <c r="K8" s="119" t="s">
        <v>86</v>
      </c>
      <c r="L8" s="301" t="s">
        <v>169</v>
      </c>
    </row>
    <row r="9" spans="1:12" ht="13" x14ac:dyDescent="0.3">
      <c r="A9" s="10" t="s">
        <v>197</v>
      </c>
      <c r="B9" s="11" t="s">
        <v>93</v>
      </c>
      <c r="C9" s="109"/>
      <c r="D9" s="109">
        <f>0.000588*$E$2*$F$50*453.592/1000000</f>
        <v>2.0003407199999999E-3</v>
      </c>
      <c r="E9" s="109">
        <f>2.27*$E$2*$F$50*453.592/1000000</f>
        <v>7.7224037999999995</v>
      </c>
      <c r="F9" s="109">
        <f>0.03*$E$2*$F$50*453.592/1000000</f>
        <v>0.10205820000000002</v>
      </c>
      <c r="G9" s="109" t="s">
        <v>95</v>
      </c>
      <c r="H9" s="109">
        <f>3.51*$E$2*$F$50*453.592/1000000</f>
        <v>11.940809400000001</v>
      </c>
      <c r="I9" s="109" t="s">
        <v>95</v>
      </c>
      <c r="J9" s="12" t="s">
        <v>88</v>
      </c>
      <c r="K9" s="97" t="s">
        <v>86</v>
      </c>
      <c r="L9" s="301" t="s">
        <v>169</v>
      </c>
    </row>
    <row r="10" spans="1:12" ht="6" customHeight="1" x14ac:dyDescent="0.25">
      <c r="A10" s="157"/>
      <c r="B10" s="158"/>
      <c r="C10" s="166"/>
      <c r="D10" s="166"/>
      <c r="E10" s="166"/>
      <c r="F10" s="166" t="s">
        <v>0</v>
      </c>
      <c r="G10" s="166"/>
      <c r="H10" s="166"/>
      <c r="I10" s="166"/>
      <c r="J10" s="159"/>
      <c r="K10" s="163"/>
      <c r="L10" s="343"/>
    </row>
    <row r="11" spans="1:12" ht="13" x14ac:dyDescent="0.3">
      <c r="A11" s="115" t="s">
        <v>120</v>
      </c>
      <c r="B11" s="116" t="s">
        <v>93</v>
      </c>
      <c r="C11" s="116">
        <v>1</v>
      </c>
      <c r="D11" s="116">
        <v>0.93</v>
      </c>
      <c r="E11" s="116">
        <v>14.1</v>
      </c>
      <c r="F11" s="116">
        <v>1.04</v>
      </c>
      <c r="G11" s="116" t="s">
        <v>95</v>
      </c>
      <c r="H11" s="116">
        <v>3.03</v>
      </c>
      <c r="I11" s="116" t="s">
        <v>95</v>
      </c>
      <c r="J11" s="117" t="s">
        <v>33</v>
      </c>
      <c r="K11" s="119" t="s">
        <v>32</v>
      </c>
      <c r="L11" s="301" t="s">
        <v>170</v>
      </c>
    </row>
    <row r="12" spans="1:12" ht="13" x14ac:dyDescent="0.3">
      <c r="A12" s="10" t="s">
        <v>121</v>
      </c>
      <c r="B12" s="11" t="s">
        <v>93</v>
      </c>
      <c r="C12" s="292">
        <v>0.32</v>
      </c>
      <c r="D12" s="293">
        <f>3.67*$B$47</f>
        <v>5.5050000000000003E-3</v>
      </c>
      <c r="E12" s="292">
        <v>10.9</v>
      </c>
      <c r="F12" s="292">
        <v>0.28999999999999998</v>
      </c>
      <c r="G12" s="292" t="s">
        <v>95</v>
      </c>
      <c r="H12" s="292">
        <v>2.5</v>
      </c>
      <c r="I12" s="292" t="s">
        <v>95</v>
      </c>
      <c r="J12" s="12" t="s">
        <v>89</v>
      </c>
      <c r="K12" s="97" t="s">
        <v>32</v>
      </c>
      <c r="L12" s="301" t="s">
        <v>171</v>
      </c>
    </row>
    <row r="13" spans="1:12" ht="26" x14ac:dyDescent="0.3">
      <c r="A13" s="115" t="s">
        <v>34</v>
      </c>
      <c r="B13" s="108" t="s">
        <v>35</v>
      </c>
      <c r="C13" s="108">
        <v>8.4000000000000005E-2</v>
      </c>
      <c r="D13" s="108">
        <f>(142*$B$47)*42/1000</f>
        <v>8.9459999999999991E-3</v>
      </c>
      <c r="E13" s="108">
        <v>1.008</v>
      </c>
      <c r="F13" s="108">
        <v>8.4000000000000012E-3</v>
      </c>
      <c r="G13" s="108">
        <v>5.1432569999999991E-5</v>
      </c>
      <c r="H13" s="108">
        <v>0.21</v>
      </c>
      <c r="I13" s="108">
        <v>3.3600000000000005E-2</v>
      </c>
      <c r="J13" s="117" t="s">
        <v>115</v>
      </c>
      <c r="K13" s="117" t="s">
        <v>180</v>
      </c>
      <c r="L13" s="301" t="s">
        <v>173</v>
      </c>
    </row>
    <row r="14" spans="1:12" x14ac:dyDescent="0.25">
      <c r="A14" s="10" t="s">
        <v>83</v>
      </c>
      <c r="B14" s="11" t="s">
        <v>93</v>
      </c>
      <c r="C14" s="109"/>
      <c r="D14" s="109">
        <f>(1.01*$B$47)*453.592*$F$46*$I$2*$F$47/1000000</f>
        <v>4.8103431600000001E-3</v>
      </c>
      <c r="E14" s="109">
        <f>0.88*$F$47*$F$46*$I$2*453.592/1000000</f>
        <v>2.79412672</v>
      </c>
      <c r="F14" s="109">
        <f>0.00041*$F$47*$F$46*$I$2*453.592/1000000</f>
        <v>1.3018090400000002E-3</v>
      </c>
      <c r="G14" s="109">
        <f>0.000014*$F$47*$F$46*$I$2*453.592/1000000</f>
        <v>4.4452015999999991E-5</v>
      </c>
      <c r="H14" s="109">
        <f>0.0033*$F$47*$F$46*$I$2*453.592/1000000</f>
        <v>1.0477975200000001E-2</v>
      </c>
      <c r="I14" s="125" t="s">
        <v>95</v>
      </c>
      <c r="J14" s="12" t="s">
        <v>228</v>
      </c>
      <c r="K14" s="97" t="s">
        <v>85</v>
      </c>
      <c r="L14" s="450" t="s">
        <v>174</v>
      </c>
    </row>
    <row r="15" spans="1:12" x14ac:dyDescent="0.25">
      <c r="A15" s="115" t="s">
        <v>175</v>
      </c>
      <c r="B15" s="116" t="s">
        <v>93</v>
      </c>
      <c r="C15" s="108"/>
      <c r="D15" s="108">
        <f t="shared" ref="D15:H15" si="0">MAX(D14,D6)</f>
        <v>4.8103431600000001E-3</v>
      </c>
      <c r="E15" s="108">
        <f t="shared" si="0"/>
        <v>2.79412672</v>
      </c>
      <c r="F15" s="108">
        <f t="shared" si="0"/>
        <v>9.5254319999999986E-3</v>
      </c>
      <c r="G15" s="108">
        <f t="shared" si="0"/>
        <v>4.4452015999999991E-5</v>
      </c>
      <c r="H15" s="108">
        <f t="shared" si="0"/>
        <v>0.37194544000000007</v>
      </c>
      <c r="I15" s="108">
        <f>MAX(I14,I6)</f>
        <v>0</v>
      </c>
      <c r="J15" s="117" t="s">
        <v>229</v>
      </c>
      <c r="K15" s="119" t="s">
        <v>85</v>
      </c>
      <c r="L15" s="450"/>
    </row>
    <row r="16" spans="1:12" ht="6" customHeight="1" x14ac:dyDescent="0.25">
      <c r="A16" s="157"/>
      <c r="B16" s="158"/>
      <c r="C16" s="158"/>
      <c r="D16" s="158"/>
      <c r="E16" s="158"/>
      <c r="F16" s="158"/>
      <c r="G16" s="158"/>
      <c r="H16" s="166"/>
      <c r="I16" s="166"/>
      <c r="J16" s="159"/>
      <c r="K16" s="163" t="s">
        <v>0</v>
      </c>
      <c r="L16" s="343"/>
    </row>
    <row r="17" spans="1:12" s="290" customFormat="1" ht="47.5" customHeight="1" x14ac:dyDescent="0.25">
      <c r="A17" s="288" t="s">
        <v>126</v>
      </c>
      <c r="B17" s="292" t="s">
        <v>93</v>
      </c>
      <c r="C17" s="292">
        <v>0.32</v>
      </c>
      <c r="D17" s="292">
        <v>0.26845200000000002</v>
      </c>
      <c r="E17" s="292">
        <v>12.6769</v>
      </c>
      <c r="F17" s="292">
        <v>0.46979100000000001</v>
      </c>
      <c r="G17" s="292">
        <v>2.2371E-5</v>
      </c>
      <c r="H17" s="293">
        <v>1.0439799999999999</v>
      </c>
      <c r="I17" s="293">
        <v>2.2371000000000001E-3</v>
      </c>
      <c r="J17" s="294" t="s">
        <v>227</v>
      </c>
      <c r="K17" s="303" t="s">
        <v>179</v>
      </c>
      <c r="L17" s="454" t="s">
        <v>186</v>
      </c>
    </row>
    <row r="18" spans="1:12" s="289" customFormat="1" ht="15" customHeight="1" x14ac:dyDescent="0.25">
      <c r="A18" s="115" t="s">
        <v>191</v>
      </c>
      <c r="B18" s="116" t="s">
        <v>93</v>
      </c>
      <c r="C18" s="116">
        <v>0.32</v>
      </c>
      <c r="D18" s="116">
        <v>0.31319400000000003</v>
      </c>
      <c r="E18" s="116">
        <v>10.290660000000001</v>
      </c>
      <c r="F18" s="116">
        <v>0.31319400000000003</v>
      </c>
      <c r="G18" s="116">
        <v>2.2371E-5</v>
      </c>
      <c r="H18" s="108">
        <v>0.67113</v>
      </c>
      <c r="I18" s="108">
        <v>3.7285E-3</v>
      </c>
      <c r="J18" s="117" t="str">
        <f>J17</f>
        <v>EPA CMV model (2019); PM: refer to Diesel Recip. &gt; 600 hp reference</v>
      </c>
      <c r="K18" s="117" t="s">
        <v>179</v>
      </c>
      <c r="L18" s="455"/>
    </row>
    <row r="19" spans="1:12" s="290" customFormat="1" ht="15" customHeight="1" x14ac:dyDescent="0.25">
      <c r="A19" s="288" t="s">
        <v>225</v>
      </c>
      <c r="B19" s="292" t="s">
        <v>93</v>
      </c>
      <c r="C19" s="292"/>
      <c r="D19" s="292">
        <v>0.43996299999999999</v>
      </c>
      <c r="E19" s="292">
        <v>1.4914000000000001</v>
      </c>
      <c r="F19" s="292">
        <v>8.2027000000000003E-2</v>
      </c>
      <c r="G19" s="292">
        <v>3.7285000000000006E-5</v>
      </c>
      <c r="H19" s="293">
        <v>0.14914000000000002</v>
      </c>
      <c r="I19" s="293">
        <v>2.9828000000000005E-4</v>
      </c>
      <c r="J19" s="294" t="s">
        <v>217</v>
      </c>
      <c r="K19" s="303" t="s">
        <v>179</v>
      </c>
      <c r="L19" s="455"/>
    </row>
    <row r="20" spans="1:12" ht="15" customHeight="1" x14ac:dyDescent="0.25">
      <c r="A20" s="10" t="s">
        <v>220</v>
      </c>
      <c r="B20" s="11" t="str">
        <f>B19</f>
        <v>g/hp-hr</v>
      </c>
      <c r="C20" s="292">
        <v>0.32</v>
      </c>
      <c r="D20" s="292">
        <f t="shared" ref="D20:K20" si="1">D17</f>
        <v>0.26845200000000002</v>
      </c>
      <c r="E20" s="292">
        <f t="shared" si="1"/>
        <v>12.6769</v>
      </c>
      <c r="F20" s="292">
        <f t="shared" si="1"/>
        <v>0.46979100000000001</v>
      </c>
      <c r="G20" s="292">
        <f t="shared" si="1"/>
        <v>2.2371E-5</v>
      </c>
      <c r="H20" s="293">
        <f t="shared" si="1"/>
        <v>1.0439799999999999</v>
      </c>
      <c r="I20" s="293">
        <f t="shared" si="1"/>
        <v>2.2371000000000001E-3</v>
      </c>
      <c r="J20" s="294" t="str">
        <f t="shared" si="1"/>
        <v>EPA CMV model (2019); PM: refer to Diesel Recip. &gt; 600 hp reference</v>
      </c>
      <c r="K20" s="295" t="str">
        <f t="shared" si="1"/>
        <v>3/19</v>
      </c>
      <c r="L20" s="456"/>
    </row>
    <row r="21" spans="1:12" s="289" customFormat="1" ht="26.25" customHeight="1" x14ac:dyDescent="0.25">
      <c r="A21" s="115" t="s">
        <v>219</v>
      </c>
      <c r="B21" s="116" t="s">
        <v>94</v>
      </c>
      <c r="C21" s="349">
        <v>7.6</v>
      </c>
      <c r="D21" s="349">
        <v>0.6</v>
      </c>
      <c r="E21" s="349">
        <v>190</v>
      </c>
      <c r="F21" s="349">
        <v>5.5</v>
      </c>
      <c r="G21" s="110">
        <v>5.0000000000000001E-4</v>
      </c>
      <c r="H21" s="349">
        <v>84</v>
      </c>
      <c r="I21" s="291">
        <v>3.2</v>
      </c>
      <c r="J21" s="117" t="s">
        <v>116</v>
      </c>
      <c r="K21" s="302" t="s">
        <v>181</v>
      </c>
      <c r="L21" s="354" t="s">
        <v>204</v>
      </c>
    </row>
    <row r="22" spans="1:12" ht="12.75" customHeight="1" x14ac:dyDescent="0.25">
      <c r="A22" s="288" t="s">
        <v>198</v>
      </c>
      <c r="B22" s="11" t="s">
        <v>94</v>
      </c>
      <c r="C22" s="168"/>
      <c r="D22" s="360">
        <f>0.1687*$B$48</f>
        <v>0.57020599999999999</v>
      </c>
      <c r="E22" s="350">
        <f>(0.068*$F$50)</f>
        <v>71.400000000000006</v>
      </c>
      <c r="F22" s="168">
        <f>($B$53*1000000*(1-$B$54/100)/379.4)</f>
        <v>35.930416447021649</v>
      </c>
      <c r="G22" s="351" t="s">
        <v>95</v>
      </c>
      <c r="H22" s="127">
        <f>(0.31*$F$50)</f>
        <v>325.5</v>
      </c>
      <c r="I22" s="171" t="s">
        <v>95</v>
      </c>
      <c r="J22" s="12" t="s">
        <v>202</v>
      </c>
      <c r="K22" s="120" t="s">
        <v>203</v>
      </c>
      <c r="L22" s="451" t="s">
        <v>205</v>
      </c>
    </row>
    <row r="23" spans="1:12" s="289" customFormat="1" x14ac:dyDescent="0.25">
      <c r="A23" s="115" t="s">
        <v>199</v>
      </c>
      <c r="B23" s="116" t="s">
        <v>94</v>
      </c>
      <c r="C23" s="169"/>
      <c r="D23" s="169">
        <f>0.1687*$B$48</f>
        <v>0.57020599999999999</v>
      </c>
      <c r="E23" s="169">
        <f>(0.068*$F$50)</f>
        <v>71.400000000000006</v>
      </c>
      <c r="F23" s="169">
        <f t="shared" ref="F23:F24" si="2">($B$53*1000000*(1-$B$54/100)/379.4)</f>
        <v>35.930416447021649</v>
      </c>
      <c r="G23" s="170" t="s">
        <v>95</v>
      </c>
      <c r="H23" s="172">
        <f>(0.31*$F$50)</f>
        <v>325.5</v>
      </c>
      <c r="I23" s="172" t="s">
        <v>95</v>
      </c>
      <c r="J23" s="117" t="s">
        <v>202</v>
      </c>
      <c r="K23" s="118" t="s">
        <v>203</v>
      </c>
      <c r="L23" s="452"/>
    </row>
    <row r="24" spans="1:12" x14ac:dyDescent="0.25">
      <c r="A24" s="288" t="s">
        <v>200</v>
      </c>
      <c r="B24" s="11" t="s">
        <v>94</v>
      </c>
      <c r="C24" s="168"/>
      <c r="D24" s="360">
        <f>0.1687*$B$48</f>
        <v>0.57020599999999999</v>
      </c>
      <c r="E24" s="350">
        <f>(0.068*$F$50)</f>
        <v>71.400000000000006</v>
      </c>
      <c r="F24" s="350">
        <f t="shared" si="2"/>
        <v>35.930416447021649</v>
      </c>
      <c r="G24" s="351" t="s">
        <v>95</v>
      </c>
      <c r="H24" s="171">
        <f>(0.31*$F$50)</f>
        <v>325.5</v>
      </c>
      <c r="I24" s="171" t="s">
        <v>95</v>
      </c>
      <c r="J24" s="12" t="s">
        <v>202</v>
      </c>
      <c r="K24" s="120" t="s">
        <v>203</v>
      </c>
      <c r="L24" s="452"/>
    </row>
    <row r="25" spans="1:12" s="289" customFormat="1" x14ac:dyDescent="0.25">
      <c r="A25" s="115" t="s">
        <v>201</v>
      </c>
      <c r="B25" s="116" t="s">
        <v>94</v>
      </c>
      <c r="C25" s="169"/>
      <c r="D25" s="169">
        <f>0.1687*$B$48</f>
        <v>0.57020599999999999</v>
      </c>
      <c r="E25" s="169">
        <f>(0.068*$F$50)</f>
        <v>71.400000000000006</v>
      </c>
      <c r="F25" s="169">
        <f>($B$53*1000000*(1-$B$54/100)/379.4)</f>
        <v>35.930416447021649</v>
      </c>
      <c r="G25" s="170" t="s">
        <v>95</v>
      </c>
      <c r="H25" s="172">
        <f>(0.31*$F$50)</f>
        <v>325.5</v>
      </c>
      <c r="I25" s="172" t="s">
        <v>95</v>
      </c>
      <c r="J25" s="117" t="s">
        <v>202</v>
      </c>
      <c r="K25" s="118" t="s">
        <v>203</v>
      </c>
      <c r="L25" s="453"/>
    </row>
    <row r="26" spans="1:12" ht="6" customHeight="1" x14ac:dyDescent="0.25">
      <c r="A26" s="157"/>
      <c r="B26" s="158"/>
      <c r="C26" s="158"/>
      <c r="D26" s="158"/>
      <c r="E26" s="158"/>
      <c r="F26" s="158"/>
      <c r="G26" s="158"/>
      <c r="H26" s="158"/>
      <c r="I26" s="158"/>
      <c r="J26" s="159"/>
      <c r="K26" s="160"/>
      <c r="L26" s="343"/>
    </row>
    <row r="27" spans="1:12" ht="13" x14ac:dyDescent="0.25">
      <c r="A27" s="10" t="s">
        <v>36</v>
      </c>
      <c r="B27" s="292" t="s">
        <v>35</v>
      </c>
      <c r="C27" s="292">
        <v>0.42</v>
      </c>
      <c r="D27" s="292">
        <f>142*$B$49*42/1000</f>
        <v>5.9640000000000004</v>
      </c>
      <c r="E27" s="292">
        <v>0.84</v>
      </c>
      <c r="F27" s="292">
        <v>1.4280000000000001E-2</v>
      </c>
      <c r="G27" s="304">
        <v>5.1432569999999991E-5</v>
      </c>
      <c r="H27" s="292">
        <v>0.21</v>
      </c>
      <c r="I27" s="292">
        <v>3.3600000000000005E-2</v>
      </c>
      <c r="J27" s="294" t="s">
        <v>210</v>
      </c>
      <c r="K27" s="120" t="s">
        <v>209</v>
      </c>
      <c r="L27" s="344" t="s">
        <v>187</v>
      </c>
    </row>
    <row r="28" spans="1:12" s="289" customFormat="1" ht="26" x14ac:dyDescent="0.25">
      <c r="A28" s="115" t="s">
        <v>140</v>
      </c>
      <c r="B28" s="363" t="s">
        <v>161</v>
      </c>
      <c r="C28" s="110"/>
      <c r="D28" s="110"/>
      <c r="E28" s="110"/>
      <c r="F28" s="352">
        <v>3.9211715540249568</v>
      </c>
      <c r="G28" s="110"/>
      <c r="H28" s="110"/>
      <c r="I28" s="110"/>
      <c r="J28" s="434" t="s">
        <v>158</v>
      </c>
      <c r="K28" s="164">
        <v>2017</v>
      </c>
      <c r="L28" s="345" t="s">
        <v>163</v>
      </c>
    </row>
    <row r="29" spans="1:12" ht="13" x14ac:dyDescent="0.3">
      <c r="A29" s="10" t="s">
        <v>37</v>
      </c>
      <c r="B29" s="292" t="s">
        <v>185</v>
      </c>
      <c r="C29" s="305"/>
      <c r="D29" s="305"/>
      <c r="E29" s="305"/>
      <c r="F29" s="293">
        <v>5.0000000000000001E-4</v>
      </c>
      <c r="G29" s="305"/>
      <c r="H29" s="305"/>
      <c r="I29" s="305"/>
      <c r="J29" s="294" t="s">
        <v>38</v>
      </c>
      <c r="K29" s="161" t="s">
        <v>39</v>
      </c>
      <c r="L29" s="346" t="s">
        <v>189</v>
      </c>
    </row>
    <row r="30" spans="1:12" s="289" customFormat="1" ht="26" x14ac:dyDescent="0.25">
      <c r="A30" s="115" t="s">
        <v>142</v>
      </c>
      <c r="B30" s="363" t="s">
        <v>159</v>
      </c>
      <c r="C30" s="110"/>
      <c r="D30" s="110"/>
      <c r="E30" s="110"/>
      <c r="F30" s="352">
        <v>16.70633954375457</v>
      </c>
      <c r="G30" s="110"/>
      <c r="H30" s="110"/>
      <c r="I30" s="110"/>
      <c r="J30" s="434" t="s">
        <v>160</v>
      </c>
      <c r="K30" s="164">
        <v>2014</v>
      </c>
      <c r="L30" s="345" t="s">
        <v>164</v>
      </c>
    </row>
    <row r="31" spans="1:12" ht="26" x14ac:dyDescent="0.25">
      <c r="A31" s="10" t="s">
        <v>141</v>
      </c>
      <c r="B31" s="364" t="s">
        <v>157</v>
      </c>
      <c r="C31" s="305"/>
      <c r="D31" s="305"/>
      <c r="E31" s="305"/>
      <c r="F31" s="306">
        <v>44.645915587965895</v>
      </c>
      <c r="G31" s="305"/>
      <c r="H31" s="305"/>
      <c r="I31" s="305"/>
      <c r="J31" s="435" t="s">
        <v>158</v>
      </c>
      <c r="K31" s="15">
        <v>2017</v>
      </c>
      <c r="L31" s="344" t="s">
        <v>216</v>
      </c>
    </row>
    <row r="32" spans="1:12" ht="6" customHeight="1" x14ac:dyDescent="0.25">
      <c r="A32" s="157"/>
      <c r="B32" s="158"/>
      <c r="C32" s="162"/>
      <c r="D32" s="162"/>
      <c r="E32" s="162"/>
      <c r="F32" s="166"/>
      <c r="G32" s="162"/>
      <c r="H32" s="162"/>
      <c r="I32" s="162"/>
      <c r="J32" s="159"/>
      <c r="K32" s="163"/>
      <c r="L32" s="343"/>
    </row>
    <row r="33" spans="1:12" s="289" customFormat="1" ht="13" x14ac:dyDescent="0.25">
      <c r="A33" s="115" t="s">
        <v>176</v>
      </c>
      <c r="B33" s="116" t="s">
        <v>117</v>
      </c>
      <c r="C33" s="110"/>
      <c r="D33" s="110">
        <v>2.5</v>
      </c>
      <c r="E33" s="110">
        <v>2</v>
      </c>
      <c r="F33" s="110" t="s">
        <v>95</v>
      </c>
      <c r="G33" s="110" t="s">
        <v>95</v>
      </c>
      <c r="H33" s="110">
        <v>20</v>
      </c>
      <c r="I33" s="110" t="s">
        <v>95</v>
      </c>
      <c r="J33" s="117" t="s">
        <v>124</v>
      </c>
      <c r="K33" s="178" t="s">
        <v>32</v>
      </c>
      <c r="L33" s="345" t="s">
        <v>165</v>
      </c>
    </row>
    <row r="34" spans="1:12" x14ac:dyDescent="0.25">
      <c r="A34" s="10" t="s">
        <v>177</v>
      </c>
      <c r="B34" s="11" t="s">
        <v>96</v>
      </c>
      <c r="C34" s="111"/>
      <c r="D34" s="111">
        <v>3.9699999999999999E-2</v>
      </c>
      <c r="E34" s="111">
        <v>0.60399999999999998</v>
      </c>
      <c r="F34" s="111">
        <v>4.9299999999999997E-2</v>
      </c>
      <c r="G34" s="111" t="s">
        <v>95</v>
      </c>
      <c r="H34" s="111">
        <v>0.13</v>
      </c>
      <c r="I34" s="111">
        <v>2.8999999999999998E-3</v>
      </c>
      <c r="J34" s="175" t="s">
        <v>122</v>
      </c>
      <c r="K34" s="15">
        <v>2009</v>
      </c>
      <c r="L34" s="451" t="s">
        <v>166</v>
      </c>
    </row>
    <row r="35" spans="1:12" x14ac:dyDescent="0.25">
      <c r="A35" s="115" t="s">
        <v>97</v>
      </c>
      <c r="B35" s="116" t="s">
        <v>96</v>
      </c>
      <c r="C35" s="110"/>
      <c r="D35" s="110">
        <v>3.9699999999999999E-2</v>
      </c>
      <c r="E35" s="110">
        <v>0.60399999999999998</v>
      </c>
      <c r="F35" s="110">
        <v>4.9299999999999997E-2</v>
      </c>
      <c r="G35" s="110" t="s">
        <v>95</v>
      </c>
      <c r="H35" s="110">
        <v>0.13</v>
      </c>
      <c r="I35" s="110">
        <v>2.8999999999999998E-3</v>
      </c>
      <c r="J35" s="176" t="s">
        <v>122</v>
      </c>
      <c r="K35" s="164">
        <v>2009</v>
      </c>
      <c r="L35" s="452"/>
    </row>
    <row r="36" spans="1:12" x14ac:dyDescent="0.25">
      <c r="A36" s="10" t="s">
        <v>98</v>
      </c>
      <c r="B36" s="11" t="s">
        <v>96</v>
      </c>
      <c r="C36" s="111"/>
      <c r="D36" s="111">
        <v>3.9699999999999999E-2</v>
      </c>
      <c r="E36" s="111">
        <v>0.60399999999999998</v>
      </c>
      <c r="F36" s="111">
        <v>4.9299999999999997E-2</v>
      </c>
      <c r="G36" s="111" t="s">
        <v>95</v>
      </c>
      <c r="H36" s="111">
        <v>0.13</v>
      </c>
      <c r="I36" s="111">
        <v>2.8999999999999998E-3</v>
      </c>
      <c r="J36" s="175" t="s">
        <v>122</v>
      </c>
      <c r="K36" s="15">
        <v>2009</v>
      </c>
      <c r="L36" s="452"/>
    </row>
    <row r="37" spans="1:12" x14ac:dyDescent="0.25">
      <c r="A37" s="115" t="s">
        <v>178</v>
      </c>
      <c r="B37" s="116" t="s">
        <v>96</v>
      </c>
      <c r="C37" s="110"/>
      <c r="D37" s="110">
        <v>3.9699999999999999E-2</v>
      </c>
      <c r="E37" s="110">
        <v>0.60399999999999998</v>
      </c>
      <c r="F37" s="110">
        <v>4.9299999999999997E-2</v>
      </c>
      <c r="G37" s="110" t="s">
        <v>95</v>
      </c>
      <c r="H37" s="110">
        <v>0.13</v>
      </c>
      <c r="I37" s="110">
        <v>2.8999999999999998E-3</v>
      </c>
      <c r="J37" s="176" t="s">
        <v>122</v>
      </c>
      <c r="K37" s="164">
        <v>2009</v>
      </c>
      <c r="L37" s="452"/>
    </row>
    <row r="38" spans="1:12" x14ac:dyDescent="0.25">
      <c r="A38" s="10" t="s">
        <v>99</v>
      </c>
      <c r="B38" s="11" t="s">
        <v>96</v>
      </c>
      <c r="C38" s="111"/>
      <c r="D38" s="111">
        <v>3.9699999999999999E-2</v>
      </c>
      <c r="E38" s="111">
        <v>0.60399999999999998</v>
      </c>
      <c r="F38" s="111">
        <v>4.9299999999999997E-2</v>
      </c>
      <c r="G38" s="111" t="s">
        <v>95</v>
      </c>
      <c r="H38" s="111">
        <v>0.13</v>
      </c>
      <c r="I38" s="111">
        <v>2.8999999999999998E-3</v>
      </c>
      <c r="J38" s="175" t="s">
        <v>122</v>
      </c>
      <c r="K38" s="15">
        <v>2009</v>
      </c>
      <c r="L38" s="452"/>
    </row>
    <row r="39" spans="1:12" x14ac:dyDescent="0.25">
      <c r="A39" s="115" t="s">
        <v>100</v>
      </c>
      <c r="B39" s="116" t="s">
        <v>96</v>
      </c>
      <c r="C39" s="110"/>
      <c r="D39" s="110">
        <v>3.9699999999999999E-2</v>
      </c>
      <c r="E39" s="110">
        <v>0.60399999999999998</v>
      </c>
      <c r="F39" s="110">
        <v>4.9299999999999997E-2</v>
      </c>
      <c r="G39" s="110" t="s">
        <v>95</v>
      </c>
      <c r="H39" s="110">
        <v>0.13</v>
      </c>
      <c r="I39" s="110">
        <v>2.8999999999999998E-3</v>
      </c>
      <c r="J39" s="176" t="s">
        <v>122</v>
      </c>
      <c r="K39" s="164">
        <v>2009</v>
      </c>
      <c r="L39" s="453"/>
    </row>
    <row r="40" spans="1:12" ht="26" x14ac:dyDescent="0.25">
      <c r="A40" s="10" t="s">
        <v>182</v>
      </c>
      <c r="B40" s="11" t="s">
        <v>102</v>
      </c>
      <c r="C40" s="109"/>
      <c r="D40" s="109">
        <v>4.0000000000000002E-4</v>
      </c>
      <c r="E40" s="111">
        <v>6.0000000000000001E-3</v>
      </c>
      <c r="F40" s="111">
        <v>5.0000000000000001E-4</v>
      </c>
      <c r="G40" s="111" t="s">
        <v>95</v>
      </c>
      <c r="H40" s="111">
        <v>1.2999999999999999E-3</v>
      </c>
      <c r="I40" s="111" t="s">
        <v>95</v>
      </c>
      <c r="J40" s="142" t="s">
        <v>125</v>
      </c>
      <c r="K40" s="15">
        <v>2014</v>
      </c>
      <c r="L40" s="345" t="s">
        <v>211</v>
      </c>
    </row>
    <row r="41" spans="1:12" ht="26" x14ac:dyDescent="0.3">
      <c r="A41" s="288" t="s">
        <v>222</v>
      </c>
      <c r="B41" s="116" t="s">
        <v>110</v>
      </c>
      <c r="C41" s="110"/>
      <c r="D41" s="110">
        <v>6.0000000000000001E-3</v>
      </c>
      <c r="E41" s="110">
        <v>13.36</v>
      </c>
      <c r="F41" s="110">
        <v>0.1411</v>
      </c>
      <c r="G41" s="110" t="s">
        <v>95</v>
      </c>
      <c r="H41" s="110">
        <v>2.48</v>
      </c>
      <c r="I41" s="110">
        <v>1.4E-3</v>
      </c>
      <c r="J41" s="117" t="s">
        <v>123</v>
      </c>
      <c r="K41" s="164">
        <v>2018</v>
      </c>
      <c r="L41" s="301" t="s">
        <v>167</v>
      </c>
    </row>
    <row r="42" spans="1:12" ht="26.5" thickBot="1" x14ac:dyDescent="0.35">
      <c r="A42" s="148" t="s">
        <v>221</v>
      </c>
      <c r="B42" s="149" t="s">
        <v>110</v>
      </c>
      <c r="C42" s="150"/>
      <c r="D42" s="150">
        <v>6.0000000000000001E-3</v>
      </c>
      <c r="E42" s="150">
        <v>13.36</v>
      </c>
      <c r="F42" s="150">
        <v>0.1411</v>
      </c>
      <c r="G42" s="150" t="s">
        <v>95</v>
      </c>
      <c r="H42" s="150">
        <v>2.48</v>
      </c>
      <c r="I42" s="150">
        <v>1.4E-3</v>
      </c>
      <c r="J42" s="151" t="s">
        <v>123</v>
      </c>
      <c r="K42" s="177">
        <v>2018</v>
      </c>
      <c r="L42" s="347" t="s">
        <v>167</v>
      </c>
    </row>
    <row r="43" spans="1:12" ht="13" thickTop="1" x14ac:dyDescent="0.25">
      <c r="D43" s="7"/>
      <c r="J43" s="9"/>
      <c r="K43" s="9"/>
    </row>
    <row r="44" spans="1:12" ht="13" thickBot="1" x14ac:dyDescent="0.3">
      <c r="A44" s="13"/>
    </row>
    <row r="45" spans="1:12" ht="24.75" customHeight="1" thickTop="1" x14ac:dyDescent="0.3">
      <c r="A45" s="93" t="s">
        <v>80</v>
      </c>
      <c r="B45" s="94" t="s">
        <v>40</v>
      </c>
      <c r="C45" s="95" t="s">
        <v>41</v>
      </c>
      <c r="E45" s="441" t="s">
        <v>104</v>
      </c>
      <c r="F45" s="442"/>
      <c r="G45" s="443"/>
      <c r="H45" s="181"/>
    </row>
    <row r="46" spans="1:12" x14ac:dyDescent="0.25">
      <c r="A46" s="96" t="s">
        <v>42</v>
      </c>
      <c r="B46" s="292">
        <v>3.38</v>
      </c>
      <c r="C46" s="74" t="s">
        <v>43</v>
      </c>
      <c r="E46" s="182" t="s">
        <v>103</v>
      </c>
      <c r="F46" s="114">
        <v>7.05</v>
      </c>
      <c r="G46" s="183" t="s">
        <v>105</v>
      </c>
      <c r="H46" s="7"/>
      <c r="J46" s="299"/>
    </row>
    <row r="47" spans="1:12" ht="16" thickBot="1" x14ac:dyDescent="0.4">
      <c r="A47" s="126" t="s">
        <v>44</v>
      </c>
      <c r="B47" s="296">
        <v>1.5E-3</v>
      </c>
      <c r="C47" s="128" t="s">
        <v>45</v>
      </c>
      <c r="E47" s="179" t="s">
        <v>106</v>
      </c>
      <c r="F47" s="180">
        <v>19300</v>
      </c>
      <c r="G47" s="184" t="s">
        <v>107</v>
      </c>
      <c r="H47" s="2"/>
      <c r="I47" s="2"/>
      <c r="J47" s="300"/>
      <c r="K47" s="2"/>
      <c r="L47" s="348"/>
    </row>
    <row r="48" spans="1:12" ht="13.5" thickTop="1" thickBot="1" x14ac:dyDescent="0.3">
      <c r="A48" s="126" t="s">
        <v>183</v>
      </c>
      <c r="B48" s="296">
        <v>3.38</v>
      </c>
      <c r="C48" s="128" t="s">
        <v>43</v>
      </c>
      <c r="E48" s="2"/>
      <c r="F48" s="2"/>
      <c r="G48" s="2"/>
      <c r="H48" s="2"/>
      <c r="I48" s="2"/>
      <c r="J48" s="2"/>
      <c r="K48" s="2"/>
      <c r="L48" s="348"/>
    </row>
    <row r="49" spans="1:12" ht="14" thickTop="1" thickBot="1" x14ac:dyDescent="0.35">
      <c r="A49" s="129" t="s">
        <v>46</v>
      </c>
      <c r="B49" s="130">
        <v>1</v>
      </c>
      <c r="C49" s="131" t="s">
        <v>45</v>
      </c>
      <c r="E49" s="457" t="s">
        <v>108</v>
      </c>
      <c r="F49" s="458"/>
      <c r="G49" s="458"/>
      <c r="H49" s="459"/>
      <c r="I49" s="2"/>
      <c r="J49" s="2"/>
      <c r="K49" s="2"/>
      <c r="L49" s="348"/>
    </row>
    <row r="50" spans="1:12" ht="13.5" thickTop="1" thickBot="1" x14ac:dyDescent="0.3">
      <c r="A50" s="2"/>
      <c r="B50" s="2"/>
      <c r="C50" s="2"/>
      <c r="E50" s="179" t="s">
        <v>106</v>
      </c>
      <c r="F50" s="180">
        <v>1050</v>
      </c>
      <c r="G50" s="439" t="s">
        <v>109</v>
      </c>
      <c r="H50" s="440"/>
      <c r="I50" s="2"/>
      <c r="J50" s="2"/>
      <c r="K50" s="2"/>
      <c r="L50" s="348"/>
    </row>
    <row r="51" spans="1:12" ht="13.5" thickTop="1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48"/>
    </row>
    <row r="52" spans="1:12" ht="13.5" thickTop="1" x14ac:dyDescent="0.3">
      <c r="A52" s="355" t="s">
        <v>223</v>
      </c>
      <c r="B52" s="356" t="s">
        <v>40</v>
      </c>
      <c r="C52" s="357" t="s">
        <v>41</v>
      </c>
      <c r="D52" s="2"/>
      <c r="E52" s="2"/>
      <c r="F52" s="2"/>
      <c r="G52" s="2"/>
      <c r="H52" s="2"/>
      <c r="I52" s="2"/>
      <c r="J52" s="2"/>
      <c r="K52" s="2"/>
      <c r="L52" s="348"/>
    </row>
    <row r="53" spans="1:12" x14ac:dyDescent="0.25">
      <c r="A53" s="358" t="s">
        <v>206</v>
      </c>
      <c r="B53" s="127">
        <v>0.68159999999999998</v>
      </c>
      <c r="C53" s="128" t="s">
        <v>207</v>
      </c>
      <c r="D53" s="2"/>
      <c r="E53" s="2"/>
      <c r="F53" s="2"/>
      <c r="G53" s="2"/>
      <c r="H53" s="2"/>
      <c r="I53" s="2"/>
      <c r="J53" s="2"/>
      <c r="K53" s="2"/>
      <c r="L53" s="348"/>
    </row>
    <row r="54" spans="1:12" ht="13" thickBot="1" x14ac:dyDescent="0.3">
      <c r="A54" s="179" t="s">
        <v>224</v>
      </c>
      <c r="B54" s="359">
        <v>98</v>
      </c>
      <c r="C54" s="353" t="s">
        <v>208</v>
      </c>
      <c r="D54" s="2"/>
      <c r="E54" s="2"/>
      <c r="F54" s="2"/>
      <c r="G54" s="2"/>
      <c r="H54" s="2"/>
      <c r="I54" s="2"/>
      <c r="J54" s="2"/>
      <c r="K54" s="2"/>
      <c r="L54" s="348"/>
    </row>
    <row r="55" spans="1:12" ht="13" thickTop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48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48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48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48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48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48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48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48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48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48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48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48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48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4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48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48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48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48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48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48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48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48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48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48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48"/>
    </row>
    <row r="80" spans="1:12" ht="24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48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48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48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48"/>
    </row>
    <row r="84" spans="1:12" ht="25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48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48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48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48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48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48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48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48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48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48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48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48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48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48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48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48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48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48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48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48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48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48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48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48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48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48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48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48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48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48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48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48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48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48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48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48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48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48"/>
    </row>
    <row r="122" spans="1:12" ht="24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48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48"/>
    </row>
    <row r="129" ht="25.5" customHeight="1" x14ac:dyDescent="0.25"/>
    <row r="174" ht="25.5" customHeight="1" x14ac:dyDescent="0.25"/>
  </sheetData>
  <mergeCells count="11">
    <mergeCell ref="L14:L15"/>
    <mergeCell ref="L34:L39"/>
    <mergeCell ref="L17:L20"/>
    <mergeCell ref="L22:L25"/>
    <mergeCell ref="E49:H49"/>
    <mergeCell ref="G50:H50"/>
    <mergeCell ref="E45:G45"/>
    <mergeCell ref="F1:G1"/>
    <mergeCell ref="H1:I1"/>
    <mergeCell ref="B1:C1"/>
    <mergeCell ref="D1:E1"/>
  </mergeCells>
  <phoneticPr fontId="0" type="noConversion"/>
  <hyperlinks>
    <hyperlink ref="L21" r:id="rId1" display="https://www3.epa.gov/ttnchie1/ap42/ch01/final/c01s04.pdf" xr:uid="{D2917E18-6818-447E-A25D-D8EE3A9855F6}"/>
    <hyperlink ref="L28" r:id="rId2" xr:uid="{D9F27295-9D58-4A2C-B493-5C465DF2FE53}"/>
    <hyperlink ref="L6" r:id="rId3" xr:uid="{D268C293-0050-43F2-AB57-E86CB922320E}"/>
    <hyperlink ref="L7" r:id="rId4" xr:uid="{4BDB2CF7-40E0-46D5-BD06-C91C3EAA11CC}"/>
    <hyperlink ref="L8" r:id="rId5" xr:uid="{26FCC777-D4A1-44AC-ABEC-E70C68B56E7F}"/>
    <hyperlink ref="L9" r:id="rId6" xr:uid="{1C535C13-B791-4BE2-8456-62BD5A53D7DC}"/>
    <hyperlink ref="L11" r:id="rId7" xr:uid="{107C7215-E53D-4C05-9096-43E6183F7B59}"/>
    <hyperlink ref="L12" r:id="rId8" xr:uid="{E23D9D06-DCDF-4706-B6F5-0694FBBC060E}"/>
    <hyperlink ref="L13" r:id="rId9" display="https://www3.epa.gov/ttnchie1/ap42/ch01/final/c01s03.pdf" xr:uid="{56943527-9502-486E-A234-D6BDB9C9DF0C}"/>
    <hyperlink ref="L14" r:id="rId10" display="https://www3.epa.gov/ttnchie1/ap42/ch03/final/c03s01.pdf" xr:uid="{41782394-8E73-4E3F-91E8-883BDBA2CF12}"/>
    <hyperlink ref="L42" r:id="rId11" xr:uid="{90152841-EC39-49D8-AFDF-36A0F34B93D4}"/>
    <hyperlink ref="L41" r:id="rId12" xr:uid="{C5831EAA-6806-4D78-8A7E-22AE63423F64}"/>
    <hyperlink ref="L40" r:id="rId13" xr:uid="{CAF51578-9CD5-4413-B91F-B11D4BBD0F95}"/>
    <hyperlink ref="L34" r:id="rId14" xr:uid="{E8732D02-B9EE-4A01-99C7-7AE039F68201}"/>
    <hyperlink ref="L33" r:id="rId15" xr:uid="{1334D310-3EF1-4529-A7AB-0FCA46F5293E}"/>
    <hyperlink ref="L30" r:id="rId16" xr:uid="{2015BD16-4C66-4000-8E5E-5CA21D5A2DC6}"/>
    <hyperlink ref="L17" r:id="rId17" xr:uid="{7E6173E6-CA55-4F21-8046-0D1FB0B381DD}"/>
    <hyperlink ref="L27" r:id="rId18" xr:uid="{BA5B5ED4-DC33-4F39-AC5F-5988EEAD6D1F}"/>
    <hyperlink ref="L29" r:id="rId19" display="https://nam04.safelinks.protection.outlook.com/?url=https%3A%2F%2Fwww.api.org%2F&amp;data=02%7C01%7CRoger.Chang%40erg.com%7C87f6275ddc13416a4c7008d7ba2a3276%7Ca17e3fab8d2346f287f33fceb7c6a000%7C1%7C0%7C637182562721202140&amp;sdata=7WBintfvlEcDSq7ji8JCyFvnrb19px99HiLkPbOjGr0%3D&amp;reserved=0" xr:uid="{6648B809-7A2F-445C-98B7-999532E34653}"/>
    <hyperlink ref="L31" r:id="rId20" xr:uid="{7069CA3F-8999-42D2-A0A3-36FDA379DF8C}"/>
  </hyperlinks>
  <printOptions horizontalCentered="1"/>
  <pageMargins left="0.25" right="0.25" top="1" bottom="0.5" header="0.45" footer="0.5"/>
  <pageSetup scale="38" orientation="portrait" horizontalDpi="300" verticalDpi="300" r:id="rId21"/>
  <headerFooter alignWithMargins="0">
    <oddHeader>&amp;C&amp;"Helvetica,Bold"AIR EMISSIONS COMPUTATION FACTORS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207"/>
  <sheetViews>
    <sheetView view="pageLayout" zoomScale="70" zoomScaleNormal="100" zoomScalePageLayoutView="70" workbookViewId="0">
      <selection activeCell="A16" sqref="A16:V17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" si="2">IF(J12=0,0,J12*($F12/($E12*24))*$G12*$H12/2000)</f>
        <v>0</v>
      </c>
      <c r="R12" s="227">
        <f t="shared" ref="R12" si="3">IF(K12=0,0,K12*($F12/($E12*24))*$G12*$H12/2000)</f>
        <v>0</v>
      </c>
      <c r="S12" s="227">
        <f t="shared" ref="S12" si="4">IF(L12=0,0,L12*($F12/($E12*24))*$G12*$H12/2000)</f>
        <v>0</v>
      </c>
      <c r="T12" s="227">
        <f>IFERROR(IF(M12=0,0,M12*($F12/($E12*24))*$G12*$H12/2000),"--")</f>
        <v>0</v>
      </c>
      <c r="U12" s="227">
        <f t="shared" ref="U12" si="5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6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P15" si="7">IF(I14=0,0,I14*($F14/($E14*24))*$G14*$H14/2000)</f>
        <v>0</v>
      </c>
      <c r="Q14" s="245">
        <f t="shared" ref="Q14:Q15" si="8">IF(J14=0,0,J14*($F14/($E14*24))*$G14*$H14/2000)</f>
        <v>0</v>
      </c>
      <c r="R14" s="245">
        <f>IF(K14=0,0,K14*($F14/($E14*24))*$G14*$H14/2000)</f>
        <v>0</v>
      </c>
      <c r="S14" s="245">
        <f t="shared" ref="S14:S15" si="9">IF(L14=0,0,L14*($F14/($E14*24))*$G14*$H14/2000)</f>
        <v>0</v>
      </c>
      <c r="T14" s="245">
        <f t="shared" ref="T14:T15" si="10">IFERROR(IF(M14=0,0,M14*($F14/($E14*24))*$G14*$H14/2000),"--")</f>
        <v>0</v>
      </c>
      <c r="U14" s="245">
        <f t="shared" ref="U14:U15" si="11">IF(N14=0,0,N14*($F14/($E14*24))*$G14*$H14/2000)</f>
        <v>0</v>
      </c>
      <c r="V14" s="248">
        <f t="shared" ref="V14:V15" si="12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6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7"/>
        <v>0</v>
      </c>
      <c r="Q15" s="227">
        <f t="shared" si="8"/>
        <v>0</v>
      </c>
      <c r="R15" s="227">
        <f t="shared" ref="R15" si="13">IF(K15=0,0,K15*($F15/($E15*24))*$G15*$H15/2000)</f>
        <v>0</v>
      </c>
      <c r="S15" s="227">
        <f t="shared" si="9"/>
        <v>0</v>
      </c>
      <c r="T15" s="227">
        <f t="shared" si="10"/>
        <v>0</v>
      </c>
      <c r="U15" s="227">
        <f t="shared" si="11"/>
        <v>0</v>
      </c>
      <c r="V15" s="239">
        <f t="shared" si="12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" si="14">IF(J17=0,0,J17*($F17/($E17*24))*$G17*$H17/2000)</f>
        <v>0</v>
      </c>
      <c r="R17" s="245">
        <f t="shared" ref="R17" si="15">IF(K17=0,0,K17*($F17/($E17*24))*$G17*$H17/2000)</f>
        <v>0</v>
      </c>
      <c r="S17" s="245">
        <f t="shared" ref="S17" si="16">IF(L17=0,0,L17*($F17/($E17*24))*$G17*$H17/2000)</f>
        <v>0</v>
      </c>
      <c r="T17" s="245">
        <f>IFERROR(IF(M17=0,0,M17*($F17/($E17*24))*$G17*$H17/2000),"--")</f>
        <v>0</v>
      </c>
      <c r="U17" s="245">
        <f t="shared" ref="U17" si="17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8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Q30" si="19">IF(J19=0,0,J19*($F19/($E19*24))*$G19*$H19/2000)</f>
        <v>0</v>
      </c>
      <c r="R19" s="245">
        <f t="shared" ref="R19:R30" si="20">IF(K19=0,0,K19*($F19/($E19*24))*$G19*$H19/2000)</f>
        <v>0</v>
      </c>
      <c r="S19" s="245">
        <f t="shared" ref="S19:S30" si="21">IF(L19=0,0,L19*($F19/($E19*24))*$G19*$H19/2000)</f>
        <v>0</v>
      </c>
      <c r="T19" s="227" t="str">
        <f>IFERROR(IF(M19=0,0,M19*($F19/($E19*24))*$G19*$H19/2000),"--")</f>
        <v>--</v>
      </c>
      <c r="U19" s="227">
        <f t="shared" ref="U19:U30" si="22">IF(N19=0,0,N19*($F19/($E19*24))*$G19*$H19/2000)</f>
        <v>0</v>
      </c>
      <c r="V19" s="239" t="str">
        <f t="shared" ref="V19:V24" si="23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8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9"/>
        <v>0</v>
      </c>
      <c r="R20" s="227">
        <f t="shared" si="20"/>
        <v>0</v>
      </c>
      <c r="S20" s="227">
        <f t="shared" si="21"/>
        <v>0</v>
      </c>
      <c r="T20" s="227" t="str">
        <f>IFERROR(IF(M20=0,0,M20*($F20/($E20*24))*$G20*$H20/2000),"--")</f>
        <v>--</v>
      </c>
      <c r="U20" s="227">
        <f t="shared" si="22"/>
        <v>0</v>
      </c>
      <c r="V20" s="239" t="str">
        <f t="shared" si="23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8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9"/>
        <v>0</v>
      </c>
      <c r="R21" s="227">
        <f t="shared" si="20"/>
        <v>0</v>
      </c>
      <c r="S21" s="227">
        <f t="shared" si="21"/>
        <v>0</v>
      </c>
      <c r="T21" s="227">
        <f>IFERROR(IF(M21=0,0,M21*($F21/($E21*24))*$G21*$H21/2000),"--")</f>
        <v>0</v>
      </c>
      <c r="U21" s="227">
        <f t="shared" si="22"/>
        <v>0</v>
      </c>
      <c r="V21" s="239">
        <f t="shared" si="23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8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24">IF(J22=0,0,J22*$G22*$H22/2000)</f>
        <v>0</v>
      </c>
      <c r="R22" s="227">
        <f t="shared" si="24"/>
        <v>0</v>
      </c>
      <c r="S22" s="227">
        <f t="shared" si="24"/>
        <v>0</v>
      </c>
      <c r="T22" s="227">
        <f t="shared" ref="T22" si="25">IFERROR(IF(M22=0,0,M22*$G22*$H22/2000),"--")</f>
        <v>0</v>
      </c>
      <c r="U22" s="227">
        <f t="shared" ref="U22" si="26">IF(N22=0,0,N22*$G22*$H22/2000)</f>
        <v>0</v>
      </c>
      <c r="V22" s="239">
        <f t="shared" ref="V22" si="27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8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9"/>
        <v>0</v>
      </c>
      <c r="R23" s="227">
        <f t="shared" si="20"/>
        <v>0</v>
      </c>
      <c r="S23" s="227">
        <f t="shared" si="21"/>
        <v>0</v>
      </c>
      <c r="T23" s="227" t="str">
        <f>IFERROR(IF(M23=0,0,M23*($F23/($E23*24))*$G23*$H23/2000),"--")</f>
        <v>--</v>
      </c>
      <c r="U23" s="227">
        <f t="shared" si="22"/>
        <v>0</v>
      </c>
      <c r="V23" s="239" t="str">
        <f t="shared" si="23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8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28">IF(I24=0,0,I24*($F24/($E24*24))*$G24*$H24/2000)</f>
        <v>0</v>
      </c>
      <c r="Q24" s="227">
        <f t="shared" si="19"/>
        <v>0</v>
      </c>
      <c r="R24" s="227">
        <f t="shared" si="20"/>
        <v>0</v>
      </c>
      <c r="S24" s="227">
        <f t="shared" si="21"/>
        <v>0</v>
      </c>
      <c r="T24" s="227">
        <f t="shared" ref="T24:T30" si="29">IF(M24=0,0,M24*($F24/($E24*24))*$G24*$H24/2000)</f>
        <v>0</v>
      </c>
      <c r="U24" s="227">
        <f t="shared" si="22"/>
        <v>0</v>
      </c>
      <c r="V24" s="239" t="str">
        <f t="shared" si="23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ref="F25" si="30">E25*24</f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28"/>
        <v>0</v>
      </c>
      <c r="Q25" s="227">
        <f t="shared" ref="Q25" si="31">IF(J25=0,0,J25*($F25/($E25*24))*$G25*$H25/2000)</f>
        <v>0</v>
      </c>
      <c r="R25" s="227">
        <f t="shared" ref="R25" si="32">IF(K25=0,0,K25*($F25/($E25*24))*$G25*$H25/2000)</f>
        <v>0</v>
      </c>
      <c r="S25" s="227">
        <f t="shared" ref="S25" si="33">IF(L25=0,0,L25*($F25/($E25*24))*$G25*$H25/2000)</f>
        <v>0</v>
      </c>
      <c r="T25" s="227">
        <f t="shared" ref="T25" si="34">IF(M25=0,0,M25*($F25/($E25*24))*$G25*$H25/2000)</f>
        <v>0</v>
      </c>
      <c r="U25" s="227">
        <f t="shared" ref="U25" si="35">IF(N25=0,0,N25*($F25/($E25*24))*$G25*$H25/2000)</f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8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28"/>
        <v>0</v>
      </c>
      <c r="Q26" s="227">
        <f t="shared" si="19"/>
        <v>0</v>
      </c>
      <c r="R26" s="227">
        <f>IF(K26=0,0,K26*($F26/($E26*24))*$G26*$H26/2000)</f>
        <v>0</v>
      </c>
      <c r="S26" s="227">
        <f t="shared" si="21"/>
        <v>0</v>
      </c>
      <c r="T26" s="259" t="s">
        <v>119</v>
      </c>
      <c r="U26" s="227">
        <f t="shared" si="22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8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28"/>
        <v>0</v>
      </c>
      <c r="Q27" s="227">
        <f t="shared" si="19"/>
        <v>0</v>
      </c>
      <c r="R27" s="227">
        <f t="shared" si="20"/>
        <v>0</v>
      </c>
      <c r="S27" s="227">
        <f t="shared" si="21"/>
        <v>0</v>
      </c>
      <c r="T27" s="259" t="s">
        <v>119</v>
      </c>
      <c r="U27" s="227">
        <f t="shared" si="22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8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28"/>
        <v>0</v>
      </c>
      <c r="Q28" s="227">
        <f t="shared" si="19"/>
        <v>0</v>
      </c>
      <c r="R28" s="227">
        <f>IF(K28=0,0,K28*($F28/($E28*24))*$G28*$H28/2000)</f>
        <v>0</v>
      </c>
      <c r="S28" s="227">
        <f t="shared" si="21"/>
        <v>0</v>
      </c>
      <c r="T28" s="259" t="s">
        <v>119</v>
      </c>
      <c r="U28" s="227">
        <f t="shared" si="22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" si="36">K29*$G29*$H29/2000</f>
        <v>0</v>
      </c>
      <c r="S29" s="227">
        <f t="shared" ref="S29" si="37">L29*$G29*$H29/2000</f>
        <v>0</v>
      </c>
      <c r="T29" s="227">
        <f t="shared" ref="T29" si="38">M29*$G29*$H29/2000</f>
        <v>0</v>
      </c>
      <c r="U29" s="227">
        <f t="shared" ref="U29" si="39">N29*$G29*$H29/2000</f>
        <v>0</v>
      </c>
      <c r="V29" s="239">
        <f t="shared" ref="V29" si="40">O29*$G29*$H29/2000</f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8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28"/>
        <v>0</v>
      </c>
      <c r="Q30" s="254">
        <f t="shared" si="19"/>
        <v>0</v>
      </c>
      <c r="R30" s="254">
        <f t="shared" si="20"/>
        <v>0</v>
      </c>
      <c r="S30" s="254">
        <f t="shared" si="21"/>
        <v>0</v>
      </c>
      <c r="T30" s="254">
        <f t="shared" si="29"/>
        <v>0</v>
      </c>
      <c r="U30" s="254">
        <f t="shared" si="22"/>
        <v>0</v>
      </c>
      <c r="V30" s="255">
        <f t="shared" ref="V30" si="41">IF(O30=0,0,O30*($F30/($E30*24))*$G30*$H30/2000)</f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42">IFERROR(J32*$G32*$H32/2000,"--")</f>
        <v>--</v>
      </c>
      <c r="R32" s="245" t="str">
        <f t="shared" si="42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42"/>
        <v>--</v>
      </c>
      <c r="V32" s="248" t="str">
        <f t="shared" si="42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43">IFERROR(I33*$G33*$H33/2000,"--")</f>
        <v>0</v>
      </c>
      <c r="Q33" s="227">
        <f t="shared" si="42"/>
        <v>0</v>
      </c>
      <c r="R33" s="227">
        <f t="shared" si="42"/>
        <v>0</v>
      </c>
      <c r="S33" s="227">
        <f t="shared" si="42"/>
        <v>0</v>
      </c>
      <c r="T33" s="227" t="str">
        <f t="shared" si="42"/>
        <v>--</v>
      </c>
      <c r="U33" s="227">
        <f t="shared" si="42"/>
        <v>0</v>
      </c>
      <c r="V33" s="239" t="str">
        <f t="shared" si="42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42"/>
        <v>0</v>
      </c>
      <c r="R34" s="227">
        <f t="shared" si="42"/>
        <v>0</v>
      </c>
      <c r="S34" s="227">
        <f t="shared" si="42"/>
        <v>0</v>
      </c>
      <c r="T34" s="227" t="str">
        <f t="shared" si="42"/>
        <v>--</v>
      </c>
      <c r="U34" s="227">
        <f t="shared" si="42"/>
        <v>0</v>
      </c>
      <c r="V34" s="239" t="str">
        <f t="shared" si="42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43"/>
        <v>0</v>
      </c>
      <c r="Q35" s="227">
        <f t="shared" si="42"/>
        <v>0</v>
      </c>
      <c r="R35" s="227">
        <f t="shared" si="42"/>
        <v>0</v>
      </c>
      <c r="S35" s="227">
        <f t="shared" si="42"/>
        <v>0</v>
      </c>
      <c r="T35" s="227" t="str">
        <f t="shared" si="42"/>
        <v>--</v>
      </c>
      <c r="U35" s="227">
        <f t="shared" si="42"/>
        <v>0</v>
      </c>
      <c r="V35" s="239" t="str">
        <f t="shared" si="42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42"/>
        <v>0</v>
      </c>
      <c r="R36" s="227">
        <f t="shared" si="42"/>
        <v>0</v>
      </c>
      <c r="S36" s="227">
        <f t="shared" si="42"/>
        <v>0</v>
      </c>
      <c r="T36" s="227" t="str">
        <f t="shared" si="42"/>
        <v>--</v>
      </c>
      <c r="U36" s="227">
        <f t="shared" si="42"/>
        <v>0</v>
      </c>
      <c r="V36" s="239" t="str">
        <f t="shared" si="42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43"/>
        <v>--</v>
      </c>
      <c r="Q37" s="227" t="str">
        <f t="shared" si="42"/>
        <v>--</v>
      </c>
      <c r="R37" s="227" t="str">
        <f t="shared" si="42"/>
        <v>--</v>
      </c>
      <c r="S37" s="227">
        <f>IFERROR(F37*FACTORS!$F$31,"--")</f>
        <v>0</v>
      </c>
      <c r="T37" s="227" t="str">
        <f t="shared" si="42"/>
        <v>--</v>
      </c>
      <c r="U37" s="227" t="str">
        <f t="shared" si="42"/>
        <v>--</v>
      </c>
      <c r="V37" s="239" t="str">
        <f t="shared" si="42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43"/>
        <v>--</v>
      </c>
      <c r="Q38" s="227" t="str">
        <f t="shared" si="42"/>
        <v>--</v>
      </c>
      <c r="R38" s="227" t="str">
        <f t="shared" si="42"/>
        <v>--</v>
      </c>
      <c r="S38" s="227">
        <f>IFERROR(L38*$G38*$H38/2000,"--")</f>
        <v>0</v>
      </c>
      <c r="T38" s="227" t="str">
        <f t="shared" si="42"/>
        <v>--</v>
      </c>
      <c r="U38" s="227" t="str">
        <f t="shared" si="42"/>
        <v>--</v>
      </c>
      <c r="V38" s="239" t="str">
        <f t="shared" si="42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43"/>
        <v>--</v>
      </c>
      <c r="Q39" s="227" t="str">
        <f t="shared" si="42"/>
        <v>--</v>
      </c>
      <c r="R39" s="227" t="str">
        <f t="shared" si="42"/>
        <v>--</v>
      </c>
      <c r="S39" s="227">
        <f>IFERROR(F39*FACTORS!$F$30,"--")</f>
        <v>0</v>
      </c>
      <c r="T39" s="227" t="str">
        <f t="shared" si="42"/>
        <v>--</v>
      </c>
      <c r="U39" s="227" t="str">
        <f t="shared" si="42"/>
        <v>--</v>
      </c>
      <c r="V39" s="239" t="str">
        <f t="shared" si="42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44">IFERROR((I40*$G40*$H40)/2000, "")</f>
        <v>0</v>
      </c>
      <c r="Q40" s="252">
        <f t="shared" si="44"/>
        <v>0</v>
      </c>
      <c r="R40" s="252">
        <f t="shared" si="44"/>
        <v>0</v>
      </c>
      <c r="S40" s="252" t="str">
        <f t="shared" si="44"/>
        <v/>
      </c>
      <c r="T40" s="252" t="str">
        <f t="shared" si="44"/>
        <v/>
      </c>
      <c r="U40" s="252">
        <f t="shared" si="44"/>
        <v>0</v>
      </c>
      <c r="V40" s="239" t="str">
        <f t="shared" si="44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45">IFERROR(J41*$G41*$H41/2000, "--")</f>
        <v>0</v>
      </c>
      <c r="R41" s="245">
        <f t="shared" si="45"/>
        <v>0</v>
      </c>
      <c r="S41" s="245">
        <f t="shared" si="45"/>
        <v>0</v>
      </c>
      <c r="T41" s="245">
        <f t="shared" si="45"/>
        <v>0</v>
      </c>
      <c r="U41" s="244">
        <f t="shared" si="45"/>
        <v>0</v>
      </c>
      <c r="V41" s="248">
        <f t="shared" si="45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Q45" si="46">IFERROR(J42*$G42*$H42/2000,"--")</f>
        <v>0</v>
      </c>
      <c r="R42" s="227">
        <f t="shared" ref="R42:R45" si="47">IFERROR(K42*$G42*$H42/2000,"--")</f>
        <v>0</v>
      </c>
      <c r="S42" s="227">
        <f t="shared" ref="S42:S45" si="48">IFERROR(L42*$G42*$H42/2000,"--")</f>
        <v>0</v>
      </c>
      <c r="T42" s="227" t="str">
        <f t="shared" ref="T42:T45" si="49">IFERROR(M42*$G42*$H42/2000,"--")</f>
        <v>--</v>
      </c>
      <c r="U42" s="227">
        <f t="shared" ref="U42:U45" si="50">IFERROR(N42*$G42*$H42/2000,"--")</f>
        <v>0</v>
      </c>
      <c r="V42" s="239" t="str">
        <f t="shared" ref="V42:V45" si="51">IFERROR(O42*$G42*$H42/2000,"--")</f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46"/>
        <v>0</v>
      </c>
      <c r="R43" s="227">
        <f t="shared" si="47"/>
        <v>0</v>
      </c>
      <c r="S43" s="227">
        <f t="shared" si="48"/>
        <v>0</v>
      </c>
      <c r="T43" s="227" t="str">
        <f t="shared" si="49"/>
        <v>--</v>
      </c>
      <c r="U43" s="227">
        <f t="shared" si="50"/>
        <v>0</v>
      </c>
      <c r="V43" s="239" t="str">
        <f t="shared" si="51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46"/>
        <v>0</v>
      </c>
      <c r="R44" s="227">
        <f t="shared" si="47"/>
        <v>0</v>
      </c>
      <c r="S44" s="227">
        <f t="shared" si="48"/>
        <v>0</v>
      </c>
      <c r="T44" s="227" t="str">
        <f t="shared" si="49"/>
        <v>--</v>
      </c>
      <c r="U44" s="227">
        <f t="shared" si="50"/>
        <v>0</v>
      </c>
      <c r="V44" s="239" t="str">
        <f t="shared" si="51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46"/>
        <v>0</v>
      </c>
      <c r="R45" s="227">
        <f t="shared" si="47"/>
        <v>0</v>
      </c>
      <c r="S45" s="227">
        <f t="shared" si="48"/>
        <v>0</v>
      </c>
      <c r="T45" s="227" t="str">
        <f t="shared" si="49"/>
        <v>--</v>
      </c>
      <c r="U45" s="227">
        <f t="shared" si="50"/>
        <v>0</v>
      </c>
      <c r="V45" s="239" t="str">
        <f t="shared" si="51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" si="52">IFERROR((I47*$G47*$H47)/2000, "")</f>
        <v>0</v>
      </c>
      <c r="Q47" s="379">
        <f t="shared" ref="Q47" si="53">IFERROR((J47*$G47*$H47)/2000, "")</f>
        <v>0</v>
      </c>
      <c r="R47" s="379">
        <f t="shared" ref="R47" si="54">IFERROR((K47*$G47*$H47)/2000, "")</f>
        <v>0</v>
      </c>
      <c r="S47" s="379">
        <f t="shared" ref="S47" si="55">IFERROR((L47*$G47*$H47)/2000, "")</f>
        <v>0</v>
      </c>
      <c r="T47" s="379" t="str">
        <f>IFERROR((M47*$G47*$H47)/2000, "--")</f>
        <v>--</v>
      </c>
      <c r="U47" s="379">
        <f t="shared" ref="U47" si="56">IFERROR((N47*$G47*$H47)/2000, "")</f>
        <v>0</v>
      </c>
      <c r="V47" s="255">
        <f t="shared" ref="V47" si="57">IFERROR((O47*$G47*$H47)/2000, "")</f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v>2020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58">SUM(I7:I47)</f>
        <v>0</v>
      </c>
      <c r="J48" s="287">
        <f t="shared" si="58"/>
        <v>0</v>
      </c>
      <c r="K48" s="287">
        <f t="shared" si="58"/>
        <v>0</v>
      </c>
      <c r="L48" s="287">
        <f t="shared" si="58"/>
        <v>0</v>
      </c>
      <c r="M48" s="287">
        <f t="shared" si="58"/>
        <v>0</v>
      </c>
      <c r="N48" s="287">
        <f t="shared" si="58"/>
        <v>0</v>
      </c>
      <c r="O48" s="287">
        <f t="shared" si="58"/>
        <v>0</v>
      </c>
      <c r="P48" s="422">
        <f t="shared" si="58"/>
        <v>0</v>
      </c>
      <c r="Q48" s="287">
        <f t="shared" si="58"/>
        <v>0</v>
      </c>
      <c r="R48" s="287">
        <f>SUM(R7:R47)</f>
        <v>0</v>
      </c>
      <c r="S48" s="287">
        <f t="shared" si="58"/>
        <v>0</v>
      </c>
      <c r="T48" s="287">
        <f t="shared" si="58"/>
        <v>0</v>
      </c>
      <c r="U48" s="287">
        <f t="shared" si="58"/>
        <v>0</v>
      </c>
      <c r="V48" s="297">
        <f t="shared" si="5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0" si="5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P61" si="60">IF(I51=0,0,I51*($F51/($E51*24))*$G51*$H51/2000)</f>
        <v>0</v>
      </c>
      <c r="Q51" s="201">
        <f t="shared" ref="Q51:Q61" si="61">IF(J51=0,0,J51*($F51/($E51*24))*$G51*$H51/2000)</f>
        <v>0</v>
      </c>
      <c r="R51" s="201">
        <f t="shared" ref="R51:R61" si="62">IF(K51=0,0,K51*($F51/($E51*24))*$G51*$H51/2000)</f>
        <v>0</v>
      </c>
      <c r="S51" s="201">
        <f t="shared" ref="S51:S61" si="63">IF(L51=0,0,L51*($F51/($E51*24))*$G51*$H51/2000)</f>
        <v>0</v>
      </c>
      <c r="T51" s="201">
        <f t="shared" ref="T51:T61" si="64">IFERROR(IF(M51=0,0,M51*($F51/($E51*24))*$G51*$H51/2000),"--")</f>
        <v>0</v>
      </c>
      <c r="U51" s="201">
        <f t="shared" ref="U51:U61" si="65">IF(N51=0,0,N51*($F51/($E51*24))*$G51*$H51/2000)</f>
        <v>0</v>
      </c>
      <c r="V51" s="202">
        <f t="shared" ref="V51:V61" si="66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5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60"/>
        <v>0</v>
      </c>
      <c r="Q52" s="201">
        <f t="shared" si="61"/>
        <v>0</v>
      </c>
      <c r="R52" s="201">
        <f t="shared" si="62"/>
        <v>0</v>
      </c>
      <c r="S52" s="201">
        <f t="shared" si="63"/>
        <v>0</v>
      </c>
      <c r="T52" s="201">
        <f t="shared" si="64"/>
        <v>0</v>
      </c>
      <c r="U52" s="201">
        <f t="shared" si="65"/>
        <v>0</v>
      </c>
      <c r="V52" s="202">
        <f t="shared" si="66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5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60"/>
        <v>0</v>
      </c>
      <c r="Q53" s="201">
        <f t="shared" si="61"/>
        <v>0</v>
      </c>
      <c r="R53" s="201">
        <f t="shared" si="62"/>
        <v>0</v>
      </c>
      <c r="S53" s="201">
        <f t="shared" si="63"/>
        <v>0</v>
      </c>
      <c r="T53" s="201">
        <f t="shared" si="64"/>
        <v>0</v>
      </c>
      <c r="U53" s="201">
        <f t="shared" si="65"/>
        <v>0</v>
      </c>
      <c r="V53" s="202">
        <f t="shared" si="66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5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60"/>
        <v>0</v>
      </c>
      <c r="Q54" s="392">
        <f t="shared" si="61"/>
        <v>0</v>
      </c>
      <c r="R54" s="392">
        <f t="shared" si="62"/>
        <v>0</v>
      </c>
      <c r="S54" s="392">
        <f t="shared" si="63"/>
        <v>0</v>
      </c>
      <c r="T54" s="392">
        <f t="shared" si="64"/>
        <v>0</v>
      </c>
      <c r="U54" s="392">
        <f t="shared" si="65"/>
        <v>0</v>
      </c>
      <c r="V54" s="370">
        <f t="shared" si="66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5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60"/>
        <v>0</v>
      </c>
      <c r="Q55" s="201">
        <f t="shared" si="61"/>
        <v>0</v>
      </c>
      <c r="R55" s="201">
        <f t="shared" si="62"/>
        <v>0</v>
      </c>
      <c r="S55" s="201">
        <f t="shared" si="63"/>
        <v>0</v>
      </c>
      <c r="T55" s="201">
        <f t="shared" si="64"/>
        <v>0</v>
      </c>
      <c r="U55" s="201">
        <f t="shared" si="65"/>
        <v>0</v>
      </c>
      <c r="V55" s="202">
        <f t="shared" si="66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5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60"/>
        <v>0</v>
      </c>
      <c r="Q56" s="201">
        <f t="shared" si="61"/>
        <v>0</v>
      </c>
      <c r="R56" s="201">
        <f t="shared" si="62"/>
        <v>0</v>
      </c>
      <c r="S56" s="201">
        <f t="shared" si="63"/>
        <v>0</v>
      </c>
      <c r="T56" s="201">
        <f t="shared" si="64"/>
        <v>0</v>
      </c>
      <c r="U56" s="201">
        <f t="shared" si="65"/>
        <v>0</v>
      </c>
      <c r="V56" s="202">
        <f t="shared" si="66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5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60"/>
        <v>0</v>
      </c>
      <c r="Q57" s="217">
        <f t="shared" si="61"/>
        <v>0</v>
      </c>
      <c r="R57" s="217">
        <f t="shared" si="62"/>
        <v>0</v>
      </c>
      <c r="S57" s="217">
        <f t="shared" si="63"/>
        <v>0</v>
      </c>
      <c r="T57" s="217">
        <f t="shared" si="64"/>
        <v>0</v>
      </c>
      <c r="U57" s="217">
        <f t="shared" si="65"/>
        <v>0</v>
      </c>
      <c r="V57" s="211">
        <f t="shared" si="66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5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60"/>
        <v>0</v>
      </c>
      <c r="Q58" s="201">
        <f t="shared" si="61"/>
        <v>0</v>
      </c>
      <c r="R58" s="201">
        <f t="shared" si="62"/>
        <v>0</v>
      </c>
      <c r="S58" s="201">
        <f t="shared" si="63"/>
        <v>0</v>
      </c>
      <c r="T58" s="201">
        <f t="shared" si="64"/>
        <v>0</v>
      </c>
      <c r="U58" s="201">
        <f t="shared" si="65"/>
        <v>0</v>
      </c>
      <c r="V58" s="202">
        <f t="shared" si="66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5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60"/>
        <v>0</v>
      </c>
      <c r="Q59" s="201">
        <f t="shared" si="61"/>
        <v>0</v>
      </c>
      <c r="R59" s="201">
        <f t="shared" si="62"/>
        <v>0</v>
      </c>
      <c r="S59" s="201">
        <f t="shared" si="63"/>
        <v>0</v>
      </c>
      <c r="T59" s="201">
        <f t="shared" si="64"/>
        <v>0</v>
      </c>
      <c r="U59" s="201">
        <f t="shared" si="65"/>
        <v>0</v>
      </c>
      <c r="V59" s="202">
        <f t="shared" si="66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5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60"/>
        <v>0</v>
      </c>
      <c r="Q60" s="201">
        <f t="shared" si="61"/>
        <v>0</v>
      </c>
      <c r="R60" s="201">
        <f t="shared" si="62"/>
        <v>0</v>
      </c>
      <c r="S60" s="201">
        <f t="shared" si="63"/>
        <v>0</v>
      </c>
      <c r="T60" s="201">
        <f t="shared" si="64"/>
        <v>0</v>
      </c>
      <c r="U60" s="201">
        <f t="shared" si="65"/>
        <v>0</v>
      </c>
      <c r="V60" s="202">
        <f t="shared" si="66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ref="F61" si="67">E61*24</f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60"/>
        <v>0</v>
      </c>
      <c r="Q61" s="412">
        <f t="shared" si="61"/>
        <v>0</v>
      </c>
      <c r="R61" s="412">
        <f t="shared" si="62"/>
        <v>0</v>
      </c>
      <c r="S61" s="412">
        <f t="shared" si="63"/>
        <v>0</v>
      </c>
      <c r="T61" s="412">
        <f t="shared" si="64"/>
        <v>0</v>
      </c>
      <c r="U61" s="412">
        <f t="shared" si="65"/>
        <v>0</v>
      </c>
      <c r="V61" s="415">
        <f t="shared" si="66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68">IFERROR((I65*$G65*$H65)/2000, "")</f>
        <v>0</v>
      </c>
      <c r="Q65" s="369">
        <f t="shared" si="68"/>
        <v>0</v>
      </c>
      <c r="R65" s="369">
        <f t="shared" si="68"/>
        <v>0</v>
      </c>
      <c r="S65" s="369">
        <f t="shared" si="68"/>
        <v>0</v>
      </c>
      <c r="T65" s="369" t="str">
        <f t="shared" ref="T65:T72" si="69">IFERROR((M65*$G65*$H65)/2000, "--")</f>
        <v>--</v>
      </c>
      <c r="U65" s="369">
        <f t="shared" si="68"/>
        <v>0</v>
      </c>
      <c r="V65" s="370">
        <f t="shared" si="68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68"/>
        <v>0</v>
      </c>
      <c r="Q66" s="280">
        <f t="shared" si="68"/>
        <v>0</v>
      </c>
      <c r="R66" s="280">
        <f t="shared" si="68"/>
        <v>0</v>
      </c>
      <c r="S66" s="280">
        <f t="shared" si="68"/>
        <v>0</v>
      </c>
      <c r="T66" s="280" t="str">
        <f t="shared" si="69"/>
        <v>--</v>
      </c>
      <c r="U66" s="280">
        <f t="shared" si="68"/>
        <v>0</v>
      </c>
      <c r="V66" s="202">
        <f t="shared" si="68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70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68"/>
        <v>0</v>
      </c>
      <c r="Q67" s="280">
        <f t="shared" si="68"/>
        <v>0</v>
      </c>
      <c r="R67" s="280">
        <f t="shared" si="68"/>
        <v>0</v>
      </c>
      <c r="S67" s="280">
        <f t="shared" si="68"/>
        <v>0</v>
      </c>
      <c r="T67" s="280" t="str">
        <f t="shared" si="69"/>
        <v>--</v>
      </c>
      <c r="U67" s="280">
        <f t="shared" si="68"/>
        <v>0</v>
      </c>
      <c r="V67" s="202">
        <f t="shared" si="68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70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68"/>
        <v>0</v>
      </c>
      <c r="Q68" s="280">
        <f t="shared" si="68"/>
        <v>0</v>
      </c>
      <c r="R68" s="280">
        <f t="shared" si="68"/>
        <v>0</v>
      </c>
      <c r="S68" s="280">
        <f t="shared" si="68"/>
        <v>0</v>
      </c>
      <c r="T68" s="280" t="str">
        <f t="shared" si="69"/>
        <v>--</v>
      </c>
      <c r="U68" s="280">
        <f t="shared" si="68"/>
        <v>0</v>
      </c>
      <c r="V68" s="202">
        <f t="shared" si="68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70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68"/>
        <v>0</v>
      </c>
      <c r="Q69" s="280">
        <f t="shared" si="68"/>
        <v>0</v>
      </c>
      <c r="R69" s="280">
        <f t="shared" si="68"/>
        <v>0</v>
      </c>
      <c r="S69" s="280">
        <f t="shared" si="68"/>
        <v>0</v>
      </c>
      <c r="T69" s="280" t="str">
        <f t="shared" si="69"/>
        <v>--</v>
      </c>
      <c r="U69" s="280">
        <f t="shared" si="68"/>
        <v>0</v>
      </c>
      <c r="V69" s="202">
        <f t="shared" si="68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70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68"/>
        <v>0</v>
      </c>
      <c r="Q70" s="280">
        <f t="shared" si="68"/>
        <v>0</v>
      </c>
      <c r="R70" s="280">
        <f t="shared" si="68"/>
        <v>0</v>
      </c>
      <c r="S70" s="280">
        <f t="shared" si="68"/>
        <v>0</v>
      </c>
      <c r="T70" s="280" t="str">
        <f t="shared" si="69"/>
        <v>--</v>
      </c>
      <c r="U70" s="280">
        <f t="shared" si="68"/>
        <v>0</v>
      </c>
      <c r="V70" s="202">
        <f t="shared" si="68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68"/>
        <v>0</v>
      </c>
      <c r="Q71" s="280">
        <f t="shared" si="68"/>
        <v>0</v>
      </c>
      <c r="R71" s="280">
        <f t="shared" si="68"/>
        <v>0</v>
      </c>
      <c r="S71" s="280">
        <f t="shared" si="68"/>
        <v>0</v>
      </c>
      <c r="T71" s="280" t="str">
        <f t="shared" si="69"/>
        <v>--</v>
      </c>
      <c r="U71" s="280">
        <f t="shared" si="68"/>
        <v>0</v>
      </c>
      <c r="V71" s="202" t="str">
        <f t="shared" si="68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68"/>
        <v>0</v>
      </c>
      <c r="Q72" s="210">
        <f t="shared" si="68"/>
        <v>0</v>
      </c>
      <c r="R72" s="210">
        <f t="shared" si="68"/>
        <v>0</v>
      </c>
      <c r="S72" s="210">
        <f t="shared" si="68"/>
        <v>0</v>
      </c>
      <c r="T72" s="210">
        <f t="shared" si="69"/>
        <v>0</v>
      </c>
      <c r="U72" s="210">
        <f t="shared" si="68"/>
        <v>0</v>
      </c>
      <c r="V72" s="211">
        <f t="shared" si="68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2020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71">SUM(I51:I72)</f>
        <v>0</v>
      </c>
      <c r="J73" s="324">
        <f t="shared" si="71"/>
        <v>0</v>
      </c>
      <c r="K73" s="324">
        <f t="shared" si="71"/>
        <v>0</v>
      </c>
      <c r="L73" s="324">
        <f t="shared" si="71"/>
        <v>0</v>
      </c>
      <c r="M73" s="324">
        <f t="shared" si="71"/>
        <v>0</v>
      </c>
      <c r="N73" s="324">
        <f t="shared" si="71"/>
        <v>0</v>
      </c>
      <c r="O73" s="332">
        <f t="shared" si="71"/>
        <v>0</v>
      </c>
      <c r="P73" s="367">
        <f t="shared" si="71"/>
        <v>0</v>
      </c>
      <c r="Q73" s="333">
        <f t="shared" si="71"/>
        <v>0</v>
      </c>
      <c r="R73" s="333">
        <f>SUM(R51:R72)</f>
        <v>0</v>
      </c>
      <c r="S73" s="333">
        <f t="shared" si="71"/>
        <v>0</v>
      </c>
      <c r="T73" s="333">
        <f t="shared" si="71"/>
        <v>0</v>
      </c>
      <c r="U73" s="333">
        <f t="shared" si="71"/>
        <v>0</v>
      </c>
      <c r="V73" s="334">
        <f t="shared" si="71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N2:V2"/>
    <mergeCell ref="J2:K2"/>
    <mergeCell ref="L2:M2"/>
  </mergeCells>
  <phoneticPr fontId="0" type="noConversion"/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>
    <oddHeader>&amp;C&amp;"Helvetica,Bold"AIR EMISSIONS CALCULATIONS - 1ST YEAR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CD3D-34BB-4B7A-969C-C9462B580CBF}">
  <sheetPr codeName="Sheet5">
    <pageSetUpPr fitToPage="1"/>
  </sheetPr>
  <dimension ref="A1:AN207"/>
  <sheetViews>
    <sheetView view="pageLayout" topLeftCell="A13" zoomScale="70" zoomScaleNormal="100" zoomScalePageLayoutView="70" workbookViewId="0">
      <selection activeCell="C78" sqref="C78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EMISSIONS1!A48+1</f>
        <v>2021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2021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E675-1353-4B2F-AF8F-F3063AFA112D}">
  <sheetPr codeName="Sheet6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EMISSIONS2!A48+1</f>
        <v>2022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2022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F7DF-12FC-4312-B691-5A63510416BC}">
  <sheetPr codeName="Sheet7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EMISSIONS3!A48+1</f>
        <v>2023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2023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2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7EE1-B73F-4679-A2D2-E2C80FF45FED}">
  <sheetPr codeName="Sheet8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EMISSIONS4!A48+1</f>
        <v>2024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2024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C2BC-8CB3-4BB4-A633-4FCE5AFCA2A8}">
  <sheetPr codeName="Sheet10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EMISSIONS5!A48+1</f>
        <v>2025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2025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4BA2-5892-43BF-98D6-C7C41FB16484}">
  <sheetPr codeName="Sheet9">
    <pageSetUpPr fitToPage="1"/>
  </sheetPr>
  <dimension ref="A1:AN207"/>
  <sheetViews>
    <sheetView view="pageLayout" zoomScale="70" zoomScaleNormal="100" zoomScalePageLayoutView="70" workbookViewId="0">
      <selection activeCell="B50" sqref="B50"/>
    </sheetView>
  </sheetViews>
  <sheetFormatPr defaultColWidth="9.7265625" defaultRowHeight="12.75" customHeight="1" x14ac:dyDescent="0.25"/>
  <cols>
    <col min="1" max="1" width="22.1796875" style="6" customWidth="1"/>
    <col min="2" max="2" width="47.1796875" style="6" customWidth="1"/>
    <col min="3" max="3" width="14.453125" style="6" bestFit="1" customWidth="1"/>
    <col min="4" max="4" width="17.7265625" style="7" customWidth="1"/>
    <col min="5" max="5" width="10.7265625" style="7" customWidth="1"/>
    <col min="6" max="6" width="10.7265625" style="8" customWidth="1"/>
    <col min="7" max="8" width="9.1796875" style="7" customWidth="1"/>
    <col min="9" max="9" width="14.1796875" style="13" customWidth="1"/>
    <col min="10" max="10" width="9.1796875" style="13" bestFit="1" customWidth="1"/>
    <col min="11" max="11" width="13.453125" style="13" customWidth="1"/>
    <col min="12" max="12" width="10.7265625" style="13" customWidth="1"/>
    <col min="13" max="13" width="12.1796875" style="13" customWidth="1"/>
    <col min="14" max="14" width="10.7265625" style="13" customWidth="1"/>
    <col min="15" max="20" width="10.7265625" style="14" customWidth="1"/>
    <col min="21" max="21" width="12.26953125" style="14" customWidth="1"/>
    <col min="22" max="22" width="9.7265625" style="2" customWidth="1"/>
    <col min="23" max="40" width="9.7265625" style="290"/>
    <col min="41" max="16384" width="9.7265625" style="2"/>
  </cols>
  <sheetData>
    <row r="1" spans="1:40" ht="12.75" customHeight="1" thickBot="1" x14ac:dyDescent="0.3">
      <c r="A1" s="23" t="s">
        <v>1</v>
      </c>
      <c r="B1" s="23" t="s">
        <v>2</v>
      </c>
      <c r="C1" s="23"/>
      <c r="D1" s="23" t="s">
        <v>3</v>
      </c>
      <c r="E1" s="23" t="s">
        <v>5</v>
      </c>
      <c r="F1" s="24" t="s">
        <v>69</v>
      </c>
      <c r="G1" s="23" t="s">
        <v>7</v>
      </c>
      <c r="H1" s="25"/>
      <c r="I1" s="26"/>
      <c r="J1" s="27" t="s">
        <v>91</v>
      </c>
      <c r="K1" s="28" t="s">
        <v>0</v>
      </c>
      <c r="L1" s="26" t="s">
        <v>47</v>
      </c>
      <c r="M1" s="29"/>
      <c r="N1" s="29" t="s">
        <v>11</v>
      </c>
      <c r="O1" s="29"/>
      <c r="P1" s="30"/>
      <c r="Q1" s="30"/>
      <c r="R1" s="30"/>
      <c r="S1" s="30"/>
      <c r="T1" s="30"/>
      <c r="U1" s="30"/>
      <c r="V1" s="103"/>
    </row>
    <row r="2" spans="1:40" ht="12.75" customHeight="1" thickBot="1" x14ac:dyDescent="0.3">
      <c r="A2" s="31">
        <f>TITLE!$C$1</f>
        <v>0</v>
      </c>
      <c r="B2" s="31">
        <f>TITLE!$C$2</f>
        <v>0</v>
      </c>
      <c r="C2" s="31"/>
      <c r="D2" s="32" t="str">
        <f>TITLE!$C$3</f>
        <v xml:space="preserve">   </v>
      </c>
      <c r="E2" s="31" t="str">
        <f>TITLE!$C$4</f>
        <v xml:space="preserve">  </v>
      </c>
      <c r="F2" s="32" t="str">
        <f>TITLE!$C$5</f>
        <v xml:space="preserve"> </v>
      </c>
      <c r="G2" s="31" t="str">
        <f>TITLE!$C$6</f>
        <v xml:space="preserve">    </v>
      </c>
      <c r="H2" s="31"/>
      <c r="I2" s="31"/>
      <c r="J2" s="460" t="str">
        <f>TITLE!$C$7</f>
        <v xml:space="preserve">  </v>
      </c>
      <c r="K2" s="463"/>
      <c r="L2" s="460" t="str">
        <f>TITLE!$C$8</f>
        <v xml:space="preserve"> </v>
      </c>
      <c r="M2" s="463"/>
      <c r="N2" s="460" t="str">
        <f>TITLE!C9</f>
        <v xml:space="preserve"> </v>
      </c>
      <c r="O2" s="461"/>
      <c r="P2" s="461"/>
      <c r="Q2" s="461"/>
      <c r="R2" s="461"/>
      <c r="S2" s="461"/>
      <c r="T2" s="461"/>
      <c r="U2" s="461"/>
      <c r="V2" s="462"/>
    </row>
    <row r="3" spans="1:40" ht="12.75" customHeight="1" thickTop="1" x14ac:dyDescent="0.3">
      <c r="A3" s="33" t="s">
        <v>48</v>
      </c>
      <c r="B3" s="34" t="s">
        <v>49</v>
      </c>
      <c r="C3" s="34" t="s">
        <v>112</v>
      </c>
      <c r="D3" s="34" t="s">
        <v>50</v>
      </c>
      <c r="E3" s="34" t="s">
        <v>51</v>
      </c>
      <c r="F3" s="35" t="s">
        <v>52</v>
      </c>
      <c r="G3" s="36" t="s">
        <v>53</v>
      </c>
      <c r="H3" s="37"/>
      <c r="I3" s="38"/>
      <c r="J3" s="38"/>
      <c r="K3" s="38" t="s">
        <v>54</v>
      </c>
      <c r="L3" s="38"/>
      <c r="M3" s="38"/>
      <c r="N3" s="38"/>
      <c r="O3" s="39"/>
      <c r="P3" s="40"/>
      <c r="Q3" s="40"/>
      <c r="R3" s="38" t="s">
        <v>55</v>
      </c>
      <c r="S3" s="40"/>
      <c r="T3" s="40"/>
      <c r="U3" s="40"/>
      <c r="V3" s="102"/>
    </row>
    <row r="4" spans="1:40" ht="12.75" customHeight="1" x14ac:dyDescent="0.3">
      <c r="A4" s="41"/>
      <c r="B4" s="42" t="s">
        <v>56</v>
      </c>
      <c r="C4" s="42"/>
      <c r="D4" s="42" t="s">
        <v>57</v>
      </c>
      <c r="E4" s="42" t="s">
        <v>58</v>
      </c>
      <c r="F4" s="43" t="s">
        <v>59</v>
      </c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6"/>
      <c r="S4" s="48"/>
      <c r="T4" s="48"/>
      <c r="U4" s="48"/>
      <c r="V4" s="57"/>
    </row>
    <row r="5" spans="1:40" ht="12.75" customHeight="1" x14ac:dyDescent="0.3">
      <c r="A5" s="49"/>
      <c r="B5" s="316" t="s">
        <v>60</v>
      </c>
      <c r="C5" s="316"/>
      <c r="D5" s="50" t="s">
        <v>57</v>
      </c>
      <c r="E5" s="50" t="s">
        <v>61</v>
      </c>
      <c r="F5" s="51" t="s">
        <v>62</v>
      </c>
      <c r="G5" s="52"/>
      <c r="H5" s="53"/>
      <c r="I5" s="54"/>
      <c r="J5" s="54"/>
      <c r="K5" s="54"/>
      <c r="L5" s="54"/>
      <c r="M5" s="46"/>
      <c r="N5" s="54"/>
      <c r="O5" s="55"/>
      <c r="P5" s="56"/>
      <c r="Q5" s="56"/>
      <c r="R5" s="54"/>
      <c r="S5" s="56"/>
      <c r="T5" s="56"/>
      <c r="U5" s="56"/>
      <c r="V5" s="57"/>
    </row>
    <row r="6" spans="1:40" ht="12.75" customHeight="1" thickBot="1" x14ac:dyDescent="0.3">
      <c r="A6" s="41"/>
      <c r="B6" s="317" t="s">
        <v>63</v>
      </c>
      <c r="C6" s="317"/>
      <c r="D6" s="187" t="s">
        <v>64</v>
      </c>
      <c r="E6" s="42" t="s">
        <v>61</v>
      </c>
      <c r="F6" s="43" t="s">
        <v>62</v>
      </c>
      <c r="G6" s="188" t="s">
        <v>65</v>
      </c>
      <c r="H6" s="189" t="s">
        <v>81</v>
      </c>
      <c r="I6" s="213" t="s">
        <v>152</v>
      </c>
      <c r="J6" s="214" t="s">
        <v>28</v>
      </c>
      <c r="K6" s="214" t="s">
        <v>29</v>
      </c>
      <c r="L6" s="214" t="s">
        <v>30</v>
      </c>
      <c r="M6" s="215" t="s">
        <v>82</v>
      </c>
      <c r="N6" s="215" t="s">
        <v>31</v>
      </c>
      <c r="O6" s="216" t="s">
        <v>90</v>
      </c>
      <c r="P6" s="190" t="s">
        <v>152</v>
      </c>
      <c r="Q6" s="190" t="s">
        <v>28</v>
      </c>
      <c r="R6" s="190" t="s">
        <v>29</v>
      </c>
      <c r="S6" s="190" t="s">
        <v>30</v>
      </c>
      <c r="T6" s="46" t="s">
        <v>82</v>
      </c>
      <c r="U6" s="46" t="s">
        <v>31</v>
      </c>
      <c r="V6" s="191" t="s">
        <v>90</v>
      </c>
    </row>
    <row r="7" spans="1:40" s="192" customFormat="1" ht="12.75" customHeight="1" thickTop="1" x14ac:dyDescent="0.25">
      <c r="A7" s="219" t="s">
        <v>66</v>
      </c>
      <c r="B7" s="318" t="s">
        <v>190</v>
      </c>
      <c r="C7" s="338"/>
      <c r="D7" s="220">
        <v>0</v>
      </c>
      <c r="E7" s="221">
        <f>FACTORS!$G$2*D7</f>
        <v>0</v>
      </c>
      <c r="F7" s="222">
        <f>E7*24</f>
        <v>0</v>
      </c>
      <c r="G7" s="223">
        <v>0</v>
      </c>
      <c r="H7" s="224">
        <v>0</v>
      </c>
      <c r="I7" s="225">
        <f>FACTORS!$C$17*D7/453.592*0.85</f>
        <v>0</v>
      </c>
      <c r="J7" s="227">
        <f>FACTORS!$D$17*D7/453.592*0.85</f>
        <v>0</v>
      </c>
      <c r="K7" s="227">
        <f>FACTORS!$E$17*D7/453.592*0.85</f>
        <v>0</v>
      </c>
      <c r="L7" s="226">
        <f>FACTORS!F$17*$D7/453.592*0.85</f>
        <v>0</v>
      </c>
      <c r="M7" s="228">
        <f>FACTORS!G$17*$D7/453.592*0.85</f>
        <v>0</v>
      </c>
      <c r="N7" s="228">
        <f>FACTORS!H$17*$D7/453.592*0.85</f>
        <v>0</v>
      </c>
      <c r="O7" s="229">
        <f>IFERROR(FACTORS!I$17*$D7/453.592*0.85,"--")</f>
        <v>0</v>
      </c>
      <c r="P7" s="230">
        <f t="shared" ref="P7:S10" si="0">IF(I7=0,0,I7*($F7/($E7*24))*$G7*$H7/2000)</f>
        <v>0</v>
      </c>
      <c r="Q7" s="228">
        <f t="shared" si="0"/>
        <v>0</v>
      </c>
      <c r="R7" s="228">
        <f t="shared" si="0"/>
        <v>0</v>
      </c>
      <c r="S7" s="228">
        <f t="shared" si="0"/>
        <v>0</v>
      </c>
      <c r="T7" s="228">
        <f>IFERROR(IF(M7=0,0,M7*($F7/($E7*24))*$G7*$H7/2000),"--")</f>
        <v>0</v>
      </c>
      <c r="U7" s="228">
        <f>IF(N7=0,0,N7*($F7/($E7*24))*$G7*$H7/2000)</f>
        <v>0</v>
      </c>
      <c r="V7" s="231">
        <f>IFERROR(IF(O7=0,0,O7*($F7/($E7*24))*$G7*$H7/2000),"--")</f>
        <v>0</v>
      </c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</row>
    <row r="8" spans="1:40" s="203" customFormat="1" ht="12.75" customHeight="1" x14ac:dyDescent="0.25">
      <c r="A8" s="232"/>
      <c r="B8" s="272" t="s">
        <v>190</v>
      </c>
      <c r="C8" s="339"/>
      <c r="D8" s="234">
        <v>0</v>
      </c>
      <c r="E8" s="235">
        <f>FACTORS!$G$2*D8</f>
        <v>0</v>
      </c>
      <c r="F8" s="226">
        <f>E8*24</f>
        <v>0</v>
      </c>
      <c r="G8" s="236">
        <v>0</v>
      </c>
      <c r="H8" s="237">
        <v>0</v>
      </c>
      <c r="I8" s="225">
        <f>FACTORS!$C$17*D8/453.592*0.85</f>
        <v>0</v>
      </c>
      <c r="J8" s="227">
        <f>FACTORS!$D$17*D8/453.592*0.85</f>
        <v>0</v>
      </c>
      <c r="K8" s="227">
        <f>FACTORS!$E$17*D8/453.592*0.85</f>
        <v>0</v>
      </c>
      <c r="L8" s="226">
        <f>FACTORS!F$17*$D8/453.592*0.85</f>
        <v>0</v>
      </c>
      <c r="M8" s="227">
        <f>FACTORS!G$17*$D8/453.592*0.85</f>
        <v>0</v>
      </c>
      <c r="N8" s="227">
        <f>FACTORS!H$17*$D8/453.592*0.85</f>
        <v>0</v>
      </c>
      <c r="O8" s="229">
        <f>IFERROR(FACTORS!I$17*$D8/453.592*0.85,"--")</f>
        <v>0</v>
      </c>
      <c r="P8" s="238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>IFERROR(IF(M8=0,0,M8*($F8/($E8*24))*$G8*$H8/2000),"--")</f>
        <v>0</v>
      </c>
      <c r="U8" s="227">
        <f>IF(N8=0,0,N8*($F8/($E8*24))*$G8*$H8/2000)</f>
        <v>0</v>
      </c>
      <c r="V8" s="239">
        <f>IFERROR(IF(O8=0,0,O8*($F8/($E8*24))*$G8*$H8/2000),"--")</f>
        <v>0</v>
      </c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1:40" s="203" customFormat="1" ht="12.75" customHeight="1" x14ac:dyDescent="0.25">
      <c r="A9" s="232"/>
      <c r="B9" s="272" t="s">
        <v>190</v>
      </c>
      <c r="C9" s="339"/>
      <c r="D9" s="234">
        <v>0</v>
      </c>
      <c r="E9" s="235">
        <f>FACTORS!$G$2*D9</f>
        <v>0</v>
      </c>
      <c r="F9" s="226">
        <f>E9*24</f>
        <v>0</v>
      </c>
      <c r="G9" s="236">
        <v>0</v>
      </c>
      <c r="H9" s="237">
        <v>0</v>
      </c>
      <c r="I9" s="225">
        <f>FACTORS!$C$17*D9/453.592*0.85</f>
        <v>0</v>
      </c>
      <c r="J9" s="227">
        <f>FACTORS!$D$17*D9/453.592*0.85</f>
        <v>0</v>
      </c>
      <c r="K9" s="227">
        <f>FACTORS!$E$17*D9/453.592*0.85</f>
        <v>0</v>
      </c>
      <c r="L9" s="226">
        <f>FACTORS!F$17*$D9/453.592*0.85</f>
        <v>0</v>
      </c>
      <c r="M9" s="227">
        <f>FACTORS!G$17*$D9/453.592*0.85</f>
        <v>0</v>
      </c>
      <c r="N9" s="227">
        <f>FACTORS!H$17*$D9/453.592*0.85</f>
        <v>0</v>
      </c>
      <c r="O9" s="229">
        <f>IFERROR(FACTORS!I$17*$D9/453.592*0.85,"--")</f>
        <v>0</v>
      </c>
      <c r="P9" s="238">
        <f>IF(I9=0,0,I9*($F9/($E9*24))*$G9*$H9/2000)</f>
        <v>0</v>
      </c>
      <c r="Q9" s="227">
        <f t="shared" si="0"/>
        <v>0</v>
      </c>
      <c r="R9" s="227">
        <f t="shared" si="0"/>
        <v>0</v>
      </c>
      <c r="S9" s="227">
        <f t="shared" si="0"/>
        <v>0</v>
      </c>
      <c r="T9" s="227">
        <f>IFERROR(IF(M9=0,0,M9*($F9/($E9*24))*$G9*$H9/2000),"--")</f>
        <v>0</v>
      </c>
      <c r="U9" s="227">
        <f>IF(N9=0,0,N9*($F9/($E9*24))*$G9*$H9/2000)</f>
        <v>0</v>
      </c>
      <c r="V9" s="239">
        <f>IFERROR(IF(O9=0,0,O9*($F9/($E9*24))*$G9*$H9/2000),"--")</f>
        <v>0</v>
      </c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1:40" s="203" customFormat="1" ht="12.75" customHeight="1" x14ac:dyDescent="0.25">
      <c r="A10" s="232"/>
      <c r="B10" s="272" t="s">
        <v>190</v>
      </c>
      <c r="C10" s="339"/>
      <c r="D10" s="234">
        <v>0</v>
      </c>
      <c r="E10" s="235">
        <f>FACTORS!$G$2*D10</f>
        <v>0</v>
      </c>
      <c r="F10" s="226">
        <f>E10*24</f>
        <v>0</v>
      </c>
      <c r="G10" s="236">
        <v>0</v>
      </c>
      <c r="H10" s="237">
        <v>0</v>
      </c>
      <c r="I10" s="225">
        <f>FACTORS!$C$17*D10/453.592*0.85</f>
        <v>0</v>
      </c>
      <c r="J10" s="227">
        <f>FACTORS!$D$17*D10/453.592*0.85</f>
        <v>0</v>
      </c>
      <c r="K10" s="227">
        <f>FACTORS!$E$17*D10/453.592*0.85</f>
        <v>0</v>
      </c>
      <c r="L10" s="226">
        <f>FACTORS!F$17*$D10/453.592*0.85</f>
        <v>0</v>
      </c>
      <c r="M10" s="227">
        <f>FACTORS!G$17*$D10/453.592*0.85</f>
        <v>0</v>
      </c>
      <c r="N10" s="227">
        <f>FACTORS!H$17*$D10/453.592*0.85</f>
        <v>0</v>
      </c>
      <c r="O10" s="229">
        <f>IFERROR(FACTORS!I$17*$D10/453.592*0.85,"--")</f>
        <v>0</v>
      </c>
      <c r="P10" s="238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>IFERROR(IF(M10=0,0,M10*($F10/($E10*24))*$G10*$H10/2000),"--")</f>
        <v>0</v>
      </c>
      <c r="U10" s="227">
        <f>IF(N10=0,0,N10*($F10/($E10*24))*$G10*$H10/2000)</f>
        <v>0</v>
      </c>
      <c r="V10" s="239">
        <f>IFERROR(IF(O10=0,0,O10*($F10/($E10*24))*$G10*$H10/2000),"--")</f>
        <v>0</v>
      </c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1:40" s="203" customFormat="1" ht="12.5" x14ac:dyDescent="0.25">
      <c r="A11" s="232"/>
      <c r="B11" s="233" t="s">
        <v>226</v>
      </c>
      <c r="C11" s="233"/>
      <c r="D11" s="234">
        <v>0</v>
      </c>
      <c r="E11" s="240"/>
      <c r="F11" s="241"/>
      <c r="G11" s="234">
        <v>0</v>
      </c>
      <c r="H11" s="237">
        <v>0</v>
      </c>
      <c r="I11" s="225">
        <f>FACTORS!$C$19*$D11/453.592</f>
        <v>0</v>
      </c>
      <c r="J11" s="227">
        <f>FACTORS!$D$19*$D11/453.592</f>
        <v>0</v>
      </c>
      <c r="K11" s="227">
        <f>FACTORS!$E$19*$D11/453.592</f>
        <v>0</v>
      </c>
      <c r="L11" s="226">
        <f>FACTORS!F$19*$D11/453.592</f>
        <v>0</v>
      </c>
      <c r="M11" s="227">
        <f>FACTORS!G$19*$D11/453.592</f>
        <v>0</v>
      </c>
      <c r="N11" s="227">
        <f>FACTORS!H$19*$D11/453.592</f>
        <v>0</v>
      </c>
      <c r="O11" s="229">
        <f>FACTORS!I$19*$D11/453.592</f>
        <v>0</v>
      </c>
      <c r="P11" s="251">
        <f t="shared" ref="P11:V11" si="1">I11*$G11*$H11/2000</f>
        <v>0</v>
      </c>
      <c r="Q11" s="227">
        <f t="shared" si="1"/>
        <v>0</v>
      </c>
      <c r="R11" s="227">
        <f t="shared" si="1"/>
        <v>0</v>
      </c>
      <c r="S11" s="227">
        <f t="shared" si="1"/>
        <v>0</v>
      </c>
      <c r="T11" s="227">
        <f t="shared" si="1"/>
        <v>0</v>
      </c>
      <c r="U11" s="227">
        <f t="shared" si="1"/>
        <v>0</v>
      </c>
      <c r="V11" s="239">
        <f t="shared" si="1"/>
        <v>0</v>
      </c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</row>
    <row r="12" spans="1:40" s="203" customFormat="1" ht="12.5" x14ac:dyDescent="0.25">
      <c r="A12" s="232"/>
      <c r="B12" s="233" t="s">
        <v>191</v>
      </c>
      <c r="C12" s="233"/>
      <c r="D12" s="234">
        <v>0</v>
      </c>
      <c r="E12" s="235">
        <f>FACTORS!$G$2*D12</f>
        <v>0</v>
      </c>
      <c r="F12" s="226">
        <f>E12*24</f>
        <v>0</v>
      </c>
      <c r="G12" s="236">
        <v>0</v>
      </c>
      <c r="H12" s="237">
        <v>0</v>
      </c>
      <c r="I12" s="225">
        <f>FACTORS!$C$17*D12/453.592</f>
        <v>0</v>
      </c>
      <c r="J12" s="227">
        <f>FACTORS!$D$18*D12/453.592</f>
        <v>0</v>
      </c>
      <c r="K12" s="227">
        <f>FACTORS!$E$18*D12/453.592</f>
        <v>0</v>
      </c>
      <c r="L12" s="226">
        <f>FACTORS!F$18*$D12/453.592</f>
        <v>0</v>
      </c>
      <c r="M12" s="227">
        <f>FACTORS!G$18*$D12/453.592</f>
        <v>0</v>
      </c>
      <c r="N12" s="227">
        <f>FACTORS!H$18*$D12/453.592</f>
        <v>0</v>
      </c>
      <c r="O12" s="229">
        <f>FACTORS!I$18*$D12/453.592</f>
        <v>0</v>
      </c>
      <c r="P12" s="238">
        <f>IF(I12=0,0,I12*($F12/($E12*24))*$G12*$H12/2000)</f>
        <v>0</v>
      </c>
      <c r="Q12" s="227">
        <f t="shared" ref="Q12:S12" si="2">IF(J12=0,0,J12*($F12/($E12*24))*$G12*$H12/2000)</f>
        <v>0</v>
      </c>
      <c r="R12" s="227">
        <f t="shared" si="2"/>
        <v>0</v>
      </c>
      <c r="S12" s="227">
        <f t="shared" si="2"/>
        <v>0</v>
      </c>
      <c r="T12" s="227">
        <f>IFERROR(IF(M12=0,0,M12*($F12/($E12*24))*$G12*$H12/2000),"--")</f>
        <v>0</v>
      </c>
      <c r="U12" s="227">
        <f t="shared" ref="U12" si="3">IF(N12=0,0,N12*($F12/($E12*24))*$G12*$H12/2000)</f>
        <v>0</v>
      </c>
      <c r="V12" s="239">
        <f>IFERROR(IF(O12=0,0,O12*($F12/($E12*24))*$G12*$H12/2000),"--")</f>
        <v>0</v>
      </c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</row>
    <row r="13" spans="1:40" ht="12.75" customHeight="1" x14ac:dyDescent="0.25">
      <c r="A13" s="61"/>
      <c r="B13" s="62"/>
      <c r="C13" s="62"/>
      <c r="D13" s="63"/>
      <c r="E13" s="64" t="s">
        <v>0</v>
      </c>
      <c r="F13" s="65"/>
      <c r="G13" s="66"/>
      <c r="H13" s="67"/>
      <c r="I13" s="59" t="s">
        <v>0</v>
      </c>
      <c r="J13" s="60" t="s">
        <v>0</v>
      </c>
      <c r="K13" s="60"/>
      <c r="L13" s="58"/>
      <c r="M13" s="60"/>
      <c r="N13" s="60"/>
      <c r="O13" s="165"/>
      <c r="P13" s="18"/>
      <c r="Q13" s="60"/>
      <c r="R13" s="60"/>
      <c r="S13" s="60"/>
      <c r="T13" s="60"/>
      <c r="U13" s="60"/>
      <c r="V13" s="112"/>
    </row>
    <row r="14" spans="1:40" s="203" customFormat="1" ht="12.75" customHeight="1" x14ac:dyDescent="0.25">
      <c r="A14" s="232" t="s">
        <v>67</v>
      </c>
      <c r="B14" s="233" t="s">
        <v>188</v>
      </c>
      <c r="C14" s="233"/>
      <c r="D14" s="234">
        <v>0</v>
      </c>
      <c r="E14" s="242">
        <f>FACTORS!$G$2*D14</f>
        <v>0</v>
      </c>
      <c r="F14" s="226">
        <f t="shared" ref="F14:F15" si="4">E14*24</f>
        <v>0</v>
      </c>
      <c r="G14" s="236">
        <v>0</v>
      </c>
      <c r="H14" s="237">
        <v>0</v>
      </c>
      <c r="I14" s="243">
        <f>FACTORS!$C$17*D14/453.592*0.85</f>
        <v>0</v>
      </c>
      <c r="J14" s="245">
        <f>FACTORS!$D$17*D14/453.592*0.85</f>
        <v>0</v>
      </c>
      <c r="K14" s="245">
        <f>FACTORS!$E$17*D14/453.592*0.85</f>
        <v>0</v>
      </c>
      <c r="L14" s="244">
        <f>FACTORS!F$17*$D14/453.592*0.85</f>
        <v>0</v>
      </c>
      <c r="M14" s="245">
        <f>FACTORS!G$17*$D14/453.592*0.85</f>
        <v>0</v>
      </c>
      <c r="N14" s="245">
        <f>FACTORS!H$17*$D14/453.592*0.85</f>
        <v>0</v>
      </c>
      <c r="O14" s="246">
        <f>FACTORS!I$17*$D14/453.592*0.85</f>
        <v>0</v>
      </c>
      <c r="P14" s="247">
        <f t="shared" ref="P14:S15" si="5">IF(I14=0,0,I14*($F14/($E14*24))*$G14*$H14/2000)</f>
        <v>0</v>
      </c>
      <c r="Q14" s="245">
        <f t="shared" si="5"/>
        <v>0</v>
      </c>
      <c r="R14" s="245">
        <f t="shared" si="5"/>
        <v>0</v>
      </c>
      <c r="S14" s="245">
        <f t="shared" si="5"/>
        <v>0</v>
      </c>
      <c r="T14" s="245">
        <f t="shared" ref="T14:T15" si="6">IFERROR(IF(M14=0,0,M14*($F14/($E14*24))*$G14*$H14/2000),"--")</f>
        <v>0</v>
      </c>
      <c r="U14" s="245">
        <f t="shared" ref="U14:U15" si="7">IF(N14=0,0,N14*($F14/($E14*24))*$G14*$H14/2000)</f>
        <v>0</v>
      </c>
      <c r="V14" s="248">
        <f t="shared" ref="V14:V15" si="8">IFERROR(IF(O14=0,0,O14*($F14/($E14*24))*$G14*$H14/2000),"--")</f>
        <v>0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</row>
    <row r="15" spans="1:40" s="203" customFormat="1" ht="12.75" customHeight="1" x14ac:dyDescent="0.25">
      <c r="A15" s="232" t="s">
        <v>68</v>
      </c>
      <c r="B15" s="233" t="s">
        <v>192</v>
      </c>
      <c r="C15" s="233"/>
      <c r="D15" s="234">
        <v>0</v>
      </c>
      <c r="E15" s="235">
        <f>FACTORS!$G$2*D15</f>
        <v>0</v>
      </c>
      <c r="F15" s="226">
        <f t="shared" si="4"/>
        <v>0</v>
      </c>
      <c r="G15" s="236">
        <v>0</v>
      </c>
      <c r="H15" s="237">
        <v>0</v>
      </c>
      <c r="I15" s="225">
        <f>FACTORS!$C$17*D15/453.592*0.85</f>
        <v>0</v>
      </c>
      <c r="J15" s="227">
        <f>FACTORS!$D$17*D15/453.592*0.85</f>
        <v>0</v>
      </c>
      <c r="K15" s="227">
        <f>FACTORS!$E$17*D15/453.592*0.85</f>
        <v>0</v>
      </c>
      <c r="L15" s="226">
        <f>FACTORS!F$17*$D15/453.592*0.85</f>
        <v>0</v>
      </c>
      <c r="M15" s="227">
        <f>FACTORS!G$17*$D15/453.592*0.85</f>
        <v>0</v>
      </c>
      <c r="N15" s="227">
        <f>FACTORS!H$17*$D15/453.592*0.85</f>
        <v>0</v>
      </c>
      <c r="O15" s="229">
        <f>FACTORS!I$17*$D15/453.592*0.85</f>
        <v>0</v>
      </c>
      <c r="P15" s="238">
        <f t="shared" si="5"/>
        <v>0</v>
      </c>
      <c r="Q15" s="227">
        <f t="shared" si="5"/>
        <v>0</v>
      </c>
      <c r="R15" s="227">
        <f t="shared" si="5"/>
        <v>0</v>
      </c>
      <c r="S15" s="227">
        <f t="shared" si="5"/>
        <v>0</v>
      </c>
      <c r="T15" s="227">
        <f t="shared" si="6"/>
        <v>0</v>
      </c>
      <c r="U15" s="227">
        <f t="shared" si="7"/>
        <v>0</v>
      </c>
      <c r="V15" s="239">
        <f t="shared" si="8"/>
        <v>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</row>
    <row r="16" spans="1:40" ht="12.75" customHeight="1" x14ac:dyDescent="0.25">
      <c r="A16" s="61"/>
      <c r="B16" s="62"/>
      <c r="C16" s="62"/>
      <c r="D16" s="63"/>
      <c r="E16" s="64" t="s">
        <v>0</v>
      </c>
      <c r="F16" s="65"/>
      <c r="G16" s="66"/>
      <c r="H16" s="67"/>
      <c r="I16" s="59" t="s">
        <v>0</v>
      </c>
      <c r="J16" s="60" t="s">
        <v>0</v>
      </c>
      <c r="K16" s="60"/>
      <c r="L16" s="58"/>
      <c r="M16" s="60"/>
      <c r="N16" s="60"/>
      <c r="O16" s="165"/>
      <c r="P16" s="18"/>
      <c r="Q16" s="60"/>
      <c r="R16" s="60"/>
      <c r="S16" s="60"/>
      <c r="T16" s="68"/>
      <c r="U16" s="68"/>
      <c r="V16" s="69"/>
    </row>
    <row r="17" spans="1:40" s="203" customFormat="1" ht="12.75" customHeight="1" x14ac:dyDescent="0.25">
      <c r="A17" s="232" t="s">
        <v>214</v>
      </c>
      <c r="B17" s="233" t="s">
        <v>134</v>
      </c>
      <c r="C17" s="233"/>
      <c r="D17" s="234">
        <v>0</v>
      </c>
      <c r="E17" s="242">
        <f>FACTORS!$G$2*D17</f>
        <v>0</v>
      </c>
      <c r="F17" s="226">
        <f>E17*24</f>
        <v>0</v>
      </c>
      <c r="G17" s="236">
        <v>0</v>
      </c>
      <c r="H17" s="237">
        <v>0</v>
      </c>
      <c r="I17" s="243">
        <f>FACTORS!$C$17*D17/453.592*0.85</f>
        <v>0</v>
      </c>
      <c r="J17" s="245">
        <f>FACTORS!$D$17*D17/453.592*0.85</f>
        <v>0</v>
      </c>
      <c r="K17" s="245">
        <f>FACTORS!$E$17*D17/453.592*0.85</f>
        <v>0</v>
      </c>
      <c r="L17" s="244">
        <f>FACTORS!F$17*$D17/453.592*0.85</f>
        <v>0</v>
      </c>
      <c r="M17" s="245">
        <f>FACTORS!G$17*$D17/453.592*0.85</f>
        <v>0</v>
      </c>
      <c r="N17" s="245">
        <f>FACTORS!H$17*$D17/453.592*0.85</f>
        <v>0</v>
      </c>
      <c r="O17" s="246">
        <f>FACTORS!I$17*$D17/453.592*0.85</f>
        <v>0</v>
      </c>
      <c r="P17" s="249">
        <f>IF(I17=0,0,I17*($F17/($E17*24))*$G17*$H17/2000)</f>
        <v>0</v>
      </c>
      <c r="Q17" s="245">
        <f t="shared" ref="Q17:S17" si="9">IF(J17=0,0,J17*($F17/($E17*24))*$G17*$H17/2000)</f>
        <v>0</v>
      </c>
      <c r="R17" s="245">
        <f t="shared" si="9"/>
        <v>0</v>
      </c>
      <c r="S17" s="245">
        <f t="shared" si="9"/>
        <v>0</v>
      </c>
      <c r="T17" s="245">
        <f>IFERROR(IF(M17=0,0,M17*($F17/($E17*24))*$G17*$H17/2000),"--")</f>
        <v>0</v>
      </c>
      <c r="U17" s="245">
        <f t="shared" ref="U17" si="10">IF(N17=0,0,N17*($F17/($E17*24))*$G17*$H17/2000)</f>
        <v>0</v>
      </c>
      <c r="V17" s="248">
        <f>IFERROR(IF(O17=0,0,O17*($F17/($E17*24))*$G17*$H17/2000),"--")</f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</row>
    <row r="18" spans="1:40" ht="12.75" customHeight="1" x14ac:dyDescent="0.25">
      <c r="A18" s="61"/>
      <c r="B18" s="62"/>
      <c r="C18" s="62"/>
      <c r="D18" s="63"/>
      <c r="E18" s="64" t="s">
        <v>0</v>
      </c>
      <c r="F18" s="65"/>
      <c r="G18" s="66"/>
      <c r="H18" s="67"/>
      <c r="I18" s="59" t="s">
        <v>0</v>
      </c>
      <c r="J18" s="60" t="s">
        <v>0</v>
      </c>
      <c r="K18" s="60"/>
      <c r="L18" s="58"/>
      <c r="M18" s="60"/>
      <c r="N18" s="60"/>
      <c r="O18" s="165"/>
      <c r="P18" s="18"/>
      <c r="Q18" s="60"/>
      <c r="R18" s="60"/>
      <c r="S18" s="60"/>
      <c r="T18" s="68"/>
      <c r="U18" s="68"/>
      <c r="V18" s="69"/>
    </row>
    <row r="19" spans="1:40" ht="12.75" customHeight="1" x14ac:dyDescent="0.25">
      <c r="A19" s="232" t="s">
        <v>70</v>
      </c>
      <c r="B19" s="233" t="s">
        <v>193</v>
      </c>
      <c r="C19" s="233"/>
      <c r="D19" s="234">
        <v>0</v>
      </c>
      <c r="E19" s="242">
        <f>FACTORS!$G$2*D19</f>
        <v>0</v>
      </c>
      <c r="F19" s="226">
        <f t="shared" ref="F19:F30" si="11">E19*24</f>
        <v>0</v>
      </c>
      <c r="G19" s="236">
        <v>0</v>
      </c>
      <c r="H19" s="237">
        <v>0</v>
      </c>
      <c r="I19" s="243">
        <f>FACTORS!$C$11*D19/453.592</f>
        <v>0</v>
      </c>
      <c r="J19" s="245">
        <f>FACTORS!$D$11*D19/453.592</f>
        <v>0</v>
      </c>
      <c r="K19" s="245">
        <f>FACTORS!$E$11*D19/453.592</f>
        <v>0</v>
      </c>
      <c r="L19" s="244">
        <f>FACTORS!F$11*$D19/453.592</f>
        <v>0</v>
      </c>
      <c r="M19" s="245" t="str">
        <f>IFERROR(FACTORS!G$11*$D19/453.592,"--")</f>
        <v>--</v>
      </c>
      <c r="N19" s="245">
        <f>IFERROR(FACTORS!H$11*$D19/453.592,"--")</f>
        <v>0</v>
      </c>
      <c r="O19" s="246" t="str">
        <f>IFERROR(FACTORS!I$11*$D19/453.592,"--")</f>
        <v>--</v>
      </c>
      <c r="P19" s="249">
        <f>IF(I19=0,0,I19*($F19/($E19*24))*$G19*$H19/2000)</f>
        <v>0</v>
      </c>
      <c r="Q19" s="245">
        <f t="shared" ref="Q19:T30" si="12">IF(J19=0,0,J19*($F19/($E19*24))*$G19*$H19/2000)</f>
        <v>0</v>
      </c>
      <c r="R19" s="245">
        <f t="shared" si="12"/>
        <v>0</v>
      </c>
      <c r="S19" s="245">
        <f t="shared" si="12"/>
        <v>0</v>
      </c>
      <c r="T19" s="227" t="str">
        <f>IFERROR(IF(M19=0,0,M19*($F19/($E19*24))*$G19*$H19/2000),"--")</f>
        <v>--</v>
      </c>
      <c r="U19" s="227">
        <f t="shared" ref="U19:V30" si="13">IF(N19=0,0,N19*($F19/($E19*24))*$G19*$H19/2000)</f>
        <v>0</v>
      </c>
      <c r="V19" s="239" t="str">
        <f t="shared" ref="V19:V24" si="14">IFERROR(IF(O19=0,0,O19*($F19/($E19*24))*$G19*$H19/2000),"--")</f>
        <v>--</v>
      </c>
    </row>
    <row r="20" spans="1:40" ht="12.75" customHeight="1" x14ac:dyDescent="0.25">
      <c r="A20" s="250"/>
      <c r="B20" s="233" t="s">
        <v>194</v>
      </c>
      <c r="C20" s="233"/>
      <c r="D20" s="234">
        <v>0</v>
      </c>
      <c r="E20" s="235">
        <f>FACTORS!$G$2*D20</f>
        <v>0</v>
      </c>
      <c r="F20" s="226">
        <f t="shared" si="11"/>
        <v>0</v>
      </c>
      <c r="G20" s="236">
        <v>0</v>
      </c>
      <c r="H20" s="237">
        <v>0</v>
      </c>
      <c r="I20" s="225">
        <f>FACTORS!$C$12*D20/453.592</f>
        <v>0</v>
      </c>
      <c r="J20" s="227">
        <f>FACTORS!$D$12*D20/453.592</f>
        <v>0</v>
      </c>
      <c r="K20" s="227">
        <f>FACTORS!$E$12*D20/453.592</f>
        <v>0</v>
      </c>
      <c r="L20" s="226">
        <f>FACTORS!F$12*$D20/453.592</f>
        <v>0</v>
      </c>
      <c r="M20" s="227" t="str">
        <f>IFERROR(FACTORS!G$12*$D20/453.592,"--")</f>
        <v>--</v>
      </c>
      <c r="N20" s="227">
        <f>IFERROR(FACTORS!H$12*$D20/453.592,"--")</f>
        <v>0</v>
      </c>
      <c r="O20" s="229" t="str">
        <f>IFERROR(FACTORS!I$12*$D20/453.592,"--")</f>
        <v>--</v>
      </c>
      <c r="P20" s="238">
        <f>IF(I20=0,0,I20*($F20/($E20*24))*$G20*$H20/2000)</f>
        <v>0</v>
      </c>
      <c r="Q20" s="227">
        <f t="shared" si="12"/>
        <v>0</v>
      </c>
      <c r="R20" s="227">
        <f t="shared" si="12"/>
        <v>0</v>
      </c>
      <c r="S20" s="227">
        <f t="shared" si="12"/>
        <v>0</v>
      </c>
      <c r="T20" s="227" t="str">
        <f>IFERROR(IF(M20=0,0,M20*($F20/($E20*24))*$G20*$H20/2000),"--")</f>
        <v>--</v>
      </c>
      <c r="U20" s="227">
        <f t="shared" si="13"/>
        <v>0</v>
      </c>
      <c r="V20" s="239" t="str">
        <f t="shared" si="14"/>
        <v>--</v>
      </c>
    </row>
    <row r="21" spans="1:40" s="203" customFormat="1" ht="12.75" customHeight="1" x14ac:dyDescent="0.25">
      <c r="A21" s="232"/>
      <c r="B21" s="233" t="s">
        <v>153</v>
      </c>
      <c r="C21" s="233"/>
      <c r="D21" s="234">
        <v>0</v>
      </c>
      <c r="E21" s="235">
        <f>FACTORS!$G$2*D21</f>
        <v>0</v>
      </c>
      <c r="F21" s="226">
        <f t="shared" si="11"/>
        <v>0</v>
      </c>
      <c r="G21" s="236">
        <v>0</v>
      </c>
      <c r="H21" s="237">
        <v>0</v>
      </c>
      <c r="I21" s="225">
        <f>FACTORS!$C$17*D21/453.592*0.85</f>
        <v>0</v>
      </c>
      <c r="J21" s="227">
        <f>FACTORS!$D$17*D21/453.592*0.85</f>
        <v>0</v>
      </c>
      <c r="K21" s="227">
        <f>FACTORS!$E$17*D21/453.592*0.85</f>
        <v>0</v>
      </c>
      <c r="L21" s="226">
        <f>FACTORS!F$17*$D21/453.592*0.85</f>
        <v>0</v>
      </c>
      <c r="M21" s="227">
        <f>FACTORS!G$17*$D21/453.592*0.85</f>
        <v>0</v>
      </c>
      <c r="N21" s="227">
        <f>FACTORS!H$17*$D21/453.592*0.85</f>
        <v>0</v>
      </c>
      <c r="O21" s="229">
        <f>FACTORS!I$17*$D21/453.592*0.85</f>
        <v>0</v>
      </c>
      <c r="P21" s="238">
        <f>IF(I21=0,0,I21*($F21/($E21*24))*$G21*$H21/2000)</f>
        <v>0</v>
      </c>
      <c r="Q21" s="227">
        <f t="shared" si="12"/>
        <v>0</v>
      </c>
      <c r="R21" s="227">
        <f t="shared" si="12"/>
        <v>0</v>
      </c>
      <c r="S21" s="227">
        <f t="shared" si="12"/>
        <v>0</v>
      </c>
      <c r="T21" s="227">
        <f>IFERROR(IF(M21=0,0,M21*($F21/($E21*24))*$G21*$H21/2000),"--")</f>
        <v>0</v>
      </c>
      <c r="U21" s="227">
        <f t="shared" si="13"/>
        <v>0</v>
      </c>
      <c r="V21" s="239">
        <f t="shared" si="14"/>
        <v>0</v>
      </c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</row>
    <row r="22" spans="1:40" s="203" customFormat="1" ht="12.75" customHeight="1" x14ac:dyDescent="0.25">
      <c r="A22" s="232"/>
      <c r="B22" s="233" t="s">
        <v>154</v>
      </c>
      <c r="C22" s="233"/>
      <c r="D22" s="234">
        <v>0</v>
      </c>
      <c r="E22" s="235">
        <f>FACTORS!$G$2*D22</f>
        <v>0</v>
      </c>
      <c r="F22" s="226">
        <f t="shared" si="11"/>
        <v>0</v>
      </c>
      <c r="G22" s="236">
        <v>0</v>
      </c>
      <c r="H22" s="237">
        <v>0</v>
      </c>
      <c r="I22" s="225">
        <f>FACTORS!$C$20*D22/453.592*0.3863</f>
        <v>0</v>
      </c>
      <c r="J22" s="227">
        <f>FACTORS!$D$20*D22/453.592*0.3863</f>
        <v>0</v>
      </c>
      <c r="K22" s="227">
        <f>FACTORS!$E$20*D22/453.592*0.3863</f>
        <v>0</v>
      </c>
      <c r="L22" s="226">
        <f>FACTORS!F$20*$D22/453.592*0.3863</f>
        <v>0</v>
      </c>
      <c r="M22" s="227">
        <f>FACTORS!G$20*$D22/453.592*0.3863</f>
        <v>0</v>
      </c>
      <c r="N22" s="227">
        <f>FACTORS!H$20*$D22/453.592*0.3863</f>
        <v>0</v>
      </c>
      <c r="O22" s="229">
        <f>FACTORS!I$20*$D22/453.592*0.3863</f>
        <v>0</v>
      </c>
      <c r="P22" s="251">
        <f>IF(I22=0,0,I22*$G22*$H22/2000)</f>
        <v>0</v>
      </c>
      <c r="Q22" s="227">
        <f t="shared" ref="Q22:S22" si="15">IF(J22=0,0,J22*$G22*$H22/2000)</f>
        <v>0</v>
      </c>
      <c r="R22" s="227">
        <f t="shared" si="15"/>
        <v>0</v>
      </c>
      <c r="S22" s="227">
        <f t="shared" si="15"/>
        <v>0</v>
      </c>
      <c r="T22" s="227">
        <f t="shared" ref="T22" si="16">IFERROR(IF(M22=0,0,M22*$G22*$H22/2000),"--")</f>
        <v>0</v>
      </c>
      <c r="U22" s="227">
        <f t="shared" ref="U22" si="17">IF(N22=0,0,N22*$G22*$H22/2000)</f>
        <v>0</v>
      </c>
      <c r="V22" s="239">
        <f t="shared" ref="V22" si="18">IFERROR(IF(O22=0,0,O22*$G22*$H22/2000),"--")</f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</row>
    <row r="23" spans="1:40" ht="12.75" customHeight="1" x14ac:dyDescent="0.25">
      <c r="A23" s="232"/>
      <c r="B23" s="233" t="s">
        <v>218</v>
      </c>
      <c r="C23" s="233"/>
      <c r="D23" s="234">
        <v>0</v>
      </c>
      <c r="E23" s="235">
        <f>FACTORS!$C$2*D23</f>
        <v>0</v>
      </c>
      <c r="F23" s="226">
        <f t="shared" si="11"/>
        <v>0</v>
      </c>
      <c r="G23" s="236">
        <v>0</v>
      </c>
      <c r="H23" s="237">
        <v>0</v>
      </c>
      <c r="I23" s="251">
        <f>FACTORS!C$6*$D23/453.592</f>
        <v>0</v>
      </c>
      <c r="J23" s="227">
        <f>FACTORS!D$6*$D23/453.592</f>
        <v>0</v>
      </c>
      <c r="K23" s="227">
        <f>FACTORS!E$6*$D23/453.592</f>
        <v>0</v>
      </c>
      <c r="L23" s="226">
        <f>FACTORS!F$6*$D23/453.592</f>
        <v>0</v>
      </c>
      <c r="M23" s="227" t="str">
        <f>IFERROR(FACTORS!G$6*$D23/453.592,"--")</f>
        <v>--</v>
      </c>
      <c r="N23" s="227">
        <f>IFERROR(FACTORS!H$6*$D23/453.592,"--")</f>
        <v>0</v>
      </c>
      <c r="O23" s="229" t="str">
        <f>IFERROR(FACTORS!I$6*$D23/453.592,"--")</f>
        <v>--</v>
      </c>
      <c r="P23" s="238">
        <f>IF(I23=0,0,I23*($F23/($E23*24))*$G23*$H23/2000)</f>
        <v>0</v>
      </c>
      <c r="Q23" s="227">
        <f t="shared" si="12"/>
        <v>0</v>
      </c>
      <c r="R23" s="227">
        <f t="shared" si="12"/>
        <v>0</v>
      </c>
      <c r="S23" s="227">
        <f t="shared" si="12"/>
        <v>0</v>
      </c>
      <c r="T23" s="227" t="str">
        <f>IFERROR(IF(M23=0,0,M23*($F23/($E23*24))*$G23*$H23/2000),"--")</f>
        <v>--</v>
      </c>
      <c r="U23" s="227">
        <f t="shared" si="13"/>
        <v>0</v>
      </c>
      <c r="V23" s="239" t="str">
        <f t="shared" si="14"/>
        <v>--</v>
      </c>
    </row>
    <row r="24" spans="1:40" ht="12.75" customHeight="1" x14ac:dyDescent="0.25">
      <c r="A24" s="232"/>
      <c r="B24" s="233" t="s">
        <v>83</v>
      </c>
      <c r="C24" s="233"/>
      <c r="D24" s="234">
        <v>0</v>
      </c>
      <c r="E24" s="235">
        <f>FACTORS!$I$2*D24</f>
        <v>0</v>
      </c>
      <c r="F24" s="226">
        <f t="shared" si="11"/>
        <v>0</v>
      </c>
      <c r="G24" s="236">
        <v>0</v>
      </c>
      <c r="H24" s="237">
        <v>0</v>
      </c>
      <c r="I24" s="251">
        <f>FACTORS!C$14*$D24/453.592</f>
        <v>0</v>
      </c>
      <c r="J24" s="227">
        <f>FACTORS!D$14*$D24/453.592</f>
        <v>0</v>
      </c>
      <c r="K24" s="227">
        <f>FACTORS!E$14*$D24/453.592</f>
        <v>0</v>
      </c>
      <c r="L24" s="226">
        <f>FACTORS!F$14*$D24/453.592</f>
        <v>0</v>
      </c>
      <c r="M24" s="227">
        <f>FACTORS!G$14*$D24/453.592</f>
        <v>0</v>
      </c>
      <c r="N24" s="227">
        <f>FACTORS!H$14*$D24/453.592</f>
        <v>0</v>
      </c>
      <c r="O24" s="252" t="str">
        <f>IFERROR(FACTORS!I$14*$D24/453.592, "--")</f>
        <v>--</v>
      </c>
      <c r="P24" s="225">
        <f t="shared" ref="P24:P30" si="19">IF(I24=0,0,I24*($F24/($E24*24))*$G24*$H24/2000)</f>
        <v>0</v>
      </c>
      <c r="Q24" s="227">
        <f t="shared" si="12"/>
        <v>0</v>
      </c>
      <c r="R24" s="227">
        <f t="shared" si="12"/>
        <v>0</v>
      </c>
      <c r="S24" s="227">
        <f t="shared" si="12"/>
        <v>0</v>
      </c>
      <c r="T24" s="227">
        <f t="shared" si="12"/>
        <v>0</v>
      </c>
      <c r="U24" s="227">
        <f t="shared" si="13"/>
        <v>0</v>
      </c>
      <c r="V24" s="239" t="str">
        <f t="shared" si="14"/>
        <v>--</v>
      </c>
    </row>
    <row r="25" spans="1:40" ht="12.75" customHeight="1" x14ac:dyDescent="0.25">
      <c r="A25" s="232"/>
      <c r="B25" s="233" t="s">
        <v>175</v>
      </c>
      <c r="C25" s="233"/>
      <c r="D25" s="234">
        <v>0</v>
      </c>
      <c r="E25" s="235">
        <f>FACTORS!$I$2*D25</f>
        <v>0</v>
      </c>
      <c r="F25" s="226">
        <f t="shared" si="11"/>
        <v>0</v>
      </c>
      <c r="G25" s="236">
        <v>0</v>
      </c>
      <c r="H25" s="237">
        <v>0</v>
      </c>
      <c r="I25" s="251">
        <f>FACTORS!C$15*$D25/453.592</f>
        <v>0</v>
      </c>
      <c r="J25" s="227">
        <f>FACTORS!D$15*$D25/453.592</f>
        <v>0</v>
      </c>
      <c r="K25" s="227">
        <f>FACTORS!E$15*$D25/453.592</f>
        <v>0</v>
      </c>
      <c r="L25" s="226">
        <f>FACTORS!F$15*$D25/453.592</f>
        <v>0</v>
      </c>
      <c r="M25" s="227">
        <f>FACTORS!G$15*$D25/453.592</f>
        <v>0</v>
      </c>
      <c r="N25" s="227">
        <f>FACTORS!H$15*$D25/453.592</f>
        <v>0</v>
      </c>
      <c r="O25" s="252">
        <f>IFERROR(FACTORS!I$15*$D25/453.592, "--")</f>
        <v>0</v>
      </c>
      <c r="P25" s="225">
        <f t="shared" si="19"/>
        <v>0</v>
      </c>
      <c r="Q25" s="227">
        <f t="shared" si="12"/>
        <v>0</v>
      </c>
      <c r="R25" s="227">
        <f t="shared" si="12"/>
        <v>0</v>
      </c>
      <c r="S25" s="227">
        <f t="shared" si="12"/>
        <v>0</v>
      </c>
      <c r="T25" s="227">
        <f t="shared" si="12"/>
        <v>0</v>
      </c>
      <c r="U25" s="227">
        <f t="shared" si="13"/>
        <v>0</v>
      </c>
      <c r="V25" s="239">
        <f>IFERROR(IF(O25=0,0,O25*($F25/($E25*24))*$G25*$H25/2000),"--")</f>
        <v>0</v>
      </c>
    </row>
    <row r="26" spans="1:40" ht="12.75" customHeight="1" x14ac:dyDescent="0.25">
      <c r="A26" s="232"/>
      <c r="B26" s="233" t="s">
        <v>195</v>
      </c>
      <c r="C26" s="233"/>
      <c r="D26" s="234">
        <v>0</v>
      </c>
      <c r="E26" s="235">
        <f>FACTORS!$E$2*D26</f>
        <v>0</v>
      </c>
      <c r="F26" s="226">
        <f t="shared" si="11"/>
        <v>0</v>
      </c>
      <c r="G26" s="236">
        <v>0</v>
      </c>
      <c r="H26" s="237">
        <v>0</v>
      </c>
      <c r="I26" s="251">
        <f>FACTORS!$C7*$D26/453.592</f>
        <v>0</v>
      </c>
      <c r="J26" s="227">
        <f>FACTORS!$D7*$D26/453.592</f>
        <v>0</v>
      </c>
      <c r="K26" s="227">
        <f>FACTORS!$E7*$D26/453.592</f>
        <v>0</v>
      </c>
      <c r="L26" s="226">
        <f>FACTORS!$F7*$D26/453.592</f>
        <v>0</v>
      </c>
      <c r="M26" s="259" t="s">
        <v>119</v>
      </c>
      <c r="N26" s="227">
        <f>FACTORS!$H7*$D26/453.592</f>
        <v>0</v>
      </c>
      <c r="O26" s="436" t="s">
        <v>119</v>
      </c>
      <c r="P26" s="225">
        <f t="shared" si="19"/>
        <v>0</v>
      </c>
      <c r="Q26" s="227">
        <f t="shared" si="12"/>
        <v>0</v>
      </c>
      <c r="R26" s="227">
        <f>IF(K26=0,0,K26*($F26/($E26*24))*$G26*$H26/2000)</f>
        <v>0</v>
      </c>
      <c r="S26" s="227">
        <f t="shared" si="12"/>
        <v>0</v>
      </c>
      <c r="T26" s="259" t="s">
        <v>119</v>
      </c>
      <c r="U26" s="227">
        <f t="shared" si="13"/>
        <v>0</v>
      </c>
      <c r="V26" s="437" t="s">
        <v>119</v>
      </c>
    </row>
    <row r="27" spans="1:40" ht="12.75" customHeight="1" x14ac:dyDescent="0.25">
      <c r="A27" s="232"/>
      <c r="B27" s="233" t="s">
        <v>196</v>
      </c>
      <c r="C27" s="233"/>
      <c r="D27" s="234">
        <v>0</v>
      </c>
      <c r="E27" s="235">
        <f>FACTORS!$E$2*D27</f>
        <v>0</v>
      </c>
      <c r="F27" s="226">
        <f t="shared" si="11"/>
        <v>0</v>
      </c>
      <c r="G27" s="236">
        <v>0</v>
      </c>
      <c r="H27" s="237">
        <v>0</v>
      </c>
      <c r="I27" s="251">
        <f>FACTORS!$C8*$D27/453.592</f>
        <v>0</v>
      </c>
      <c r="J27" s="227">
        <f>FACTORS!$D8*$D27/453.592</f>
        <v>0</v>
      </c>
      <c r="K27" s="227">
        <f>FACTORS!$E8*$D27/453.592</f>
        <v>0</v>
      </c>
      <c r="L27" s="226">
        <f>FACTORS!$F8*$D27/453.592</f>
        <v>0</v>
      </c>
      <c r="M27" s="259" t="s">
        <v>119</v>
      </c>
      <c r="N27" s="227">
        <f>FACTORS!$H8*$D27/453.592</f>
        <v>0</v>
      </c>
      <c r="O27" s="436" t="s">
        <v>119</v>
      </c>
      <c r="P27" s="225">
        <f t="shared" si="19"/>
        <v>0</v>
      </c>
      <c r="Q27" s="227">
        <f t="shared" si="12"/>
        <v>0</v>
      </c>
      <c r="R27" s="227">
        <f t="shared" si="12"/>
        <v>0</v>
      </c>
      <c r="S27" s="227">
        <f t="shared" si="12"/>
        <v>0</v>
      </c>
      <c r="T27" s="259" t="s">
        <v>119</v>
      </c>
      <c r="U27" s="227">
        <f t="shared" si="13"/>
        <v>0</v>
      </c>
      <c r="V27" s="437" t="s">
        <v>119</v>
      </c>
    </row>
    <row r="28" spans="1:40" ht="12.75" customHeight="1" x14ac:dyDescent="0.25">
      <c r="A28" s="232"/>
      <c r="B28" s="233" t="s">
        <v>197</v>
      </c>
      <c r="C28" s="233"/>
      <c r="D28" s="234">
        <v>0</v>
      </c>
      <c r="E28" s="235">
        <f>FACTORS!$E$2*D28</f>
        <v>0</v>
      </c>
      <c r="F28" s="226">
        <f t="shared" si="11"/>
        <v>0</v>
      </c>
      <c r="G28" s="236">
        <v>0</v>
      </c>
      <c r="H28" s="237">
        <v>0</v>
      </c>
      <c r="I28" s="251">
        <f>FACTORS!$C9*$D28/453.592</f>
        <v>0</v>
      </c>
      <c r="J28" s="227">
        <f>FACTORS!$D9*$D28/453.592</f>
        <v>0</v>
      </c>
      <c r="K28" s="227">
        <f>FACTORS!$E9*$D28/453.592</f>
        <v>0</v>
      </c>
      <c r="L28" s="226">
        <f>FACTORS!$F9*$D28/453.592</f>
        <v>0</v>
      </c>
      <c r="M28" s="259" t="s">
        <v>119</v>
      </c>
      <c r="N28" s="227">
        <f>FACTORS!$H9*$D28/453.592</f>
        <v>0</v>
      </c>
      <c r="O28" s="436" t="s">
        <v>119</v>
      </c>
      <c r="P28" s="225">
        <f t="shared" si="19"/>
        <v>0</v>
      </c>
      <c r="Q28" s="227">
        <f t="shared" si="12"/>
        <v>0</v>
      </c>
      <c r="R28" s="227">
        <f>IF(K28=0,0,K28*($F28/($E28*24))*$G28*$H28/2000)</f>
        <v>0</v>
      </c>
      <c r="S28" s="227">
        <f t="shared" si="12"/>
        <v>0</v>
      </c>
      <c r="T28" s="259" t="s">
        <v>119</v>
      </c>
      <c r="U28" s="227">
        <f t="shared" si="13"/>
        <v>0</v>
      </c>
      <c r="V28" s="437" t="s">
        <v>119</v>
      </c>
    </row>
    <row r="29" spans="1:40" s="203" customFormat="1" ht="12.5" x14ac:dyDescent="0.25">
      <c r="A29" s="232"/>
      <c r="B29" s="233" t="s">
        <v>34</v>
      </c>
      <c r="C29" s="233"/>
      <c r="D29" s="234">
        <v>0</v>
      </c>
      <c r="E29" s="240"/>
      <c r="F29" s="241"/>
      <c r="G29" s="234">
        <v>0</v>
      </c>
      <c r="H29" s="237">
        <v>0</v>
      </c>
      <c r="I29" s="225">
        <f>FACTORS!$C$13*D29/24</f>
        <v>0</v>
      </c>
      <c r="J29" s="227">
        <f>FACTORS!$D$13*D29/24</f>
        <v>0</v>
      </c>
      <c r="K29" s="227">
        <f>FACTORS!$E$13*D29/24</f>
        <v>0</v>
      </c>
      <c r="L29" s="226">
        <f>FACTORS!$F$13*D29/24</f>
        <v>0</v>
      </c>
      <c r="M29" s="227">
        <f>FACTORS!$G$13*D29/24</f>
        <v>0</v>
      </c>
      <c r="N29" s="227">
        <f>FACTORS!$H$13*D29/24</f>
        <v>0</v>
      </c>
      <c r="O29" s="229">
        <f>FACTORS!I$13*$D29/453.592</f>
        <v>0</v>
      </c>
      <c r="P29" s="251">
        <f>I29*$G29*$H29/2000</f>
        <v>0</v>
      </c>
      <c r="Q29" s="227">
        <f>J29*$G29*$H29/2000</f>
        <v>0</v>
      </c>
      <c r="R29" s="227">
        <f t="shared" ref="R29:V29" si="20">K29*$G29*$H29/2000</f>
        <v>0</v>
      </c>
      <c r="S29" s="227">
        <f t="shared" si="20"/>
        <v>0</v>
      </c>
      <c r="T29" s="227">
        <f t="shared" si="20"/>
        <v>0</v>
      </c>
      <c r="U29" s="227">
        <f t="shared" si="20"/>
        <v>0</v>
      </c>
      <c r="V29" s="239">
        <f t="shared" si="20"/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</row>
    <row r="30" spans="1:40" ht="12.75" customHeight="1" x14ac:dyDescent="0.25">
      <c r="A30" s="250"/>
      <c r="B30" s="233" t="s">
        <v>219</v>
      </c>
      <c r="C30" s="233"/>
      <c r="D30" s="234">
        <v>0</v>
      </c>
      <c r="E30" s="362">
        <f>D30*1000000/1050</f>
        <v>0</v>
      </c>
      <c r="F30" s="226">
        <f t="shared" si="11"/>
        <v>0</v>
      </c>
      <c r="G30" s="236">
        <v>0</v>
      </c>
      <c r="H30" s="237">
        <v>0</v>
      </c>
      <c r="I30" s="225">
        <f>FACTORS!$C$21*$E30/1000000</f>
        <v>0</v>
      </c>
      <c r="J30" s="227">
        <f>FACTORS!$D$21*E30/1000000</f>
        <v>0</v>
      </c>
      <c r="K30" s="227">
        <f>FACTORS!$E$21*E30/1000000</f>
        <v>0</v>
      </c>
      <c r="L30" s="226">
        <f>FACTORS!F$21*$E30/1000000</f>
        <v>0</v>
      </c>
      <c r="M30" s="227">
        <f>FACTORS!G$21*$E30/1000000</f>
        <v>0</v>
      </c>
      <c r="N30" s="227">
        <f>FACTORS!H$21*$E30/1000000</f>
        <v>0</v>
      </c>
      <c r="O30" s="252">
        <f>FACTORS!I$21*$E30/1000000</f>
        <v>0</v>
      </c>
      <c r="P30" s="253">
        <f t="shared" si="19"/>
        <v>0</v>
      </c>
      <c r="Q30" s="254">
        <f t="shared" si="12"/>
        <v>0</v>
      </c>
      <c r="R30" s="254">
        <f t="shared" si="12"/>
        <v>0</v>
      </c>
      <c r="S30" s="254">
        <f t="shared" si="12"/>
        <v>0</v>
      </c>
      <c r="T30" s="254">
        <f t="shared" si="12"/>
        <v>0</v>
      </c>
      <c r="U30" s="254">
        <f t="shared" si="13"/>
        <v>0</v>
      </c>
      <c r="V30" s="255">
        <f t="shared" si="13"/>
        <v>0</v>
      </c>
    </row>
    <row r="31" spans="1:40" ht="12.75" customHeight="1" x14ac:dyDescent="0.25">
      <c r="A31" s="70"/>
      <c r="B31" s="71" t="s">
        <v>71</v>
      </c>
      <c r="C31" s="71"/>
      <c r="D31" s="72" t="s">
        <v>72</v>
      </c>
      <c r="E31" s="72" t="s">
        <v>61</v>
      </c>
      <c r="F31" s="73" t="s">
        <v>73</v>
      </c>
      <c r="G31" s="11"/>
      <c r="H31" s="74"/>
      <c r="I31" s="174"/>
      <c r="J31" s="167"/>
      <c r="K31" s="167"/>
      <c r="L31" s="167"/>
      <c r="M31" s="167"/>
      <c r="N31" s="167"/>
      <c r="O31" s="122"/>
      <c r="P31" s="77"/>
      <c r="Q31" s="60"/>
      <c r="R31" s="60"/>
      <c r="S31" s="60"/>
      <c r="T31" s="60"/>
      <c r="U31" s="60"/>
      <c r="V31" s="112"/>
    </row>
    <row r="32" spans="1:40" ht="12.75" customHeight="1" x14ac:dyDescent="0.25">
      <c r="A32" s="250"/>
      <c r="B32" s="233" t="s">
        <v>147</v>
      </c>
      <c r="C32" s="233"/>
      <c r="D32" s="256"/>
      <c r="E32" s="256"/>
      <c r="F32" s="235">
        <v>0</v>
      </c>
      <c r="G32" s="234">
        <v>1</v>
      </c>
      <c r="H32" s="237">
        <v>1</v>
      </c>
      <c r="I32" s="258" t="s">
        <v>119</v>
      </c>
      <c r="J32" s="259" t="s">
        <v>119</v>
      </c>
      <c r="K32" s="259" t="s">
        <v>119</v>
      </c>
      <c r="L32" s="226">
        <f>S32/G32/H32*2000</f>
        <v>0</v>
      </c>
      <c r="M32" s="259" t="s">
        <v>119</v>
      </c>
      <c r="N32" s="259" t="s">
        <v>119</v>
      </c>
      <c r="O32" s="260" t="s">
        <v>119</v>
      </c>
      <c r="P32" s="261" t="s">
        <v>119</v>
      </c>
      <c r="Q32" s="245" t="str">
        <f t="shared" ref="Q32:V39" si="21">IFERROR(J32*$G32*$H32/2000,"--")</f>
        <v>--</v>
      </c>
      <c r="R32" s="245" t="str">
        <f t="shared" si="21"/>
        <v>--</v>
      </c>
      <c r="S32" s="245">
        <f>IFERROR(F32*FACTORS!$F$28,"--")</f>
        <v>0</v>
      </c>
      <c r="T32" s="245" t="str">
        <f>IFERROR(M32*$G32*$H32/2000,"--")</f>
        <v>--</v>
      </c>
      <c r="U32" s="245" t="str">
        <f t="shared" si="21"/>
        <v>--</v>
      </c>
      <c r="V32" s="248" t="str">
        <f t="shared" si="21"/>
        <v>--</v>
      </c>
    </row>
    <row r="33" spans="1:40" ht="12.75" customHeight="1" x14ac:dyDescent="0.25">
      <c r="A33" s="250"/>
      <c r="B33" s="233" t="s">
        <v>143</v>
      </c>
      <c r="C33" s="233"/>
      <c r="D33" s="262"/>
      <c r="E33" s="235">
        <v>0</v>
      </c>
      <c r="F33" s="263"/>
      <c r="G33" s="234">
        <v>0</v>
      </c>
      <c r="H33" s="237">
        <v>0</v>
      </c>
      <c r="I33" s="251">
        <f>FACTORS!C$22*$E33/1000000</f>
        <v>0</v>
      </c>
      <c r="J33" s="227">
        <f>FACTORS!D$22*$E33/1000000</f>
        <v>0</v>
      </c>
      <c r="K33" s="227">
        <f>FACTORS!E$22*$E33/1000000</f>
        <v>0</v>
      </c>
      <c r="L33" s="226">
        <f>FACTORS!F$22*$E33/1000000</f>
        <v>0</v>
      </c>
      <c r="M33" s="227" t="str">
        <f>IFERROR(FACTORS!G$22*$E33/1000000,"--")</f>
        <v>--</v>
      </c>
      <c r="N33" s="227">
        <f>FACTORS!H$22*$E33/1000000</f>
        <v>0</v>
      </c>
      <c r="O33" s="238" t="str">
        <f>IFERROR(FACTORS!I$22*$E33/1000000, "--")</f>
        <v>--</v>
      </c>
      <c r="P33" s="251">
        <f t="shared" ref="P33:P39" si="22">IFERROR(I33*$G33*$H33/2000,"--")</f>
        <v>0</v>
      </c>
      <c r="Q33" s="227">
        <f t="shared" si="21"/>
        <v>0</v>
      </c>
      <c r="R33" s="227">
        <f t="shared" si="21"/>
        <v>0</v>
      </c>
      <c r="S33" s="227">
        <f t="shared" si="21"/>
        <v>0</v>
      </c>
      <c r="T33" s="227" t="str">
        <f t="shared" si="21"/>
        <v>--</v>
      </c>
      <c r="U33" s="227">
        <f t="shared" si="21"/>
        <v>0</v>
      </c>
      <c r="V33" s="239" t="str">
        <f t="shared" si="21"/>
        <v>--</v>
      </c>
    </row>
    <row r="34" spans="1:40" ht="12.75" customHeight="1" x14ac:dyDescent="0.25">
      <c r="A34" s="250"/>
      <c r="B34" s="233" t="s">
        <v>144</v>
      </c>
      <c r="C34" s="233"/>
      <c r="D34" s="262"/>
      <c r="E34" s="235">
        <v>0</v>
      </c>
      <c r="F34" s="263"/>
      <c r="G34" s="234">
        <v>0</v>
      </c>
      <c r="H34" s="237">
        <v>0</v>
      </c>
      <c r="I34" s="251">
        <f>FACTORS!C23*$E34/1000000</f>
        <v>0</v>
      </c>
      <c r="J34" s="227">
        <f>FACTORS!D23*$E34/1000000</f>
        <v>0</v>
      </c>
      <c r="K34" s="227">
        <f>FACTORS!E23*$E34/1000000</f>
        <v>0</v>
      </c>
      <c r="L34" s="226">
        <f>FACTORS!F23*$E34/1000000</f>
        <v>0</v>
      </c>
      <c r="M34" s="227" t="str">
        <f>IFERROR(FACTORS!G23*$E34/1000000, "--")</f>
        <v>--</v>
      </c>
      <c r="N34" s="227">
        <f>FACTORS!H23*$E34/1000000</f>
        <v>0</v>
      </c>
      <c r="O34" s="252" t="str">
        <f>IFERROR(FACTORS!I23*$E34/1000000, "--")</f>
        <v>--</v>
      </c>
      <c r="P34" s="251">
        <f>IFERROR(I34*$G34*$H34/2000,"--")</f>
        <v>0</v>
      </c>
      <c r="Q34" s="227">
        <f t="shared" si="21"/>
        <v>0</v>
      </c>
      <c r="R34" s="227">
        <f t="shared" si="21"/>
        <v>0</v>
      </c>
      <c r="S34" s="227">
        <f t="shared" si="21"/>
        <v>0</v>
      </c>
      <c r="T34" s="227" t="str">
        <f t="shared" si="21"/>
        <v>--</v>
      </c>
      <c r="U34" s="227">
        <f t="shared" si="21"/>
        <v>0</v>
      </c>
      <c r="V34" s="239" t="str">
        <f t="shared" si="21"/>
        <v>--</v>
      </c>
    </row>
    <row r="35" spans="1:40" ht="12.75" customHeight="1" x14ac:dyDescent="0.25">
      <c r="A35" s="250"/>
      <c r="B35" s="233" t="s">
        <v>145</v>
      </c>
      <c r="C35" s="233"/>
      <c r="D35" s="262"/>
      <c r="E35" s="235">
        <v>0</v>
      </c>
      <c r="F35" s="263"/>
      <c r="G35" s="234">
        <v>0</v>
      </c>
      <c r="H35" s="237">
        <v>0</v>
      </c>
      <c r="I35" s="251">
        <f>FACTORS!C24*$E35/1000000</f>
        <v>0</v>
      </c>
      <c r="J35" s="227">
        <f>FACTORS!D24*$E35/1000000</f>
        <v>0</v>
      </c>
      <c r="K35" s="227">
        <f>FACTORS!E24*$E35/1000000</f>
        <v>0</v>
      </c>
      <c r="L35" s="226">
        <f>FACTORS!F24*$E35/1000000</f>
        <v>0</v>
      </c>
      <c r="M35" s="227" t="str">
        <f>IFERROR(FACTORS!G24*$E35/1000000, "--")</f>
        <v>--</v>
      </c>
      <c r="N35" s="227">
        <f>FACTORS!H24*$E35/1000000</f>
        <v>0</v>
      </c>
      <c r="O35" s="252" t="str">
        <f>IFERROR(FACTORS!I24*$E35/1000000, "--")</f>
        <v>--</v>
      </c>
      <c r="P35" s="251">
        <f t="shared" si="22"/>
        <v>0</v>
      </c>
      <c r="Q35" s="227">
        <f t="shared" si="21"/>
        <v>0</v>
      </c>
      <c r="R35" s="227">
        <f t="shared" si="21"/>
        <v>0</v>
      </c>
      <c r="S35" s="227">
        <f t="shared" si="21"/>
        <v>0</v>
      </c>
      <c r="T35" s="227" t="str">
        <f t="shared" si="21"/>
        <v>--</v>
      </c>
      <c r="U35" s="227">
        <f t="shared" si="21"/>
        <v>0</v>
      </c>
      <c r="V35" s="239" t="str">
        <f t="shared" si="21"/>
        <v>--</v>
      </c>
    </row>
    <row r="36" spans="1:40" ht="12.75" customHeight="1" x14ac:dyDescent="0.25">
      <c r="A36" s="250"/>
      <c r="B36" s="233" t="s">
        <v>146</v>
      </c>
      <c r="C36" s="233"/>
      <c r="D36" s="262"/>
      <c r="E36" s="235">
        <v>0</v>
      </c>
      <c r="F36" s="263"/>
      <c r="G36" s="234">
        <v>0</v>
      </c>
      <c r="H36" s="237">
        <v>0</v>
      </c>
      <c r="I36" s="251">
        <f>FACTORS!C25*$E36/1000000</f>
        <v>0</v>
      </c>
      <c r="J36" s="227">
        <f>FACTORS!D25*$E36/1000000</f>
        <v>0</v>
      </c>
      <c r="K36" s="227">
        <f>FACTORS!E25*$E36/1000000</f>
        <v>0</v>
      </c>
      <c r="L36" s="226">
        <f>FACTORS!F25*$E36/1000000</f>
        <v>0</v>
      </c>
      <c r="M36" s="227" t="str">
        <f>IFERROR(FACTORS!G25*$E36/1000000, "--")</f>
        <v>--</v>
      </c>
      <c r="N36" s="227">
        <f>FACTORS!H25*$E36/1000000</f>
        <v>0</v>
      </c>
      <c r="O36" s="252" t="str">
        <f>IFERROR(FACTORS!I25*$E36/1000000, "--")</f>
        <v>--</v>
      </c>
      <c r="P36" s="251">
        <f>IFERROR(I36*$G36*$H36/2000,"--")</f>
        <v>0</v>
      </c>
      <c r="Q36" s="227">
        <f t="shared" si="21"/>
        <v>0</v>
      </c>
      <c r="R36" s="227">
        <f t="shared" si="21"/>
        <v>0</v>
      </c>
      <c r="S36" s="227">
        <f t="shared" si="21"/>
        <v>0</v>
      </c>
      <c r="T36" s="227" t="str">
        <f t="shared" si="21"/>
        <v>--</v>
      </c>
      <c r="U36" s="227">
        <f t="shared" si="21"/>
        <v>0</v>
      </c>
      <c r="V36" s="239" t="str">
        <f t="shared" si="21"/>
        <v>--</v>
      </c>
    </row>
    <row r="37" spans="1:40" ht="12.75" customHeight="1" x14ac:dyDescent="0.25">
      <c r="A37" s="250"/>
      <c r="B37" s="233" t="s">
        <v>148</v>
      </c>
      <c r="C37" s="233"/>
      <c r="D37" s="262" t="s">
        <v>0</v>
      </c>
      <c r="E37" s="256"/>
      <c r="F37" s="235">
        <v>0</v>
      </c>
      <c r="G37" s="234">
        <v>1</v>
      </c>
      <c r="H37" s="237">
        <v>1</v>
      </c>
      <c r="I37" s="258" t="s">
        <v>119</v>
      </c>
      <c r="J37" s="259" t="s">
        <v>119</v>
      </c>
      <c r="K37" s="259" t="s">
        <v>119</v>
      </c>
      <c r="L37" s="226">
        <f>S37/G37/H37*2000</f>
        <v>0</v>
      </c>
      <c r="M37" s="259" t="s">
        <v>119</v>
      </c>
      <c r="N37" s="259" t="s">
        <v>119</v>
      </c>
      <c r="O37" s="260" t="s">
        <v>119</v>
      </c>
      <c r="P37" s="251" t="str">
        <f t="shared" si="22"/>
        <v>--</v>
      </c>
      <c r="Q37" s="227" t="str">
        <f t="shared" si="21"/>
        <v>--</v>
      </c>
      <c r="R37" s="227" t="str">
        <f t="shared" si="21"/>
        <v>--</v>
      </c>
      <c r="S37" s="227">
        <f>IFERROR(F37*FACTORS!$F$31,"--")</f>
        <v>0</v>
      </c>
      <c r="T37" s="227" t="str">
        <f t="shared" si="21"/>
        <v>--</v>
      </c>
      <c r="U37" s="227" t="str">
        <f t="shared" si="21"/>
        <v>--</v>
      </c>
      <c r="V37" s="239" t="str">
        <f t="shared" si="21"/>
        <v>--</v>
      </c>
    </row>
    <row r="38" spans="1:40" ht="12.75" customHeight="1" x14ac:dyDescent="0.25">
      <c r="A38" s="250"/>
      <c r="B38" s="233" t="s">
        <v>149</v>
      </c>
      <c r="C38" s="233"/>
      <c r="D38" s="262"/>
      <c r="E38" s="262"/>
      <c r="F38" s="361">
        <v>0</v>
      </c>
      <c r="G38" s="234">
        <v>0</v>
      </c>
      <c r="H38" s="237">
        <v>0</v>
      </c>
      <c r="I38" s="258" t="s">
        <v>119</v>
      </c>
      <c r="J38" s="259" t="s">
        <v>119</v>
      </c>
      <c r="K38" s="259" t="s">
        <v>119</v>
      </c>
      <c r="L38" s="226">
        <f>FACTORS!$F$29*F38</f>
        <v>0</v>
      </c>
      <c r="M38" s="259" t="s">
        <v>119</v>
      </c>
      <c r="N38" s="259" t="s">
        <v>119</v>
      </c>
      <c r="O38" s="260" t="s">
        <v>119</v>
      </c>
      <c r="P38" s="251" t="str">
        <f t="shared" si="22"/>
        <v>--</v>
      </c>
      <c r="Q38" s="227" t="str">
        <f t="shared" si="21"/>
        <v>--</v>
      </c>
      <c r="R38" s="227" t="str">
        <f t="shared" si="21"/>
        <v>--</v>
      </c>
      <c r="S38" s="227">
        <f>IFERROR(L38*$G38*$H38/2000,"--")</f>
        <v>0</v>
      </c>
      <c r="T38" s="227" t="str">
        <f t="shared" si="21"/>
        <v>--</v>
      </c>
      <c r="U38" s="227" t="str">
        <f t="shared" si="21"/>
        <v>--</v>
      </c>
      <c r="V38" s="239" t="str">
        <f t="shared" si="21"/>
        <v>--</v>
      </c>
    </row>
    <row r="39" spans="1:40" ht="12.75" customHeight="1" x14ac:dyDescent="0.25">
      <c r="A39" s="250"/>
      <c r="B39" s="272" t="s">
        <v>150</v>
      </c>
      <c r="C39" s="272"/>
      <c r="D39" s="262"/>
      <c r="E39" s="256"/>
      <c r="F39" s="235">
        <v>0</v>
      </c>
      <c r="G39" s="234">
        <v>1</v>
      </c>
      <c r="H39" s="237">
        <v>1</v>
      </c>
      <c r="I39" s="312" t="s">
        <v>119</v>
      </c>
      <c r="J39" s="259" t="s">
        <v>119</v>
      </c>
      <c r="K39" s="259" t="s">
        <v>119</v>
      </c>
      <c r="L39" s="226">
        <f>S39/G39/H39*2000</f>
        <v>0</v>
      </c>
      <c r="M39" s="259" t="s">
        <v>119</v>
      </c>
      <c r="N39" s="259" t="s">
        <v>119</v>
      </c>
      <c r="O39" s="260" t="s">
        <v>119</v>
      </c>
      <c r="P39" s="251" t="str">
        <f t="shared" si="22"/>
        <v>--</v>
      </c>
      <c r="Q39" s="227" t="str">
        <f t="shared" si="21"/>
        <v>--</v>
      </c>
      <c r="R39" s="227" t="str">
        <f t="shared" si="21"/>
        <v>--</v>
      </c>
      <c r="S39" s="227">
        <f>IFERROR(F39*FACTORS!$F$30,"--")</f>
        <v>0</v>
      </c>
      <c r="T39" s="227" t="str">
        <f t="shared" si="21"/>
        <v>--</v>
      </c>
      <c r="U39" s="227" t="str">
        <f t="shared" si="21"/>
        <v>--</v>
      </c>
      <c r="V39" s="239" t="str">
        <f t="shared" si="21"/>
        <v>--</v>
      </c>
    </row>
    <row r="40" spans="1:40" ht="12.75" customHeight="1" x14ac:dyDescent="0.25">
      <c r="A40" s="376"/>
      <c r="B40" s="308" t="s">
        <v>155</v>
      </c>
      <c r="C40" s="309"/>
      <c r="D40" s="310">
        <v>0</v>
      </c>
      <c r="E40" s="307"/>
      <c r="F40" s="307"/>
      <c r="G40" s="310">
        <v>0</v>
      </c>
      <c r="H40" s="311">
        <v>0</v>
      </c>
      <c r="I40" s="225">
        <f>IFERROR((D$40*FACTORS!C33)/$G40*$H40, 0)</f>
        <v>0</v>
      </c>
      <c r="J40" s="227">
        <f>IFERROR((F$40*FACTORS!D33)/$G40*$H40, 0)</f>
        <v>0</v>
      </c>
      <c r="K40" s="227">
        <f>IFERROR((G$40*FACTORS!E33)/$G40*$H40, 0)</f>
        <v>0</v>
      </c>
      <c r="L40" s="238" t="str">
        <f>IFERROR((H$40*FACTORS!F33)/$G40*$H40,"--")</f>
        <v>--</v>
      </c>
      <c r="M40" s="227" t="str">
        <f>IFERROR((I$40*FACTORS!G33)/$G40*$H40, "--")</f>
        <v>--</v>
      </c>
      <c r="N40" s="227">
        <f>IFERROR((#REF!*FACTORS!H33)/$G40*$H40, 0)</f>
        <v>0</v>
      </c>
      <c r="O40" s="252" t="str">
        <f>IFERROR((J$40*FACTORS!I33)/$G40*$H40, "--")</f>
        <v>--</v>
      </c>
      <c r="P40" s="251">
        <f t="shared" ref="P40:V40" si="23">IFERROR((I40*$G40*$H40)/2000, "")</f>
        <v>0</v>
      </c>
      <c r="Q40" s="252">
        <f t="shared" si="23"/>
        <v>0</v>
      </c>
      <c r="R40" s="252">
        <f t="shared" si="23"/>
        <v>0</v>
      </c>
      <c r="S40" s="252" t="str">
        <f t="shared" si="23"/>
        <v/>
      </c>
      <c r="T40" s="252" t="str">
        <f t="shared" si="23"/>
        <v/>
      </c>
      <c r="U40" s="252">
        <f t="shared" si="23"/>
        <v>0</v>
      </c>
      <c r="V40" s="239" t="str">
        <f t="shared" si="23"/>
        <v/>
      </c>
    </row>
    <row r="41" spans="1:40" ht="12.75" customHeight="1" x14ac:dyDescent="0.25">
      <c r="A41" s="264" t="s">
        <v>66</v>
      </c>
      <c r="B41" s="265" t="s">
        <v>36</v>
      </c>
      <c r="C41" s="266"/>
      <c r="D41" s="267">
        <v>0</v>
      </c>
      <c r="E41" s="256"/>
      <c r="F41" s="257"/>
      <c r="G41" s="268">
        <v>0</v>
      </c>
      <c r="H41" s="269">
        <v>0</v>
      </c>
      <c r="I41" s="243">
        <f>FACTORS!$C$27*D41/24</f>
        <v>0</v>
      </c>
      <c r="J41" s="245">
        <f>FACTORS!$D$27*D41/24</f>
        <v>0</v>
      </c>
      <c r="K41" s="245">
        <f>FACTORS!$E$27*D41/24</f>
        <v>0</v>
      </c>
      <c r="L41" s="244">
        <f>FACTORS!$F$27*D41/24</f>
        <v>0</v>
      </c>
      <c r="M41" s="244">
        <f>FACTORS!$G$27*D41/24</f>
        <v>0</v>
      </c>
      <c r="N41" s="245">
        <f>FACTORS!$H$27*D41/24</f>
        <v>0</v>
      </c>
      <c r="O41" s="245">
        <f>FACTORS!$I$27*D41/24</f>
        <v>0</v>
      </c>
      <c r="P41" s="270">
        <f>IFERROR(I41*$G41*$H41/2000, "--")</f>
        <v>0</v>
      </c>
      <c r="Q41" s="245">
        <f t="shared" ref="Q41:V41" si="24">IFERROR(J41*$G41*$H41/2000, "--")</f>
        <v>0</v>
      </c>
      <c r="R41" s="245">
        <f t="shared" si="24"/>
        <v>0</v>
      </c>
      <c r="S41" s="245">
        <f t="shared" si="24"/>
        <v>0</v>
      </c>
      <c r="T41" s="245">
        <f t="shared" si="24"/>
        <v>0</v>
      </c>
      <c r="U41" s="244">
        <f t="shared" si="24"/>
        <v>0</v>
      </c>
      <c r="V41" s="248">
        <f t="shared" si="24"/>
        <v>0</v>
      </c>
    </row>
    <row r="42" spans="1:40" ht="15" customHeight="1" x14ac:dyDescent="0.25">
      <c r="A42" s="271" t="s">
        <v>74</v>
      </c>
      <c r="B42" s="233" t="s">
        <v>143</v>
      </c>
      <c r="C42" s="272"/>
      <c r="D42" s="273"/>
      <c r="E42" s="235">
        <v>0</v>
      </c>
      <c r="F42" s="263" t="s">
        <v>0</v>
      </c>
      <c r="G42" s="234">
        <v>0</v>
      </c>
      <c r="H42" s="237">
        <v>0</v>
      </c>
      <c r="I42" s="251">
        <f>FACTORS!C$22*$E42/1000000</f>
        <v>0</v>
      </c>
      <c r="J42" s="227">
        <f>FACTORS!D$22*$E42/1000000</f>
        <v>0</v>
      </c>
      <c r="K42" s="227">
        <f>FACTORS!E$22*$E42/1000000</f>
        <v>0</v>
      </c>
      <c r="L42" s="226">
        <f>FACTORS!F$22*$E42/1000000</f>
        <v>0</v>
      </c>
      <c r="M42" s="227" t="str">
        <f>IFERROR(FACTORS!G$22*$E42/1000000,"--")</f>
        <v>--</v>
      </c>
      <c r="N42" s="227">
        <f>FACTORS!H$22*$E42/1000000</f>
        <v>0</v>
      </c>
      <c r="O42" s="238" t="str">
        <f>IFERROR(FACTORS!I$22*$E42/1000000, "--")</f>
        <v>--</v>
      </c>
      <c r="P42" s="251">
        <f>IFERROR(I42*$G42*$H42/2000,"--")</f>
        <v>0</v>
      </c>
      <c r="Q42" s="227">
        <f t="shared" ref="Q42:V45" si="25">IFERROR(J42*$G42*$H42/2000,"--")</f>
        <v>0</v>
      </c>
      <c r="R42" s="227">
        <f t="shared" si="25"/>
        <v>0</v>
      </c>
      <c r="S42" s="227">
        <f t="shared" si="25"/>
        <v>0</v>
      </c>
      <c r="T42" s="227" t="str">
        <f t="shared" si="25"/>
        <v>--</v>
      </c>
      <c r="U42" s="227">
        <f t="shared" si="25"/>
        <v>0</v>
      </c>
      <c r="V42" s="239" t="str">
        <f t="shared" si="25"/>
        <v>--</v>
      </c>
    </row>
    <row r="43" spans="1:40" ht="15" customHeight="1" x14ac:dyDescent="0.25">
      <c r="A43" s="271"/>
      <c r="B43" s="233" t="s">
        <v>144</v>
      </c>
      <c r="C43" s="233"/>
      <c r="D43" s="274"/>
      <c r="E43" s="235">
        <v>0</v>
      </c>
      <c r="F43" s="263" t="s">
        <v>0</v>
      </c>
      <c r="G43" s="234">
        <v>0</v>
      </c>
      <c r="H43" s="237">
        <v>0</v>
      </c>
      <c r="I43" s="251">
        <f>FACTORS!C23*$E43/1000000</f>
        <v>0</v>
      </c>
      <c r="J43" s="227">
        <f>FACTORS!D23*$E43/1000000</f>
        <v>0</v>
      </c>
      <c r="K43" s="227">
        <f>FACTORS!E23*$E43/1000000</f>
        <v>0</v>
      </c>
      <c r="L43" s="226">
        <f>FACTORS!F23*$E43/1000000</f>
        <v>0</v>
      </c>
      <c r="M43" s="227" t="str">
        <f>IFERROR(FACTORS!G23*$E43/1000000, "--")</f>
        <v>--</v>
      </c>
      <c r="N43" s="227">
        <f>FACTORS!H23*$E43/1000000</f>
        <v>0</v>
      </c>
      <c r="O43" s="252" t="str">
        <f>IFERROR(FACTORS!I23*$E43/1000000, "--")</f>
        <v>--</v>
      </c>
      <c r="P43" s="251">
        <f>IFERROR(I43*$G43*$H43/2000,"--")</f>
        <v>0</v>
      </c>
      <c r="Q43" s="227">
        <f t="shared" si="25"/>
        <v>0</v>
      </c>
      <c r="R43" s="227">
        <f t="shared" si="25"/>
        <v>0</v>
      </c>
      <c r="S43" s="227">
        <f t="shared" si="25"/>
        <v>0</v>
      </c>
      <c r="T43" s="227" t="str">
        <f t="shared" si="25"/>
        <v>--</v>
      </c>
      <c r="U43" s="227">
        <f t="shared" si="25"/>
        <v>0</v>
      </c>
      <c r="V43" s="239" t="str">
        <f t="shared" si="25"/>
        <v>--</v>
      </c>
    </row>
    <row r="44" spans="1:40" ht="15" customHeight="1" x14ac:dyDescent="0.25">
      <c r="A44" s="271"/>
      <c r="B44" s="233" t="s">
        <v>145</v>
      </c>
      <c r="C44" s="233"/>
      <c r="D44" s="274"/>
      <c r="E44" s="235">
        <v>0</v>
      </c>
      <c r="F44" s="263" t="s">
        <v>0</v>
      </c>
      <c r="G44" s="234">
        <v>0</v>
      </c>
      <c r="H44" s="237">
        <v>0</v>
      </c>
      <c r="I44" s="251">
        <f>FACTORS!C24*$E44/1000000</f>
        <v>0</v>
      </c>
      <c r="J44" s="227">
        <f>FACTORS!D24*$E44/1000000</f>
        <v>0</v>
      </c>
      <c r="K44" s="227">
        <f>FACTORS!E24*$E44/1000000</f>
        <v>0</v>
      </c>
      <c r="L44" s="226">
        <f>FACTORS!F24*$E44/1000000</f>
        <v>0</v>
      </c>
      <c r="M44" s="227" t="str">
        <f>IFERROR(FACTORS!G24*$E44/1000000, "--")</f>
        <v>--</v>
      </c>
      <c r="N44" s="227">
        <f>FACTORS!H24*$E44/1000000</f>
        <v>0</v>
      </c>
      <c r="O44" s="252" t="str">
        <f>IFERROR(FACTORS!I24*$E44/1000000, "--")</f>
        <v>--</v>
      </c>
      <c r="P44" s="251">
        <f>IFERROR(I44*$G44*$H44/2000,"--")</f>
        <v>0</v>
      </c>
      <c r="Q44" s="227">
        <f t="shared" si="25"/>
        <v>0</v>
      </c>
      <c r="R44" s="227">
        <f t="shared" si="25"/>
        <v>0</v>
      </c>
      <c r="S44" s="227">
        <f t="shared" si="25"/>
        <v>0</v>
      </c>
      <c r="T44" s="227" t="str">
        <f t="shared" si="25"/>
        <v>--</v>
      </c>
      <c r="U44" s="227">
        <f t="shared" si="25"/>
        <v>0</v>
      </c>
      <c r="V44" s="239" t="str">
        <f t="shared" si="25"/>
        <v>--</v>
      </c>
    </row>
    <row r="45" spans="1:40" ht="15" customHeight="1" x14ac:dyDescent="0.25">
      <c r="A45" s="271"/>
      <c r="B45" s="233" t="s">
        <v>146</v>
      </c>
      <c r="C45" s="233"/>
      <c r="D45" s="274"/>
      <c r="E45" s="235">
        <v>0</v>
      </c>
      <c r="F45" s="263" t="s">
        <v>0</v>
      </c>
      <c r="G45" s="234">
        <v>0</v>
      </c>
      <c r="H45" s="237">
        <v>0</v>
      </c>
      <c r="I45" s="225">
        <f>FACTORS!C25*$E45/1000000</f>
        <v>0</v>
      </c>
      <c r="J45" s="227">
        <f>FACTORS!D25*$E45/1000000</f>
        <v>0</v>
      </c>
      <c r="K45" s="227">
        <f>FACTORS!E25*$E45/1000000</f>
        <v>0</v>
      </c>
      <c r="L45" s="226">
        <f>FACTORS!F25*$E45/1000000</f>
        <v>0</v>
      </c>
      <c r="M45" s="227" t="str">
        <f>IFERROR(FACTORS!G25*$E45/1000000, "--")</f>
        <v>--</v>
      </c>
      <c r="N45" s="227">
        <f>FACTORS!H25*$E45/1000000</f>
        <v>0</v>
      </c>
      <c r="O45" s="252" t="str">
        <f>IFERROR(FACTORS!I25*$E45/1000000, "--")</f>
        <v>--</v>
      </c>
      <c r="P45" s="251">
        <f>IFERROR(I45*$G45*$H45/2000,"--")</f>
        <v>0</v>
      </c>
      <c r="Q45" s="227">
        <f t="shared" si="25"/>
        <v>0</v>
      </c>
      <c r="R45" s="227">
        <f t="shared" si="25"/>
        <v>0</v>
      </c>
      <c r="S45" s="227">
        <f t="shared" si="25"/>
        <v>0</v>
      </c>
      <c r="T45" s="227" t="str">
        <f t="shared" si="25"/>
        <v>--</v>
      </c>
      <c r="U45" s="227">
        <f t="shared" si="25"/>
        <v>0</v>
      </c>
      <c r="V45" s="239" t="str">
        <f t="shared" si="25"/>
        <v>--</v>
      </c>
    </row>
    <row r="46" spans="1:40" ht="24.75" customHeight="1" x14ac:dyDescent="0.25">
      <c r="A46" s="428" t="s">
        <v>215</v>
      </c>
      <c r="B46" s="430" t="s">
        <v>184</v>
      </c>
      <c r="C46" s="173"/>
      <c r="D46" s="424" t="s">
        <v>111</v>
      </c>
      <c r="E46" s="76"/>
      <c r="F46" s="76"/>
      <c r="G46" s="188" t="s">
        <v>65</v>
      </c>
      <c r="H46" s="425" t="s">
        <v>81</v>
      </c>
      <c r="I46" s="426"/>
      <c r="J46" s="372"/>
      <c r="K46" s="372"/>
      <c r="L46" s="123"/>
      <c r="M46" s="372"/>
      <c r="N46" s="372"/>
      <c r="O46" s="427"/>
      <c r="P46" s="59"/>
      <c r="Q46" s="60"/>
      <c r="R46" s="60"/>
      <c r="S46" s="60"/>
      <c r="T46" s="60"/>
      <c r="U46" s="60"/>
      <c r="V46" s="112"/>
    </row>
    <row r="47" spans="1:40" s="203" customFormat="1" ht="12.75" customHeight="1" x14ac:dyDescent="0.25">
      <c r="A47" s="376"/>
      <c r="B47" s="308" t="s">
        <v>133</v>
      </c>
      <c r="C47" s="309"/>
      <c r="D47" s="310">
        <v>0</v>
      </c>
      <c r="E47" s="307"/>
      <c r="F47" s="307"/>
      <c r="G47" s="310">
        <v>0</v>
      </c>
      <c r="H47" s="377">
        <v>0</v>
      </c>
      <c r="I47" s="253">
        <f>FACTORS!$C$41*D47/453.592*0.85</f>
        <v>0</v>
      </c>
      <c r="J47" s="254">
        <f>FACTORS!$D$41*D47/453.592*0.85</f>
        <v>0</v>
      </c>
      <c r="K47" s="254">
        <f>FACTORS!$E$41*D47/453.592*0.85</f>
        <v>0</v>
      </c>
      <c r="L47" s="378">
        <f>FACTORS!F$41*$D47/453.592*0.85</f>
        <v>0</v>
      </c>
      <c r="M47" s="433" t="s">
        <v>119</v>
      </c>
      <c r="N47" s="254">
        <f>FACTORS!H$41*$D47/453.592*0.85</f>
        <v>0</v>
      </c>
      <c r="O47" s="423">
        <f>FACTORS!I$41*$D47/453.592*0.85</f>
        <v>0</v>
      </c>
      <c r="P47" s="380">
        <f t="shared" ref="P47:S47" si="26">IFERROR((I47*$G47*$H47)/2000, "")</f>
        <v>0</v>
      </c>
      <c r="Q47" s="379">
        <f t="shared" si="26"/>
        <v>0</v>
      </c>
      <c r="R47" s="379">
        <f t="shared" si="26"/>
        <v>0</v>
      </c>
      <c r="S47" s="379">
        <f t="shared" si="26"/>
        <v>0</v>
      </c>
      <c r="T47" s="379" t="str">
        <f>IFERROR((M47*$G47*$H47)/2000, "--")</f>
        <v>--</v>
      </c>
      <c r="U47" s="379">
        <f t="shared" ref="U47:V47" si="27">IFERROR((N47*$G47*$H47)/2000, "")</f>
        <v>0</v>
      </c>
      <c r="V47" s="255">
        <f t="shared" si="27"/>
        <v>0</v>
      </c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0"/>
    </row>
    <row r="48" spans="1:40" s="286" customFormat="1" ht="12.75" customHeight="1" x14ac:dyDescent="0.25">
      <c r="A48" s="282">
        <f>EMISSIONS6!A48+1</f>
        <v>2026</v>
      </c>
      <c r="B48" s="283" t="s">
        <v>136</v>
      </c>
      <c r="C48" s="421"/>
      <c r="D48" s="275"/>
      <c r="E48" s="275"/>
      <c r="F48" s="284"/>
      <c r="G48" s="275"/>
      <c r="H48" s="285"/>
      <c r="I48" s="287">
        <f t="shared" ref="I48:V48" si="28">SUM(I7:I47)</f>
        <v>0</v>
      </c>
      <c r="J48" s="287">
        <f t="shared" si="28"/>
        <v>0</v>
      </c>
      <c r="K48" s="287">
        <f t="shared" si="28"/>
        <v>0</v>
      </c>
      <c r="L48" s="287">
        <f t="shared" si="28"/>
        <v>0</v>
      </c>
      <c r="M48" s="287">
        <f t="shared" si="28"/>
        <v>0</v>
      </c>
      <c r="N48" s="287">
        <f t="shared" si="28"/>
        <v>0</v>
      </c>
      <c r="O48" s="287">
        <f t="shared" si="28"/>
        <v>0</v>
      </c>
      <c r="P48" s="422">
        <f t="shared" si="28"/>
        <v>0</v>
      </c>
      <c r="Q48" s="287">
        <f t="shared" si="28"/>
        <v>0</v>
      </c>
      <c r="R48" s="287">
        <f t="shared" si="28"/>
        <v>0</v>
      </c>
      <c r="S48" s="287">
        <f t="shared" si="28"/>
        <v>0</v>
      </c>
      <c r="T48" s="287">
        <f t="shared" si="28"/>
        <v>0</v>
      </c>
      <c r="U48" s="287">
        <f t="shared" si="28"/>
        <v>0</v>
      </c>
      <c r="V48" s="297">
        <f t="shared" si="28"/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</row>
    <row r="49" spans="1:40" ht="26.15" customHeight="1" x14ac:dyDescent="0.3">
      <c r="A49" s="319" t="s">
        <v>75</v>
      </c>
      <c r="B49" s="78" t="s">
        <v>76</v>
      </c>
      <c r="C49" s="78"/>
      <c r="D49" s="72"/>
      <c r="E49" s="72"/>
      <c r="F49" s="73"/>
      <c r="G49" s="72"/>
      <c r="H49" s="121"/>
      <c r="I49" s="326"/>
      <c r="J49" s="325"/>
      <c r="K49" s="325"/>
      <c r="L49" s="325"/>
      <c r="M49" s="325"/>
      <c r="N49" s="325"/>
      <c r="O49" s="122"/>
      <c r="P49" s="330">
        <f>33.3*$B$50</f>
        <v>0</v>
      </c>
      <c r="Q49" s="330">
        <f>33.3*$B$50</f>
        <v>0</v>
      </c>
      <c r="R49" s="330">
        <f>33.3*$B$50</f>
        <v>0</v>
      </c>
      <c r="S49" s="330">
        <f>33.3*$B$50</f>
        <v>0</v>
      </c>
      <c r="T49" s="330"/>
      <c r="U49" s="330">
        <f>3400*$B$50^(2/3)</f>
        <v>0</v>
      </c>
      <c r="V49" s="331"/>
    </row>
    <row r="50" spans="1:40" s="315" customFormat="1" ht="12.75" customHeight="1" x14ac:dyDescent="0.25">
      <c r="A50" s="416"/>
      <c r="B50" s="146">
        <f>EMISSIONS1!B50</f>
        <v>0</v>
      </c>
      <c r="C50" s="146"/>
      <c r="D50" s="11"/>
      <c r="E50" s="11"/>
      <c r="F50" s="145"/>
      <c r="G50" s="11"/>
      <c r="H50" s="74"/>
      <c r="I50" s="327"/>
      <c r="J50" s="167"/>
      <c r="K50" s="167"/>
      <c r="L50" s="167"/>
      <c r="M50" s="167"/>
      <c r="N50" s="167"/>
      <c r="O50" s="417"/>
      <c r="P50" s="418"/>
      <c r="Q50" s="419"/>
      <c r="R50" s="419"/>
      <c r="S50" s="419"/>
      <c r="T50" s="419"/>
      <c r="U50" s="419"/>
      <c r="V50" s="420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</row>
    <row r="51" spans="1:40" s="203" customFormat="1" ht="12.75" customHeight="1" x14ac:dyDescent="0.25">
      <c r="A51" s="193" t="s">
        <v>66</v>
      </c>
      <c r="B51" s="194" t="s">
        <v>127</v>
      </c>
      <c r="C51" s="194"/>
      <c r="D51" s="195">
        <v>0</v>
      </c>
      <c r="E51" s="196">
        <f>FACTORS!$G$2*D51</f>
        <v>0</v>
      </c>
      <c r="F51" s="197">
        <f t="shared" ref="F51:F61" si="29">E51*24</f>
        <v>0</v>
      </c>
      <c r="G51" s="198">
        <v>0</v>
      </c>
      <c r="H51" s="199">
        <v>0</v>
      </c>
      <c r="I51" s="204">
        <f>FACTORS!$C$17*D51/453.592*0.85</f>
        <v>0</v>
      </c>
      <c r="J51" s="201">
        <f>FACTORS!$D$17*D51/453.592*0.85</f>
        <v>0</v>
      </c>
      <c r="K51" s="201">
        <f>FACTORS!$E$17*D51/453.592*0.85</f>
        <v>0</v>
      </c>
      <c r="L51" s="197">
        <f>FACTORS!F$17*$D51/453.592*0.85</f>
        <v>0</v>
      </c>
      <c r="M51" s="201">
        <f>FACTORS!G$17*$D51/453.592*0.85</f>
        <v>0</v>
      </c>
      <c r="N51" s="201">
        <f>FACTORS!H$17*$D51/453.592*0.85</f>
        <v>0</v>
      </c>
      <c r="O51" s="212">
        <f>FACTORS!I$17*$D51/453.592*0.85</f>
        <v>0</v>
      </c>
      <c r="P51" s="200">
        <f t="shared" ref="P51:S61" si="30">IF(I51=0,0,I51*($F51/($E51*24))*$G51*$H51/2000)</f>
        <v>0</v>
      </c>
      <c r="Q51" s="201">
        <f t="shared" si="30"/>
        <v>0</v>
      </c>
      <c r="R51" s="201">
        <f t="shared" si="30"/>
        <v>0</v>
      </c>
      <c r="S51" s="201">
        <f t="shared" si="30"/>
        <v>0</v>
      </c>
      <c r="T51" s="201">
        <f t="shared" ref="T51:T61" si="31">IFERROR(IF(M51=0,0,M51*($F51/($E51*24))*$G51*$H51/2000),"--")</f>
        <v>0</v>
      </c>
      <c r="U51" s="201">
        <f t="shared" ref="U51:U61" si="32">IF(N51=0,0,N51*($F51/($E51*24))*$G51*$H51/2000)</f>
        <v>0</v>
      </c>
      <c r="V51" s="202">
        <f t="shared" ref="V51:V61" si="33">IFERROR(IF(O51=0,0,O51*($F51/($E51*24))*$G51*$H51/2000),"--")</f>
        <v>0</v>
      </c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</row>
    <row r="52" spans="1:40" s="203" customFormat="1" ht="12.5" x14ac:dyDescent="0.25">
      <c r="A52" s="193"/>
      <c r="B52" s="194" t="s">
        <v>128</v>
      </c>
      <c r="C52" s="194"/>
      <c r="D52" s="195">
        <v>0</v>
      </c>
      <c r="E52" s="196">
        <f>FACTORS!$G$2*D52</f>
        <v>0</v>
      </c>
      <c r="F52" s="197">
        <f t="shared" si="29"/>
        <v>0</v>
      </c>
      <c r="G52" s="195">
        <v>0</v>
      </c>
      <c r="H52" s="199">
        <v>0</v>
      </c>
      <c r="I52" s="204">
        <f>FACTORS!$C$17*D52/453.592*0.85</f>
        <v>0</v>
      </c>
      <c r="J52" s="201">
        <f>FACTORS!$D$17*D52/453.592*0.85</f>
        <v>0</v>
      </c>
      <c r="K52" s="201">
        <f>FACTORS!$E$17*D52/453.592*0.85</f>
        <v>0</v>
      </c>
      <c r="L52" s="197">
        <f>FACTORS!F$17*$D52/453.592*0.85</f>
        <v>0</v>
      </c>
      <c r="M52" s="201">
        <f>FACTORS!G$17*$D52/453.592*0.85</f>
        <v>0</v>
      </c>
      <c r="N52" s="201">
        <f>FACTORS!H$17*$D52/453.592*0.85</f>
        <v>0</v>
      </c>
      <c r="O52" s="212">
        <f>FACTORS!I$17*$D52/453.592*0.85</f>
        <v>0</v>
      </c>
      <c r="P52" s="200">
        <f t="shared" si="30"/>
        <v>0</v>
      </c>
      <c r="Q52" s="201">
        <f t="shared" si="30"/>
        <v>0</v>
      </c>
      <c r="R52" s="201">
        <f t="shared" si="30"/>
        <v>0</v>
      </c>
      <c r="S52" s="201">
        <f t="shared" si="30"/>
        <v>0</v>
      </c>
      <c r="T52" s="201">
        <f t="shared" si="31"/>
        <v>0</v>
      </c>
      <c r="U52" s="201">
        <f t="shared" si="32"/>
        <v>0</v>
      </c>
      <c r="V52" s="202">
        <f t="shared" si="33"/>
        <v>0</v>
      </c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</row>
    <row r="53" spans="1:40" s="203" customFormat="1" ht="12.5" x14ac:dyDescent="0.25">
      <c r="A53" s="193"/>
      <c r="B53" s="194" t="s">
        <v>129</v>
      </c>
      <c r="C53" s="194"/>
      <c r="D53" s="195">
        <v>0</v>
      </c>
      <c r="E53" s="196">
        <f>FACTORS!$G$2*D53</f>
        <v>0</v>
      </c>
      <c r="F53" s="197">
        <f t="shared" si="29"/>
        <v>0</v>
      </c>
      <c r="G53" s="195">
        <v>0</v>
      </c>
      <c r="H53" s="199">
        <v>0</v>
      </c>
      <c r="I53" s="204">
        <f>FACTORS!$C$17*D53/453.592*0.85</f>
        <v>0</v>
      </c>
      <c r="J53" s="201">
        <f>FACTORS!$D$17*D53/453.592*0.85</f>
        <v>0</v>
      </c>
      <c r="K53" s="201">
        <f>FACTORS!$E$17*D53/453.592*0.85</f>
        <v>0</v>
      </c>
      <c r="L53" s="197">
        <f>FACTORS!F$17*$D53/453.592*0.85</f>
        <v>0</v>
      </c>
      <c r="M53" s="201">
        <f>FACTORS!G$17*$D53/453.592*0.85</f>
        <v>0</v>
      </c>
      <c r="N53" s="201">
        <f>FACTORS!H$17*$D53/453.592*0.85</f>
        <v>0</v>
      </c>
      <c r="O53" s="212">
        <f>FACTORS!I$17*$D53/453.592*0.85</f>
        <v>0</v>
      </c>
      <c r="P53" s="200">
        <f t="shared" si="30"/>
        <v>0</v>
      </c>
      <c r="Q53" s="201">
        <f t="shared" si="30"/>
        <v>0</v>
      </c>
      <c r="R53" s="201">
        <f t="shared" si="30"/>
        <v>0</v>
      </c>
      <c r="S53" s="201">
        <f t="shared" si="30"/>
        <v>0</v>
      </c>
      <c r="T53" s="201">
        <f t="shared" si="31"/>
        <v>0</v>
      </c>
      <c r="U53" s="201">
        <f t="shared" si="32"/>
        <v>0</v>
      </c>
      <c r="V53" s="202">
        <f t="shared" si="33"/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</row>
    <row r="54" spans="1:40" s="203" customFormat="1" ht="12.75" customHeight="1" x14ac:dyDescent="0.25">
      <c r="A54" s="384" t="s">
        <v>67</v>
      </c>
      <c r="B54" s="385" t="s">
        <v>212</v>
      </c>
      <c r="C54" s="385"/>
      <c r="D54" s="386">
        <v>0</v>
      </c>
      <c r="E54" s="387">
        <f>FACTORS!$G$2*D54</f>
        <v>0</v>
      </c>
      <c r="F54" s="388">
        <f t="shared" si="29"/>
        <v>0</v>
      </c>
      <c r="G54" s="389">
        <v>0</v>
      </c>
      <c r="H54" s="390">
        <v>0</v>
      </c>
      <c r="I54" s="391">
        <f>FACTORS!$C$17*D54/453.592*0.85</f>
        <v>0</v>
      </c>
      <c r="J54" s="392">
        <f>FACTORS!$D$17*D54/453.592*0.85</f>
        <v>0</v>
      </c>
      <c r="K54" s="392">
        <f>FACTORS!$E$17*D54/453.592*0.85</f>
        <v>0</v>
      </c>
      <c r="L54" s="388">
        <f>FACTORS!F$17*$D54/453.592*0.85</f>
        <v>0</v>
      </c>
      <c r="M54" s="392">
        <f>FACTORS!G$17*$D54/453.592*0.85</f>
        <v>0</v>
      </c>
      <c r="N54" s="392">
        <f>FACTORS!H$17*$D54/453.592*0.85</f>
        <v>0</v>
      </c>
      <c r="O54" s="393">
        <f>FACTORS!I$17*$D54/453.592*0.85</f>
        <v>0</v>
      </c>
      <c r="P54" s="394">
        <f t="shared" si="30"/>
        <v>0</v>
      </c>
      <c r="Q54" s="392">
        <f t="shared" si="30"/>
        <v>0</v>
      </c>
      <c r="R54" s="392">
        <f t="shared" si="30"/>
        <v>0</v>
      </c>
      <c r="S54" s="392">
        <f t="shared" si="30"/>
        <v>0</v>
      </c>
      <c r="T54" s="392">
        <f t="shared" si="31"/>
        <v>0</v>
      </c>
      <c r="U54" s="392">
        <f t="shared" si="32"/>
        <v>0</v>
      </c>
      <c r="V54" s="370">
        <f t="shared" si="33"/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1:40" s="203" customFormat="1" ht="12.75" customHeight="1" x14ac:dyDescent="0.25">
      <c r="A55" s="193" t="s">
        <v>68</v>
      </c>
      <c r="B55" s="194" t="s">
        <v>213</v>
      </c>
      <c r="C55" s="194"/>
      <c r="D55" s="195">
        <v>0</v>
      </c>
      <c r="E55" s="196">
        <f>FACTORS!$G$2*D55</f>
        <v>0</v>
      </c>
      <c r="F55" s="197">
        <f t="shared" si="29"/>
        <v>0</v>
      </c>
      <c r="G55" s="198">
        <v>0</v>
      </c>
      <c r="H55" s="199">
        <v>0</v>
      </c>
      <c r="I55" s="204">
        <f>FACTORS!$C$17*D55/453.592*0.85</f>
        <v>0</v>
      </c>
      <c r="J55" s="201">
        <f>FACTORS!$D$17*D55/453.592*0.85</f>
        <v>0</v>
      </c>
      <c r="K55" s="201">
        <f>FACTORS!$E$17*D55/453.592*0.85</f>
        <v>0</v>
      </c>
      <c r="L55" s="197">
        <f>FACTORS!F$17*$D55/453.592*0.85</f>
        <v>0</v>
      </c>
      <c r="M55" s="201">
        <f>FACTORS!G$17*$D55/453.592*0.85</f>
        <v>0</v>
      </c>
      <c r="N55" s="201">
        <f>FACTORS!H$17*$D55/453.592*0.85</f>
        <v>0</v>
      </c>
      <c r="O55" s="212">
        <f>FACTORS!I$17*$D55/453.592*0.85</f>
        <v>0</v>
      </c>
      <c r="P55" s="382">
        <f t="shared" si="30"/>
        <v>0</v>
      </c>
      <c r="Q55" s="201">
        <f t="shared" si="30"/>
        <v>0</v>
      </c>
      <c r="R55" s="201">
        <f t="shared" si="30"/>
        <v>0</v>
      </c>
      <c r="S55" s="201">
        <f t="shared" si="30"/>
        <v>0</v>
      </c>
      <c r="T55" s="201">
        <f t="shared" si="31"/>
        <v>0</v>
      </c>
      <c r="U55" s="201">
        <f t="shared" si="32"/>
        <v>0</v>
      </c>
      <c r="V55" s="202">
        <f t="shared" si="33"/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</row>
    <row r="56" spans="1:40" s="203" customFormat="1" ht="12.75" customHeight="1" x14ac:dyDescent="0.25">
      <c r="A56" s="193"/>
      <c r="B56" s="194" t="s">
        <v>130</v>
      </c>
      <c r="C56" s="194"/>
      <c r="D56" s="195">
        <v>0</v>
      </c>
      <c r="E56" s="196">
        <f>FACTORS!$G$2*D56</f>
        <v>0</v>
      </c>
      <c r="F56" s="197">
        <f t="shared" si="29"/>
        <v>0</v>
      </c>
      <c r="G56" s="198">
        <v>0</v>
      </c>
      <c r="H56" s="199">
        <v>0</v>
      </c>
      <c r="I56" s="204">
        <f>FACTORS!$C$17*D56/453.592*0.85</f>
        <v>0</v>
      </c>
      <c r="J56" s="201">
        <f>FACTORS!$D$17*D56/453.592*0.85</f>
        <v>0</v>
      </c>
      <c r="K56" s="201">
        <f>FACTORS!$E$17*D56/453.592*0.85</f>
        <v>0</v>
      </c>
      <c r="L56" s="197">
        <f>FACTORS!F$17*$D56/453.592*0.85</f>
        <v>0</v>
      </c>
      <c r="M56" s="201">
        <f>FACTORS!G$17*$D56/453.592*0.85</f>
        <v>0</v>
      </c>
      <c r="N56" s="201">
        <f>FACTORS!H$17*$D56/453.592*0.85</f>
        <v>0</v>
      </c>
      <c r="O56" s="212">
        <f>FACTORS!I$17*$D56/453.592*0.85</f>
        <v>0</v>
      </c>
      <c r="P56" s="382">
        <f t="shared" si="30"/>
        <v>0</v>
      </c>
      <c r="Q56" s="201">
        <f t="shared" si="30"/>
        <v>0</v>
      </c>
      <c r="R56" s="201">
        <f t="shared" si="30"/>
        <v>0</v>
      </c>
      <c r="S56" s="201">
        <f t="shared" si="30"/>
        <v>0</v>
      </c>
      <c r="T56" s="201">
        <f t="shared" si="31"/>
        <v>0</v>
      </c>
      <c r="U56" s="201">
        <f t="shared" si="32"/>
        <v>0</v>
      </c>
      <c r="V56" s="202">
        <f t="shared" si="33"/>
        <v>0</v>
      </c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</row>
    <row r="57" spans="1:40" s="203" customFormat="1" ht="12.5" x14ac:dyDescent="0.25">
      <c r="A57" s="395"/>
      <c r="B57" s="313" t="s">
        <v>128</v>
      </c>
      <c r="C57" s="313"/>
      <c r="D57" s="205">
        <v>0</v>
      </c>
      <c r="E57" s="396">
        <f>FACTORS!$G$2*D57</f>
        <v>0</v>
      </c>
      <c r="F57" s="208">
        <f t="shared" si="29"/>
        <v>0</v>
      </c>
      <c r="G57" s="205">
        <v>0</v>
      </c>
      <c r="H57" s="206">
        <v>0</v>
      </c>
      <c r="I57" s="207">
        <f>FACTORS!$C$17*D57/453.592*0.85</f>
        <v>0</v>
      </c>
      <c r="J57" s="217">
        <f>FACTORS!$D$17*D57/453.592*0.85</f>
        <v>0</v>
      </c>
      <c r="K57" s="217">
        <f>FACTORS!$E$17*D57/453.592*0.85</f>
        <v>0</v>
      </c>
      <c r="L57" s="208">
        <f>FACTORS!F$17*$D57/453.592*0.85</f>
        <v>0</v>
      </c>
      <c r="M57" s="217">
        <f>FACTORS!G$17*$D57/453.592*0.85</f>
        <v>0</v>
      </c>
      <c r="N57" s="217">
        <f>FACTORS!H$17*$D57/453.592*0.85</f>
        <v>0</v>
      </c>
      <c r="O57" s="218">
        <f>FACTORS!I$17*$D57/453.592*0.85</f>
        <v>0</v>
      </c>
      <c r="P57" s="397">
        <f t="shared" si="30"/>
        <v>0</v>
      </c>
      <c r="Q57" s="217">
        <f t="shared" si="30"/>
        <v>0</v>
      </c>
      <c r="R57" s="217">
        <f t="shared" si="30"/>
        <v>0</v>
      </c>
      <c r="S57" s="217">
        <f t="shared" si="30"/>
        <v>0</v>
      </c>
      <c r="T57" s="217">
        <f t="shared" si="31"/>
        <v>0</v>
      </c>
      <c r="U57" s="217">
        <f t="shared" si="32"/>
        <v>0</v>
      </c>
      <c r="V57" s="211">
        <f t="shared" si="33"/>
        <v>0</v>
      </c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</row>
    <row r="58" spans="1:40" s="203" customFormat="1" ht="12.75" customHeight="1" x14ac:dyDescent="0.25">
      <c r="A58" s="193" t="s">
        <v>69</v>
      </c>
      <c r="B58" s="194" t="s">
        <v>131</v>
      </c>
      <c r="C58" s="194"/>
      <c r="D58" s="195">
        <v>0</v>
      </c>
      <c r="E58" s="196">
        <f>FACTORS!$G$2*D58</f>
        <v>0</v>
      </c>
      <c r="F58" s="197">
        <f t="shared" si="29"/>
        <v>0</v>
      </c>
      <c r="G58" s="198">
        <v>0</v>
      </c>
      <c r="H58" s="199">
        <v>0</v>
      </c>
      <c r="I58" s="204">
        <f>FACTORS!$C$17*D58/453.592*0.85</f>
        <v>0</v>
      </c>
      <c r="J58" s="201">
        <f>FACTORS!$D$17*D58/453.592*0.85</f>
        <v>0</v>
      </c>
      <c r="K58" s="201">
        <f>FACTORS!$E$17*D58/453.592*0.85</f>
        <v>0</v>
      </c>
      <c r="L58" s="197">
        <f>FACTORS!F$17*$D58/453.592*0.85</f>
        <v>0</v>
      </c>
      <c r="M58" s="201">
        <f>FACTORS!G$17*$D58/453.592*0.85</f>
        <v>0</v>
      </c>
      <c r="N58" s="201">
        <f>FACTORS!H$17*$D58/453.592*0.85</f>
        <v>0</v>
      </c>
      <c r="O58" s="212">
        <f>FACTORS!I$17*$D58/453.592*0.85</f>
        <v>0</v>
      </c>
      <c r="P58" s="200">
        <f t="shared" si="30"/>
        <v>0</v>
      </c>
      <c r="Q58" s="201">
        <f t="shared" si="30"/>
        <v>0</v>
      </c>
      <c r="R58" s="201">
        <f t="shared" si="30"/>
        <v>0</v>
      </c>
      <c r="S58" s="201">
        <f t="shared" si="30"/>
        <v>0</v>
      </c>
      <c r="T58" s="201">
        <f t="shared" si="31"/>
        <v>0</v>
      </c>
      <c r="U58" s="201">
        <f t="shared" si="32"/>
        <v>0</v>
      </c>
      <c r="V58" s="202">
        <f t="shared" si="33"/>
        <v>0</v>
      </c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</row>
    <row r="59" spans="1:40" s="203" customFormat="1" ht="12.75" customHeight="1" x14ac:dyDescent="0.25">
      <c r="A59" s="193" t="s">
        <v>68</v>
      </c>
      <c r="B59" s="194" t="s">
        <v>130</v>
      </c>
      <c r="C59" s="194"/>
      <c r="D59" s="195">
        <v>0</v>
      </c>
      <c r="E59" s="196">
        <f>FACTORS!$G$2*D59</f>
        <v>0</v>
      </c>
      <c r="F59" s="197">
        <f t="shared" si="29"/>
        <v>0</v>
      </c>
      <c r="G59" s="198">
        <v>0</v>
      </c>
      <c r="H59" s="199">
        <v>0</v>
      </c>
      <c r="I59" s="204">
        <f>FACTORS!$C$17*D59/453.592*0.85</f>
        <v>0</v>
      </c>
      <c r="J59" s="201">
        <f>FACTORS!$D$17*D59/453.592*0.85</f>
        <v>0</v>
      </c>
      <c r="K59" s="201">
        <f>FACTORS!$E$17*D59/453.592*0.85</f>
        <v>0</v>
      </c>
      <c r="L59" s="197">
        <f>FACTORS!F$17*$D59/453.592*0.85</f>
        <v>0</v>
      </c>
      <c r="M59" s="201">
        <f>FACTORS!G$17*$D59/453.592*0.85</f>
        <v>0</v>
      </c>
      <c r="N59" s="201">
        <f>FACTORS!H$17*$D59/453.592*0.85</f>
        <v>0</v>
      </c>
      <c r="O59" s="212">
        <f>FACTORS!I$17*$D59/453.592*0.85</f>
        <v>0</v>
      </c>
      <c r="P59" s="200">
        <f t="shared" si="30"/>
        <v>0</v>
      </c>
      <c r="Q59" s="201">
        <f t="shared" si="30"/>
        <v>0</v>
      </c>
      <c r="R59" s="201">
        <f t="shared" si="30"/>
        <v>0</v>
      </c>
      <c r="S59" s="201">
        <f t="shared" si="30"/>
        <v>0</v>
      </c>
      <c r="T59" s="201">
        <f t="shared" si="31"/>
        <v>0</v>
      </c>
      <c r="U59" s="201">
        <f t="shared" si="32"/>
        <v>0</v>
      </c>
      <c r="V59" s="202">
        <f t="shared" si="33"/>
        <v>0</v>
      </c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</row>
    <row r="60" spans="1:40" s="203" customFormat="1" ht="12.5" x14ac:dyDescent="0.25">
      <c r="A60" s="193"/>
      <c r="B60" s="194" t="s">
        <v>128</v>
      </c>
      <c r="C60" s="194"/>
      <c r="D60" s="195">
        <v>0</v>
      </c>
      <c r="E60" s="196">
        <f>FACTORS!$G$2*D60</f>
        <v>0</v>
      </c>
      <c r="F60" s="197">
        <f t="shared" si="29"/>
        <v>0</v>
      </c>
      <c r="G60" s="195">
        <v>0</v>
      </c>
      <c r="H60" s="199">
        <v>0</v>
      </c>
      <c r="I60" s="204">
        <f>FACTORS!$C$17*D60/453.592*0.85</f>
        <v>0</v>
      </c>
      <c r="J60" s="201">
        <f>FACTORS!$D$17*D60/453.592*0.85</f>
        <v>0</v>
      </c>
      <c r="K60" s="201">
        <f>FACTORS!$E$17*D60/453.592*0.85</f>
        <v>0</v>
      </c>
      <c r="L60" s="197">
        <f>FACTORS!F$17*$D60/453.592*0.85</f>
        <v>0</v>
      </c>
      <c r="M60" s="201">
        <f>FACTORS!G$17*$D60/453.592*0.85</f>
        <v>0</v>
      </c>
      <c r="N60" s="201">
        <f>FACTORS!H$17*$D60/453.592*0.85</f>
        <v>0</v>
      </c>
      <c r="O60" s="212">
        <f>FACTORS!I$17*$D60/453.592*0.85</f>
        <v>0</v>
      </c>
      <c r="P60" s="200">
        <f t="shared" si="30"/>
        <v>0</v>
      </c>
      <c r="Q60" s="201">
        <f t="shared" si="30"/>
        <v>0</v>
      </c>
      <c r="R60" s="201">
        <f t="shared" si="30"/>
        <v>0</v>
      </c>
      <c r="S60" s="201">
        <f t="shared" si="30"/>
        <v>0</v>
      </c>
      <c r="T60" s="201">
        <f t="shared" si="31"/>
        <v>0</v>
      </c>
      <c r="U60" s="201">
        <f t="shared" si="32"/>
        <v>0</v>
      </c>
      <c r="V60" s="202">
        <f t="shared" si="33"/>
        <v>0</v>
      </c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</row>
    <row r="61" spans="1:40" s="203" customFormat="1" ht="12.75" customHeight="1" x14ac:dyDescent="0.25">
      <c r="A61" s="404" t="s">
        <v>70</v>
      </c>
      <c r="B61" s="405" t="s">
        <v>132</v>
      </c>
      <c r="C61" s="405"/>
      <c r="D61" s="406">
        <v>0</v>
      </c>
      <c r="E61" s="407">
        <f>FACTORS!$G$2*D61</f>
        <v>0</v>
      </c>
      <c r="F61" s="408">
        <f t="shared" si="29"/>
        <v>0</v>
      </c>
      <c r="G61" s="409">
        <v>0</v>
      </c>
      <c r="H61" s="410">
        <v>0</v>
      </c>
      <c r="I61" s="411">
        <f>FACTORS!$C$17*D61/453.592*0.85</f>
        <v>0</v>
      </c>
      <c r="J61" s="412">
        <f>FACTORS!$D$17*D61/453.592*0.85</f>
        <v>0</v>
      </c>
      <c r="K61" s="412">
        <f>FACTORS!$E$17*D61/453.592*0.85</f>
        <v>0</v>
      </c>
      <c r="L61" s="408">
        <f>FACTORS!F$17*$D61/453.592*0.85</f>
        <v>0</v>
      </c>
      <c r="M61" s="412">
        <f>FACTORS!G$17*$D61/453.592*0.85</f>
        <v>0</v>
      </c>
      <c r="N61" s="412">
        <f>FACTORS!H$17*$D61/453.592*0.85</f>
        <v>0</v>
      </c>
      <c r="O61" s="413">
        <f>FACTORS!I$17*$D61/453.592*0.85</f>
        <v>0</v>
      </c>
      <c r="P61" s="414">
        <f t="shared" si="30"/>
        <v>0</v>
      </c>
      <c r="Q61" s="412">
        <f t="shared" si="30"/>
        <v>0</v>
      </c>
      <c r="R61" s="412">
        <f t="shared" si="30"/>
        <v>0</v>
      </c>
      <c r="S61" s="412">
        <f t="shared" si="30"/>
        <v>0</v>
      </c>
      <c r="T61" s="412">
        <f t="shared" si="31"/>
        <v>0</v>
      </c>
      <c r="U61" s="412">
        <f t="shared" si="32"/>
        <v>0</v>
      </c>
      <c r="V61" s="415">
        <f t="shared" si="33"/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</row>
    <row r="62" spans="1:40" ht="27.75" customHeight="1" x14ac:dyDescent="0.25">
      <c r="A62" s="429" t="s">
        <v>215</v>
      </c>
      <c r="B62" s="431" t="s">
        <v>118</v>
      </c>
      <c r="C62" s="113"/>
      <c r="D62" s="124"/>
      <c r="E62" s="42" t="s">
        <v>58</v>
      </c>
      <c r="F62" s="43" t="s">
        <v>59</v>
      </c>
      <c r="G62" s="50"/>
      <c r="H62" s="121"/>
      <c r="I62" s="174"/>
      <c r="J62" s="167"/>
      <c r="K62" s="167"/>
      <c r="L62" s="75"/>
      <c r="M62" s="167"/>
      <c r="N62" s="167"/>
      <c r="O62" s="122"/>
      <c r="P62" s="373"/>
      <c r="Q62" s="167"/>
      <c r="R62" s="167"/>
      <c r="S62" s="167"/>
      <c r="T62" s="167"/>
      <c r="U62" s="167"/>
      <c r="V62" s="374"/>
    </row>
    <row r="63" spans="1:40" ht="12.75" customHeight="1" x14ac:dyDescent="0.25">
      <c r="A63" s="383"/>
      <c r="B63" s="432" t="s">
        <v>172</v>
      </c>
      <c r="C63" s="398"/>
      <c r="D63" s="399" t="s">
        <v>151</v>
      </c>
      <c r="E63" s="76"/>
      <c r="F63" s="76"/>
      <c r="G63" s="400"/>
      <c r="H63" s="401"/>
      <c r="I63" s="402"/>
      <c r="J63" s="68"/>
      <c r="K63" s="68"/>
      <c r="L63" s="381"/>
      <c r="M63" s="68"/>
      <c r="N63" s="68"/>
      <c r="O63" s="403"/>
      <c r="P63" s="371"/>
      <c r="Q63" s="68"/>
      <c r="R63" s="68"/>
      <c r="S63" s="68"/>
      <c r="T63" s="68"/>
      <c r="U63" s="68"/>
      <c r="V63" s="69"/>
    </row>
    <row r="64" spans="1:40" ht="12.75" customHeight="1" x14ac:dyDescent="0.25">
      <c r="A64" s="383"/>
      <c r="B64" s="431" t="s">
        <v>184</v>
      </c>
      <c r="C64" s="173"/>
      <c r="D64" s="124" t="s">
        <v>111</v>
      </c>
      <c r="E64" s="76"/>
      <c r="F64" s="76"/>
      <c r="G64" s="72" t="s">
        <v>65</v>
      </c>
      <c r="H64" s="121" t="s">
        <v>81</v>
      </c>
      <c r="I64" s="174"/>
      <c r="J64" s="167"/>
      <c r="K64" s="167"/>
      <c r="L64" s="75"/>
      <c r="M64" s="167"/>
      <c r="N64" s="167"/>
      <c r="O64" s="122"/>
      <c r="P64" s="371"/>
      <c r="Q64" s="68"/>
      <c r="R64" s="68"/>
      <c r="S64" s="68"/>
      <c r="T64" s="68"/>
      <c r="U64" s="68"/>
      <c r="V64" s="69"/>
    </row>
    <row r="65" spans="1:40" s="203" customFormat="1" ht="12.75" customHeight="1" x14ac:dyDescent="0.25">
      <c r="A65" s="193"/>
      <c r="B65" s="276" t="s">
        <v>177</v>
      </c>
      <c r="C65" s="375"/>
      <c r="D65" s="278"/>
      <c r="E65" s="195">
        <v>0</v>
      </c>
      <c r="F65" s="279">
        <f>E65*24</f>
        <v>0</v>
      </c>
      <c r="G65" s="195">
        <v>0</v>
      </c>
      <c r="H65" s="199">
        <v>0</v>
      </c>
      <c r="I65" s="204">
        <f>IFERROR(FACTORS!C34*$E65,"--")</f>
        <v>0</v>
      </c>
      <c r="J65" s="197">
        <f>IFERROR(FACTORS!D34*$E65,"--")</f>
        <v>0</v>
      </c>
      <c r="K65" s="197">
        <f>IFERROR(FACTORS!E34*$E65,"--")</f>
        <v>0</v>
      </c>
      <c r="L65" s="197">
        <f>IFERROR(FACTORS!F34*$E65,"--")</f>
        <v>0</v>
      </c>
      <c r="M65" s="201" t="str">
        <f>IFERROR(FACTORS!G34*$E65,"--")</f>
        <v>--</v>
      </c>
      <c r="N65" s="201">
        <f>IFERROR(FACTORS!H34*$E65,"--")</f>
        <v>0</v>
      </c>
      <c r="O65" s="212">
        <f>IFERROR(FACTORS!I34*$E65,"--")</f>
        <v>0</v>
      </c>
      <c r="P65" s="368">
        <f t="shared" ref="P65:V72" si="34">IFERROR((I65*$G65*$H65)/2000, "")</f>
        <v>0</v>
      </c>
      <c r="Q65" s="369">
        <f t="shared" si="34"/>
        <v>0</v>
      </c>
      <c r="R65" s="369">
        <f t="shared" si="34"/>
        <v>0</v>
      </c>
      <c r="S65" s="369">
        <f t="shared" si="34"/>
        <v>0</v>
      </c>
      <c r="T65" s="369" t="str">
        <f t="shared" ref="T65:T72" si="35">IFERROR((M65*$G65*$H65)/2000, "--")</f>
        <v>--</v>
      </c>
      <c r="U65" s="369">
        <f t="shared" si="34"/>
        <v>0</v>
      </c>
      <c r="V65" s="370">
        <f t="shared" si="34"/>
        <v>0</v>
      </c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</row>
    <row r="66" spans="1:40" s="203" customFormat="1" ht="12.75" customHeight="1" x14ac:dyDescent="0.25">
      <c r="A66" s="193"/>
      <c r="B66" s="276" t="s">
        <v>97</v>
      </c>
      <c r="C66" s="277"/>
      <c r="D66" s="278"/>
      <c r="E66" s="195">
        <v>0</v>
      </c>
      <c r="F66" s="279">
        <f>E66*24</f>
        <v>0</v>
      </c>
      <c r="G66" s="195">
        <v>0</v>
      </c>
      <c r="H66" s="199">
        <v>0</v>
      </c>
      <c r="I66" s="204">
        <f>IFERROR(FACTORS!C35*$E66,"--")</f>
        <v>0</v>
      </c>
      <c r="J66" s="197">
        <f>IFERROR(FACTORS!D35*$E66,"--")</f>
        <v>0</v>
      </c>
      <c r="K66" s="197">
        <f>IFERROR(FACTORS!E35*$E66,"--")</f>
        <v>0</v>
      </c>
      <c r="L66" s="197">
        <f>IFERROR(FACTORS!F35*$E66,"--")</f>
        <v>0</v>
      </c>
      <c r="M66" s="201" t="str">
        <f>IFERROR(FACTORS!G35*$E66,"--")</f>
        <v>--</v>
      </c>
      <c r="N66" s="201">
        <f>IFERROR(FACTORS!H35*$E66,"--")</f>
        <v>0</v>
      </c>
      <c r="O66" s="212">
        <f>IFERROR(FACTORS!I35*$E66,"--")</f>
        <v>0</v>
      </c>
      <c r="P66" s="280">
        <f t="shared" si="34"/>
        <v>0</v>
      </c>
      <c r="Q66" s="280">
        <f t="shared" si="34"/>
        <v>0</v>
      </c>
      <c r="R66" s="280">
        <f t="shared" si="34"/>
        <v>0</v>
      </c>
      <c r="S66" s="280">
        <f t="shared" si="34"/>
        <v>0</v>
      </c>
      <c r="T66" s="280" t="str">
        <f t="shared" si="35"/>
        <v>--</v>
      </c>
      <c r="U66" s="280">
        <f t="shared" si="34"/>
        <v>0</v>
      </c>
      <c r="V66" s="202">
        <f t="shared" si="34"/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</row>
    <row r="67" spans="1:40" s="203" customFormat="1" ht="12.75" customHeight="1" x14ac:dyDescent="0.25">
      <c r="A67" s="193"/>
      <c r="B67" s="276" t="s">
        <v>113</v>
      </c>
      <c r="C67" s="277"/>
      <c r="D67" s="278"/>
      <c r="E67" s="195">
        <v>0</v>
      </c>
      <c r="F67" s="279">
        <f t="shared" ref="F67:F70" si="36">E67*24</f>
        <v>0</v>
      </c>
      <c r="G67" s="195">
        <v>0</v>
      </c>
      <c r="H67" s="199">
        <v>0</v>
      </c>
      <c r="I67" s="204">
        <f>IFERROR(FACTORS!C36*$E67,"--")</f>
        <v>0</v>
      </c>
      <c r="J67" s="197">
        <f>IFERROR(FACTORS!D36*$E67,"--")</f>
        <v>0</v>
      </c>
      <c r="K67" s="197">
        <f>IFERROR(FACTORS!E36*$E67,"--")</f>
        <v>0</v>
      </c>
      <c r="L67" s="197">
        <f>IFERROR(FACTORS!F36*$E67,"--")</f>
        <v>0</v>
      </c>
      <c r="M67" s="201" t="str">
        <f>IFERROR(FACTORS!G36*$E67,"--")</f>
        <v>--</v>
      </c>
      <c r="N67" s="201">
        <f>IFERROR(FACTORS!H36*$E67,"--")</f>
        <v>0</v>
      </c>
      <c r="O67" s="212">
        <f>IFERROR(FACTORS!I36*$E67,"--")</f>
        <v>0</v>
      </c>
      <c r="P67" s="280">
        <f t="shared" si="34"/>
        <v>0</v>
      </c>
      <c r="Q67" s="280">
        <f t="shared" si="34"/>
        <v>0</v>
      </c>
      <c r="R67" s="280">
        <f t="shared" si="34"/>
        <v>0</v>
      </c>
      <c r="S67" s="280">
        <f t="shared" si="34"/>
        <v>0</v>
      </c>
      <c r="T67" s="280" t="str">
        <f t="shared" si="35"/>
        <v>--</v>
      </c>
      <c r="U67" s="280">
        <f t="shared" si="34"/>
        <v>0</v>
      </c>
      <c r="V67" s="202">
        <f t="shared" si="34"/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</row>
    <row r="68" spans="1:40" s="203" customFormat="1" ht="12.75" customHeight="1" x14ac:dyDescent="0.25">
      <c r="A68" s="193"/>
      <c r="B68" s="276" t="s">
        <v>178</v>
      </c>
      <c r="C68" s="277"/>
      <c r="D68" s="278"/>
      <c r="E68" s="195">
        <v>0</v>
      </c>
      <c r="F68" s="279">
        <f t="shared" si="36"/>
        <v>0</v>
      </c>
      <c r="G68" s="195">
        <v>0</v>
      </c>
      <c r="H68" s="199">
        <v>0</v>
      </c>
      <c r="I68" s="204">
        <f>IFERROR(FACTORS!C37*$E68,"--")</f>
        <v>0</v>
      </c>
      <c r="J68" s="197">
        <f>IFERROR(FACTORS!D37*$E68,"--")</f>
        <v>0</v>
      </c>
      <c r="K68" s="197">
        <f>IFERROR(FACTORS!E37*$E68,"--")</f>
        <v>0</v>
      </c>
      <c r="L68" s="197">
        <f>IFERROR(FACTORS!F37*$E68,"--")</f>
        <v>0</v>
      </c>
      <c r="M68" s="201" t="str">
        <f>IFERROR(FACTORS!G37*$E68,"--")</f>
        <v>--</v>
      </c>
      <c r="N68" s="201">
        <f>IFERROR(FACTORS!H37*$E68,"--")</f>
        <v>0</v>
      </c>
      <c r="O68" s="212">
        <f>IFERROR(FACTORS!I37*$E68,"--")</f>
        <v>0</v>
      </c>
      <c r="P68" s="280">
        <f t="shared" si="34"/>
        <v>0</v>
      </c>
      <c r="Q68" s="280">
        <f t="shared" si="34"/>
        <v>0</v>
      </c>
      <c r="R68" s="280">
        <f t="shared" si="34"/>
        <v>0</v>
      </c>
      <c r="S68" s="280">
        <f t="shared" si="34"/>
        <v>0</v>
      </c>
      <c r="T68" s="280" t="str">
        <f t="shared" si="35"/>
        <v>--</v>
      </c>
      <c r="U68" s="280">
        <f t="shared" si="34"/>
        <v>0</v>
      </c>
      <c r="V68" s="202">
        <f t="shared" si="34"/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</row>
    <row r="69" spans="1:40" s="203" customFormat="1" ht="12.75" customHeight="1" x14ac:dyDescent="0.25">
      <c r="A69" s="193"/>
      <c r="B69" s="276" t="s">
        <v>99</v>
      </c>
      <c r="C69" s="277"/>
      <c r="D69" s="278"/>
      <c r="E69" s="195">
        <v>0</v>
      </c>
      <c r="F69" s="279">
        <f t="shared" si="36"/>
        <v>0</v>
      </c>
      <c r="G69" s="195">
        <v>0</v>
      </c>
      <c r="H69" s="199">
        <v>0</v>
      </c>
      <c r="I69" s="204">
        <f>IFERROR(FACTORS!C38*$E69,"--")</f>
        <v>0</v>
      </c>
      <c r="J69" s="197">
        <f>IFERROR(FACTORS!D38*$E69,"--")</f>
        <v>0</v>
      </c>
      <c r="K69" s="197">
        <f>IFERROR(FACTORS!E38*$E69,"--")</f>
        <v>0</v>
      </c>
      <c r="L69" s="197">
        <f>IFERROR(FACTORS!F38*$E69,"--")</f>
        <v>0</v>
      </c>
      <c r="M69" s="201" t="str">
        <f>IFERROR(FACTORS!G38*$E69,"--")</f>
        <v>--</v>
      </c>
      <c r="N69" s="201">
        <f>IFERROR(FACTORS!H38*$E69,"--")</f>
        <v>0</v>
      </c>
      <c r="O69" s="212">
        <f>IFERROR(FACTORS!I38*$E69,"--")</f>
        <v>0</v>
      </c>
      <c r="P69" s="280">
        <f t="shared" si="34"/>
        <v>0</v>
      </c>
      <c r="Q69" s="280">
        <f t="shared" si="34"/>
        <v>0</v>
      </c>
      <c r="R69" s="280">
        <f t="shared" si="34"/>
        <v>0</v>
      </c>
      <c r="S69" s="280">
        <f t="shared" si="34"/>
        <v>0</v>
      </c>
      <c r="T69" s="280" t="str">
        <f t="shared" si="35"/>
        <v>--</v>
      </c>
      <c r="U69" s="280">
        <f t="shared" si="34"/>
        <v>0</v>
      </c>
      <c r="V69" s="202">
        <f t="shared" si="34"/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1:40" s="203" customFormat="1" ht="12.75" customHeight="1" x14ac:dyDescent="0.25">
      <c r="A70" s="193"/>
      <c r="B70" s="276" t="s">
        <v>114</v>
      </c>
      <c r="C70" s="277"/>
      <c r="D70" s="278"/>
      <c r="E70" s="195">
        <v>0</v>
      </c>
      <c r="F70" s="279">
        <f t="shared" si="36"/>
        <v>0</v>
      </c>
      <c r="G70" s="195">
        <v>0</v>
      </c>
      <c r="H70" s="199">
        <v>0</v>
      </c>
      <c r="I70" s="204">
        <f>IFERROR(FACTORS!C39*$E70,"--")</f>
        <v>0</v>
      </c>
      <c r="J70" s="197">
        <f>IFERROR(FACTORS!D39*$E70,"--")</f>
        <v>0</v>
      </c>
      <c r="K70" s="197">
        <f>IFERROR(FACTORS!E39*$E70,"--")</f>
        <v>0</v>
      </c>
      <c r="L70" s="197">
        <f>IFERROR(FACTORS!F39*$E70,"--")</f>
        <v>0</v>
      </c>
      <c r="M70" s="201" t="str">
        <f>IFERROR(FACTORS!G39*$E70,"--")</f>
        <v>--</v>
      </c>
      <c r="N70" s="201">
        <f>IFERROR(FACTORS!H39*$E70,"--")</f>
        <v>0</v>
      </c>
      <c r="O70" s="212">
        <f>IFERROR(FACTORS!I39*$E70,"--")</f>
        <v>0</v>
      </c>
      <c r="P70" s="280">
        <f t="shared" si="34"/>
        <v>0</v>
      </c>
      <c r="Q70" s="280">
        <f t="shared" si="34"/>
        <v>0</v>
      </c>
      <c r="R70" s="280">
        <f t="shared" si="34"/>
        <v>0</v>
      </c>
      <c r="S70" s="280">
        <f t="shared" si="34"/>
        <v>0</v>
      </c>
      <c r="T70" s="280" t="str">
        <f t="shared" si="35"/>
        <v>--</v>
      </c>
      <c r="U70" s="280">
        <f t="shared" si="34"/>
        <v>0</v>
      </c>
      <c r="V70" s="202">
        <f t="shared" si="34"/>
        <v>0</v>
      </c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</row>
    <row r="71" spans="1:40" s="203" customFormat="1" ht="12.75" customHeight="1" x14ac:dyDescent="0.25">
      <c r="A71" s="193"/>
      <c r="B71" s="276" t="s">
        <v>101</v>
      </c>
      <c r="C71" s="277"/>
      <c r="D71" s="195">
        <v>0</v>
      </c>
      <c r="E71" s="76"/>
      <c r="F71" s="76"/>
      <c r="G71" s="198">
        <v>0</v>
      </c>
      <c r="H71" s="199">
        <v>0</v>
      </c>
      <c r="I71" s="204">
        <f>(FACTORS!C40*$D71*2000)/24</f>
        <v>0</v>
      </c>
      <c r="J71" s="197">
        <f>(FACTORS!D40*$D71*2000)/24</f>
        <v>0</v>
      </c>
      <c r="K71" s="197">
        <f>(FACTORS!E40*$D71*2000)/24</f>
        <v>0</v>
      </c>
      <c r="L71" s="197">
        <f>(FACTORS!F40*$D71*2000)/24</f>
        <v>0</v>
      </c>
      <c r="M71" s="201" t="str">
        <f>IFERROR((FACTORS!G40*$D71*2000)/24,"--")</f>
        <v>--</v>
      </c>
      <c r="N71" s="201">
        <f>IFERROR((FACTORS!H40*$D71*2000)/24,"--")</f>
        <v>0</v>
      </c>
      <c r="O71" s="212" t="str">
        <f>IFERROR((FACTORS!I40*$D71*2000)/24,"--")</f>
        <v>--</v>
      </c>
      <c r="P71" s="280">
        <f t="shared" si="34"/>
        <v>0</v>
      </c>
      <c r="Q71" s="280">
        <f t="shared" si="34"/>
        <v>0</v>
      </c>
      <c r="R71" s="280">
        <f t="shared" si="34"/>
        <v>0</v>
      </c>
      <c r="S71" s="280">
        <f t="shared" si="34"/>
        <v>0</v>
      </c>
      <c r="T71" s="280" t="str">
        <f t="shared" si="35"/>
        <v>--</v>
      </c>
      <c r="U71" s="280">
        <f t="shared" si="34"/>
        <v>0</v>
      </c>
      <c r="V71" s="202" t="str">
        <f t="shared" si="34"/>
        <v/>
      </c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</row>
    <row r="72" spans="1:40" s="203" customFormat="1" ht="12.75" customHeight="1" x14ac:dyDescent="0.25">
      <c r="A72" s="193"/>
      <c r="B72" s="313" t="s">
        <v>156</v>
      </c>
      <c r="C72" s="313"/>
      <c r="D72" s="205">
        <v>0</v>
      </c>
      <c r="E72" s="76"/>
      <c r="F72" s="76"/>
      <c r="G72" s="205">
        <v>0</v>
      </c>
      <c r="H72" s="206">
        <v>0</v>
      </c>
      <c r="I72" s="207">
        <f>FACTORS!$C$17*D72/453.592*0.85</f>
        <v>0</v>
      </c>
      <c r="J72" s="217">
        <f>FACTORS!$D$17*D72/453.592*0.85</f>
        <v>0</v>
      </c>
      <c r="K72" s="217">
        <f>FACTORS!$E$17*D72/453.592*0.85</f>
        <v>0</v>
      </c>
      <c r="L72" s="208">
        <f>FACTORS!F$17*$D72/453.592*0.85</f>
        <v>0</v>
      </c>
      <c r="M72" s="217">
        <f>FACTORS!G$17*$D72/453.592*0.85</f>
        <v>0</v>
      </c>
      <c r="N72" s="217">
        <f>FACTORS!H$17*$D72/453.592*0.85</f>
        <v>0</v>
      </c>
      <c r="O72" s="218">
        <f>FACTORS!I$17*$D72/453.592*0.85</f>
        <v>0</v>
      </c>
      <c r="P72" s="209">
        <f t="shared" si="34"/>
        <v>0</v>
      </c>
      <c r="Q72" s="210">
        <f t="shared" si="34"/>
        <v>0</v>
      </c>
      <c r="R72" s="210">
        <f t="shared" si="34"/>
        <v>0</v>
      </c>
      <c r="S72" s="210">
        <f t="shared" si="34"/>
        <v>0</v>
      </c>
      <c r="T72" s="210">
        <f t="shared" si="35"/>
        <v>0</v>
      </c>
      <c r="U72" s="210">
        <f t="shared" si="34"/>
        <v>0</v>
      </c>
      <c r="V72" s="211">
        <f t="shared" si="34"/>
        <v>0</v>
      </c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</row>
    <row r="73" spans="1:40" s="281" customFormat="1" ht="12.75" customHeight="1" x14ac:dyDescent="0.25">
      <c r="A73" s="328">
        <f>A48</f>
        <v>2026</v>
      </c>
      <c r="B73" s="329" t="s">
        <v>137</v>
      </c>
      <c r="C73" s="320"/>
      <c r="D73" s="321"/>
      <c r="E73" s="321"/>
      <c r="F73" s="322"/>
      <c r="G73" s="321"/>
      <c r="H73" s="323"/>
      <c r="I73" s="324">
        <f t="shared" ref="I73:V73" si="37">SUM(I51:I72)</f>
        <v>0</v>
      </c>
      <c r="J73" s="324">
        <f t="shared" si="37"/>
        <v>0</v>
      </c>
      <c r="K73" s="324">
        <f t="shared" si="37"/>
        <v>0</v>
      </c>
      <c r="L73" s="324">
        <f t="shared" si="37"/>
        <v>0</v>
      </c>
      <c r="M73" s="324">
        <f t="shared" si="37"/>
        <v>0</v>
      </c>
      <c r="N73" s="324">
        <f t="shared" si="37"/>
        <v>0</v>
      </c>
      <c r="O73" s="332">
        <f t="shared" si="37"/>
        <v>0</v>
      </c>
      <c r="P73" s="367">
        <f t="shared" si="37"/>
        <v>0</v>
      </c>
      <c r="Q73" s="333">
        <f t="shared" si="37"/>
        <v>0</v>
      </c>
      <c r="R73" s="333">
        <f t="shared" si="37"/>
        <v>0</v>
      </c>
      <c r="S73" s="333">
        <f t="shared" si="37"/>
        <v>0</v>
      </c>
      <c r="T73" s="333">
        <f t="shared" si="37"/>
        <v>0</v>
      </c>
      <c r="U73" s="333">
        <f t="shared" si="37"/>
        <v>0</v>
      </c>
      <c r="V73" s="334">
        <f t="shared" si="37"/>
        <v>0</v>
      </c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</row>
    <row r="74" spans="1:40" ht="12.75" customHeight="1" x14ac:dyDescent="0.25">
      <c r="A74" s="79"/>
      <c r="B74" s="13"/>
      <c r="C74" s="13"/>
    </row>
    <row r="75" spans="1:40" ht="12.75" customHeight="1" x14ac:dyDescent="0.25">
      <c r="A75" s="79"/>
      <c r="B75" s="13"/>
      <c r="C75" s="13"/>
    </row>
    <row r="76" spans="1:40" ht="12.75" customHeight="1" x14ac:dyDescent="0.25">
      <c r="A76" s="79"/>
      <c r="B76" s="13"/>
      <c r="C76" s="13"/>
    </row>
    <row r="77" spans="1:4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4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4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4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0"/>
    </row>
    <row r="81" spans="1:22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6"/>
      <c r="V81" s="20"/>
    </row>
    <row r="82" spans="1:22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6"/>
      <c r="V82" s="20"/>
    </row>
    <row r="83" spans="1:22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6"/>
      <c r="V83" s="19"/>
    </row>
    <row r="84" spans="1:2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/>
    </row>
    <row r="85" spans="1:2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3"/>
    </row>
    <row r="86" spans="1:2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3"/>
    </row>
    <row r="87" spans="1:2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3"/>
    </row>
    <row r="88" spans="1:2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3"/>
    </row>
    <row r="89" spans="1:2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3"/>
    </row>
    <row r="90" spans="1:2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3"/>
    </row>
    <row r="91" spans="1:2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3"/>
    </row>
    <row r="92" spans="1:2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3"/>
    </row>
    <row r="93" spans="1:2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3"/>
    </row>
    <row r="94" spans="1:2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3"/>
    </row>
    <row r="95" spans="1:2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3"/>
    </row>
    <row r="96" spans="1:2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3"/>
    </row>
    <row r="97" spans="1:21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3"/>
    </row>
    <row r="98" spans="1:21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3"/>
    </row>
    <row r="99" spans="1:21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3"/>
    </row>
    <row r="100" spans="1:21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3"/>
    </row>
    <row r="101" spans="1:21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8"/>
    </row>
    <row r="102" spans="1:21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8"/>
    </row>
    <row r="103" spans="1:21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8"/>
    </row>
    <row r="104" spans="1:21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8"/>
    </row>
    <row r="105" spans="1:21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3"/>
    </row>
    <row r="106" spans="1:21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3"/>
    </row>
    <row r="107" spans="1:21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3"/>
    </row>
    <row r="108" spans="1:21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3"/>
    </row>
    <row r="109" spans="1:21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3"/>
    </row>
    <row r="110" spans="1:21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3"/>
    </row>
    <row r="111" spans="1:21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8"/>
    </row>
    <row r="150" spans="1:2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3"/>
    </row>
    <row r="151" spans="1:2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3"/>
    </row>
    <row r="152" spans="1:2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3"/>
    </row>
    <row r="153" spans="1:2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3"/>
    </row>
    <row r="154" spans="1:2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3"/>
    </row>
    <row r="155" spans="1:2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3"/>
    </row>
    <row r="156" spans="1:2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3"/>
    </row>
    <row r="157" spans="1:22" ht="12.75" customHeight="1" x14ac:dyDescent="0.25">
      <c r="U157" s="13"/>
    </row>
    <row r="158" spans="1:22" ht="12.75" customHeight="1" x14ac:dyDescent="0.3">
      <c r="U158" s="18"/>
      <c r="V158" s="19"/>
    </row>
    <row r="159" spans="1:22" ht="12.75" customHeight="1" x14ac:dyDescent="0.25">
      <c r="U159" s="21"/>
    </row>
    <row r="160" spans="1:22" ht="12.75" customHeight="1" x14ac:dyDescent="0.25">
      <c r="U160" s="18"/>
    </row>
    <row r="161" spans="21:22" ht="12.75" customHeight="1" x14ac:dyDescent="0.3">
      <c r="U161" s="13"/>
      <c r="V161" s="19"/>
    </row>
    <row r="162" spans="21:22" ht="12.75" customHeight="1" x14ac:dyDescent="0.3">
      <c r="U162" s="22"/>
    </row>
    <row r="170" spans="21:22" ht="12.75" customHeight="1" x14ac:dyDescent="0.25">
      <c r="V170" s="20"/>
    </row>
    <row r="171" spans="21:22" ht="12.75" customHeight="1" x14ac:dyDescent="0.3">
      <c r="U171" s="16"/>
      <c r="V171" s="20"/>
    </row>
    <row r="172" spans="21:22" ht="12.75" customHeight="1" x14ac:dyDescent="0.3">
      <c r="U172" s="16"/>
      <c r="V172" s="20"/>
    </row>
    <row r="173" spans="21:22" ht="12.75" customHeight="1" x14ac:dyDescent="0.3">
      <c r="U173" s="16"/>
      <c r="V173" s="19"/>
    </row>
    <row r="174" spans="21:22" ht="12.75" customHeight="1" x14ac:dyDescent="0.25">
      <c r="U174" s="17"/>
    </row>
    <row r="175" spans="21:22" ht="12.75" customHeight="1" x14ac:dyDescent="0.25">
      <c r="U175" s="13"/>
    </row>
    <row r="176" spans="21:22" ht="12.75" customHeight="1" x14ac:dyDescent="0.25">
      <c r="U176" s="13"/>
    </row>
    <row r="177" spans="21:21" ht="12.75" customHeight="1" x14ac:dyDescent="0.25">
      <c r="U177" s="13"/>
    </row>
    <row r="178" spans="21:21" ht="12.75" customHeight="1" x14ac:dyDescent="0.25">
      <c r="U178" s="13"/>
    </row>
    <row r="179" spans="21:21" ht="12.75" customHeight="1" x14ac:dyDescent="0.25">
      <c r="U179" s="13"/>
    </row>
    <row r="180" spans="21:21" ht="12.75" customHeight="1" x14ac:dyDescent="0.25">
      <c r="U180" s="13"/>
    </row>
    <row r="181" spans="21:21" ht="12.75" customHeight="1" x14ac:dyDescent="0.25">
      <c r="U181" s="13"/>
    </row>
    <row r="182" spans="21:21" ht="12.75" customHeight="1" x14ac:dyDescent="0.25">
      <c r="U182" s="13"/>
    </row>
    <row r="183" spans="21:21" ht="12.75" customHeight="1" x14ac:dyDescent="0.25">
      <c r="U183" s="13"/>
    </row>
    <row r="184" spans="21:21" ht="12.75" customHeight="1" x14ac:dyDescent="0.25">
      <c r="U184" s="13"/>
    </row>
    <row r="185" spans="21:21" ht="12.75" customHeight="1" x14ac:dyDescent="0.25">
      <c r="U185" s="13"/>
    </row>
    <row r="186" spans="21:21" ht="12.75" customHeight="1" x14ac:dyDescent="0.25">
      <c r="U186" s="13"/>
    </row>
    <row r="187" spans="21:21" ht="12.75" customHeight="1" x14ac:dyDescent="0.25">
      <c r="U187" s="13"/>
    </row>
    <row r="188" spans="21:21" ht="12.75" customHeight="1" x14ac:dyDescent="0.25">
      <c r="U188" s="13"/>
    </row>
    <row r="189" spans="21:21" ht="12.75" customHeight="1" x14ac:dyDescent="0.25">
      <c r="U189" s="13"/>
    </row>
    <row r="190" spans="21:21" ht="12.75" customHeight="1" x14ac:dyDescent="0.25">
      <c r="U190" s="13"/>
    </row>
    <row r="191" spans="21:21" ht="12.75" customHeight="1" x14ac:dyDescent="0.25">
      <c r="U191" s="18"/>
    </row>
    <row r="192" spans="21:21" ht="12.75" customHeight="1" x14ac:dyDescent="0.25">
      <c r="U192" s="18"/>
    </row>
    <row r="193" spans="21:22" ht="12.75" customHeight="1" x14ac:dyDescent="0.25">
      <c r="U193" s="18"/>
    </row>
    <row r="194" spans="21:22" ht="12.75" customHeight="1" x14ac:dyDescent="0.25">
      <c r="U194" s="18"/>
    </row>
    <row r="195" spans="21:22" ht="12.75" customHeight="1" x14ac:dyDescent="0.25">
      <c r="U195" s="13"/>
    </row>
    <row r="196" spans="21:22" ht="12.75" customHeight="1" x14ac:dyDescent="0.25">
      <c r="U196" s="13"/>
    </row>
    <row r="197" spans="21:22" ht="12.75" customHeight="1" x14ac:dyDescent="0.25">
      <c r="U197" s="13"/>
    </row>
    <row r="198" spans="21:22" ht="12.75" customHeight="1" x14ac:dyDescent="0.25">
      <c r="U198" s="13"/>
    </row>
    <row r="199" spans="21:22" ht="12.75" customHeight="1" x14ac:dyDescent="0.25">
      <c r="U199" s="13"/>
    </row>
    <row r="200" spans="21:22" ht="12.75" customHeight="1" x14ac:dyDescent="0.25">
      <c r="U200" s="13"/>
    </row>
    <row r="201" spans="21:22" ht="12.75" customHeight="1" x14ac:dyDescent="0.25">
      <c r="U201" s="13"/>
    </row>
    <row r="202" spans="21:22" ht="12.75" customHeight="1" x14ac:dyDescent="0.25">
      <c r="U202" s="13"/>
    </row>
    <row r="203" spans="21:22" ht="12.75" customHeight="1" x14ac:dyDescent="0.3">
      <c r="U203" s="18"/>
      <c r="V203" s="19"/>
    </row>
    <row r="204" spans="21:22" ht="12.75" customHeight="1" x14ac:dyDescent="0.25">
      <c r="U204" s="21"/>
    </row>
    <row r="205" spans="21:22" ht="12.75" customHeight="1" x14ac:dyDescent="0.25">
      <c r="U205" s="18"/>
    </row>
    <row r="206" spans="21:22" ht="12.75" customHeight="1" x14ac:dyDescent="0.3">
      <c r="U206" s="13"/>
      <c r="V206" s="19"/>
    </row>
    <row r="207" spans="21:22" ht="12.75" customHeight="1" x14ac:dyDescent="0.3">
      <c r="U207" s="22"/>
    </row>
  </sheetData>
  <mergeCells count="3">
    <mergeCell ref="J2:K2"/>
    <mergeCell ref="L2:M2"/>
    <mergeCell ref="N2:V2"/>
  </mergeCells>
  <printOptions horizontalCentered="1"/>
  <pageMargins left="0.25" right="0.25" top="1" bottom="0.5" header="0.5" footer="0.5"/>
  <pageSetup paperSize="5" scale="3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411A60B57CFE4DAA3DA3F99CF9C646" ma:contentTypeVersion="10" ma:contentTypeDescription="Create a new document." ma:contentTypeScope="" ma:versionID="d0d27314bf8f08f89b85505d7bbe5af5">
  <xsd:schema xmlns:xsd="http://www.w3.org/2001/XMLSchema" xmlns:xs="http://www.w3.org/2001/XMLSchema" xmlns:p="http://schemas.microsoft.com/office/2006/metadata/properties" xmlns:ns3="0d9d59b5-c600-45b0-b87b-85cafa43f80c" xmlns:ns4="6ac37530-33e7-49a8-8adb-33ff3c8e7cc4" targetNamespace="http://schemas.microsoft.com/office/2006/metadata/properties" ma:root="true" ma:fieldsID="8aa6bda6c6b0f70a782ad594023e2344" ns3:_="" ns4:_="">
    <xsd:import namespace="0d9d59b5-c600-45b0-b87b-85cafa43f80c"/>
    <xsd:import namespace="6ac37530-33e7-49a8-8adb-33ff3c8e7c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d59b5-c600-45b0-b87b-85cafa43f8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37530-33e7-49a8-8adb-33ff3c8e7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83E8E3-5CA3-4691-B9D7-1444DD4F0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502FC-9F2B-4E3B-BEFE-5BFCCF362210}">
  <ds:schemaRefs>
    <ds:schemaRef ds:uri="0d9d59b5-c600-45b0-b87b-85cafa43f80c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6ac37530-33e7-49a8-8adb-33ff3c8e7cc4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9C266FC-3416-4334-B3CD-9F62E053D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9d59b5-c600-45b0-b87b-85cafa43f80c"/>
    <ds:schemaRef ds:uri="6ac37530-33e7-49a8-8adb-33ff3c8e7c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TITLE</vt:lpstr>
      <vt:lpstr>FACTORS</vt:lpstr>
      <vt:lpstr>EMISSIONS1</vt:lpstr>
      <vt:lpstr>EMISSIONS2</vt:lpstr>
      <vt:lpstr>EMISSIONS3</vt:lpstr>
      <vt:lpstr>EMISSIONS4</vt:lpstr>
      <vt:lpstr>EMISSIONS5</vt:lpstr>
      <vt:lpstr>EMISSIONS6</vt:lpstr>
      <vt:lpstr>EMISSIONS7</vt:lpstr>
      <vt:lpstr>EMISSIONS8</vt:lpstr>
      <vt:lpstr>EMISSIONS9</vt:lpstr>
      <vt:lpstr>EMISSIONS10</vt:lpstr>
      <vt:lpstr>SUMMARY</vt:lpstr>
      <vt:lpstr>EMISSIONS1!Criteria</vt:lpstr>
      <vt:lpstr>EMISSIONS10!Criteria</vt:lpstr>
      <vt:lpstr>EMISSIONS2!Criteria</vt:lpstr>
      <vt:lpstr>EMISSIONS3!Criteria</vt:lpstr>
      <vt:lpstr>EMISSIONS4!Criteria</vt:lpstr>
      <vt:lpstr>EMISSIONS5!Criteria</vt:lpstr>
      <vt:lpstr>EMISSIONS6!Criteria</vt:lpstr>
      <vt:lpstr>EMISSIONS7!Criteria</vt:lpstr>
      <vt:lpstr>EMISSIONS8!Criteria</vt:lpstr>
      <vt:lpstr>EMISSIONS9!Criteria</vt:lpstr>
      <vt:lpstr>EMISSIONS1!Print_Area</vt:lpstr>
      <vt:lpstr>EMISSIONS10!Print_Area</vt:lpstr>
      <vt:lpstr>EMISSIONS2!Print_Area</vt:lpstr>
      <vt:lpstr>EMISSIONS3!Print_Area</vt:lpstr>
      <vt:lpstr>EMISSIONS4!Print_Area</vt:lpstr>
      <vt:lpstr>EMISSIONS5!Print_Area</vt:lpstr>
      <vt:lpstr>EMISSIONS6!Print_Area</vt:lpstr>
      <vt:lpstr>EMISSIONS7!Print_Area</vt:lpstr>
      <vt:lpstr>EMISSIONS8!Print_Area</vt:lpstr>
      <vt:lpstr>EMISSIONS9!Print_Area</vt:lpstr>
      <vt:lpstr>FACTORS!Print_Area</vt:lpstr>
      <vt:lpstr>SUMMARY!Print_Area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Nicole K</dc:creator>
  <cp:lastModifiedBy>AA</cp:lastModifiedBy>
  <cp:lastPrinted>2020-03-17T20:30:06Z</cp:lastPrinted>
  <dcterms:created xsi:type="dcterms:W3CDTF">2000-03-22T16:03:22Z</dcterms:created>
  <dcterms:modified xsi:type="dcterms:W3CDTF">2020-06-03T14:00:20Z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0x01010014411A60B57CFE4DAA3DA3F99CF9C646</vt:lpwstr>
  </property>
</Properties>
</file>