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SHARE\_Metals and Inorganic Chemicals Group\Iron &amp; Steel Foundries\I&amp;S Foundries RTR\Proposal\ICR\"/>
    </mc:Choice>
  </mc:AlternateContent>
  <xr:revisionPtr revIDLastSave="0" documentId="8_{1B898041-D539-4FCE-933D-6B06D224070B}" xr6:coauthVersionLast="41" xr6:coauthVersionMax="41" xr10:uidLastSave="{00000000-0000-0000-0000-000000000000}"/>
  <bookViews>
    <workbookView xWindow="1560" yWindow="1560" windowWidth="18900" windowHeight="11055" activeTab="3" xr2:uid="{7EA987AC-B7B2-436F-B73A-18159323C8F8}"/>
  </bookViews>
  <sheets>
    <sheet name="Burden" sheetId="1" r:id="rId1"/>
    <sheet name="Increment" sheetId="3" r:id="rId2"/>
    <sheet name="OpCosts" sheetId="2" r:id="rId3"/>
    <sheet name="2_EPA" sheetId="4" r:id="rId4"/>
    <sheet name="Respons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7" i="4" l="1"/>
  <c r="F17" i="4"/>
  <c r="F15" i="4"/>
  <c r="F14" i="4"/>
  <c r="F12" i="4"/>
  <c r="F11" i="4"/>
  <c r="F10" i="4"/>
  <c r="F9" i="4"/>
  <c r="F8" i="4"/>
  <c r="F7" i="4"/>
  <c r="F5" i="4"/>
  <c r="F4" i="4"/>
  <c r="I4" i="4" l="1"/>
  <c r="I8" i="4"/>
  <c r="I14" i="4"/>
  <c r="G15" i="4"/>
  <c r="I15" i="4" s="1"/>
  <c r="G5" i="4"/>
  <c r="G7" i="4"/>
  <c r="I7" i="4" s="1"/>
  <c r="G9" i="4"/>
  <c r="I9" i="4" s="1"/>
  <c r="G11" i="4"/>
  <c r="I11" i="4" s="1"/>
  <c r="G14" i="4"/>
  <c r="H4" i="4"/>
  <c r="H5" i="4"/>
  <c r="I5" i="4" s="1"/>
  <c r="H7" i="4"/>
  <c r="H8" i="4"/>
  <c r="H9" i="4"/>
  <c r="H10" i="4"/>
  <c r="H11" i="4"/>
  <c r="H12" i="4"/>
  <c r="H14" i="4"/>
  <c r="H15" i="4"/>
  <c r="G4" i="4"/>
  <c r="G8" i="4"/>
  <c r="G10" i="4"/>
  <c r="I10" i="4" s="1"/>
  <c r="G12" i="4"/>
  <c r="I12" i="4" s="1"/>
  <c r="L11" i="3"/>
  <c r="F32" i="3"/>
  <c r="D32" i="3"/>
  <c r="C7" i="5"/>
  <c r="B7" i="5"/>
  <c r="E7" i="5" s="1"/>
  <c r="F32" i="1"/>
  <c r="D32" i="1"/>
  <c r="O6" i="1"/>
  <c r="O7" i="1"/>
  <c r="O5" i="1"/>
  <c r="G32" i="3" l="1"/>
  <c r="I32" i="3" s="1"/>
  <c r="H32" i="3"/>
  <c r="G32" i="1"/>
  <c r="I32" i="1" s="1"/>
  <c r="H32" i="1"/>
  <c r="C8" i="5" l="1"/>
  <c r="B8" i="5"/>
  <c r="E8" i="5" s="1"/>
  <c r="C6" i="5"/>
  <c r="B6" i="5"/>
  <c r="F13" i="4"/>
  <c r="C33" i="4"/>
  <c r="D33" i="4" s="1"/>
  <c r="F2" i="4" s="1"/>
  <c r="C34" i="4"/>
  <c r="D34" i="4" s="1"/>
  <c r="H2" i="4" s="1"/>
  <c r="C32" i="4"/>
  <c r="D32" i="4" s="1"/>
  <c r="G2" i="4" s="1"/>
  <c r="F42" i="3"/>
  <c r="D42" i="3"/>
  <c r="D42" i="1"/>
  <c r="F42" i="1" s="1"/>
  <c r="F16" i="4" l="1"/>
  <c r="E6" i="5"/>
  <c r="E9" i="5" s="1"/>
  <c r="G16" i="4"/>
  <c r="H16" i="4"/>
  <c r="G13" i="4"/>
  <c r="H13" i="4"/>
  <c r="G42" i="3"/>
  <c r="I42" i="3" s="1"/>
  <c r="H42" i="3"/>
  <c r="G42" i="1"/>
  <c r="H42" i="1"/>
  <c r="I16" i="4" l="1"/>
  <c r="I13" i="4"/>
  <c r="D43" i="3" l="1"/>
  <c r="F43" i="3" s="1"/>
  <c r="D41" i="3"/>
  <c r="F41" i="3" s="1"/>
  <c r="D40" i="3"/>
  <c r="F40" i="3" s="1"/>
  <c r="F39" i="3"/>
  <c r="D39" i="3"/>
  <c r="D38" i="3"/>
  <c r="F38" i="3" s="1"/>
  <c r="D37" i="3"/>
  <c r="F37" i="3" s="1"/>
  <c r="D33" i="3"/>
  <c r="F33" i="3" s="1"/>
  <c r="D30" i="3"/>
  <c r="F30" i="3" s="1"/>
  <c r="D29" i="3"/>
  <c r="F29" i="3" s="1"/>
  <c r="F28" i="3"/>
  <c r="D28" i="3"/>
  <c r="D27" i="3"/>
  <c r="F27" i="3" s="1"/>
  <c r="D26" i="3"/>
  <c r="F26" i="3" s="1"/>
  <c r="D25" i="3"/>
  <c r="F25" i="3" s="1"/>
  <c r="F23" i="3"/>
  <c r="D23" i="3"/>
  <c r="D22" i="3"/>
  <c r="F22" i="3" s="1"/>
  <c r="D21" i="3"/>
  <c r="F21" i="3" s="1"/>
  <c r="D17" i="3"/>
  <c r="F17" i="3" s="1"/>
  <c r="F16" i="3"/>
  <c r="D16" i="3"/>
  <c r="D15" i="3"/>
  <c r="F15" i="3" s="1"/>
  <c r="D14" i="3"/>
  <c r="F14" i="3" s="1"/>
  <c r="D13" i="3"/>
  <c r="F13" i="3" s="1"/>
  <c r="F12" i="3"/>
  <c r="D12" i="3"/>
  <c r="D11" i="3"/>
  <c r="F11" i="3" s="1"/>
  <c r="D9" i="3"/>
  <c r="F9" i="3" s="1"/>
  <c r="O7" i="3"/>
  <c r="H2" i="3" s="1"/>
  <c r="O6" i="3"/>
  <c r="O5" i="3"/>
  <c r="G2" i="3"/>
  <c r="F2" i="3"/>
  <c r="G15" i="3" l="1"/>
  <c r="H15" i="3"/>
  <c r="I15" i="3" s="1"/>
  <c r="H25" i="3"/>
  <c r="G25" i="3"/>
  <c r="I25" i="3" s="1"/>
  <c r="G37" i="3"/>
  <c r="I37" i="3" s="1"/>
  <c r="H37" i="3"/>
  <c r="G26" i="3"/>
  <c r="I26" i="3" s="1"/>
  <c r="H26" i="3"/>
  <c r="G41" i="3"/>
  <c r="I41" i="3"/>
  <c r="H41" i="3"/>
  <c r="G9" i="3"/>
  <c r="H9" i="3"/>
  <c r="I9" i="3" s="1"/>
  <c r="H13" i="3"/>
  <c r="G13" i="3"/>
  <c r="H27" i="3"/>
  <c r="G27" i="3"/>
  <c r="I27" i="3"/>
  <c r="G30" i="3"/>
  <c r="H30" i="3"/>
  <c r="I30" i="3" s="1"/>
  <c r="H43" i="3"/>
  <c r="I43" i="3" s="1"/>
  <c r="G43" i="3"/>
  <c r="G21" i="3"/>
  <c r="I21" i="3"/>
  <c r="H21" i="3"/>
  <c r="H40" i="3"/>
  <c r="G40" i="3"/>
  <c r="I40" i="3" s="1"/>
  <c r="H22" i="3"/>
  <c r="G22" i="3"/>
  <c r="I22" i="3"/>
  <c r="H29" i="3"/>
  <c r="G29" i="3"/>
  <c r="I29" i="3"/>
  <c r="H38" i="3"/>
  <c r="G38" i="3"/>
  <c r="I38" i="3" s="1"/>
  <c r="H11" i="3"/>
  <c r="G11" i="3"/>
  <c r="G14" i="3"/>
  <c r="H14" i="3"/>
  <c r="I14" i="3" s="1"/>
  <c r="H17" i="3"/>
  <c r="G17" i="3"/>
  <c r="I17" i="3" s="1"/>
  <c r="H33" i="3"/>
  <c r="G33" i="3"/>
  <c r="I33" i="3" s="1"/>
  <c r="I39" i="3"/>
  <c r="H12" i="3"/>
  <c r="I12" i="3" s="1"/>
  <c r="H16" i="3"/>
  <c r="H23" i="3"/>
  <c r="H28" i="3"/>
  <c r="I28" i="3" s="1"/>
  <c r="H39" i="3"/>
  <c r="G12" i="3"/>
  <c r="G16" i="3"/>
  <c r="I16" i="3" s="1"/>
  <c r="G23" i="3"/>
  <c r="I23" i="3" s="1"/>
  <c r="G28" i="3"/>
  <c r="G39" i="3"/>
  <c r="I11" i="3" l="1"/>
  <c r="I13" i="3"/>
  <c r="F34" i="3"/>
  <c r="I45" i="3"/>
  <c r="F45" i="3"/>
  <c r="I34" i="3"/>
  <c r="I48" i="3" l="1"/>
  <c r="F46" i="3"/>
  <c r="I46" i="3"/>
  <c r="D13" i="1" l="1"/>
  <c r="F13" i="1" s="1"/>
  <c r="G13" i="1" s="1"/>
  <c r="H13" i="1" l="1"/>
  <c r="D11" i="1" l="1"/>
  <c r="F11" i="1" s="1"/>
  <c r="G7" i="2"/>
  <c r="G8" i="2"/>
  <c r="G9" i="2"/>
  <c r="G11" i="2" s="1"/>
  <c r="G10" i="2"/>
  <c r="G6" i="2"/>
  <c r="I47" i="1" l="1"/>
  <c r="G11" i="1"/>
  <c r="H11" i="1"/>
  <c r="D43" i="1"/>
  <c r="D41" i="1"/>
  <c r="D40" i="1"/>
  <c r="D39" i="1"/>
  <c r="D38" i="1"/>
  <c r="D37" i="1"/>
  <c r="D33" i="1"/>
  <c r="D30" i="1"/>
  <c r="D29" i="1"/>
  <c r="D28" i="1"/>
  <c r="D27" i="1"/>
  <c r="D26" i="1"/>
  <c r="D25" i="1"/>
  <c r="D23" i="1"/>
  <c r="D22" i="1"/>
  <c r="D21" i="1"/>
  <c r="D17" i="1"/>
  <c r="D16" i="1"/>
  <c r="D15" i="1"/>
  <c r="D14" i="1"/>
  <c r="D12" i="1"/>
  <c r="D9" i="1"/>
  <c r="F43" i="1" l="1"/>
  <c r="F41" i="1"/>
  <c r="F40" i="1"/>
  <c r="F39" i="1"/>
  <c r="F38" i="1"/>
  <c r="F37" i="1"/>
  <c r="F33" i="1"/>
  <c r="F30" i="1"/>
  <c r="F29" i="1"/>
  <c r="F28" i="1"/>
  <c r="F27" i="1"/>
  <c r="F26" i="1"/>
  <c r="F25" i="1"/>
  <c r="F23" i="1"/>
  <c r="F22" i="1"/>
  <c r="F21" i="1"/>
  <c r="F17" i="1"/>
  <c r="F16" i="1"/>
  <c r="F15" i="1"/>
  <c r="F14" i="1"/>
  <c r="F12" i="1"/>
  <c r="H12" i="1" s="1"/>
  <c r="F9" i="1"/>
  <c r="G9" i="1" s="1"/>
  <c r="P6" i="1"/>
  <c r="F2" i="1" s="1"/>
  <c r="P7" i="1"/>
  <c r="H2" i="1" s="1"/>
  <c r="P5" i="1"/>
  <c r="G2" i="1" s="1"/>
  <c r="I11" i="1" l="1"/>
  <c r="I42" i="1"/>
  <c r="I13" i="1"/>
  <c r="G12" i="1"/>
  <c r="I12" i="1" s="1"/>
  <c r="H9" i="1"/>
  <c r="H43" i="1"/>
  <c r="G43" i="1"/>
  <c r="I43" i="1" s="1"/>
  <c r="G38" i="1"/>
  <c r="G40" i="1"/>
  <c r="H38" i="1"/>
  <c r="G37" i="1"/>
  <c r="G39" i="1"/>
  <c r="G41" i="1"/>
  <c r="H37" i="1"/>
  <c r="H39" i="1"/>
  <c r="H40" i="1"/>
  <c r="H41" i="1"/>
  <c r="G33" i="1"/>
  <c r="H33" i="1"/>
  <c r="H29" i="1"/>
  <c r="G25" i="1"/>
  <c r="G26" i="1"/>
  <c r="G27" i="1"/>
  <c r="G28" i="1"/>
  <c r="I28" i="1" s="1"/>
  <c r="G29" i="1"/>
  <c r="G30" i="1"/>
  <c r="H25" i="1"/>
  <c r="H26" i="1"/>
  <c r="H27" i="1"/>
  <c r="H28" i="1"/>
  <c r="H30" i="1"/>
  <c r="I30" i="1" s="1"/>
  <c r="G22" i="1"/>
  <c r="I22" i="1" s="1"/>
  <c r="G21" i="1"/>
  <c r="I21" i="1" s="1"/>
  <c r="H21" i="1"/>
  <c r="H22" i="1"/>
  <c r="H23" i="1"/>
  <c r="G23" i="1"/>
  <c r="G17" i="1"/>
  <c r="H17" i="1"/>
  <c r="G14" i="1"/>
  <c r="G15" i="1"/>
  <c r="G16" i="1"/>
  <c r="H16" i="1"/>
  <c r="H14" i="1"/>
  <c r="H15" i="1"/>
  <c r="I40" i="1" l="1"/>
  <c r="I39" i="1"/>
  <c r="F45" i="1"/>
  <c r="I29" i="1"/>
  <c r="I25" i="1"/>
  <c r="I37" i="1"/>
  <c r="I16" i="1"/>
  <c r="I41" i="1"/>
  <c r="I38" i="1"/>
  <c r="I45" i="1" s="1"/>
  <c r="I33" i="1"/>
  <c r="I27" i="1"/>
  <c r="I26" i="1"/>
  <c r="I23" i="1"/>
  <c r="I15" i="1"/>
  <c r="I17" i="1"/>
  <c r="I14" i="1"/>
  <c r="F34" i="1"/>
  <c r="F46" i="1" s="1"/>
  <c r="E12" i="5" s="1"/>
  <c r="I9" i="1"/>
  <c r="I34" i="1" l="1"/>
  <c r="I48" i="1" s="1"/>
  <c r="I46" i="1" l="1"/>
</calcChain>
</file>

<file path=xl/sharedStrings.xml><?xml version="1.0" encoding="utf-8"?>
<sst xmlns="http://schemas.openxmlformats.org/spreadsheetml/2006/main" count="281" uniqueCount="179">
  <si>
    <r>
      <t>Table 1: Annual Respondent Bur</t>
    </r>
    <r>
      <rPr>
        <b/>
        <sz val="12"/>
        <color theme="1"/>
        <rFont val="Times New Roman"/>
        <family val="1"/>
      </rPr>
      <t>den and Cost – NESHAP for Iron and Steel Foundries (40 CFR Part 63, Subpart EEEEE) (Renewal)</t>
    </r>
  </si>
  <si>
    <t>Burden item</t>
  </si>
  <si>
    <t>(A)</t>
  </si>
  <si>
    <t>Person hours per occurrence</t>
  </si>
  <si>
    <t>(B)</t>
  </si>
  <si>
    <t>No. of occurrences per respondent per year</t>
  </si>
  <si>
    <t>(C)</t>
  </si>
  <si>
    <t>Person hours per respondent per year</t>
  </si>
  <si>
    <t>(C=AxB)</t>
  </si>
  <si>
    <t>(D)</t>
  </si>
  <si>
    <r>
      <t xml:space="preserve">Respondents per year </t>
    </r>
    <r>
      <rPr>
        <b/>
        <vertAlign val="superscript"/>
        <sz val="10"/>
        <color rgb="FF000000"/>
        <rFont val="Times New Roman"/>
        <family val="1"/>
      </rPr>
      <t>a</t>
    </r>
  </si>
  <si>
    <t>(E)</t>
  </si>
  <si>
    <t>Technical person- hours per year</t>
  </si>
  <si>
    <t>(E=CxD)</t>
  </si>
  <si>
    <t>(F)</t>
  </si>
  <si>
    <t>Management person hours per year</t>
  </si>
  <si>
    <t>(F=Ex0.05)</t>
  </si>
  <si>
    <t>(G)</t>
  </si>
  <si>
    <t>Clerical person hours per year</t>
  </si>
  <si>
    <t>(G=Ex0.1)</t>
  </si>
  <si>
    <t>(H)</t>
  </si>
  <si>
    <r>
      <t>Total Cost per year,</t>
    </r>
    <r>
      <rPr>
        <b/>
        <vertAlign val="superscript"/>
        <sz val="10"/>
        <color rgb="FF000000"/>
        <rFont val="Times New Roman"/>
        <family val="1"/>
      </rPr>
      <t xml:space="preserve"> </t>
    </r>
    <r>
      <rPr>
        <b/>
        <sz val="10"/>
        <color rgb="FF000000"/>
        <rFont val="Times New Roman"/>
        <family val="1"/>
      </rPr>
      <t>($)</t>
    </r>
    <r>
      <rPr>
        <b/>
        <vertAlign val="superscript"/>
        <sz val="10"/>
        <color rgb="FF000000"/>
        <rFont val="Times New Roman"/>
        <family val="1"/>
      </rPr>
      <t xml:space="preserve"> b</t>
    </r>
  </si>
  <si>
    <t>1.  Applications</t>
  </si>
  <si>
    <t>N/A</t>
  </si>
  <si>
    <t>2.  Surveys and studies</t>
  </si>
  <si>
    <t>3.  Reporting requirements</t>
  </si>
  <si>
    <r>
      <t xml:space="preserve">b.  Required activities </t>
    </r>
    <r>
      <rPr>
        <vertAlign val="superscript"/>
        <sz val="10"/>
        <color rgb="FF000000"/>
        <rFont val="Times New Roman"/>
        <family val="1"/>
      </rPr>
      <t>d</t>
    </r>
  </si>
  <si>
    <t>c.  Create information</t>
  </si>
  <si>
    <t>See 3B</t>
  </si>
  <si>
    <r>
      <t>d.  Gather existing information</t>
    </r>
    <r>
      <rPr>
        <vertAlign val="superscript"/>
        <sz val="10"/>
        <color rgb="FF000000"/>
        <rFont val="Times New Roman"/>
        <family val="1"/>
      </rPr>
      <t xml:space="preserve"> </t>
    </r>
  </si>
  <si>
    <t>e.  Write report</t>
  </si>
  <si>
    <r>
      <t xml:space="preserve">i.  Notification of applicability </t>
    </r>
    <r>
      <rPr>
        <vertAlign val="superscript"/>
        <sz val="10"/>
        <color rgb="FF000000"/>
        <rFont val="Times New Roman"/>
        <family val="1"/>
      </rPr>
      <t>d</t>
    </r>
  </si>
  <si>
    <r>
      <t xml:space="preserve">ii.  Notification of construction/reconstruction </t>
    </r>
    <r>
      <rPr>
        <vertAlign val="superscript"/>
        <sz val="10"/>
        <color rgb="FF000000"/>
        <rFont val="Times New Roman"/>
        <family val="1"/>
      </rPr>
      <t xml:space="preserve">d </t>
    </r>
  </si>
  <si>
    <r>
      <t xml:space="preserve">iii.  Notification of actual startup </t>
    </r>
    <r>
      <rPr>
        <vertAlign val="superscript"/>
        <sz val="10"/>
        <color rgb="FF000000"/>
        <rFont val="Times New Roman"/>
        <family val="1"/>
      </rPr>
      <t>d</t>
    </r>
  </si>
  <si>
    <r>
      <t xml:space="preserve">iv.  Notification of special compliance requirements </t>
    </r>
    <r>
      <rPr>
        <vertAlign val="superscript"/>
        <sz val="10"/>
        <color rgb="FF000000"/>
        <rFont val="Times New Roman"/>
        <family val="1"/>
      </rPr>
      <t>d</t>
    </r>
    <r>
      <rPr>
        <sz val="10"/>
        <color rgb="FF000000"/>
        <rFont val="Times New Roman"/>
        <family val="1"/>
      </rPr>
      <t xml:space="preserve"> </t>
    </r>
  </si>
  <si>
    <r>
      <t xml:space="preserve">v.  Compliance extension request </t>
    </r>
    <r>
      <rPr>
        <vertAlign val="superscript"/>
        <sz val="10"/>
        <color rgb="FF000000"/>
        <rFont val="Times New Roman"/>
        <family val="1"/>
      </rPr>
      <t>d</t>
    </r>
  </si>
  <si>
    <r>
      <t xml:space="preserve">vi.  Notification of performance test </t>
    </r>
    <r>
      <rPr>
        <vertAlign val="superscript"/>
        <sz val="10"/>
        <color rgb="FF000000"/>
        <rFont val="Times New Roman"/>
        <family val="1"/>
      </rPr>
      <t>d</t>
    </r>
  </si>
  <si>
    <r>
      <t xml:space="preserve">vii.  Site-specific test plan </t>
    </r>
    <r>
      <rPr>
        <vertAlign val="superscript"/>
        <sz val="10"/>
        <color rgb="FF000000"/>
        <rFont val="Times New Roman"/>
        <family val="1"/>
      </rPr>
      <t>d</t>
    </r>
  </si>
  <si>
    <r>
      <t xml:space="preserve">viii.  Notification of CEMS performance evaluation </t>
    </r>
    <r>
      <rPr>
        <vertAlign val="superscript"/>
        <sz val="10"/>
        <color rgb="FF000000"/>
        <rFont val="Times New Roman"/>
        <family val="1"/>
      </rPr>
      <t>d</t>
    </r>
  </si>
  <si>
    <r>
      <t xml:space="preserve">ix.  CEMS QA plan </t>
    </r>
    <r>
      <rPr>
        <vertAlign val="superscript"/>
        <sz val="10"/>
        <color rgb="FF000000"/>
        <rFont val="Times New Roman"/>
        <family val="1"/>
      </rPr>
      <t>d</t>
    </r>
  </si>
  <si>
    <r>
      <t xml:space="preserve">x.  Notification of compliance status </t>
    </r>
    <r>
      <rPr>
        <vertAlign val="superscript"/>
        <sz val="10"/>
        <color rgb="FF000000"/>
        <rFont val="Times New Roman"/>
        <family val="1"/>
      </rPr>
      <t>d</t>
    </r>
  </si>
  <si>
    <t>xi.  NESHAP waiver application</t>
  </si>
  <si>
    <t>xii.  Report of performance test</t>
  </si>
  <si>
    <t>Subtotal for Reporting Requirements</t>
  </si>
  <si>
    <t>4. Recordkeeping requirements</t>
  </si>
  <si>
    <t>See 3A</t>
  </si>
  <si>
    <t>i.  Time for audits</t>
  </si>
  <si>
    <t xml:space="preserve">Subtotal for Recordkeeping Requirements  </t>
  </si>
  <si>
    <t>Assumptions:</t>
  </si>
  <si>
    <r>
      <t>c</t>
    </r>
    <r>
      <rPr>
        <sz val="10"/>
        <color theme="1"/>
        <rFont val="Times New Roman"/>
        <family val="1"/>
      </rPr>
      <t xml:space="preserve">  We have assumed that all respondents will have to familiarize with regulatory requirements each year.</t>
    </r>
  </si>
  <si>
    <r>
      <t>d</t>
    </r>
    <r>
      <rPr>
        <sz val="10"/>
        <color theme="1"/>
        <rFont val="Times New Roman"/>
        <family val="1"/>
      </rPr>
      <t xml:space="preserve">  We have assumed that existing respondents are in compliance with the initial rule requirements.  New respondents would have to comply with the initial rule requirements including notification and performance test for add-on control devices.</t>
    </r>
  </si>
  <si>
    <t>Salaries taken for NAICS 331500: Foundries</t>
  </si>
  <si>
    <t>https://www.bls.gov/oes/current/naics4_331500.htm</t>
  </si>
  <si>
    <t>Occupation Code</t>
  </si>
  <si>
    <t>Title</t>
  </si>
  <si>
    <t>Mean Hourly Rate</t>
  </si>
  <si>
    <t>Estimated Total Pay with Benefits</t>
  </si>
  <si>
    <t>11-0000</t>
  </si>
  <si>
    <t>Mgmt Occup</t>
  </si>
  <si>
    <t>17-2081</t>
  </si>
  <si>
    <t>Envir Engr</t>
  </si>
  <si>
    <t>43-0000</t>
  </si>
  <si>
    <t>Office and Admin Support</t>
  </si>
  <si>
    <t>May 2018</t>
  </si>
  <si>
    <t>Capital/Startup vs. Operation and Maintenance (O&amp;M) Costs</t>
  </si>
  <si>
    <t>Continuous Monitoring Device</t>
  </si>
  <si>
    <t>Capital/Startup Cost for One Respondent</t>
  </si>
  <si>
    <t xml:space="preserve">Number of New Respondents </t>
  </si>
  <si>
    <t>Annual O&amp;M Costs for One Respondent</t>
  </si>
  <si>
    <t>Number of Respondents with O&amp;M</t>
  </si>
  <si>
    <t>Leak detectors</t>
  </si>
  <si>
    <t>Flow rate monitors</t>
  </si>
  <si>
    <t>pH monitor</t>
  </si>
  <si>
    <t>Pressure drop</t>
  </si>
  <si>
    <t>VOC CEM</t>
  </si>
  <si>
    <t>Total</t>
  </si>
  <si>
    <r>
      <t xml:space="preserve">     a.  Familiarize with regulatory requirements </t>
    </r>
    <r>
      <rPr>
        <vertAlign val="superscript"/>
        <sz val="10"/>
        <color rgb="FF000000"/>
        <rFont val="Times New Roman"/>
        <family val="1"/>
      </rPr>
      <t>c</t>
    </r>
  </si>
  <si>
    <r>
      <t>b</t>
    </r>
    <r>
      <rPr>
        <sz val="10"/>
        <color theme="1"/>
        <rFont val="Times New Roman"/>
        <family val="1"/>
      </rPr>
      <t xml:space="preserve">  This ICR uses the following labor rates from the United States Department of Labor, Bureau of Labor Statistics, May 2018, mean labor rates for Foundries (NAICS 331500) for Management Occupations (11-0000), Environmental Engineer (17-2081) and Office and Administrative Support (43-0000) . The rates have been increased by 110 percent to account for the benefit packages available to those employed by private industry. Fully burdened hourly rates are: $123.71 for management; $81.33 for technical; and $42.80 for clerical.</t>
    </r>
  </si>
  <si>
    <r>
      <t>a</t>
    </r>
    <r>
      <rPr>
        <sz val="10"/>
        <color theme="1"/>
        <rFont val="Times New Roman"/>
        <family val="1"/>
      </rPr>
      <t xml:space="preserve">  We have assumed that the average number of respondents that will be subject to this rule will be 45.  We have assumed that there will be no new foundries projected during the next three years of this ICR.</t>
    </r>
  </si>
  <si>
    <r>
      <t xml:space="preserve">ii.  On-going performance tests </t>
    </r>
    <r>
      <rPr>
        <vertAlign val="superscript"/>
        <sz val="10"/>
        <color rgb="FF000000"/>
        <rFont val="Times New Roman"/>
        <family val="1"/>
      </rPr>
      <t>e</t>
    </r>
  </si>
  <si>
    <r>
      <t xml:space="preserve">        iv.  Scrap selection/inspection plan </t>
    </r>
    <r>
      <rPr>
        <vertAlign val="superscript"/>
        <sz val="10"/>
        <color rgb="FF000000"/>
        <rFont val="Times New Roman"/>
        <family val="1"/>
      </rPr>
      <t>d</t>
    </r>
  </si>
  <si>
    <t xml:space="preserve">       vi.  Monthly inspections of capture systems, maintenance of control devices and monitoring systems, and mould vent ignition plan</t>
  </si>
  <si>
    <r>
      <t>e</t>
    </r>
    <r>
      <rPr>
        <sz val="10"/>
        <color theme="1"/>
        <rFont val="Times New Roman"/>
        <family val="1"/>
      </rPr>
      <t xml:space="preserve">  Performance tests are required for particulate matter by Method 5 or total metal HAP by Method 29, for triethylamine by Method 18, and VOHAP by Method 18 or 25A, depending on the emission source.  Performance tests must be repeated once every 5 years.</t>
    </r>
    <r>
      <rPr>
        <vertAlign val="superscript"/>
        <sz val="10"/>
        <color theme="1"/>
        <rFont val="Times New Roman"/>
        <family val="1"/>
      </rPr>
      <t xml:space="preserve"> Assumed each foundry has two controls requiring a performance test. Assumed 20% of foundries (45*0.2 = 9 foundries) would conduct on-going performance tests each year.</t>
    </r>
  </si>
  <si>
    <r>
      <t xml:space="preserve">i.  Initial performance tests </t>
    </r>
    <r>
      <rPr>
        <vertAlign val="superscript"/>
        <sz val="10"/>
        <color rgb="FF000000"/>
        <rFont val="Times New Roman"/>
        <family val="1"/>
      </rPr>
      <t>d, e</t>
    </r>
  </si>
  <si>
    <r>
      <t xml:space="preserve">ii.  On-going opacity observations </t>
    </r>
    <r>
      <rPr>
        <vertAlign val="superscript"/>
        <sz val="10"/>
        <color rgb="FF000000"/>
        <rFont val="Times New Roman"/>
        <family val="1"/>
      </rPr>
      <t>f</t>
    </r>
  </si>
  <si>
    <r>
      <t xml:space="preserve">        iii.  Operation and maintenance plan </t>
    </r>
    <r>
      <rPr>
        <vertAlign val="superscript"/>
        <sz val="10"/>
        <color rgb="FF000000"/>
        <rFont val="Times New Roman"/>
        <family val="1"/>
      </rPr>
      <t>d</t>
    </r>
  </si>
  <si>
    <r>
      <t xml:space="preserve">        v.  Scrap inspection </t>
    </r>
    <r>
      <rPr>
        <vertAlign val="superscript"/>
        <sz val="10"/>
        <color rgb="FF000000"/>
        <rFont val="Times New Roman"/>
        <family val="1"/>
      </rPr>
      <t>g</t>
    </r>
  </si>
  <si>
    <r>
      <t>xiii.  Semiannual compliance reports</t>
    </r>
    <r>
      <rPr>
        <vertAlign val="superscript"/>
        <sz val="10"/>
        <color rgb="FF000000"/>
        <rFont val="Times New Roman"/>
        <family val="1"/>
      </rPr>
      <t xml:space="preserve"> h</t>
    </r>
  </si>
  <si>
    <r>
      <t xml:space="preserve">b.  Plan activities </t>
    </r>
    <r>
      <rPr>
        <vertAlign val="superscript"/>
        <sz val="10"/>
        <color rgb="FF000000"/>
        <rFont val="Times New Roman"/>
        <family val="1"/>
      </rPr>
      <t>i</t>
    </r>
  </si>
  <si>
    <r>
      <t xml:space="preserve">c.  Implement activities </t>
    </r>
    <r>
      <rPr>
        <vertAlign val="superscript"/>
        <sz val="10"/>
        <color rgb="FF000000"/>
        <rFont val="Times New Roman"/>
        <family val="1"/>
      </rPr>
      <t>i</t>
    </r>
  </si>
  <si>
    <r>
      <t xml:space="preserve">d.  Develop record system </t>
    </r>
    <r>
      <rPr>
        <vertAlign val="superscript"/>
        <sz val="10"/>
        <color rgb="FF000000"/>
        <rFont val="Times New Roman"/>
        <family val="1"/>
      </rPr>
      <t>i, j</t>
    </r>
  </si>
  <si>
    <r>
      <t xml:space="preserve">e.  Time to enter information </t>
    </r>
    <r>
      <rPr>
        <vertAlign val="superscript"/>
        <sz val="10"/>
        <color rgb="FF000000"/>
        <rFont val="Times New Roman"/>
        <family val="1"/>
      </rPr>
      <t>k</t>
    </r>
  </si>
  <si>
    <r>
      <t xml:space="preserve">f.  Time to train personnel </t>
    </r>
    <r>
      <rPr>
        <vertAlign val="superscript"/>
        <sz val="10"/>
        <color rgb="FF000000"/>
        <rFont val="Times New Roman"/>
        <family val="1"/>
      </rPr>
      <t>i</t>
    </r>
  </si>
  <si>
    <r>
      <t xml:space="preserve">h. Time to transmit information </t>
    </r>
    <r>
      <rPr>
        <vertAlign val="superscript"/>
        <sz val="10"/>
        <color rgb="FF000000"/>
        <rFont val="Times New Roman"/>
        <family val="1"/>
      </rPr>
      <t>l</t>
    </r>
  </si>
  <si>
    <r>
      <t xml:space="preserve">TOTAL LABOR BURDEN AND COST (rounded) </t>
    </r>
    <r>
      <rPr>
        <b/>
        <vertAlign val="superscript"/>
        <sz val="10"/>
        <color rgb="FF000000"/>
        <rFont val="Times New Roman"/>
        <family val="1"/>
      </rPr>
      <t>m</t>
    </r>
  </si>
  <si>
    <r>
      <t xml:space="preserve">CAPITAL AND O&amp;M COST (rounded) </t>
    </r>
    <r>
      <rPr>
        <b/>
        <vertAlign val="superscript"/>
        <sz val="10"/>
        <color rgb="FF000000"/>
        <rFont val="Times New Roman"/>
        <family val="1"/>
      </rPr>
      <t>m</t>
    </r>
  </si>
  <si>
    <r>
      <t xml:space="preserve">GRAND TOTAL (rounded) </t>
    </r>
    <r>
      <rPr>
        <b/>
        <vertAlign val="superscript"/>
        <sz val="10"/>
        <color rgb="FF000000"/>
        <rFont val="Times New Roman"/>
        <family val="1"/>
      </rPr>
      <t>m</t>
    </r>
  </si>
  <si>
    <r>
      <t>f</t>
    </r>
    <r>
      <rPr>
        <sz val="10"/>
        <color theme="1"/>
        <rFont val="Times New Roman"/>
        <family val="1"/>
      </rPr>
      <t xml:space="preserve">  Assumed it would take 6 hours to conduct opacity performance tests of building openings for typical foundry; tests must be repeated every 6 months for all foundries.</t>
    </r>
  </si>
  <si>
    <r>
      <t>g</t>
    </r>
    <r>
      <rPr>
        <sz val="10"/>
        <color theme="1"/>
        <rFont val="Times New Roman"/>
        <family val="1"/>
      </rPr>
      <t xml:space="preserve">  Assumed it would talk 0.5 hours each operating day (assumed 350 operating days per year) to inspect scrap piles, scrap shipments, or scrap suppliers, as appropriate, according the the scrap selection and inspection plan.</t>
    </r>
  </si>
  <si>
    <r>
      <t>h</t>
    </r>
    <r>
      <rPr>
        <sz val="10"/>
        <color theme="1"/>
        <rFont val="Times New Roman"/>
        <family val="1"/>
      </rPr>
      <t xml:space="preserve">  We have assumed it will take 12 hours for each respondents to all the required information concerning deviations from any emissions limitation or operation and maintenance requirements under the NESHAP rule into the electronic form template for each semiannual report.  </t>
    </r>
  </si>
  <si>
    <r>
      <t>j</t>
    </r>
    <r>
      <rPr>
        <sz val="10"/>
        <color theme="1"/>
        <rFont val="Times New Roman"/>
        <family val="1"/>
      </rPr>
      <t xml:space="preserve">  We have assumed that new respondents would of already have the technology and recordkeeping systems in place to monitor its daily operations and to comply with existing regulations.</t>
    </r>
  </si>
  <si>
    <r>
      <t>k</t>
    </r>
    <r>
      <rPr>
        <sz val="10"/>
        <color theme="1"/>
        <rFont val="Times New Roman"/>
        <family val="1"/>
      </rPr>
      <t xml:space="preserve">  We have assumed that it will take each respondent one hour 52 times per year to enter information.</t>
    </r>
  </si>
  <si>
    <r>
      <t>l</t>
    </r>
    <r>
      <rPr>
        <sz val="10"/>
        <color theme="1"/>
        <rFont val="Times New Roman"/>
        <family val="1"/>
      </rPr>
      <t xml:space="preserve">  We have assumed that it will take each of the respondents 15 minutes two times per year to transmit information.</t>
    </r>
  </si>
  <si>
    <r>
      <t>m</t>
    </r>
    <r>
      <rPr>
        <sz val="10"/>
        <color theme="1"/>
        <rFont val="Times New Roman"/>
        <family val="1"/>
      </rPr>
      <t xml:space="preserve">  Totals hours are rounded to the nearest 100; total dollars have been rounded to nearest 1,000. Figures may not add exactly due to rounding.</t>
    </r>
  </si>
  <si>
    <r>
      <t>i</t>
    </r>
    <r>
      <rPr>
        <sz val="10"/>
        <color theme="1"/>
        <rFont val="Times New Roman"/>
        <family val="1"/>
      </rPr>
      <t xml:space="preserve">  Assume each foundry will review new electronic reporting forms and will plan, train, and implement recordkeeping activities during the first year. These activities will not be necessary in the second and third year of the ICR, so on average, there will be 15 respondents per year [(45 + 0 + 0)/3 = 15] for these activities during the 3-year period covered by the ICR.</t>
    </r>
  </si>
  <si>
    <r>
      <t>e</t>
    </r>
    <r>
      <rPr>
        <sz val="10"/>
        <color theme="1"/>
        <rFont val="Times New Roman"/>
        <family val="1"/>
      </rPr>
      <t xml:space="preserve">  Performance tests are required for particulate matter by Method 5 or total metal HAP by Method 29, for triethylamine by Method 18, and VOHAP by Method 18 or 25A, depending on the emission source.  Performance tests must be repeated once every 5 years. Assumed each foundry has two controls requiring a performance test. Therefore, retest occurence rate is 2 tests/5 years = 0.4 test/years.</t>
    </r>
  </si>
  <si>
    <r>
      <t>g</t>
    </r>
    <r>
      <rPr>
        <sz val="10"/>
        <color theme="1"/>
        <rFont val="Times New Roman"/>
        <family val="1"/>
      </rPr>
      <t xml:space="preserve"> Assumed it would talk 0.5 hours each operating day (assumed 350 operating days per year) to inspect scrap piles, scrap shipments, or scrap suppliers, as appropriate, according the the scrap selection and inspection plan.</t>
    </r>
  </si>
  <si>
    <r>
      <t>h</t>
    </r>
    <r>
      <rPr>
        <sz val="10"/>
        <color theme="1"/>
        <rFont val="Times New Roman"/>
        <family val="1"/>
      </rPr>
      <t xml:space="preserve"> We have assumed it will take 12 hours for each respondents to all the required information concerning deviations from any emissions limitation or operation and maintenance requirements under the NESHAP rule into the electronic form template for each semiannual report.  </t>
    </r>
  </si>
  <si>
    <r>
      <t>f</t>
    </r>
    <r>
      <rPr>
        <sz val="10"/>
        <color theme="1"/>
        <rFont val="Times New Roman"/>
        <family val="1"/>
      </rPr>
      <t xml:space="preserve">  Opacity performance tests should be conducted over 3-hour period as specified in §63.6(h)(5)(ii).  Assumed average major source foundry would have two separate building openings to observe, so total duration is 6 hours. Tests must be repeated every 6 months for all foundries.</t>
    </r>
  </si>
  <si>
    <t>Total Capital/Startup Cost, (B x C)</t>
  </si>
  <si>
    <t>Total O&amp;M, 
(E x F)</t>
  </si>
  <si>
    <r>
      <t xml:space="preserve">vi.  Notification of performance test </t>
    </r>
    <r>
      <rPr>
        <vertAlign val="superscript"/>
        <sz val="10"/>
        <color rgb="FF000000"/>
        <rFont val="Times New Roman"/>
        <family val="1"/>
      </rPr>
      <t>e</t>
    </r>
  </si>
  <si>
    <r>
      <t xml:space="preserve">     g.  Time to adjust existing ways to comply with previously applicable requirements</t>
    </r>
    <r>
      <rPr>
        <vertAlign val="superscript"/>
        <sz val="10"/>
        <color rgb="FF000000"/>
        <rFont val="Times New Roman"/>
        <family val="1"/>
      </rPr>
      <t xml:space="preserve"> i</t>
    </r>
  </si>
  <si>
    <r>
      <t>m</t>
    </r>
    <r>
      <rPr>
        <sz val="10"/>
        <color theme="1"/>
        <rFont val="Times New Roman"/>
        <family val="1"/>
      </rPr>
      <t xml:space="preserve">  Totals burden and costs have been rounded to 3 significant digits. Figures may not add exactly due to rounding.</t>
    </r>
  </si>
  <si>
    <r>
      <t xml:space="preserve">Total </t>
    </r>
    <r>
      <rPr>
        <vertAlign val="superscript"/>
        <sz val="10"/>
        <color theme="1"/>
        <rFont val="Times New Roman"/>
        <family val="1"/>
      </rPr>
      <t>b</t>
    </r>
  </si>
  <si>
    <r>
      <rPr>
        <vertAlign val="superscript"/>
        <sz val="10"/>
        <color theme="1"/>
        <rFont val="Times New Roman"/>
        <family val="1"/>
      </rPr>
      <t xml:space="preserve">b </t>
    </r>
    <r>
      <rPr>
        <sz val="10"/>
        <color theme="1"/>
        <rFont val="Times New Roman"/>
        <family val="1"/>
      </rPr>
      <t>Totals have been rounded to 3 significant figures. Figures may not add exactly due to rounding.</t>
    </r>
  </si>
  <si>
    <t>Agency Worker Rates</t>
  </si>
  <si>
    <r>
      <t xml:space="preserve">Labor Rates, $/hr </t>
    </r>
    <r>
      <rPr>
        <b/>
        <vertAlign val="superscript"/>
        <sz val="12"/>
        <color rgb="FF000000"/>
        <rFont val="Times New Roman"/>
        <family val="1"/>
      </rPr>
      <t>a</t>
    </r>
  </si>
  <si>
    <t>60% Overhead</t>
  </si>
  <si>
    <t>Total, $/hr</t>
  </si>
  <si>
    <t>Managerial (GS-13, step 5)</t>
  </si>
  <si>
    <t xml:space="preserve">Technical (GS-12, step 1) </t>
  </si>
  <si>
    <t>Clerical (GS-6, step 3)</t>
  </si>
  <si>
    <t xml:space="preserve">a https://www.opm.gov/policy-data-oversight/pay-leave/salaries-wages/salary-tables/pdf/2019/GS_h.pdf  </t>
  </si>
  <si>
    <t>Effective January 2019</t>
  </si>
  <si>
    <t>2019:</t>
  </si>
  <si>
    <t>Activity</t>
  </si>
  <si>
    <t>(A) EPA person-hours per occurrence</t>
  </si>
  <si>
    <t>(B) No. of occurrences per plant per year</t>
  </si>
  <si>
    <t>(C) EPA person hours per plant per year (AxB)</t>
  </si>
  <si>
    <r>
      <t xml:space="preserve">(D) Plants per year </t>
    </r>
    <r>
      <rPr>
        <b/>
        <vertAlign val="superscript"/>
        <sz val="9"/>
        <rFont val="Times New Roman"/>
        <family val="1"/>
      </rPr>
      <t>a</t>
    </r>
    <r>
      <rPr>
        <b/>
        <sz val="9"/>
        <rFont val="Times New Roman"/>
        <family val="1"/>
      </rPr>
      <t xml:space="preserve">  </t>
    </r>
  </si>
  <si>
    <t>(E) Technical person-hours per year (CxD)</t>
  </si>
  <si>
    <t>(F) Management person-hours per year (Ex0.05)</t>
  </si>
  <si>
    <t>(G) Clerical person-hours per year (Ex0.1)</t>
  </si>
  <si>
    <r>
      <t xml:space="preserve">(H) Cost, $ </t>
    </r>
    <r>
      <rPr>
        <b/>
        <vertAlign val="superscript"/>
        <sz val="9"/>
        <rFont val="Times New Roman"/>
        <family val="1"/>
      </rPr>
      <t>b</t>
    </r>
  </si>
  <si>
    <r>
      <t>TOTAL BURDEN AND COST (rounded)</t>
    </r>
    <r>
      <rPr>
        <b/>
        <vertAlign val="superscript"/>
        <sz val="9"/>
        <rFont val="Times New Roman"/>
        <family val="1"/>
      </rPr>
      <t>e</t>
    </r>
  </si>
  <si>
    <t>Information Collection Activity</t>
  </si>
  <si>
    <t>Number of Respondents</t>
  </si>
  <si>
    <t>Number of Responses</t>
  </si>
  <si>
    <t>Number of Existing Respondents That Keep Records But Do Not Submit Reports</t>
  </si>
  <si>
    <t>Total Annual  Responses</t>
  </si>
  <si>
    <t>E=(BxC)+D</t>
  </si>
  <si>
    <t>Initial Notification</t>
  </si>
  <si>
    <t>Notification of Compliance Status</t>
  </si>
  <si>
    <t>Notification of Foundry Reclassification</t>
  </si>
  <si>
    <t xml:space="preserve">Semiannual compliance reports </t>
  </si>
  <si>
    <r>
      <t xml:space="preserve">Notification of Performance Test for PM </t>
    </r>
    <r>
      <rPr>
        <vertAlign val="superscript"/>
        <sz val="9"/>
        <color theme="1"/>
        <rFont val="Times New Roman"/>
        <family val="1"/>
      </rPr>
      <t>a</t>
    </r>
  </si>
  <si>
    <r>
      <rPr>
        <vertAlign val="superscript"/>
        <sz val="10"/>
        <color theme="1"/>
        <rFont val="Times New Roman"/>
        <family val="1"/>
      </rPr>
      <t>a</t>
    </r>
    <r>
      <rPr>
        <sz val="10"/>
        <color theme="1"/>
        <rFont val="Times New Roman"/>
        <family val="1"/>
      </rPr>
      <t xml:space="preserve"> Assumes all 45 major source foundries use baghouse to meet melting PM limits. Estimated that 23 foundries use TEA scrubber. Estimated that 7 foundries use wet scrubber for other PM control. Estimated that two foundries may use VOC CEMS. </t>
    </r>
  </si>
  <si>
    <t>110% OH and benefits</t>
  </si>
  <si>
    <t>Averge response burden</t>
  </si>
  <si>
    <r>
      <t>xii.  Report of performance test (through CEDRI using ERT)</t>
    </r>
    <r>
      <rPr>
        <vertAlign val="superscript"/>
        <sz val="10"/>
        <color rgb="FF000000"/>
        <rFont val="Times New Roman"/>
        <family val="1"/>
      </rPr>
      <t xml:space="preserve"> e</t>
    </r>
  </si>
  <si>
    <t>Report of performance test (through CEDRI using ERT)</t>
  </si>
  <si>
    <r>
      <t xml:space="preserve">iii.  On-going opacity observations </t>
    </r>
    <r>
      <rPr>
        <vertAlign val="superscript"/>
        <sz val="10"/>
        <color rgb="FF000000"/>
        <rFont val="Times New Roman"/>
        <family val="1"/>
      </rPr>
      <t>f</t>
    </r>
  </si>
  <si>
    <r>
      <t xml:space="preserve">        v.  Scrap selection/inspection plan </t>
    </r>
    <r>
      <rPr>
        <vertAlign val="superscript"/>
        <sz val="10"/>
        <color rgb="FF000000"/>
        <rFont val="Times New Roman"/>
        <family val="1"/>
      </rPr>
      <t>d</t>
    </r>
  </si>
  <si>
    <r>
      <t xml:space="preserve">        iv.  Operation and maintenance plan </t>
    </r>
    <r>
      <rPr>
        <vertAlign val="superscript"/>
        <sz val="10"/>
        <color rgb="FF000000"/>
        <rFont val="Times New Roman"/>
        <family val="1"/>
      </rPr>
      <t>d</t>
    </r>
  </si>
  <si>
    <r>
      <t xml:space="preserve">        vi.  Scrap inspection </t>
    </r>
    <r>
      <rPr>
        <vertAlign val="superscript"/>
        <sz val="10"/>
        <color rgb="FF000000"/>
        <rFont val="Times New Roman"/>
        <family val="1"/>
      </rPr>
      <t>g</t>
    </r>
  </si>
  <si>
    <t xml:space="preserve">       vii.  Monthly inspections of capture systems, maintenance of control devices and monitoring systems, and mould vent ignition plan</t>
  </si>
  <si>
    <r>
      <t>a</t>
    </r>
    <r>
      <rPr>
        <sz val="10"/>
        <color rgb="FF000000"/>
        <rFont val="Times New Roman"/>
        <family val="1"/>
      </rPr>
      <t xml:space="preserve">  We have assumed that the average number of respondents that will be subject to this rule will be 45.  There will be no new foundries projected during the next three years of this ICR.</t>
    </r>
  </si>
  <si>
    <r>
      <t>b</t>
    </r>
    <r>
      <rPr>
        <sz val="10"/>
        <color rgb="FF000000"/>
        <rFont val="Times New Roman"/>
        <family val="1"/>
      </rPr>
      <t xml:space="preserve">  This cost is based on the following 2019 labor rates which incorporates a 1.6 benefits multiplication factor to account for government overhead expenses: $66.62 Managerial rate (GS-13, Step 5), $49.44 Technical rate (GS-12, Step 1), and $26.75 Clerical rate (GS-6, Step 3).  These rates are calculated from the hourly rates included in the Office of Personnel Management (OPM) 2019 General Schedule which excludes locality rates of pay; the rates have been increased by 60 percent to account for benefit packages available to government employees.</t>
    </r>
  </si>
  <si>
    <r>
      <t>c</t>
    </r>
    <r>
      <rPr>
        <sz val="10"/>
        <color rgb="FF000000"/>
        <rFont val="Times New Roman"/>
        <family val="1"/>
      </rPr>
      <t xml:space="preserve">  We have assumed that EPA personnel would not attend any ongoing performance tests.</t>
    </r>
  </si>
  <si>
    <r>
      <t>d</t>
    </r>
    <r>
      <rPr>
        <sz val="10"/>
        <color rgb="FF000000"/>
        <rFont val="Times New Roman"/>
        <family val="1"/>
      </rPr>
      <t xml:space="preserve">  We have assumed that existing respondents are in compliance with the initial rule requirements.  New respondents would have to comply with the initial rule requirements including notification and performance test for add-on control devices.</t>
    </r>
  </si>
  <si>
    <r>
      <t>e</t>
    </r>
    <r>
      <rPr>
        <sz val="10"/>
        <color rgb="FF000000"/>
        <rFont val="Times New Roman"/>
        <family val="1"/>
      </rPr>
      <t xml:space="preserve">  Performance tests are required for particulate matter by Method 5 or total metal HAP by Method 29, for triethylamine by Method 18, and VOHAP by Method 18 or 25A, depending on the emission source.  Performance tests must be repeated once every 5 years. We assumed each foundry has two controls requiring a performance test. Therefore, retest occurrence rate is 2 tests/5 years = 0.4 test/years.</t>
    </r>
  </si>
  <si>
    <r>
      <t>f</t>
    </r>
    <r>
      <rPr>
        <sz val="10"/>
        <color rgb="FF000000"/>
        <rFont val="Times New Roman"/>
        <family val="1"/>
      </rPr>
      <t xml:space="preserve">  We have assumed that all respondents are required to submit semiannual compliance reports.</t>
    </r>
  </si>
  <si>
    <r>
      <t>g</t>
    </r>
    <r>
      <rPr>
        <sz val="10"/>
        <color rgb="FF000000"/>
        <rFont val="Times New Roman"/>
        <family val="1"/>
      </rPr>
      <t xml:space="preserve">  Totals have been rounded to 3 significant figures. Figures may not add exactly due to rounding.</t>
    </r>
  </si>
  <si>
    <r>
      <t xml:space="preserve">Attend performance test </t>
    </r>
    <r>
      <rPr>
        <vertAlign val="superscript"/>
        <sz val="10"/>
        <color rgb="FF000000"/>
        <rFont val="Times New Roman"/>
        <family val="1"/>
      </rPr>
      <t>c</t>
    </r>
  </si>
  <si>
    <t xml:space="preserve">Report review </t>
  </si>
  <si>
    <t>Notification of special compliance requirements</t>
  </si>
  <si>
    <r>
      <t xml:space="preserve">Notification of applicability </t>
    </r>
    <r>
      <rPr>
        <vertAlign val="superscript"/>
        <sz val="10"/>
        <color rgb="FF000000"/>
        <rFont val="Times New Roman"/>
        <family val="1"/>
      </rPr>
      <t>d</t>
    </r>
  </si>
  <si>
    <r>
      <t xml:space="preserve">Notification of performance test or CEMS performance evaluation </t>
    </r>
    <r>
      <rPr>
        <vertAlign val="superscript"/>
        <sz val="10"/>
        <color rgb="FF000000"/>
        <rFont val="Times New Roman"/>
        <family val="1"/>
      </rPr>
      <t>e</t>
    </r>
  </si>
  <si>
    <r>
      <t xml:space="preserve">CEMS QA plan </t>
    </r>
    <r>
      <rPr>
        <vertAlign val="superscript"/>
        <sz val="10"/>
        <color rgb="FF000000"/>
        <rFont val="Times New Roman"/>
        <family val="1"/>
      </rPr>
      <t>d</t>
    </r>
  </si>
  <si>
    <r>
      <t xml:space="preserve">Notification of compliance status </t>
    </r>
    <r>
      <rPr>
        <vertAlign val="superscript"/>
        <sz val="10"/>
        <color rgb="FF000000"/>
        <rFont val="Times New Roman"/>
        <family val="1"/>
      </rPr>
      <t>d</t>
    </r>
  </si>
  <si>
    <r>
      <t xml:space="preserve">Site-specific test plan </t>
    </r>
    <r>
      <rPr>
        <vertAlign val="superscript"/>
        <sz val="10"/>
        <color rgb="FF000000"/>
        <rFont val="Times New Roman"/>
        <family val="1"/>
      </rPr>
      <t>d</t>
    </r>
  </si>
  <si>
    <r>
      <t xml:space="preserve">Scrap selection/inspection plan </t>
    </r>
    <r>
      <rPr>
        <vertAlign val="superscript"/>
        <sz val="10"/>
        <color rgb="FF000000"/>
        <rFont val="Times New Roman"/>
        <family val="1"/>
      </rPr>
      <t>d</t>
    </r>
  </si>
  <si>
    <r>
      <t xml:space="preserve">Performance test report </t>
    </r>
    <r>
      <rPr>
        <vertAlign val="superscript"/>
        <sz val="10"/>
        <color rgb="FF000000"/>
        <rFont val="Times New Roman"/>
        <family val="1"/>
      </rPr>
      <t>e</t>
    </r>
  </si>
  <si>
    <r>
      <t xml:space="preserve">Semiannual compliance reports </t>
    </r>
    <r>
      <rPr>
        <vertAlign val="superscript"/>
        <sz val="10"/>
        <color rgb="FF000000"/>
        <rFont val="Times New Roman"/>
        <family val="1"/>
      </rPr>
      <t>f</t>
    </r>
  </si>
  <si>
    <r>
      <t xml:space="preserve">NESHAP waiver application </t>
    </r>
    <r>
      <rPr>
        <vertAlign val="superscript"/>
        <sz val="10"/>
        <color rgb="FF000000"/>
        <rFont val="Times New Roman"/>
        <family val="1"/>
      </rPr>
      <t>d</t>
    </r>
  </si>
  <si>
    <r>
      <t xml:space="preserve">Compliance extension request </t>
    </r>
    <r>
      <rPr>
        <vertAlign val="superscript"/>
        <sz val="10"/>
        <color rgb="FF000000"/>
        <rFont val="Times New Roman"/>
        <family val="1"/>
      </rPr>
      <t>d</t>
    </r>
  </si>
  <si>
    <r>
      <t>Table 1: Annual Respondent Bur</t>
    </r>
    <r>
      <rPr>
        <b/>
        <sz val="12"/>
        <color theme="1"/>
        <rFont val="Times New Roman"/>
        <family val="1"/>
      </rPr>
      <t>den and Cost – NESHAP for Iron and Steel Foundries (40 CFR Part 63, Subpart EEEEE) (Proposed Amendments)</t>
    </r>
  </si>
  <si>
    <t>Table 2: Average Annual EPA Burden and Cost – NESHAP for Iron and Steel Foundries (40 CFR Part 63, Subpart EEEEE) (Proposed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</si>
</sst>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0.0"/>
  </numFmts>
  <fonts count="24" x14ac:knownFonts="1">
    <font>
      <sz val="11"/>
      <color theme="1"/>
      <name val="Calibri"/>
      <family val="2"/>
      <scheme val="minor"/>
    </font>
    <font>
      <sz val="12"/>
      <color theme="1"/>
      <name val="Times New Roman"/>
      <family val="1"/>
    </font>
    <font>
      <b/>
      <sz val="12"/>
      <color theme="1"/>
      <name val="Times New Roman"/>
      <family val="1"/>
    </font>
    <font>
      <b/>
      <sz val="12"/>
      <color rgb="FF000000"/>
      <name val="Times New Roman"/>
      <family val="1"/>
    </font>
    <font>
      <sz val="10"/>
      <color theme="1"/>
      <name val="Times New Roman"/>
      <family val="1"/>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0"/>
      <color rgb="FF000000"/>
      <name val="Times New Roman"/>
      <family val="1"/>
    </font>
    <font>
      <sz val="11"/>
      <color rgb="FF000000"/>
      <name val="Calibri"/>
      <family val="2"/>
    </font>
    <font>
      <sz val="12"/>
      <color rgb="FFFF0000"/>
      <name val="Times New Roman"/>
      <family val="1"/>
    </font>
    <font>
      <b/>
      <sz val="10"/>
      <color theme="1"/>
      <name val="Times New Roman"/>
      <family val="1"/>
    </font>
    <font>
      <vertAlign val="superscript"/>
      <sz val="10"/>
      <color theme="1"/>
      <name val="Times New Roman"/>
      <family val="1"/>
    </font>
    <font>
      <u/>
      <sz val="11"/>
      <color theme="10"/>
      <name val="Calibri"/>
      <family val="2"/>
      <scheme val="minor"/>
    </font>
    <font>
      <sz val="12"/>
      <color rgb="FF000000"/>
      <name val="Times New Roman"/>
      <family val="1"/>
    </font>
    <font>
      <b/>
      <vertAlign val="superscript"/>
      <sz val="12"/>
      <color rgb="FF000000"/>
      <name val="Times New Roman"/>
      <family val="1"/>
    </font>
    <font>
      <sz val="9"/>
      <name val="Calibri"/>
      <family val="2"/>
      <scheme val="minor"/>
    </font>
    <font>
      <b/>
      <sz val="9"/>
      <name val="Times New Roman"/>
      <family val="1"/>
    </font>
    <font>
      <b/>
      <vertAlign val="superscript"/>
      <sz val="9"/>
      <name val="Times New Roman"/>
      <family val="1"/>
    </font>
    <font>
      <sz val="9"/>
      <name val="Times New Roman"/>
      <family val="1"/>
    </font>
    <font>
      <b/>
      <sz val="9"/>
      <color theme="1"/>
      <name val="Times New Roman"/>
      <family val="1"/>
    </font>
    <font>
      <sz val="9"/>
      <color theme="1"/>
      <name val="Times New Roman"/>
      <family val="1"/>
    </font>
    <font>
      <vertAlign val="superscript"/>
      <sz val="9"/>
      <color theme="1"/>
      <name val="Times New Roman"/>
      <family val="1"/>
    </font>
    <font>
      <b/>
      <sz val="10"/>
      <name val="Calibri"/>
      <family val="2"/>
      <scheme val="minor"/>
    </font>
  </fonts>
  <fills count="2">
    <fill>
      <patternFill patternType="none"/>
    </fill>
    <fill>
      <patternFill patternType="gray125"/>
    </fill>
  </fills>
  <borders count="2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rgb="FFFFFFFF"/>
      </bottom>
      <diagonal/>
    </border>
    <border>
      <left/>
      <right style="medium">
        <color rgb="FFFFFFFF"/>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rgb="FFFFFFFF"/>
      </bottom>
      <diagonal/>
    </border>
    <border>
      <left/>
      <right style="thin">
        <color indexed="64"/>
      </right>
      <top/>
      <bottom style="medium">
        <color rgb="FFFFFFFF"/>
      </bottom>
      <diagonal/>
    </border>
    <border>
      <left style="thin">
        <color indexed="64"/>
      </left>
      <right style="medium">
        <color rgb="FFFFFFFF"/>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cellStyleXfs>
  <cellXfs count="76">
    <xf numFmtId="0" fontId="0" fillId="0" borderId="0" xfId="0"/>
    <xf numFmtId="0" fontId="3" fillId="0" borderId="0" xfId="0" applyFont="1" applyAlignment="1">
      <alignmen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7" xfId="0" applyBorder="1" applyAlignment="1">
      <alignment vertical="center" wrapText="1"/>
    </xf>
    <xf numFmtId="0" fontId="5" fillId="0" borderId="7" xfId="0" applyFont="1" applyBorder="1" applyAlignment="1">
      <alignment horizontal="center" vertical="center" wrapText="1"/>
    </xf>
    <xf numFmtId="0" fontId="7" fillId="0" borderId="3" xfId="0" applyFont="1" applyBorder="1" applyAlignment="1">
      <alignment horizontal="left" vertical="center" wrapText="1" indent="1"/>
    </xf>
    <xf numFmtId="0" fontId="7" fillId="0" borderId="7" xfId="0" applyFont="1" applyBorder="1" applyAlignment="1">
      <alignment horizontal="center" vertical="center" wrapText="1"/>
    </xf>
    <xf numFmtId="0" fontId="7" fillId="0" borderId="7" xfId="0" applyFont="1" applyBorder="1" applyAlignment="1">
      <alignment horizontal="right" vertical="center" wrapText="1"/>
    </xf>
    <xf numFmtId="0" fontId="7" fillId="0" borderId="3" xfId="0" applyFont="1" applyBorder="1" applyAlignment="1">
      <alignment vertical="center" wrapText="1"/>
    </xf>
    <xf numFmtId="0" fontId="7" fillId="0" borderId="3" xfId="0" applyFont="1" applyBorder="1" applyAlignment="1">
      <alignment horizontal="left" vertical="center" wrapText="1" indent="2"/>
    </xf>
    <xf numFmtId="0" fontId="7" fillId="0" borderId="3" xfId="0" applyFont="1" applyBorder="1" applyAlignment="1">
      <alignment horizontal="left" vertical="center" wrapText="1" indent="3"/>
    </xf>
    <xf numFmtId="6" fontId="7" fillId="0" borderId="7" xfId="0" applyNumberFormat="1" applyFont="1" applyBorder="1" applyAlignment="1">
      <alignment horizontal="right" vertical="center" wrapText="1"/>
    </xf>
    <xf numFmtId="0" fontId="5" fillId="0" borderId="3" xfId="0" applyFont="1" applyBorder="1" applyAlignment="1">
      <alignment vertical="center" wrapText="1"/>
    </xf>
    <xf numFmtId="6" fontId="5" fillId="0" borderId="7" xfId="0" applyNumberFormat="1" applyFont="1" applyBorder="1" applyAlignment="1">
      <alignment horizontal="right" vertical="center" wrapText="1"/>
    </xf>
    <xf numFmtId="0" fontId="7" fillId="0" borderId="7" xfId="0" applyFont="1" applyBorder="1" applyAlignment="1">
      <alignment vertical="center" wrapText="1"/>
    </xf>
    <xf numFmtId="0" fontId="9" fillId="0" borderId="7"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1"/>
    <xf numFmtId="0" fontId="5" fillId="0" borderId="0" xfId="0" applyFont="1" applyFill="1" applyBorder="1" applyAlignment="1">
      <alignment horizontal="center" vertical="center" wrapText="1"/>
    </xf>
    <xf numFmtId="17" fontId="0" fillId="0" borderId="0" xfId="0" quotePrefix="1" applyNumberFormat="1"/>
    <xf numFmtId="0" fontId="7" fillId="0" borderId="11" xfId="0" applyFont="1" applyBorder="1" applyAlignment="1">
      <alignment vertical="center" wrapText="1"/>
    </xf>
    <xf numFmtId="0" fontId="4" fillId="0" borderId="0" xfId="0" applyFont="1"/>
    <xf numFmtId="0" fontId="3" fillId="0" borderId="18" xfId="0" applyFont="1" applyBorder="1" applyAlignment="1">
      <alignment vertical="center" wrapText="1"/>
    </xf>
    <xf numFmtId="0" fontId="7" fillId="0" borderId="19" xfId="0" applyFont="1" applyBorder="1" applyAlignment="1">
      <alignment vertical="center" wrapText="1"/>
    </xf>
    <xf numFmtId="0" fontId="7" fillId="0" borderId="12" xfId="0" applyFont="1" applyBorder="1" applyAlignment="1">
      <alignment horizontal="center" vertical="center" wrapText="1"/>
    </xf>
    <xf numFmtId="0" fontId="7" fillId="0" borderId="12" xfId="0" applyFont="1" applyBorder="1" applyAlignment="1">
      <alignment vertical="center" wrapText="1"/>
    </xf>
    <xf numFmtId="0" fontId="4" fillId="0" borderId="12" xfId="0" applyFont="1" applyBorder="1" applyAlignment="1">
      <alignment vertical="center" wrapText="1"/>
    </xf>
    <xf numFmtId="6" fontId="4" fillId="0" borderId="12"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3" fillId="0" borderId="20" xfId="0" applyFont="1" applyBorder="1" applyAlignment="1">
      <alignment vertical="center"/>
    </xf>
    <xf numFmtId="0" fontId="3" fillId="0" borderId="4" xfId="0" applyFont="1" applyBorder="1" applyAlignment="1">
      <alignment horizontal="center" vertical="center"/>
    </xf>
    <xf numFmtId="0" fontId="14" fillId="0" borderId="3" xfId="0" applyFont="1" applyBorder="1" applyAlignment="1">
      <alignment vertical="center"/>
    </xf>
    <xf numFmtId="8" fontId="14" fillId="0" borderId="7" xfId="0" applyNumberFormat="1" applyFont="1" applyBorder="1" applyAlignment="1">
      <alignment horizontal="center" vertical="center"/>
    </xf>
    <xf numFmtId="8" fontId="1" fillId="0" borderId="7" xfId="0" applyNumberFormat="1" applyFont="1" applyBorder="1" applyAlignment="1">
      <alignment horizontal="center" vertical="center"/>
    </xf>
    <xf numFmtId="0" fontId="13" fillId="0" borderId="0" xfId="1" applyAlignment="1">
      <alignment vertical="center"/>
    </xf>
    <xf numFmtId="0" fontId="14" fillId="0" borderId="0" xfId="0" applyFont="1" applyFill="1" applyBorder="1" applyAlignment="1">
      <alignment vertical="center"/>
    </xf>
    <xf numFmtId="0" fontId="16" fillId="0" borderId="0" xfId="0" applyFont="1"/>
    <xf numFmtId="46" fontId="16" fillId="0" borderId="0" xfId="0" quotePrefix="1" applyNumberFormat="1" applyFont="1"/>
    <xf numFmtId="8" fontId="16" fillId="0" borderId="0" xfId="0" applyNumberFormat="1" applyFont="1"/>
    <xf numFmtId="0" fontId="17" fillId="0" borderId="12" xfId="0" applyFont="1" applyBorder="1" applyAlignment="1">
      <alignment horizontal="center" vertical="center" wrapText="1"/>
    </xf>
    <xf numFmtId="0" fontId="17" fillId="0" borderId="21" xfId="0" applyFont="1" applyBorder="1" applyAlignment="1">
      <alignment vertical="top"/>
    </xf>
    <xf numFmtId="0" fontId="20" fillId="0" borderId="12" xfId="0" applyFont="1" applyBorder="1" applyAlignment="1">
      <alignment horizontal="center" vertical="center" wrapText="1"/>
    </xf>
    <xf numFmtId="0" fontId="0" fillId="0" borderId="12" xfId="0" applyBorder="1"/>
    <xf numFmtId="0" fontId="0" fillId="0" borderId="12" xfId="0" applyBorder="1" applyAlignment="1">
      <alignment vertical="top" wrapText="1"/>
    </xf>
    <xf numFmtId="0" fontId="21" fillId="0" borderId="12" xfId="0" applyFont="1" applyBorder="1" applyAlignment="1">
      <alignment horizontal="center" vertical="center" wrapText="1"/>
    </xf>
    <xf numFmtId="0" fontId="21" fillId="0" borderId="12" xfId="0" applyFont="1" applyBorder="1" applyAlignment="1">
      <alignment vertical="center" wrapText="1"/>
    </xf>
    <xf numFmtId="0" fontId="20" fillId="0" borderId="12" xfId="0" applyFont="1" applyBorder="1" applyAlignment="1">
      <alignment vertical="center" wrapText="1"/>
    </xf>
    <xf numFmtId="1" fontId="20" fillId="0" borderId="12" xfId="0" applyNumberFormat="1" applyFont="1" applyBorder="1" applyAlignment="1">
      <alignment horizontal="center" vertical="center" wrapText="1"/>
    </xf>
    <xf numFmtId="2" fontId="0" fillId="0" borderId="0" xfId="0" applyNumberFormat="1"/>
    <xf numFmtId="0" fontId="0" fillId="0" borderId="0" xfId="0" applyAlignment="1">
      <alignment horizontal="right"/>
    </xf>
    <xf numFmtId="3" fontId="19" fillId="0" borderId="12" xfId="0" applyNumberFormat="1" applyFont="1" applyBorder="1" applyAlignment="1">
      <alignment horizontal="center" vertical="center"/>
    </xf>
    <xf numFmtId="6" fontId="19" fillId="0" borderId="12" xfId="0" applyNumberFormat="1" applyFont="1" applyBorder="1" applyAlignment="1">
      <alignment horizontal="right" vertical="center"/>
    </xf>
    <xf numFmtId="164" fontId="19" fillId="0" borderId="12" xfId="0" applyNumberFormat="1" applyFont="1" applyBorder="1" applyAlignment="1">
      <alignment horizontal="center" vertical="center"/>
    </xf>
    <xf numFmtId="8" fontId="19" fillId="0" borderId="12" xfId="0" applyNumberFormat="1" applyFont="1" applyBorder="1" applyAlignment="1">
      <alignment horizontal="right" vertical="center"/>
    </xf>
    <xf numFmtId="0" fontId="16" fillId="0" borderId="21" xfId="0" applyFont="1" applyBorder="1" applyAlignment="1">
      <alignment vertical="center"/>
    </xf>
    <xf numFmtId="6" fontId="17" fillId="0" borderId="21" xfId="0" applyNumberFormat="1" applyFont="1" applyBorder="1" applyAlignment="1">
      <alignment vertical="center"/>
    </xf>
    <xf numFmtId="0" fontId="5" fillId="0" borderId="0" xfId="0" applyFont="1" applyAlignment="1">
      <alignment vertical="center"/>
    </xf>
    <xf numFmtId="0" fontId="8" fillId="0" borderId="0" xfId="0" applyFont="1" applyAlignment="1">
      <alignment vertical="center"/>
    </xf>
    <xf numFmtId="0" fontId="7" fillId="0" borderId="12" xfId="0" applyFont="1" applyBorder="1" applyAlignment="1">
      <alignment horizontal="left" vertical="center" wrapText="1" indent="1"/>
    </xf>
    <xf numFmtId="0" fontId="23" fillId="0" borderId="0" xfId="0" applyFont="1"/>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3" fontId="5" fillId="0" borderId="8" xfId="0" applyNumberFormat="1" applyFont="1" applyBorder="1" applyAlignment="1">
      <alignment horizontal="center" vertical="center" wrapText="1"/>
    </xf>
    <xf numFmtId="3" fontId="5" fillId="0" borderId="9"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3" fillId="0" borderId="1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7" xfId="0" applyFont="1" applyBorder="1" applyAlignment="1">
      <alignment horizontal="center" vertical="center" wrapText="1"/>
    </xf>
    <xf numFmtId="3" fontId="17" fillId="0" borderId="21"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bls.gov/oes/current/naics4_331500.ht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bls.gov/oes/current/naics4_331500.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pm.gov/policy-data-oversight/pay-leave/salaries-wages/salary-tables/pdf/2019/GS_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4B057-893A-45A6-A005-221E145AB685}">
  <dimension ref="A1:P63"/>
  <sheetViews>
    <sheetView workbookViewId="0">
      <selection activeCell="A2" sqref="A2"/>
    </sheetView>
  </sheetViews>
  <sheetFormatPr defaultRowHeight="15" x14ac:dyDescent="0.25"/>
  <cols>
    <col min="1" max="1" width="43.85546875" customWidth="1"/>
    <col min="2" max="9" width="11.28515625" customWidth="1"/>
    <col min="12" max="14" width="13.7109375" customWidth="1"/>
    <col min="15" max="15" width="12.5703125" customWidth="1"/>
  </cols>
  <sheetData>
    <row r="1" spans="1:16" ht="15.75" x14ac:dyDescent="0.25">
      <c r="A1" s="1" t="s">
        <v>177</v>
      </c>
      <c r="L1" t="s">
        <v>51</v>
      </c>
    </row>
    <row r="2" spans="1:16" ht="16.5" thickBot="1" x14ac:dyDescent="0.3">
      <c r="A2" s="1"/>
      <c r="F2">
        <f>P6</f>
        <v>81.33</v>
      </c>
      <c r="G2">
        <f>P5</f>
        <v>123.71</v>
      </c>
      <c r="H2">
        <f>P7</f>
        <v>42.8</v>
      </c>
      <c r="L2" s="22" t="s">
        <v>63</v>
      </c>
      <c r="M2" s="20" t="s">
        <v>52</v>
      </c>
    </row>
    <row r="3" spans="1:16" x14ac:dyDescent="0.25">
      <c r="A3" s="63" t="s">
        <v>1</v>
      </c>
      <c r="B3" s="2" t="s">
        <v>2</v>
      </c>
      <c r="C3" s="2" t="s">
        <v>4</v>
      </c>
      <c r="D3" s="2" t="s">
        <v>6</v>
      </c>
      <c r="E3" s="2" t="s">
        <v>9</v>
      </c>
      <c r="F3" s="2" t="s">
        <v>11</v>
      </c>
      <c r="G3" s="2" t="s">
        <v>14</v>
      </c>
      <c r="H3" s="2" t="s">
        <v>17</v>
      </c>
      <c r="I3" s="2" t="s">
        <v>20</v>
      </c>
    </row>
    <row r="4" spans="1:16" ht="63.75" x14ac:dyDescent="0.25">
      <c r="A4" s="64"/>
      <c r="B4" s="3" t="s">
        <v>3</v>
      </c>
      <c r="C4" s="3" t="s">
        <v>5</v>
      </c>
      <c r="D4" s="3" t="s">
        <v>7</v>
      </c>
      <c r="E4" s="3" t="s">
        <v>10</v>
      </c>
      <c r="F4" s="3" t="s">
        <v>12</v>
      </c>
      <c r="G4" s="3" t="s">
        <v>15</v>
      </c>
      <c r="H4" s="3" t="s">
        <v>18</v>
      </c>
      <c r="I4" s="3" t="s">
        <v>21</v>
      </c>
      <c r="L4" s="21" t="s">
        <v>53</v>
      </c>
      <c r="M4" s="21" t="s">
        <v>54</v>
      </c>
      <c r="N4" s="21" t="s">
        <v>55</v>
      </c>
      <c r="O4" s="21" t="s">
        <v>148</v>
      </c>
      <c r="P4" s="21" t="s">
        <v>56</v>
      </c>
    </row>
    <row r="5" spans="1:16" ht="15.75" thickBot="1" x14ac:dyDescent="0.3">
      <c r="A5" s="65"/>
      <c r="B5" s="4"/>
      <c r="C5" s="4"/>
      <c r="D5" s="5" t="s">
        <v>8</v>
      </c>
      <c r="E5" s="4"/>
      <c r="F5" s="5" t="s">
        <v>13</v>
      </c>
      <c r="G5" s="5" t="s">
        <v>16</v>
      </c>
      <c r="H5" s="5" t="s">
        <v>19</v>
      </c>
      <c r="I5" s="4"/>
      <c r="L5" t="s">
        <v>57</v>
      </c>
      <c r="M5" t="s">
        <v>58</v>
      </c>
      <c r="N5">
        <v>58.91</v>
      </c>
      <c r="O5" s="51">
        <f>N5*1.1</f>
        <v>64.801000000000002</v>
      </c>
      <c r="P5">
        <f>ROUND(N5*2.1,2)</f>
        <v>123.71</v>
      </c>
    </row>
    <row r="6" spans="1:16" ht="15.75" thickBot="1" x14ac:dyDescent="0.3">
      <c r="A6" s="6" t="s">
        <v>22</v>
      </c>
      <c r="B6" s="7" t="s">
        <v>23</v>
      </c>
      <c r="C6" s="7"/>
      <c r="D6" s="7"/>
      <c r="E6" s="7"/>
      <c r="F6" s="7"/>
      <c r="G6" s="7"/>
      <c r="H6" s="7"/>
      <c r="I6" s="8"/>
      <c r="L6" t="s">
        <v>59</v>
      </c>
      <c r="M6" t="s">
        <v>60</v>
      </c>
      <c r="N6">
        <v>38.729999999999997</v>
      </c>
      <c r="O6" s="51">
        <f t="shared" ref="O6:O7" si="0">N6*1.1</f>
        <v>42.603000000000002</v>
      </c>
      <c r="P6">
        <f>ROUND(N6*2.1,2)</f>
        <v>81.33</v>
      </c>
    </row>
    <row r="7" spans="1:16" ht="15.75" thickBot="1" x14ac:dyDescent="0.3">
      <c r="A7" s="6" t="s">
        <v>24</v>
      </c>
      <c r="B7" s="7" t="s">
        <v>23</v>
      </c>
      <c r="C7" s="7"/>
      <c r="D7" s="7"/>
      <c r="E7" s="7"/>
      <c r="F7" s="7"/>
      <c r="G7" s="7"/>
      <c r="H7" s="7"/>
      <c r="I7" s="8"/>
      <c r="L7" t="s">
        <v>61</v>
      </c>
      <c r="M7" t="s">
        <v>62</v>
      </c>
      <c r="N7">
        <v>20.38</v>
      </c>
      <c r="O7" s="51">
        <f t="shared" si="0"/>
        <v>22.417999999999999</v>
      </c>
      <c r="P7">
        <f>ROUND(N7*2.1,2)</f>
        <v>42.8</v>
      </c>
    </row>
    <row r="8" spans="1:16" ht="15.75" thickBot="1" x14ac:dyDescent="0.3">
      <c r="A8" s="6" t="s">
        <v>25</v>
      </c>
      <c r="B8" s="7"/>
      <c r="C8" s="7"/>
      <c r="D8" s="7"/>
      <c r="E8" s="7"/>
      <c r="F8" s="7"/>
      <c r="G8" s="7"/>
      <c r="H8" s="7"/>
      <c r="I8" s="8"/>
    </row>
    <row r="9" spans="1:16" ht="16.5" thickBot="1" x14ac:dyDescent="0.3">
      <c r="A9" s="9" t="s">
        <v>76</v>
      </c>
      <c r="B9" s="7">
        <v>2</v>
      </c>
      <c r="C9" s="7">
        <v>1</v>
      </c>
      <c r="D9" s="7">
        <f>B9*C9</f>
        <v>2</v>
      </c>
      <c r="E9" s="7">
        <v>45</v>
      </c>
      <c r="F9" s="7">
        <f>D9*E9</f>
        <v>90</v>
      </c>
      <c r="G9" s="7">
        <f>0.05*F9</f>
        <v>4.5</v>
      </c>
      <c r="H9" s="7">
        <f>0.1*F9</f>
        <v>9</v>
      </c>
      <c r="I9" s="12">
        <f>F9*F$2+G9*G$2+H9*H$2</f>
        <v>8261.5949999999993</v>
      </c>
    </row>
    <row r="10" spans="1:16" ht="16.5" thickBot="1" x14ac:dyDescent="0.3">
      <c r="A10" s="10" t="s">
        <v>26</v>
      </c>
      <c r="B10" s="7"/>
      <c r="C10" s="7"/>
      <c r="D10" s="7"/>
      <c r="E10" s="7"/>
      <c r="F10" s="7"/>
      <c r="G10" s="7"/>
      <c r="H10" s="7"/>
      <c r="I10" s="12"/>
    </row>
    <row r="11" spans="1:16" ht="16.5" thickBot="1" x14ac:dyDescent="0.3">
      <c r="A11" s="11" t="s">
        <v>83</v>
      </c>
      <c r="B11" s="7">
        <v>70</v>
      </c>
      <c r="C11" s="7">
        <v>2</v>
      </c>
      <c r="D11" s="7">
        <f t="shared" ref="D11" si="1">B11*C11</f>
        <v>140</v>
      </c>
      <c r="E11" s="7">
        <v>0</v>
      </c>
      <c r="F11" s="7">
        <f t="shared" ref="F11" si="2">D11*E11</f>
        <v>0</v>
      </c>
      <c r="G11" s="7">
        <f t="shared" ref="G11" si="3">0.05*F11</f>
        <v>0</v>
      </c>
      <c r="H11" s="7">
        <f t="shared" ref="H11" si="4">0.1*F11</f>
        <v>0</v>
      </c>
      <c r="I11" s="12">
        <f t="shared" ref="I11" si="5">F11*F$2+G11*G$2+H11*H$2</f>
        <v>0</v>
      </c>
    </row>
    <row r="12" spans="1:16" ht="16.5" thickBot="1" x14ac:dyDescent="0.3">
      <c r="A12" s="11" t="s">
        <v>79</v>
      </c>
      <c r="B12" s="7">
        <v>70</v>
      </c>
      <c r="C12" s="7">
        <v>0.4</v>
      </c>
      <c r="D12" s="7">
        <f t="shared" ref="D12" si="6">B12*C12</f>
        <v>28</v>
      </c>
      <c r="E12" s="7">
        <v>45</v>
      </c>
      <c r="F12" s="7">
        <f t="shared" ref="F12" si="7">D12*E12</f>
        <v>1260</v>
      </c>
      <c r="G12" s="7">
        <f t="shared" ref="G12" si="8">0.05*F12</f>
        <v>63</v>
      </c>
      <c r="H12" s="7">
        <f t="shared" ref="H12" si="9">0.1*F12</f>
        <v>126</v>
      </c>
      <c r="I12" s="12">
        <f t="shared" ref="I12" si="10">F12*F$2+G12*G$2+H12*H$2</f>
        <v>115662.33</v>
      </c>
    </row>
    <row r="13" spans="1:16" ht="16.5" thickBot="1" x14ac:dyDescent="0.3">
      <c r="A13" s="11" t="s">
        <v>152</v>
      </c>
      <c r="B13" s="7">
        <v>6</v>
      </c>
      <c r="C13" s="7">
        <v>2</v>
      </c>
      <c r="D13" s="7">
        <f t="shared" ref="D13" si="11">B13*C13</f>
        <v>12</v>
      </c>
      <c r="E13" s="7">
        <v>45</v>
      </c>
      <c r="F13" s="7">
        <f t="shared" ref="F13" si="12">D13*E13</f>
        <v>540</v>
      </c>
      <c r="G13" s="7">
        <f t="shared" ref="G13" si="13">0.05*F13</f>
        <v>27</v>
      </c>
      <c r="H13" s="7">
        <f t="shared" ref="H13" si="14">0.1*F13</f>
        <v>54</v>
      </c>
      <c r="I13" s="12">
        <f t="shared" ref="I13" si="15">F13*F$2+G13*G$2+H13*H$2</f>
        <v>49569.569999999992</v>
      </c>
    </row>
    <row r="14" spans="1:16" ht="16.5" thickBot="1" x14ac:dyDescent="0.3">
      <c r="A14" s="9" t="s">
        <v>154</v>
      </c>
      <c r="B14" s="7">
        <v>72</v>
      </c>
      <c r="C14" s="7">
        <v>1</v>
      </c>
      <c r="D14" s="7">
        <f t="shared" ref="D14:D17" si="16">B14*C14</f>
        <v>72</v>
      </c>
      <c r="E14" s="7">
        <v>0</v>
      </c>
      <c r="F14" s="7">
        <f t="shared" ref="F14:F16" si="17">D14*E14</f>
        <v>0</v>
      </c>
      <c r="G14" s="7">
        <f t="shared" ref="G14:G16" si="18">0.05*F14</f>
        <v>0</v>
      </c>
      <c r="H14" s="7">
        <f t="shared" ref="H14:H16" si="19">0.1*F14</f>
        <v>0</v>
      </c>
      <c r="I14" s="12">
        <f t="shared" ref="I14:I16" si="20">F14*F$2+G14*G$2+H14*H$2</f>
        <v>0</v>
      </c>
    </row>
    <row r="15" spans="1:16" ht="16.5" thickBot="1" x14ac:dyDescent="0.3">
      <c r="A15" s="9" t="s">
        <v>153</v>
      </c>
      <c r="B15" s="7">
        <v>10</v>
      </c>
      <c r="C15" s="7">
        <v>1</v>
      </c>
      <c r="D15" s="7">
        <f t="shared" si="16"/>
        <v>10</v>
      </c>
      <c r="E15" s="7">
        <v>0</v>
      </c>
      <c r="F15" s="7">
        <f t="shared" si="17"/>
        <v>0</v>
      </c>
      <c r="G15" s="7">
        <f t="shared" si="18"/>
        <v>0</v>
      </c>
      <c r="H15" s="7">
        <f t="shared" si="19"/>
        <v>0</v>
      </c>
      <c r="I15" s="12">
        <f t="shared" si="20"/>
        <v>0</v>
      </c>
    </row>
    <row r="16" spans="1:16" ht="16.5" thickBot="1" x14ac:dyDescent="0.3">
      <c r="A16" s="9" t="s">
        <v>155</v>
      </c>
      <c r="B16" s="7">
        <v>0.5</v>
      </c>
      <c r="C16" s="7">
        <v>350</v>
      </c>
      <c r="D16" s="7">
        <f t="shared" si="16"/>
        <v>175</v>
      </c>
      <c r="E16" s="7">
        <v>45</v>
      </c>
      <c r="F16" s="7">
        <f t="shared" si="17"/>
        <v>7875</v>
      </c>
      <c r="G16" s="7">
        <f t="shared" si="18"/>
        <v>393.75</v>
      </c>
      <c r="H16" s="7">
        <f t="shared" si="19"/>
        <v>787.5</v>
      </c>
      <c r="I16" s="12">
        <f t="shared" si="20"/>
        <v>722889.5625</v>
      </c>
    </row>
    <row r="17" spans="1:9" ht="39" thickBot="1" x14ac:dyDescent="0.3">
      <c r="A17" s="9" t="s">
        <v>156</v>
      </c>
      <c r="B17" s="7">
        <v>2</v>
      </c>
      <c r="C17" s="7">
        <v>12</v>
      </c>
      <c r="D17" s="7">
        <f t="shared" si="16"/>
        <v>24</v>
      </c>
      <c r="E17" s="7">
        <v>25</v>
      </c>
      <c r="F17" s="7">
        <f>D17*E17</f>
        <v>600</v>
      </c>
      <c r="G17" s="7">
        <f>0.05*F17</f>
        <v>30</v>
      </c>
      <c r="H17" s="7">
        <f>0.1*F17</f>
        <v>60</v>
      </c>
      <c r="I17" s="12">
        <f>F17*F$2+G17*G$2+H17*H$2</f>
        <v>55077.3</v>
      </c>
    </row>
    <row r="18" spans="1:9" ht="15.75" thickBot="1" x14ac:dyDescent="0.3">
      <c r="A18" s="10" t="s">
        <v>27</v>
      </c>
      <c r="B18" s="7" t="s">
        <v>28</v>
      </c>
      <c r="C18" s="7"/>
      <c r="D18" s="7"/>
      <c r="E18" s="7"/>
      <c r="F18" s="7"/>
      <c r="G18" s="7"/>
      <c r="H18" s="7"/>
      <c r="I18" s="12"/>
    </row>
    <row r="19" spans="1:9" ht="15.75" thickBot="1" x14ac:dyDescent="0.3">
      <c r="A19" s="10" t="s">
        <v>29</v>
      </c>
      <c r="B19" s="7" t="s">
        <v>28</v>
      </c>
      <c r="C19" s="7"/>
      <c r="D19" s="7"/>
      <c r="E19" s="7"/>
      <c r="F19" s="7"/>
      <c r="G19" s="7"/>
      <c r="H19" s="7"/>
      <c r="I19" s="12"/>
    </row>
    <row r="20" spans="1:9" ht="15.75" thickBot="1" x14ac:dyDescent="0.3">
      <c r="A20" s="10" t="s">
        <v>30</v>
      </c>
      <c r="B20" s="7"/>
      <c r="C20" s="7"/>
      <c r="D20" s="7"/>
      <c r="E20" s="7"/>
      <c r="F20" s="7"/>
      <c r="G20" s="7"/>
      <c r="H20" s="7"/>
      <c r="I20" s="12"/>
    </row>
    <row r="21" spans="1:9" ht="16.5" thickBot="1" x14ac:dyDescent="0.3">
      <c r="A21" s="9" t="s">
        <v>31</v>
      </c>
      <c r="B21" s="7">
        <v>2</v>
      </c>
      <c r="C21" s="7">
        <v>1</v>
      </c>
      <c r="D21" s="7">
        <f t="shared" ref="D21:D23" si="21">B21*C21</f>
        <v>2</v>
      </c>
      <c r="E21" s="7">
        <v>0</v>
      </c>
      <c r="F21" s="7">
        <f t="shared" ref="F21:F23" si="22">D21*E21</f>
        <v>0</v>
      </c>
      <c r="G21" s="7">
        <f t="shared" ref="G21:G23" si="23">0.05*F21</f>
        <v>0</v>
      </c>
      <c r="H21" s="7">
        <f t="shared" ref="H21:H23" si="24">0.1*F21</f>
        <v>0</v>
      </c>
      <c r="I21" s="12">
        <f t="shared" ref="I21:I23" si="25">F21*F$2+G21*G$2+H21*H$2</f>
        <v>0</v>
      </c>
    </row>
    <row r="22" spans="1:9" ht="16.5" thickBot="1" x14ac:dyDescent="0.3">
      <c r="A22" s="9" t="s">
        <v>32</v>
      </c>
      <c r="B22" s="7">
        <v>2</v>
      </c>
      <c r="C22" s="7">
        <v>1</v>
      </c>
      <c r="D22" s="7">
        <f t="shared" si="21"/>
        <v>2</v>
      </c>
      <c r="E22" s="7">
        <v>0</v>
      </c>
      <c r="F22" s="7">
        <f t="shared" si="22"/>
        <v>0</v>
      </c>
      <c r="G22" s="7">
        <f t="shared" si="23"/>
        <v>0</v>
      </c>
      <c r="H22" s="7">
        <f t="shared" si="24"/>
        <v>0</v>
      </c>
      <c r="I22" s="12">
        <f t="shared" si="25"/>
        <v>0</v>
      </c>
    </row>
    <row r="23" spans="1:9" ht="16.5" thickBot="1" x14ac:dyDescent="0.3">
      <c r="A23" s="9" t="s">
        <v>33</v>
      </c>
      <c r="B23" s="7">
        <v>2</v>
      </c>
      <c r="C23" s="7">
        <v>1</v>
      </c>
      <c r="D23" s="7">
        <f t="shared" si="21"/>
        <v>2</v>
      </c>
      <c r="E23" s="7">
        <v>0</v>
      </c>
      <c r="F23" s="7">
        <f t="shared" si="22"/>
        <v>0</v>
      </c>
      <c r="G23" s="7">
        <f t="shared" si="23"/>
        <v>0</v>
      </c>
      <c r="H23" s="7">
        <f t="shared" si="24"/>
        <v>0</v>
      </c>
      <c r="I23" s="12">
        <f t="shared" si="25"/>
        <v>0</v>
      </c>
    </row>
    <row r="24" spans="1:9" ht="16.5" thickBot="1" x14ac:dyDescent="0.3">
      <c r="A24" s="9" t="s">
        <v>34</v>
      </c>
      <c r="B24" s="7" t="s">
        <v>23</v>
      </c>
      <c r="C24" s="7"/>
      <c r="D24" s="7"/>
      <c r="E24" s="7"/>
      <c r="F24" s="7"/>
      <c r="G24" s="7"/>
      <c r="H24" s="7"/>
      <c r="I24" s="12"/>
    </row>
    <row r="25" spans="1:9" ht="16.5" thickBot="1" x14ac:dyDescent="0.3">
      <c r="A25" s="9" t="s">
        <v>35</v>
      </c>
      <c r="B25" s="7">
        <v>2</v>
      </c>
      <c r="C25" s="7">
        <v>1</v>
      </c>
      <c r="D25" s="7">
        <f t="shared" ref="D25:D30" si="26">B25*C25</f>
        <v>2</v>
      </c>
      <c r="E25" s="7">
        <v>0</v>
      </c>
      <c r="F25" s="7">
        <f t="shared" ref="F25:F30" si="27">D25*E25</f>
        <v>0</v>
      </c>
      <c r="G25" s="7">
        <f t="shared" ref="G25:G30" si="28">0.05*F25</f>
        <v>0</v>
      </c>
      <c r="H25" s="7">
        <f t="shared" ref="H25:H30" si="29">0.1*F25</f>
        <v>0</v>
      </c>
      <c r="I25" s="12">
        <f t="shared" ref="I25:I30" si="30">F25*F$2+G25*G$2+H25*H$2</f>
        <v>0</v>
      </c>
    </row>
    <row r="26" spans="1:9" ht="16.5" thickBot="1" x14ac:dyDescent="0.3">
      <c r="A26" s="9" t="s">
        <v>111</v>
      </c>
      <c r="B26" s="7">
        <v>1</v>
      </c>
      <c r="C26" s="7">
        <v>0.4</v>
      </c>
      <c r="D26" s="7">
        <f t="shared" si="26"/>
        <v>0.4</v>
      </c>
      <c r="E26" s="7">
        <v>45</v>
      </c>
      <c r="F26" s="7">
        <f t="shared" si="27"/>
        <v>18</v>
      </c>
      <c r="G26" s="7">
        <f t="shared" si="28"/>
        <v>0.9</v>
      </c>
      <c r="H26" s="7">
        <f t="shared" si="29"/>
        <v>1.8</v>
      </c>
      <c r="I26" s="12">
        <f t="shared" si="30"/>
        <v>1652.319</v>
      </c>
    </row>
    <row r="27" spans="1:9" ht="16.5" thickBot="1" x14ac:dyDescent="0.3">
      <c r="A27" s="9" t="s">
        <v>37</v>
      </c>
      <c r="B27" s="7">
        <v>20</v>
      </c>
      <c r="C27" s="7">
        <v>3.8</v>
      </c>
      <c r="D27" s="7">
        <f t="shared" si="26"/>
        <v>76</v>
      </c>
      <c r="E27" s="7">
        <v>0</v>
      </c>
      <c r="F27" s="7">
        <f t="shared" si="27"/>
        <v>0</v>
      </c>
      <c r="G27" s="7">
        <f t="shared" si="28"/>
        <v>0</v>
      </c>
      <c r="H27" s="7">
        <f t="shared" si="29"/>
        <v>0</v>
      </c>
      <c r="I27" s="12">
        <f t="shared" si="30"/>
        <v>0</v>
      </c>
    </row>
    <row r="28" spans="1:9" ht="16.5" thickBot="1" x14ac:dyDescent="0.3">
      <c r="A28" s="9" t="s">
        <v>38</v>
      </c>
      <c r="B28" s="7">
        <v>60</v>
      </c>
      <c r="C28" s="7">
        <v>1</v>
      </c>
      <c r="D28" s="7">
        <f t="shared" si="26"/>
        <v>60</v>
      </c>
      <c r="E28" s="7">
        <v>0</v>
      </c>
      <c r="F28" s="7">
        <f t="shared" si="27"/>
        <v>0</v>
      </c>
      <c r="G28" s="7">
        <f t="shared" si="28"/>
        <v>0</v>
      </c>
      <c r="H28" s="7">
        <f t="shared" si="29"/>
        <v>0</v>
      </c>
      <c r="I28" s="12">
        <f t="shared" si="30"/>
        <v>0</v>
      </c>
    </row>
    <row r="29" spans="1:9" ht="16.5" thickBot="1" x14ac:dyDescent="0.3">
      <c r="A29" s="11" t="s">
        <v>39</v>
      </c>
      <c r="B29" s="7">
        <v>40</v>
      </c>
      <c r="C29" s="7">
        <v>1</v>
      </c>
      <c r="D29" s="7">
        <f t="shared" si="26"/>
        <v>40</v>
      </c>
      <c r="E29" s="7">
        <v>0</v>
      </c>
      <c r="F29" s="7">
        <f t="shared" si="27"/>
        <v>0</v>
      </c>
      <c r="G29" s="7">
        <f t="shared" si="28"/>
        <v>0</v>
      </c>
      <c r="H29" s="7">
        <f t="shared" si="29"/>
        <v>0</v>
      </c>
      <c r="I29" s="12">
        <f t="shared" si="30"/>
        <v>0</v>
      </c>
    </row>
    <row r="30" spans="1:9" ht="16.5" thickBot="1" x14ac:dyDescent="0.3">
      <c r="A30" s="9" t="s">
        <v>40</v>
      </c>
      <c r="B30" s="7">
        <v>8</v>
      </c>
      <c r="C30" s="7">
        <v>1</v>
      </c>
      <c r="D30" s="7">
        <f t="shared" si="26"/>
        <v>8</v>
      </c>
      <c r="E30" s="7">
        <v>0</v>
      </c>
      <c r="F30" s="7">
        <f t="shared" si="27"/>
        <v>0</v>
      </c>
      <c r="G30" s="7">
        <f t="shared" si="28"/>
        <v>0</v>
      </c>
      <c r="H30" s="7">
        <f t="shared" si="29"/>
        <v>0</v>
      </c>
      <c r="I30" s="12">
        <f t="shared" si="30"/>
        <v>0</v>
      </c>
    </row>
    <row r="31" spans="1:9" ht="15.75" thickBot="1" x14ac:dyDescent="0.3">
      <c r="A31" s="9" t="s">
        <v>41</v>
      </c>
      <c r="B31" s="7" t="s">
        <v>23</v>
      </c>
      <c r="C31" s="7"/>
      <c r="D31" s="7"/>
      <c r="E31" s="7"/>
      <c r="F31" s="7"/>
      <c r="G31" s="7"/>
      <c r="H31" s="7"/>
      <c r="I31" s="12"/>
    </row>
    <row r="32" spans="1:9" ht="29.25" thickBot="1" x14ac:dyDescent="0.3">
      <c r="A32" s="9" t="s">
        <v>150</v>
      </c>
      <c r="B32" s="7">
        <v>8</v>
      </c>
      <c r="C32" s="7">
        <v>0.4</v>
      </c>
      <c r="D32" s="7">
        <f t="shared" ref="D32" si="31">B32*C32</f>
        <v>3.2</v>
      </c>
      <c r="E32" s="7">
        <v>45</v>
      </c>
      <c r="F32" s="7">
        <f t="shared" ref="F32" si="32">D32*E32</f>
        <v>144</v>
      </c>
      <c r="G32" s="7">
        <f t="shared" ref="G32" si="33">0.05*F32</f>
        <v>7.2</v>
      </c>
      <c r="H32" s="7">
        <f t="shared" ref="H32" si="34">0.1*F32</f>
        <v>14.4</v>
      </c>
      <c r="I32" s="12">
        <f t="shared" ref="I32" si="35">F32*F$2+G32*G$2+H32*H$2</f>
        <v>13218.552</v>
      </c>
    </row>
    <row r="33" spans="1:9" ht="16.5" thickBot="1" x14ac:dyDescent="0.3">
      <c r="A33" s="9" t="s">
        <v>87</v>
      </c>
      <c r="B33" s="7">
        <v>12</v>
      </c>
      <c r="C33" s="7">
        <v>2</v>
      </c>
      <c r="D33" s="7">
        <f t="shared" ref="D33" si="36">B33*C33</f>
        <v>24</v>
      </c>
      <c r="E33" s="7">
        <v>45</v>
      </c>
      <c r="F33" s="7">
        <f t="shared" ref="F33" si="37">D33*E33</f>
        <v>1080</v>
      </c>
      <c r="G33" s="7">
        <f t="shared" ref="G33" si="38">0.05*F33</f>
        <v>54</v>
      </c>
      <c r="H33" s="7">
        <f t="shared" ref="H33" si="39">0.1*F33</f>
        <v>108</v>
      </c>
      <c r="I33" s="12">
        <f t="shared" ref="I33" si="40">F33*F$2+G33*G$2+H33*H$2</f>
        <v>99139.139999999985</v>
      </c>
    </row>
    <row r="34" spans="1:9" ht="15.75" thickBot="1" x14ac:dyDescent="0.3">
      <c r="A34" s="13" t="s">
        <v>43</v>
      </c>
      <c r="B34" s="5"/>
      <c r="C34" s="5"/>
      <c r="D34" s="7"/>
      <c r="E34" s="5"/>
      <c r="F34" s="66">
        <f>SUM(F6:H33)</f>
        <v>13348.05</v>
      </c>
      <c r="G34" s="67"/>
      <c r="H34" s="68"/>
      <c r="I34" s="14">
        <f>SUM(I6:I33)</f>
        <v>1065470.3685000001</v>
      </c>
    </row>
    <row r="35" spans="1:9" ht="15.75" thickBot="1" x14ac:dyDescent="0.3">
      <c r="A35" s="6" t="s">
        <v>44</v>
      </c>
      <c r="B35" s="7"/>
      <c r="C35" s="7"/>
      <c r="D35" s="7"/>
      <c r="E35" s="7"/>
      <c r="F35" s="7"/>
      <c r="G35" s="7"/>
      <c r="H35" s="7"/>
      <c r="I35" s="8"/>
    </row>
    <row r="36" spans="1:9" ht="16.5" thickBot="1" x14ac:dyDescent="0.3">
      <c r="A36" s="9" t="s">
        <v>76</v>
      </c>
      <c r="B36" s="7" t="s">
        <v>45</v>
      </c>
      <c r="C36" s="7"/>
      <c r="D36" s="7"/>
      <c r="E36" s="7"/>
      <c r="F36" s="7"/>
      <c r="G36" s="7"/>
      <c r="H36" s="7"/>
      <c r="I36" s="8"/>
    </row>
    <row r="37" spans="1:9" ht="16.5" thickBot="1" x14ac:dyDescent="0.3">
      <c r="A37" s="10" t="s">
        <v>88</v>
      </c>
      <c r="B37" s="7">
        <v>3</v>
      </c>
      <c r="C37" s="7">
        <v>1</v>
      </c>
      <c r="D37" s="7">
        <f t="shared" ref="D37:D41" si="41">B37*C37</f>
        <v>3</v>
      </c>
      <c r="E37" s="7">
        <v>15</v>
      </c>
      <c r="F37" s="7">
        <f t="shared" ref="F37:F41" si="42">D37*E37</f>
        <v>45</v>
      </c>
      <c r="G37" s="7">
        <f t="shared" ref="G37:G41" si="43">0.05*F37</f>
        <v>2.25</v>
      </c>
      <c r="H37" s="7">
        <f t="shared" ref="H37:H41" si="44">0.1*F37</f>
        <v>4.5</v>
      </c>
      <c r="I37" s="12">
        <f t="shared" ref="I37:I41" si="45">F37*F$2+G37*G$2+H37*H$2</f>
        <v>4130.7974999999997</v>
      </c>
    </row>
    <row r="38" spans="1:9" ht="16.5" thickBot="1" x14ac:dyDescent="0.3">
      <c r="A38" s="10" t="s">
        <v>89</v>
      </c>
      <c r="B38" s="7">
        <v>6</v>
      </c>
      <c r="C38" s="7">
        <v>1</v>
      </c>
      <c r="D38" s="7">
        <f t="shared" si="41"/>
        <v>6</v>
      </c>
      <c r="E38" s="7">
        <v>15</v>
      </c>
      <c r="F38" s="7">
        <f t="shared" si="42"/>
        <v>90</v>
      </c>
      <c r="G38" s="7">
        <f t="shared" si="43"/>
        <v>4.5</v>
      </c>
      <c r="H38" s="7">
        <f t="shared" si="44"/>
        <v>9</v>
      </c>
      <c r="I38" s="12">
        <f t="shared" si="45"/>
        <v>8261.5949999999993</v>
      </c>
    </row>
    <row r="39" spans="1:9" ht="16.5" thickBot="1" x14ac:dyDescent="0.3">
      <c r="A39" s="10" t="s">
        <v>90</v>
      </c>
      <c r="B39" s="7">
        <v>1</v>
      </c>
      <c r="C39" s="7">
        <v>1</v>
      </c>
      <c r="D39" s="7">
        <f t="shared" si="41"/>
        <v>1</v>
      </c>
      <c r="E39" s="7">
        <v>15</v>
      </c>
      <c r="F39" s="7">
        <f t="shared" si="42"/>
        <v>15</v>
      </c>
      <c r="G39" s="7">
        <f t="shared" si="43"/>
        <v>0.75</v>
      </c>
      <c r="H39" s="7">
        <f t="shared" si="44"/>
        <v>1.5</v>
      </c>
      <c r="I39" s="12">
        <f t="shared" si="45"/>
        <v>1376.9325000000001</v>
      </c>
    </row>
    <row r="40" spans="1:9" ht="16.5" thickBot="1" x14ac:dyDescent="0.3">
      <c r="A40" s="10" t="s">
        <v>91</v>
      </c>
      <c r="B40" s="7">
        <v>0.5</v>
      </c>
      <c r="C40" s="7">
        <v>52</v>
      </c>
      <c r="D40" s="7">
        <f t="shared" si="41"/>
        <v>26</v>
      </c>
      <c r="E40" s="7">
        <v>45</v>
      </c>
      <c r="F40" s="7">
        <f t="shared" si="42"/>
        <v>1170</v>
      </c>
      <c r="G40" s="7">
        <f t="shared" si="43"/>
        <v>58.5</v>
      </c>
      <c r="H40" s="7">
        <f t="shared" si="44"/>
        <v>117</v>
      </c>
      <c r="I40" s="12">
        <f t="shared" si="45"/>
        <v>107400.735</v>
      </c>
    </row>
    <row r="41" spans="1:9" ht="16.5" thickBot="1" x14ac:dyDescent="0.3">
      <c r="A41" s="10" t="s">
        <v>92</v>
      </c>
      <c r="B41" s="7">
        <v>2</v>
      </c>
      <c r="C41" s="7">
        <v>1</v>
      </c>
      <c r="D41" s="7">
        <f t="shared" si="41"/>
        <v>2</v>
      </c>
      <c r="E41" s="7">
        <v>15</v>
      </c>
      <c r="F41" s="7">
        <f t="shared" si="42"/>
        <v>30</v>
      </c>
      <c r="G41" s="7">
        <f t="shared" si="43"/>
        <v>1.5</v>
      </c>
      <c r="H41" s="7">
        <f t="shared" si="44"/>
        <v>3</v>
      </c>
      <c r="I41" s="12">
        <f t="shared" si="45"/>
        <v>2753.8650000000002</v>
      </c>
    </row>
    <row r="42" spans="1:9" ht="29.25" thickBot="1" x14ac:dyDescent="0.3">
      <c r="A42" s="9" t="s">
        <v>112</v>
      </c>
      <c r="B42" s="7">
        <v>2</v>
      </c>
      <c r="C42" s="7">
        <v>1</v>
      </c>
      <c r="D42" s="7">
        <f t="shared" ref="D42" si="46">B42*C42</f>
        <v>2</v>
      </c>
      <c r="E42" s="7">
        <v>15</v>
      </c>
      <c r="F42" s="7">
        <f t="shared" ref="F42" si="47">D42*E42</f>
        <v>30</v>
      </c>
      <c r="G42" s="7">
        <f t="shared" ref="G42" si="48">0.05*F42</f>
        <v>1.5</v>
      </c>
      <c r="H42" s="7">
        <f t="shared" ref="H42" si="49">0.1*F42</f>
        <v>3</v>
      </c>
      <c r="I42" s="12">
        <f t="shared" ref="I42" si="50">F42*F$2+G42*G$2+H42*H$2</f>
        <v>2753.8650000000002</v>
      </c>
    </row>
    <row r="43" spans="1:9" ht="16.5" thickBot="1" x14ac:dyDescent="0.3">
      <c r="A43" s="10" t="s">
        <v>93</v>
      </c>
      <c r="B43" s="7">
        <v>0.25</v>
      </c>
      <c r="C43" s="7">
        <v>2</v>
      </c>
      <c r="D43" s="7">
        <f t="shared" ref="D43" si="51">B43*C43</f>
        <v>0.5</v>
      </c>
      <c r="E43" s="7">
        <v>45</v>
      </c>
      <c r="F43" s="7">
        <f>D43*E43</f>
        <v>22.5</v>
      </c>
      <c r="G43" s="7">
        <f>0.05*F43</f>
        <v>1.125</v>
      </c>
      <c r="H43" s="7">
        <f>0.1*F43</f>
        <v>2.25</v>
      </c>
      <c r="I43" s="12">
        <f>F43*F$2+G43*G$2+H43*H$2</f>
        <v>2065.3987499999998</v>
      </c>
    </row>
    <row r="44" spans="1:9" ht="15.75" thickBot="1" x14ac:dyDescent="0.3">
      <c r="A44" s="10" t="s">
        <v>46</v>
      </c>
      <c r="B44" s="7" t="s">
        <v>23</v>
      </c>
      <c r="C44" s="7"/>
      <c r="D44" s="7"/>
      <c r="E44" s="7"/>
      <c r="F44" s="7"/>
      <c r="G44" s="7"/>
      <c r="H44" s="7"/>
      <c r="I44" s="8"/>
    </row>
    <row r="45" spans="1:9" ht="15.75" thickBot="1" x14ac:dyDescent="0.3">
      <c r="A45" s="13" t="s">
        <v>47</v>
      </c>
      <c r="B45" s="5"/>
      <c r="C45" s="5"/>
      <c r="D45" s="5"/>
      <c r="E45" s="5"/>
      <c r="F45" s="66">
        <f>SUM(F35:H44)</f>
        <v>1612.875</v>
      </c>
      <c r="G45" s="67"/>
      <c r="H45" s="68"/>
      <c r="I45" s="14">
        <f>SUM(I35:I44)</f>
        <v>128743.18875</v>
      </c>
    </row>
    <row r="46" spans="1:9" ht="16.5" thickBot="1" x14ac:dyDescent="0.3">
      <c r="A46" s="13" t="s">
        <v>94</v>
      </c>
      <c r="B46" s="15"/>
      <c r="C46" s="15"/>
      <c r="D46" s="15"/>
      <c r="E46" s="15"/>
      <c r="F46" s="66">
        <f>ROUND(F45+F34,-2)</f>
        <v>15000</v>
      </c>
      <c r="G46" s="67"/>
      <c r="H46" s="68"/>
      <c r="I46" s="14">
        <f>ROUND(I45+I34,-4)</f>
        <v>1190000</v>
      </c>
    </row>
    <row r="47" spans="1:9" ht="16.5" thickBot="1" x14ac:dyDescent="0.3">
      <c r="A47" s="13" t="s">
        <v>95</v>
      </c>
      <c r="B47" s="16"/>
      <c r="C47" s="16"/>
      <c r="D47" s="16"/>
      <c r="E47" s="16"/>
      <c r="F47" s="16"/>
      <c r="G47" s="16"/>
      <c r="H47" s="16"/>
      <c r="I47" s="14">
        <f>ROUND(OpCosts!G11,-3)</f>
        <v>206000</v>
      </c>
    </row>
    <row r="48" spans="1:9" ht="16.5" thickBot="1" x14ac:dyDescent="0.3">
      <c r="A48" s="13" t="s">
        <v>96</v>
      </c>
      <c r="B48" s="16"/>
      <c r="C48" s="16"/>
      <c r="D48" s="16"/>
      <c r="E48" s="16"/>
      <c r="F48" s="16"/>
      <c r="G48" s="16"/>
      <c r="H48" s="16"/>
      <c r="I48" s="14">
        <f>ROUND(I34+I45+OpCosts!G11,-4)</f>
        <v>1400000</v>
      </c>
    </row>
    <row r="49" spans="1:1" ht="15.75" x14ac:dyDescent="0.25">
      <c r="A49" s="17"/>
    </row>
    <row r="50" spans="1:1" x14ac:dyDescent="0.25">
      <c r="A50" s="18" t="s">
        <v>48</v>
      </c>
    </row>
    <row r="51" spans="1:1" ht="15.75" x14ac:dyDescent="0.25">
      <c r="A51" s="19" t="s">
        <v>78</v>
      </c>
    </row>
    <row r="52" spans="1:1" ht="15.75" x14ac:dyDescent="0.25">
      <c r="A52" s="19" t="s">
        <v>77</v>
      </c>
    </row>
    <row r="53" spans="1:1" ht="15.75" x14ac:dyDescent="0.25">
      <c r="A53" s="19" t="s">
        <v>49</v>
      </c>
    </row>
    <row r="54" spans="1:1" ht="15.75" x14ac:dyDescent="0.25">
      <c r="A54" s="19" t="s">
        <v>50</v>
      </c>
    </row>
    <row r="55" spans="1:1" ht="15.75" x14ac:dyDescent="0.25">
      <c r="A55" s="19" t="s">
        <v>105</v>
      </c>
    </row>
    <row r="56" spans="1:1" ht="15.75" x14ac:dyDescent="0.25">
      <c r="A56" s="19" t="s">
        <v>108</v>
      </c>
    </row>
    <row r="57" spans="1:1" ht="15.75" x14ac:dyDescent="0.25">
      <c r="A57" s="19" t="s">
        <v>106</v>
      </c>
    </row>
    <row r="58" spans="1:1" ht="15.75" x14ac:dyDescent="0.25">
      <c r="A58" s="19" t="s">
        <v>107</v>
      </c>
    </row>
    <row r="59" spans="1:1" ht="15.75" x14ac:dyDescent="0.25">
      <c r="A59" s="19" t="s">
        <v>104</v>
      </c>
    </row>
    <row r="60" spans="1:1" ht="15.75" x14ac:dyDescent="0.25">
      <c r="A60" s="19" t="s">
        <v>100</v>
      </c>
    </row>
    <row r="61" spans="1:1" ht="15.75" x14ac:dyDescent="0.25">
      <c r="A61" s="19" t="s">
        <v>101</v>
      </c>
    </row>
    <row r="62" spans="1:1" ht="15.75" x14ac:dyDescent="0.25">
      <c r="A62" s="19" t="s">
        <v>102</v>
      </c>
    </row>
    <row r="63" spans="1:1" ht="15.75" x14ac:dyDescent="0.25">
      <c r="A63" s="19" t="s">
        <v>113</v>
      </c>
    </row>
  </sheetData>
  <mergeCells count="4">
    <mergeCell ref="A3:A5"/>
    <mergeCell ref="F34:H34"/>
    <mergeCell ref="F45:H45"/>
    <mergeCell ref="F46:H46"/>
  </mergeCells>
  <hyperlinks>
    <hyperlink ref="M2" r:id="rId1" xr:uid="{690A7C05-D91B-406D-9950-CB14A10D8AF7}"/>
  </hyperlink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B8A9F-A4D5-48D6-8BDC-53A4F8E0D62B}">
  <dimension ref="A1:O63"/>
  <sheetViews>
    <sheetView topLeftCell="A40" workbookViewId="0">
      <selection activeCell="L32" sqref="L32:L46"/>
    </sheetView>
  </sheetViews>
  <sheetFormatPr defaultRowHeight="15" x14ac:dyDescent="0.25"/>
  <cols>
    <col min="1" max="1" width="43.85546875" customWidth="1"/>
    <col min="2" max="9" width="11.28515625" customWidth="1"/>
    <col min="12" max="14" width="13.7109375" customWidth="1"/>
    <col min="15" max="15" width="12.5703125" customWidth="1"/>
  </cols>
  <sheetData>
    <row r="1" spans="1:15" ht="15.75" x14ac:dyDescent="0.25">
      <c r="A1" s="1" t="s">
        <v>0</v>
      </c>
      <c r="L1" t="s">
        <v>51</v>
      </c>
    </row>
    <row r="2" spans="1:15" ht="16.5" thickBot="1" x14ac:dyDescent="0.3">
      <c r="A2" s="1"/>
      <c r="F2">
        <f>O6</f>
        <v>81.33</v>
      </c>
      <c r="G2">
        <f>O5</f>
        <v>123.71</v>
      </c>
      <c r="H2">
        <f>O7</f>
        <v>42.8</v>
      </c>
      <c r="L2" s="22" t="s">
        <v>63</v>
      </c>
      <c r="M2" s="20" t="s">
        <v>52</v>
      </c>
    </row>
    <row r="3" spans="1:15" x14ac:dyDescent="0.25">
      <c r="A3" s="63" t="s">
        <v>1</v>
      </c>
      <c r="B3" s="2" t="s">
        <v>2</v>
      </c>
      <c r="C3" s="2" t="s">
        <v>4</v>
      </c>
      <c r="D3" s="2" t="s">
        <v>6</v>
      </c>
      <c r="E3" s="2" t="s">
        <v>9</v>
      </c>
      <c r="F3" s="2" t="s">
        <v>11</v>
      </c>
      <c r="G3" s="2" t="s">
        <v>14</v>
      </c>
      <c r="H3" s="2" t="s">
        <v>17</v>
      </c>
      <c r="I3" s="2" t="s">
        <v>20</v>
      </c>
    </row>
    <row r="4" spans="1:15" ht="63.75" x14ac:dyDescent="0.25">
      <c r="A4" s="64"/>
      <c r="B4" s="3" t="s">
        <v>3</v>
      </c>
      <c r="C4" s="3" t="s">
        <v>5</v>
      </c>
      <c r="D4" s="3" t="s">
        <v>7</v>
      </c>
      <c r="E4" s="3" t="s">
        <v>10</v>
      </c>
      <c r="F4" s="3" t="s">
        <v>12</v>
      </c>
      <c r="G4" s="3" t="s">
        <v>15</v>
      </c>
      <c r="H4" s="3" t="s">
        <v>18</v>
      </c>
      <c r="I4" s="3" t="s">
        <v>21</v>
      </c>
      <c r="L4" s="21" t="s">
        <v>53</v>
      </c>
      <c r="M4" s="21" t="s">
        <v>54</v>
      </c>
      <c r="N4" s="21" t="s">
        <v>55</v>
      </c>
      <c r="O4" s="21" t="s">
        <v>56</v>
      </c>
    </row>
    <row r="5" spans="1:15" ht="15.75" thickBot="1" x14ac:dyDescent="0.3">
      <c r="A5" s="65"/>
      <c r="B5" s="4"/>
      <c r="C5" s="4"/>
      <c r="D5" s="5" t="s">
        <v>8</v>
      </c>
      <c r="E5" s="4"/>
      <c r="F5" s="5" t="s">
        <v>13</v>
      </c>
      <c r="G5" s="5" t="s">
        <v>16</v>
      </c>
      <c r="H5" s="5" t="s">
        <v>19</v>
      </c>
      <c r="I5" s="4"/>
      <c r="L5" t="s">
        <v>57</v>
      </c>
      <c r="M5" t="s">
        <v>58</v>
      </c>
      <c r="N5">
        <v>58.91</v>
      </c>
      <c r="O5">
        <f>ROUND(N5*2.1,2)</f>
        <v>123.71</v>
      </c>
    </row>
    <row r="6" spans="1:15" ht="15.75" thickBot="1" x14ac:dyDescent="0.3">
      <c r="A6" s="6" t="s">
        <v>22</v>
      </c>
      <c r="B6" s="7" t="s">
        <v>23</v>
      </c>
      <c r="C6" s="7"/>
      <c r="D6" s="7"/>
      <c r="E6" s="7"/>
      <c r="F6" s="7"/>
      <c r="G6" s="7"/>
      <c r="H6" s="7"/>
      <c r="I6" s="8"/>
      <c r="L6" t="s">
        <v>59</v>
      </c>
      <c r="M6" t="s">
        <v>60</v>
      </c>
      <c r="N6">
        <v>38.729999999999997</v>
      </c>
      <c r="O6">
        <f t="shared" ref="O6:O7" si="0">ROUND(N6*2.1,2)</f>
        <v>81.33</v>
      </c>
    </row>
    <row r="7" spans="1:15" ht="15.75" thickBot="1" x14ac:dyDescent="0.3">
      <c r="A7" s="6" t="s">
        <v>24</v>
      </c>
      <c r="B7" s="7" t="s">
        <v>23</v>
      </c>
      <c r="C7" s="7"/>
      <c r="D7" s="7"/>
      <c r="E7" s="7"/>
      <c r="F7" s="7"/>
      <c r="G7" s="7"/>
      <c r="H7" s="7"/>
      <c r="I7" s="8"/>
      <c r="L7" t="s">
        <v>61</v>
      </c>
      <c r="M7" t="s">
        <v>62</v>
      </c>
      <c r="N7">
        <v>20.38</v>
      </c>
      <c r="O7">
        <f t="shared" si="0"/>
        <v>42.8</v>
      </c>
    </row>
    <row r="8" spans="1:15" ht="15.75" thickBot="1" x14ac:dyDescent="0.3">
      <c r="A8" s="6" t="s">
        <v>25</v>
      </c>
      <c r="B8" s="7"/>
      <c r="C8" s="7"/>
      <c r="D8" s="7"/>
      <c r="E8" s="7"/>
      <c r="F8" s="7"/>
      <c r="G8" s="7"/>
      <c r="H8" s="7"/>
      <c r="I8" s="8"/>
    </row>
    <row r="9" spans="1:15" ht="16.5" thickBot="1" x14ac:dyDescent="0.3">
      <c r="A9" s="9" t="s">
        <v>76</v>
      </c>
      <c r="B9" s="7">
        <v>2</v>
      </c>
      <c r="C9" s="7">
        <v>1</v>
      </c>
      <c r="D9" s="7">
        <f>B9*C9</f>
        <v>2</v>
      </c>
      <c r="E9" s="7"/>
      <c r="F9" s="7">
        <f>D9*E9</f>
        <v>0</v>
      </c>
      <c r="G9" s="7">
        <f>0.05*F9</f>
        <v>0</v>
      </c>
      <c r="H9" s="7">
        <f>0.1*F9</f>
        <v>0</v>
      </c>
      <c r="I9" s="12">
        <f>F9*F$2+G9*G$2+H9*H$2</f>
        <v>0</v>
      </c>
    </row>
    <row r="10" spans="1:15" ht="16.5" thickBot="1" x14ac:dyDescent="0.3">
      <c r="A10" s="10" t="s">
        <v>26</v>
      </c>
      <c r="B10" s="7"/>
      <c r="C10" s="7"/>
      <c r="D10" s="7"/>
      <c r="E10" s="7"/>
      <c r="F10" s="7"/>
      <c r="G10" s="7"/>
      <c r="H10" s="7"/>
      <c r="I10" s="12"/>
    </row>
    <row r="11" spans="1:15" ht="16.5" thickBot="1" x14ac:dyDescent="0.3">
      <c r="A11" s="11" t="s">
        <v>83</v>
      </c>
      <c r="B11" s="7">
        <v>70</v>
      </c>
      <c r="C11" s="7">
        <v>2</v>
      </c>
      <c r="D11" s="7">
        <f t="shared" ref="D11:D17" si="1">B11*C11</f>
        <v>140</v>
      </c>
      <c r="E11" s="7"/>
      <c r="F11" s="7">
        <f t="shared" ref="F11:F16" si="2">D11*E11</f>
        <v>0</v>
      </c>
      <c r="G11" s="7">
        <f t="shared" ref="G11:G16" si="3">0.05*F11</f>
        <v>0</v>
      </c>
      <c r="H11" s="7">
        <f t="shared" ref="H11:H16" si="4">0.1*F11</f>
        <v>0</v>
      </c>
      <c r="I11" s="12">
        <f t="shared" ref="I11:I16" si="5">F11*F$2+G11*G$2+H11*H$2</f>
        <v>0</v>
      </c>
      <c r="L11">
        <f>O6+0.05*O5+0.1*O7</f>
        <v>91.795500000000004</v>
      </c>
    </row>
    <row r="12" spans="1:15" ht="16.5" thickBot="1" x14ac:dyDescent="0.3">
      <c r="A12" s="11" t="s">
        <v>79</v>
      </c>
      <c r="B12" s="7">
        <v>70</v>
      </c>
      <c r="C12" s="7">
        <v>2</v>
      </c>
      <c r="D12" s="7">
        <f t="shared" si="1"/>
        <v>140</v>
      </c>
      <c r="E12" s="7"/>
      <c r="F12" s="7">
        <f t="shared" si="2"/>
        <v>0</v>
      </c>
      <c r="G12" s="7">
        <f t="shared" si="3"/>
        <v>0</v>
      </c>
      <c r="H12" s="7">
        <f t="shared" si="4"/>
        <v>0</v>
      </c>
      <c r="I12" s="12">
        <f t="shared" si="5"/>
        <v>0</v>
      </c>
    </row>
    <row r="13" spans="1:15" ht="16.5" thickBot="1" x14ac:dyDescent="0.3">
      <c r="A13" s="11" t="s">
        <v>84</v>
      </c>
      <c r="B13" s="7">
        <v>6</v>
      </c>
      <c r="C13" s="7">
        <v>2</v>
      </c>
      <c r="D13" s="7">
        <f t="shared" si="1"/>
        <v>12</v>
      </c>
      <c r="E13" s="7"/>
      <c r="F13" s="7">
        <f t="shared" si="2"/>
        <v>0</v>
      </c>
      <c r="G13" s="7">
        <f t="shared" si="3"/>
        <v>0</v>
      </c>
      <c r="H13" s="7">
        <f t="shared" si="4"/>
        <v>0</v>
      </c>
      <c r="I13" s="12">
        <f t="shared" si="5"/>
        <v>0</v>
      </c>
    </row>
    <row r="14" spans="1:15" ht="16.5" thickBot="1" x14ac:dyDescent="0.3">
      <c r="A14" s="9" t="s">
        <v>85</v>
      </c>
      <c r="B14" s="7">
        <v>72</v>
      </c>
      <c r="C14" s="7">
        <v>1</v>
      </c>
      <c r="D14" s="7">
        <f t="shared" si="1"/>
        <v>72</v>
      </c>
      <c r="E14" s="7"/>
      <c r="F14" s="7">
        <f t="shared" si="2"/>
        <v>0</v>
      </c>
      <c r="G14" s="7">
        <f t="shared" si="3"/>
        <v>0</v>
      </c>
      <c r="H14" s="7">
        <f t="shared" si="4"/>
        <v>0</v>
      </c>
      <c r="I14" s="12">
        <f t="shared" si="5"/>
        <v>0</v>
      </c>
    </row>
    <row r="15" spans="1:15" ht="16.5" thickBot="1" x14ac:dyDescent="0.3">
      <c r="A15" s="9" t="s">
        <v>80</v>
      </c>
      <c r="B15" s="7">
        <v>10</v>
      </c>
      <c r="C15" s="7">
        <v>1</v>
      </c>
      <c r="D15" s="7">
        <f t="shared" si="1"/>
        <v>10</v>
      </c>
      <c r="E15" s="7"/>
      <c r="F15" s="7">
        <f t="shared" si="2"/>
        <v>0</v>
      </c>
      <c r="G15" s="7">
        <f t="shared" si="3"/>
        <v>0</v>
      </c>
      <c r="H15" s="7">
        <f t="shared" si="4"/>
        <v>0</v>
      </c>
      <c r="I15" s="12">
        <f t="shared" si="5"/>
        <v>0</v>
      </c>
    </row>
    <row r="16" spans="1:15" ht="16.5" thickBot="1" x14ac:dyDescent="0.3">
      <c r="A16" s="9" t="s">
        <v>86</v>
      </c>
      <c r="B16" s="7">
        <v>0.5</v>
      </c>
      <c r="C16" s="7">
        <v>350</v>
      </c>
      <c r="D16" s="7">
        <f t="shared" si="1"/>
        <v>175</v>
      </c>
      <c r="E16" s="7"/>
      <c r="F16" s="7">
        <f t="shared" si="2"/>
        <v>0</v>
      </c>
      <c r="G16" s="7">
        <f t="shared" si="3"/>
        <v>0</v>
      </c>
      <c r="H16" s="7">
        <f t="shared" si="4"/>
        <v>0</v>
      </c>
      <c r="I16" s="12">
        <f t="shared" si="5"/>
        <v>0</v>
      </c>
    </row>
    <row r="17" spans="1:9" ht="39" thickBot="1" x14ac:dyDescent="0.3">
      <c r="A17" s="9" t="s">
        <v>81</v>
      </c>
      <c r="B17" s="7">
        <v>2</v>
      </c>
      <c r="C17" s="7">
        <v>12</v>
      </c>
      <c r="D17" s="7">
        <f t="shared" si="1"/>
        <v>24</v>
      </c>
      <c r="E17" s="7"/>
      <c r="F17" s="7">
        <f>D17*E17</f>
        <v>0</v>
      </c>
      <c r="G17" s="7">
        <f>0.05*F17</f>
        <v>0</v>
      </c>
      <c r="H17" s="7">
        <f>0.1*F17</f>
        <v>0</v>
      </c>
      <c r="I17" s="12">
        <f>F17*F$2+G17*G$2+H17*H$2</f>
        <v>0</v>
      </c>
    </row>
    <row r="18" spans="1:9" ht="15.75" thickBot="1" x14ac:dyDescent="0.3">
      <c r="A18" s="10" t="s">
        <v>27</v>
      </c>
      <c r="B18" s="7" t="s">
        <v>28</v>
      </c>
      <c r="C18" s="7"/>
      <c r="D18" s="7"/>
      <c r="E18" s="7"/>
      <c r="F18" s="7"/>
      <c r="G18" s="7"/>
      <c r="H18" s="7"/>
      <c r="I18" s="12"/>
    </row>
    <row r="19" spans="1:9" ht="15.75" thickBot="1" x14ac:dyDescent="0.3">
      <c r="A19" s="10" t="s">
        <v>29</v>
      </c>
      <c r="B19" s="7" t="s">
        <v>28</v>
      </c>
      <c r="C19" s="7"/>
      <c r="D19" s="7"/>
      <c r="E19" s="7"/>
      <c r="F19" s="7"/>
      <c r="G19" s="7"/>
      <c r="H19" s="7"/>
      <c r="I19" s="12"/>
    </row>
    <row r="20" spans="1:9" ht="15.75" thickBot="1" x14ac:dyDescent="0.3">
      <c r="A20" s="10" t="s">
        <v>30</v>
      </c>
      <c r="B20" s="7"/>
      <c r="C20" s="7"/>
      <c r="D20" s="7"/>
      <c r="E20" s="7"/>
      <c r="F20" s="7"/>
      <c r="G20" s="7"/>
      <c r="H20" s="7"/>
      <c r="I20" s="12"/>
    </row>
    <row r="21" spans="1:9" ht="16.5" thickBot="1" x14ac:dyDescent="0.3">
      <c r="A21" s="9" t="s">
        <v>31</v>
      </c>
      <c r="B21" s="7">
        <v>2</v>
      </c>
      <c r="C21" s="7">
        <v>1</v>
      </c>
      <c r="D21" s="7">
        <f t="shared" ref="D21:D23" si="6">B21*C21</f>
        <v>2</v>
      </c>
      <c r="E21" s="7">
        <v>0</v>
      </c>
      <c r="F21" s="7">
        <f t="shared" ref="F21:F23" si="7">D21*E21</f>
        <v>0</v>
      </c>
      <c r="G21" s="7">
        <f t="shared" ref="G21:G23" si="8">0.05*F21</f>
        <v>0</v>
      </c>
      <c r="H21" s="7">
        <f t="shared" ref="H21:H23" si="9">0.1*F21</f>
        <v>0</v>
      </c>
      <c r="I21" s="12">
        <f t="shared" ref="I21:I23" si="10">F21*F$2+G21*G$2+H21*H$2</f>
        <v>0</v>
      </c>
    </row>
    <row r="22" spans="1:9" ht="16.5" thickBot="1" x14ac:dyDescent="0.3">
      <c r="A22" s="9" t="s">
        <v>32</v>
      </c>
      <c r="B22" s="7">
        <v>2</v>
      </c>
      <c r="C22" s="7">
        <v>1</v>
      </c>
      <c r="D22" s="7">
        <f t="shared" si="6"/>
        <v>2</v>
      </c>
      <c r="E22" s="7">
        <v>0</v>
      </c>
      <c r="F22" s="7">
        <f t="shared" si="7"/>
        <v>0</v>
      </c>
      <c r="G22" s="7">
        <f t="shared" si="8"/>
        <v>0</v>
      </c>
      <c r="H22" s="7">
        <f t="shared" si="9"/>
        <v>0</v>
      </c>
      <c r="I22" s="12">
        <f t="shared" si="10"/>
        <v>0</v>
      </c>
    </row>
    <row r="23" spans="1:9" ht="16.5" thickBot="1" x14ac:dyDescent="0.3">
      <c r="A23" s="9" t="s">
        <v>33</v>
      </c>
      <c r="B23" s="7">
        <v>2</v>
      </c>
      <c r="C23" s="7">
        <v>1</v>
      </c>
      <c r="D23" s="7">
        <f t="shared" si="6"/>
        <v>2</v>
      </c>
      <c r="E23" s="7">
        <v>0</v>
      </c>
      <c r="F23" s="7">
        <f t="shared" si="7"/>
        <v>0</v>
      </c>
      <c r="G23" s="7">
        <f t="shared" si="8"/>
        <v>0</v>
      </c>
      <c r="H23" s="7">
        <f t="shared" si="9"/>
        <v>0</v>
      </c>
      <c r="I23" s="12">
        <f t="shared" si="10"/>
        <v>0</v>
      </c>
    </row>
    <row r="24" spans="1:9" ht="16.5" thickBot="1" x14ac:dyDescent="0.3">
      <c r="A24" s="9" t="s">
        <v>34</v>
      </c>
      <c r="B24" s="7" t="s">
        <v>23</v>
      </c>
      <c r="C24" s="7"/>
      <c r="D24" s="7"/>
      <c r="E24" s="7"/>
      <c r="F24" s="7"/>
      <c r="G24" s="7"/>
      <c r="H24" s="7"/>
      <c r="I24" s="12"/>
    </row>
    <row r="25" spans="1:9" ht="16.5" thickBot="1" x14ac:dyDescent="0.3">
      <c r="A25" s="9" t="s">
        <v>35</v>
      </c>
      <c r="B25" s="7">
        <v>2</v>
      </c>
      <c r="C25" s="7">
        <v>1</v>
      </c>
      <c r="D25" s="7">
        <f t="shared" ref="D25:D30" si="11">B25*C25</f>
        <v>2</v>
      </c>
      <c r="E25" s="7">
        <v>0</v>
      </c>
      <c r="F25" s="7">
        <f t="shared" ref="F25:F30" si="12">D25*E25</f>
        <v>0</v>
      </c>
      <c r="G25" s="7">
        <f t="shared" ref="G25:G30" si="13">0.05*F25</f>
        <v>0</v>
      </c>
      <c r="H25" s="7">
        <f t="shared" ref="H25:H30" si="14">0.1*F25</f>
        <v>0</v>
      </c>
      <c r="I25" s="12">
        <f t="shared" ref="I25:I30" si="15">F25*F$2+G25*G$2+H25*H$2</f>
        <v>0</v>
      </c>
    </row>
    <row r="26" spans="1:9" ht="16.5" thickBot="1" x14ac:dyDescent="0.3">
      <c r="A26" s="9" t="s">
        <v>36</v>
      </c>
      <c r="B26" s="7">
        <v>2</v>
      </c>
      <c r="C26" s="7">
        <v>3.8</v>
      </c>
      <c r="D26" s="7">
        <f t="shared" si="11"/>
        <v>7.6</v>
      </c>
      <c r="E26" s="7">
        <v>0</v>
      </c>
      <c r="F26" s="7">
        <f t="shared" si="12"/>
        <v>0</v>
      </c>
      <c r="G26" s="7">
        <f t="shared" si="13"/>
        <v>0</v>
      </c>
      <c r="H26" s="7">
        <f t="shared" si="14"/>
        <v>0</v>
      </c>
      <c r="I26" s="12">
        <f t="shared" si="15"/>
        <v>0</v>
      </c>
    </row>
    <row r="27" spans="1:9" ht="16.5" thickBot="1" x14ac:dyDescent="0.3">
      <c r="A27" s="9" t="s">
        <v>37</v>
      </c>
      <c r="B27" s="7">
        <v>20</v>
      </c>
      <c r="C27" s="7">
        <v>3.8</v>
      </c>
      <c r="D27" s="7">
        <f t="shared" si="11"/>
        <v>76</v>
      </c>
      <c r="E27" s="7">
        <v>0</v>
      </c>
      <c r="F27" s="7">
        <f t="shared" si="12"/>
        <v>0</v>
      </c>
      <c r="G27" s="7">
        <f t="shared" si="13"/>
        <v>0</v>
      </c>
      <c r="H27" s="7">
        <f t="shared" si="14"/>
        <v>0</v>
      </c>
      <c r="I27" s="12">
        <f t="shared" si="15"/>
        <v>0</v>
      </c>
    </row>
    <row r="28" spans="1:9" ht="16.5" thickBot="1" x14ac:dyDescent="0.3">
      <c r="A28" s="9" t="s">
        <v>38</v>
      </c>
      <c r="B28" s="7">
        <v>60</v>
      </c>
      <c r="C28" s="7">
        <v>1</v>
      </c>
      <c r="D28" s="7">
        <f t="shared" si="11"/>
        <v>60</v>
      </c>
      <c r="E28" s="7">
        <v>0</v>
      </c>
      <c r="F28" s="7">
        <f t="shared" si="12"/>
        <v>0</v>
      </c>
      <c r="G28" s="7">
        <f t="shared" si="13"/>
        <v>0</v>
      </c>
      <c r="H28" s="7">
        <f t="shared" si="14"/>
        <v>0</v>
      </c>
      <c r="I28" s="12">
        <f t="shared" si="15"/>
        <v>0</v>
      </c>
    </row>
    <row r="29" spans="1:9" ht="16.5" thickBot="1" x14ac:dyDescent="0.3">
      <c r="A29" s="11" t="s">
        <v>39</v>
      </c>
      <c r="B29" s="7">
        <v>40</v>
      </c>
      <c r="C29" s="7">
        <v>1</v>
      </c>
      <c r="D29" s="7">
        <f t="shared" si="11"/>
        <v>40</v>
      </c>
      <c r="E29" s="7">
        <v>0</v>
      </c>
      <c r="F29" s="7">
        <f t="shared" si="12"/>
        <v>0</v>
      </c>
      <c r="G29" s="7">
        <f t="shared" si="13"/>
        <v>0</v>
      </c>
      <c r="H29" s="7">
        <f t="shared" si="14"/>
        <v>0</v>
      </c>
      <c r="I29" s="12">
        <f t="shared" si="15"/>
        <v>0</v>
      </c>
    </row>
    <row r="30" spans="1:9" ht="16.5" thickBot="1" x14ac:dyDescent="0.3">
      <c r="A30" s="9" t="s">
        <v>40</v>
      </c>
      <c r="B30" s="7">
        <v>8</v>
      </c>
      <c r="C30" s="7">
        <v>1</v>
      </c>
      <c r="D30" s="7">
        <f t="shared" si="11"/>
        <v>8</v>
      </c>
      <c r="E30" s="7">
        <v>0</v>
      </c>
      <c r="F30" s="7">
        <f t="shared" si="12"/>
        <v>0</v>
      </c>
      <c r="G30" s="7">
        <f t="shared" si="13"/>
        <v>0</v>
      </c>
      <c r="H30" s="7">
        <f t="shared" si="14"/>
        <v>0</v>
      </c>
      <c r="I30" s="12">
        <f t="shared" si="15"/>
        <v>0</v>
      </c>
    </row>
    <row r="31" spans="1:9" ht="15.75" thickBot="1" x14ac:dyDescent="0.3">
      <c r="A31" s="9" t="s">
        <v>41</v>
      </c>
      <c r="B31" s="7" t="s">
        <v>23</v>
      </c>
      <c r="C31" s="7"/>
      <c r="D31" s="7"/>
      <c r="E31" s="7"/>
      <c r="F31" s="7"/>
      <c r="G31" s="7"/>
      <c r="H31" s="7"/>
      <c r="I31" s="12"/>
    </row>
    <row r="32" spans="1:9" ht="15.75" thickBot="1" x14ac:dyDescent="0.3">
      <c r="A32" s="9" t="s">
        <v>42</v>
      </c>
      <c r="B32" s="7">
        <v>8</v>
      </c>
      <c r="C32" s="7">
        <v>0.4</v>
      </c>
      <c r="D32" s="7">
        <f t="shared" ref="D32" si="16">B32*C32</f>
        <v>3.2</v>
      </c>
      <c r="E32" s="7">
        <v>45</v>
      </c>
      <c r="F32" s="7">
        <f t="shared" ref="F32" si="17">D32*E32</f>
        <v>144</v>
      </c>
      <c r="G32" s="7">
        <f t="shared" ref="G32" si="18">0.05*F32</f>
        <v>7.2</v>
      </c>
      <c r="H32" s="7">
        <f t="shared" ref="H32" si="19">0.1*F32</f>
        <v>14.4</v>
      </c>
      <c r="I32" s="12">
        <f t="shared" ref="I32" si="20">F32*F$2+G32*G$2+H32*H$2</f>
        <v>13218.552</v>
      </c>
    </row>
    <row r="33" spans="1:9" ht="16.5" thickBot="1" x14ac:dyDescent="0.3">
      <c r="A33" s="9" t="s">
        <v>87</v>
      </c>
      <c r="B33" s="7">
        <v>12</v>
      </c>
      <c r="C33" s="7">
        <v>2</v>
      </c>
      <c r="D33" s="7">
        <f t="shared" ref="D33" si="21">B33*C33</f>
        <v>24</v>
      </c>
      <c r="E33" s="7"/>
      <c r="F33" s="7">
        <f t="shared" ref="F33" si="22">D33*E33</f>
        <v>0</v>
      </c>
      <c r="G33" s="7">
        <f t="shared" ref="G33" si="23">0.05*F33</f>
        <v>0</v>
      </c>
      <c r="H33" s="7">
        <f t="shared" ref="H33" si="24">0.1*F33</f>
        <v>0</v>
      </c>
      <c r="I33" s="12">
        <f t="shared" ref="I33" si="25">F33*F$2+G33*G$2+H33*H$2</f>
        <v>0</v>
      </c>
    </row>
    <row r="34" spans="1:9" ht="15.75" thickBot="1" x14ac:dyDescent="0.3">
      <c r="A34" s="13" t="s">
        <v>43</v>
      </c>
      <c r="B34" s="5"/>
      <c r="C34" s="5"/>
      <c r="D34" s="7"/>
      <c r="E34" s="5"/>
      <c r="F34" s="66">
        <f>SUM(F6:H33)</f>
        <v>165.6</v>
      </c>
      <c r="G34" s="67"/>
      <c r="H34" s="68"/>
      <c r="I34" s="14">
        <f>SUM(I6:I33)</f>
        <v>13218.552</v>
      </c>
    </row>
    <row r="35" spans="1:9" ht="15.75" thickBot="1" x14ac:dyDescent="0.3">
      <c r="A35" s="6" t="s">
        <v>44</v>
      </c>
      <c r="B35" s="7"/>
      <c r="C35" s="7"/>
      <c r="D35" s="7"/>
      <c r="E35" s="7"/>
      <c r="F35" s="7"/>
      <c r="G35" s="7"/>
      <c r="H35" s="7"/>
      <c r="I35" s="8"/>
    </row>
    <row r="36" spans="1:9" ht="16.5" thickBot="1" x14ac:dyDescent="0.3">
      <c r="A36" s="9" t="s">
        <v>76</v>
      </c>
      <c r="B36" s="7" t="s">
        <v>45</v>
      </c>
      <c r="C36" s="7"/>
      <c r="D36" s="7"/>
      <c r="E36" s="7"/>
      <c r="F36" s="7"/>
      <c r="G36" s="7"/>
      <c r="H36" s="7"/>
      <c r="I36" s="8"/>
    </row>
    <row r="37" spans="1:9" ht="16.5" thickBot="1" x14ac:dyDescent="0.3">
      <c r="A37" s="10" t="s">
        <v>88</v>
      </c>
      <c r="B37" s="7">
        <v>3</v>
      </c>
      <c r="C37" s="7">
        <v>1</v>
      </c>
      <c r="D37" s="7">
        <f t="shared" ref="D37:D42" si="26">B37*C37</f>
        <v>3</v>
      </c>
      <c r="E37" s="7">
        <v>15</v>
      </c>
      <c r="F37" s="7">
        <f t="shared" ref="F37:F42" si="27">D37*E37</f>
        <v>45</v>
      </c>
      <c r="G37" s="7">
        <f t="shared" ref="G37:G42" si="28">0.05*F37</f>
        <v>2.25</v>
      </c>
      <c r="H37" s="7">
        <f t="shared" ref="H37:H42" si="29">0.1*F37</f>
        <v>4.5</v>
      </c>
      <c r="I37" s="12">
        <f t="shared" ref="I37:I42" si="30">F37*F$2+G37*G$2+H37*H$2</f>
        <v>4130.7974999999997</v>
      </c>
    </row>
    <row r="38" spans="1:9" ht="16.5" thickBot="1" x14ac:dyDescent="0.3">
      <c r="A38" s="10" t="s">
        <v>89</v>
      </c>
      <c r="B38" s="7">
        <v>6</v>
      </c>
      <c r="C38" s="7">
        <v>1</v>
      </c>
      <c r="D38" s="7">
        <f t="shared" si="26"/>
        <v>6</v>
      </c>
      <c r="E38" s="7">
        <v>15</v>
      </c>
      <c r="F38" s="7">
        <f t="shared" si="27"/>
        <v>90</v>
      </c>
      <c r="G38" s="7">
        <f t="shared" si="28"/>
        <v>4.5</v>
      </c>
      <c r="H38" s="7">
        <f t="shared" si="29"/>
        <v>9</v>
      </c>
      <c r="I38" s="12">
        <f t="shared" si="30"/>
        <v>8261.5949999999993</v>
      </c>
    </row>
    <row r="39" spans="1:9" ht="16.5" thickBot="1" x14ac:dyDescent="0.3">
      <c r="A39" s="10" t="s">
        <v>90</v>
      </c>
      <c r="B39" s="7">
        <v>1</v>
      </c>
      <c r="C39" s="7">
        <v>1</v>
      </c>
      <c r="D39" s="7">
        <f t="shared" si="26"/>
        <v>1</v>
      </c>
      <c r="E39" s="7">
        <v>15</v>
      </c>
      <c r="F39" s="7">
        <f t="shared" si="27"/>
        <v>15</v>
      </c>
      <c r="G39" s="7">
        <f t="shared" si="28"/>
        <v>0.75</v>
      </c>
      <c r="H39" s="7">
        <f t="shared" si="29"/>
        <v>1.5</v>
      </c>
      <c r="I39" s="12">
        <f t="shared" si="30"/>
        <v>1376.9325000000001</v>
      </c>
    </row>
    <row r="40" spans="1:9" ht="16.5" thickBot="1" x14ac:dyDescent="0.3">
      <c r="A40" s="10" t="s">
        <v>91</v>
      </c>
      <c r="B40" s="7">
        <v>0.5</v>
      </c>
      <c r="C40" s="7">
        <v>52</v>
      </c>
      <c r="D40" s="7">
        <f t="shared" si="26"/>
        <v>26</v>
      </c>
      <c r="E40" s="7"/>
      <c r="F40" s="7">
        <f t="shared" si="27"/>
        <v>0</v>
      </c>
      <c r="G40" s="7">
        <f t="shared" si="28"/>
        <v>0</v>
      </c>
      <c r="H40" s="7">
        <f t="shared" si="29"/>
        <v>0</v>
      </c>
      <c r="I40" s="12">
        <f t="shared" si="30"/>
        <v>0</v>
      </c>
    </row>
    <row r="41" spans="1:9" ht="16.5" thickBot="1" x14ac:dyDescent="0.3">
      <c r="A41" s="10" t="s">
        <v>92</v>
      </c>
      <c r="B41" s="7">
        <v>2</v>
      </c>
      <c r="C41" s="7">
        <v>1</v>
      </c>
      <c r="D41" s="7">
        <f t="shared" si="26"/>
        <v>2</v>
      </c>
      <c r="E41" s="7">
        <v>15</v>
      </c>
      <c r="F41" s="7">
        <f t="shared" si="27"/>
        <v>30</v>
      </c>
      <c r="G41" s="7">
        <f t="shared" si="28"/>
        <v>1.5</v>
      </c>
      <c r="H41" s="7">
        <f t="shared" si="29"/>
        <v>3</v>
      </c>
      <c r="I41" s="12">
        <f t="shared" si="30"/>
        <v>2753.8650000000002</v>
      </c>
    </row>
    <row r="42" spans="1:9" ht="29.25" thickBot="1" x14ac:dyDescent="0.3">
      <c r="A42" s="9" t="s">
        <v>112</v>
      </c>
      <c r="B42" s="7">
        <v>2</v>
      </c>
      <c r="C42" s="7">
        <v>1</v>
      </c>
      <c r="D42" s="7">
        <f t="shared" si="26"/>
        <v>2</v>
      </c>
      <c r="E42" s="7">
        <v>15</v>
      </c>
      <c r="F42" s="7">
        <f t="shared" si="27"/>
        <v>30</v>
      </c>
      <c r="G42" s="7">
        <f t="shared" si="28"/>
        <v>1.5</v>
      </c>
      <c r="H42" s="7">
        <f t="shared" si="29"/>
        <v>3</v>
      </c>
      <c r="I42" s="12">
        <f t="shared" si="30"/>
        <v>2753.8650000000002</v>
      </c>
    </row>
    <row r="43" spans="1:9" ht="16.5" thickBot="1" x14ac:dyDescent="0.3">
      <c r="A43" s="10" t="s">
        <v>93</v>
      </c>
      <c r="B43" s="7">
        <v>0.25</v>
      </c>
      <c r="C43" s="7">
        <v>2</v>
      </c>
      <c r="D43" s="7">
        <f t="shared" ref="D43" si="31">B43*C43</f>
        <v>0.5</v>
      </c>
      <c r="E43" s="7"/>
      <c r="F43" s="7">
        <f>D43*E43</f>
        <v>0</v>
      </c>
      <c r="G43" s="7">
        <f>0.05*F43</f>
        <v>0</v>
      </c>
      <c r="H43" s="7">
        <f>0.1*F43</f>
        <v>0</v>
      </c>
      <c r="I43" s="12">
        <f>F43*F$2+G43*G$2+H43*H$2</f>
        <v>0</v>
      </c>
    </row>
    <row r="44" spans="1:9" ht="15.75" thickBot="1" x14ac:dyDescent="0.3">
      <c r="A44" s="10" t="s">
        <v>46</v>
      </c>
      <c r="B44" s="7" t="s">
        <v>23</v>
      </c>
      <c r="C44" s="7"/>
      <c r="D44" s="7"/>
      <c r="E44" s="7"/>
      <c r="F44" s="7"/>
      <c r="G44" s="7"/>
      <c r="H44" s="7"/>
      <c r="I44" s="8"/>
    </row>
    <row r="45" spans="1:9" ht="15.75" thickBot="1" x14ac:dyDescent="0.3">
      <c r="A45" s="13" t="s">
        <v>47</v>
      </c>
      <c r="B45" s="5"/>
      <c r="C45" s="5"/>
      <c r="D45" s="5"/>
      <c r="E45" s="5"/>
      <c r="F45" s="66">
        <f>SUM(F35:H44)</f>
        <v>241.5</v>
      </c>
      <c r="G45" s="67"/>
      <c r="H45" s="68"/>
      <c r="I45" s="14">
        <f>SUM(I35:I44)</f>
        <v>19277.055</v>
      </c>
    </row>
    <row r="46" spans="1:9" ht="16.5" thickBot="1" x14ac:dyDescent="0.3">
      <c r="A46" s="13" t="s">
        <v>94</v>
      </c>
      <c r="B46" s="15"/>
      <c r="C46" s="15"/>
      <c r="D46" s="15"/>
      <c r="E46" s="15"/>
      <c r="F46" s="66">
        <f>ROUND(F45+F34,-2)</f>
        <v>400</v>
      </c>
      <c r="G46" s="67"/>
      <c r="H46" s="68"/>
      <c r="I46" s="14">
        <f>ROUND(I45+I34,-3)</f>
        <v>32000</v>
      </c>
    </row>
    <row r="47" spans="1:9" ht="16.5" thickBot="1" x14ac:dyDescent="0.3">
      <c r="A47" s="13" t="s">
        <v>95</v>
      </c>
      <c r="B47" s="16"/>
      <c r="C47" s="16"/>
      <c r="D47" s="16"/>
      <c r="E47" s="16"/>
      <c r="F47" s="16"/>
      <c r="G47" s="16"/>
      <c r="H47" s="16"/>
      <c r="I47" s="14">
        <v>0</v>
      </c>
    </row>
    <row r="48" spans="1:9" ht="16.5" thickBot="1" x14ac:dyDescent="0.3">
      <c r="A48" s="13" t="s">
        <v>96</v>
      </c>
      <c r="B48" s="16"/>
      <c r="C48" s="16"/>
      <c r="D48" s="16"/>
      <c r="E48" s="16"/>
      <c r="F48" s="16"/>
      <c r="G48" s="16"/>
      <c r="H48" s="16"/>
      <c r="I48" s="14">
        <f>ROUND(I34+I45+I47,-3)</f>
        <v>32000</v>
      </c>
    </row>
    <row r="49" spans="1:1" ht="15.75" x14ac:dyDescent="0.25">
      <c r="A49" s="17"/>
    </row>
    <row r="50" spans="1:1" x14ac:dyDescent="0.25">
      <c r="A50" s="18" t="s">
        <v>48</v>
      </c>
    </row>
    <row r="51" spans="1:1" ht="15.75" x14ac:dyDescent="0.25">
      <c r="A51" s="19" t="s">
        <v>78</v>
      </c>
    </row>
    <row r="52" spans="1:1" ht="15.75" x14ac:dyDescent="0.25">
      <c r="A52" s="19" t="s">
        <v>77</v>
      </c>
    </row>
    <row r="53" spans="1:1" ht="15.75" x14ac:dyDescent="0.25">
      <c r="A53" s="19" t="s">
        <v>49</v>
      </c>
    </row>
    <row r="54" spans="1:1" ht="15.75" x14ac:dyDescent="0.25">
      <c r="A54" s="19" t="s">
        <v>50</v>
      </c>
    </row>
    <row r="55" spans="1:1" ht="15.75" x14ac:dyDescent="0.25">
      <c r="A55" s="19" t="s">
        <v>82</v>
      </c>
    </row>
    <row r="56" spans="1:1" ht="15.75" x14ac:dyDescent="0.25">
      <c r="A56" s="19" t="s">
        <v>97</v>
      </c>
    </row>
    <row r="57" spans="1:1" ht="15.75" x14ac:dyDescent="0.25">
      <c r="A57" s="19" t="s">
        <v>98</v>
      </c>
    </row>
    <row r="58" spans="1:1" ht="15.75" x14ac:dyDescent="0.25">
      <c r="A58" s="19" t="s">
        <v>99</v>
      </c>
    </row>
    <row r="59" spans="1:1" ht="15.75" x14ac:dyDescent="0.25">
      <c r="A59" s="19" t="s">
        <v>104</v>
      </c>
    </row>
    <row r="60" spans="1:1" ht="15.75" x14ac:dyDescent="0.25">
      <c r="A60" s="19" t="s">
        <v>100</v>
      </c>
    </row>
    <row r="61" spans="1:1" ht="15.75" x14ac:dyDescent="0.25">
      <c r="A61" s="19" t="s">
        <v>101</v>
      </c>
    </row>
    <row r="62" spans="1:1" ht="15.75" x14ac:dyDescent="0.25">
      <c r="A62" s="19" t="s">
        <v>102</v>
      </c>
    </row>
    <row r="63" spans="1:1" ht="15.75" x14ac:dyDescent="0.25">
      <c r="A63" s="19" t="s">
        <v>103</v>
      </c>
    </row>
  </sheetData>
  <mergeCells count="4">
    <mergeCell ref="A3:A5"/>
    <mergeCell ref="F34:H34"/>
    <mergeCell ref="F45:H45"/>
    <mergeCell ref="F46:H46"/>
  </mergeCells>
  <hyperlinks>
    <hyperlink ref="M2" r:id="rId1" xr:uid="{76AF08DD-8FC8-4FAD-95F2-6D3680C1FB2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BBB3D-259E-4161-A2C4-34364E2B9D57}">
  <dimension ref="A1:G13"/>
  <sheetViews>
    <sheetView workbookViewId="0">
      <selection activeCell="F9" sqref="F9"/>
    </sheetView>
  </sheetViews>
  <sheetFormatPr defaultRowHeight="15" x14ac:dyDescent="0.25"/>
  <cols>
    <col min="1" max="1" width="17.7109375" customWidth="1"/>
    <col min="2" max="7" width="14.42578125" customWidth="1"/>
  </cols>
  <sheetData>
    <row r="1" spans="1:7" ht="15.75" x14ac:dyDescent="0.25">
      <c r="A1" s="69"/>
      <c r="B1" s="70"/>
      <c r="C1" s="70"/>
      <c r="D1" s="70"/>
      <c r="E1" s="70"/>
      <c r="F1" s="70"/>
      <c r="G1" s="71"/>
    </row>
    <row r="2" spans="1:7" ht="16.5" thickBot="1" x14ac:dyDescent="0.3">
      <c r="A2" s="72" t="s">
        <v>64</v>
      </c>
      <c r="B2" s="73"/>
      <c r="C2" s="73"/>
      <c r="D2" s="73"/>
      <c r="E2" s="73"/>
      <c r="F2" s="73"/>
      <c r="G2" s="74"/>
    </row>
    <row r="3" spans="1:7" ht="15.75" x14ac:dyDescent="0.25">
      <c r="A3" s="25"/>
      <c r="B3" s="23"/>
      <c r="C3" s="23"/>
      <c r="D3" s="23"/>
      <c r="E3" s="23"/>
      <c r="F3" s="23"/>
      <c r="G3" s="26"/>
    </row>
    <row r="4" spans="1:7" x14ac:dyDescent="0.25">
      <c r="A4" s="27" t="s">
        <v>2</v>
      </c>
      <c r="B4" s="27" t="s">
        <v>4</v>
      </c>
      <c r="C4" s="27" t="s">
        <v>6</v>
      </c>
      <c r="D4" s="27" t="s">
        <v>9</v>
      </c>
      <c r="E4" s="27" t="s">
        <v>11</v>
      </c>
      <c r="F4" s="27" t="s">
        <v>14</v>
      </c>
      <c r="G4" s="27" t="s">
        <v>17</v>
      </c>
    </row>
    <row r="5" spans="1:7" ht="38.25" x14ac:dyDescent="0.25">
      <c r="A5" s="28" t="s">
        <v>65</v>
      </c>
      <c r="B5" s="28" t="s">
        <v>66</v>
      </c>
      <c r="C5" s="28" t="s">
        <v>67</v>
      </c>
      <c r="D5" s="28" t="s">
        <v>109</v>
      </c>
      <c r="E5" s="28" t="s">
        <v>68</v>
      </c>
      <c r="F5" s="28" t="s">
        <v>69</v>
      </c>
      <c r="G5" s="28" t="s">
        <v>110</v>
      </c>
    </row>
    <row r="6" spans="1:7" x14ac:dyDescent="0.25">
      <c r="A6" s="29" t="s">
        <v>70</v>
      </c>
      <c r="B6" s="30">
        <v>9000</v>
      </c>
      <c r="C6" s="31">
        <v>0</v>
      </c>
      <c r="D6" s="30">
        <v>0</v>
      </c>
      <c r="E6" s="30">
        <v>1470</v>
      </c>
      <c r="F6" s="31">
        <v>45</v>
      </c>
      <c r="G6" s="30">
        <f>E6*F6</f>
        <v>66150</v>
      </c>
    </row>
    <row r="7" spans="1:7" x14ac:dyDescent="0.25">
      <c r="A7" s="29" t="s">
        <v>71</v>
      </c>
      <c r="B7" s="30">
        <v>7500</v>
      </c>
      <c r="C7" s="31">
        <v>0</v>
      </c>
      <c r="D7" s="30">
        <v>0</v>
      </c>
      <c r="E7" s="30">
        <v>2000</v>
      </c>
      <c r="F7" s="31">
        <v>30</v>
      </c>
      <c r="G7" s="30">
        <f t="shared" ref="G7:G10" si="0">E7*F7</f>
        <v>60000</v>
      </c>
    </row>
    <row r="8" spans="1:7" x14ac:dyDescent="0.25">
      <c r="A8" s="29" t="s">
        <v>72</v>
      </c>
      <c r="B8" s="30">
        <v>7500</v>
      </c>
      <c r="C8" s="31">
        <v>0</v>
      </c>
      <c r="D8" s="30">
        <v>0</v>
      </c>
      <c r="E8" s="30">
        <v>2000</v>
      </c>
      <c r="F8" s="31">
        <v>23</v>
      </c>
      <c r="G8" s="30">
        <f t="shared" si="0"/>
        <v>46000</v>
      </c>
    </row>
    <row r="9" spans="1:7" x14ac:dyDescent="0.25">
      <c r="A9" s="29" t="s">
        <v>73</v>
      </c>
      <c r="B9" s="30">
        <v>7500</v>
      </c>
      <c r="C9" s="31">
        <v>0</v>
      </c>
      <c r="D9" s="30">
        <v>0</v>
      </c>
      <c r="E9" s="30">
        <v>2000</v>
      </c>
      <c r="F9" s="31">
        <v>7</v>
      </c>
      <c r="G9" s="30">
        <f t="shared" si="0"/>
        <v>14000</v>
      </c>
    </row>
    <row r="10" spans="1:7" x14ac:dyDescent="0.25">
      <c r="A10" s="29" t="s">
        <v>74</v>
      </c>
      <c r="B10" s="30">
        <v>100000</v>
      </c>
      <c r="C10" s="31">
        <v>0</v>
      </c>
      <c r="D10" s="30">
        <v>0</v>
      </c>
      <c r="E10" s="30">
        <v>10000</v>
      </c>
      <c r="F10" s="31">
        <v>2</v>
      </c>
      <c r="G10" s="30">
        <f t="shared" si="0"/>
        <v>20000</v>
      </c>
    </row>
    <row r="11" spans="1:7" ht="15.75" x14ac:dyDescent="0.25">
      <c r="A11" s="29" t="s">
        <v>114</v>
      </c>
      <c r="B11" s="31"/>
      <c r="C11" s="31"/>
      <c r="D11" s="30">
        <v>0</v>
      </c>
      <c r="E11" s="31"/>
      <c r="F11" s="31"/>
      <c r="G11" s="30">
        <f>ROUND(SUM(G6:G10),-3)</f>
        <v>206000</v>
      </c>
    </row>
    <row r="12" spans="1:7" ht="16.5" x14ac:dyDescent="0.25">
      <c r="A12" s="24" t="s">
        <v>147</v>
      </c>
    </row>
    <row r="13" spans="1:7" ht="16.5" x14ac:dyDescent="0.25">
      <c r="A13" s="24" t="s">
        <v>115</v>
      </c>
    </row>
  </sheetData>
  <mergeCells count="2">
    <mergeCell ref="A1:G1"/>
    <mergeCell ref="A2:G2"/>
  </mergeCells>
  <pageMargins left="0.7" right="0.7" top="0.75" bottom="0.75" header="0.3" footer="0.3"/>
  <pageSetup paperSize="0" orientation="portrait" horizontalDpi="0" verticalDpi="0" copies="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D8C16-F5F7-4D63-B715-5A5225BA8ADC}">
  <dimension ref="A1:J36"/>
  <sheetViews>
    <sheetView tabSelected="1" workbookViewId="0">
      <selection activeCell="D5" sqref="D5"/>
    </sheetView>
  </sheetViews>
  <sheetFormatPr defaultRowHeight="15" x14ac:dyDescent="0.25"/>
  <cols>
    <col min="1" max="1" width="31" customWidth="1"/>
    <col min="2" max="4" width="15.28515625" customWidth="1"/>
    <col min="9" max="9" width="10" customWidth="1"/>
  </cols>
  <sheetData>
    <row r="1" spans="1:10" x14ac:dyDescent="0.25">
      <c r="A1" s="62" t="s">
        <v>178</v>
      </c>
      <c r="B1" s="39"/>
      <c r="C1" s="39"/>
      <c r="D1" s="39"/>
      <c r="E1" s="39"/>
      <c r="F1" s="39"/>
      <c r="G1" s="39"/>
      <c r="H1" s="39"/>
      <c r="I1" s="39"/>
      <c r="J1" s="39"/>
    </row>
    <row r="2" spans="1:10" x14ac:dyDescent="0.25">
      <c r="A2" s="39"/>
      <c r="B2" s="39"/>
      <c r="C2" s="39"/>
      <c r="D2" s="39"/>
      <c r="E2" s="40" t="s">
        <v>125</v>
      </c>
      <c r="F2" s="41">
        <f>D33</f>
        <v>49.44</v>
      </c>
      <c r="G2" s="41">
        <f>D32</f>
        <v>66.623999999999995</v>
      </c>
      <c r="H2" s="41">
        <f>D34</f>
        <v>26.751999999999995</v>
      </c>
      <c r="I2" s="39"/>
      <c r="J2" s="39"/>
    </row>
    <row r="3" spans="1:10" ht="72" x14ac:dyDescent="0.25">
      <c r="A3" s="42" t="s">
        <v>126</v>
      </c>
      <c r="B3" s="42" t="s">
        <v>127</v>
      </c>
      <c r="C3" s="42" t="s">
        <v>128</v>
      </c>
      <c r="D3" s="42" t="s">
        <v>129</v>
      </c>
      <c r="E3" s="42" t="s">
        <v>130</v>
      </c>
      <c r="F3" s="42" t="s">
        <v>131</v>
      </c>
      <c r="G3" s="42" t="s">
        <v>132</v>
      </c>
      <c r="H3" s="42" t="s">
        <v>133</v>
      </c>
      <c r="I3" s="42" t="s">
        <v>134</v>
      </c>
      <c r="J3" s="39"/>
    </row>
    <row r="4" spans="1:10" ht="15.75" x14ac:dyDescent="0.25">
      <c r="A4" s="28" t="s">
        <v>164</v>
      </c>
      <c r="B4" s="27">
        <v>40</v>
      </c>
      <c r="C4" s="27">
        <v>1</v>
      </c>
      <c r="D4" s="27">
        <v>40</v>
      </c>
      <c r="E4" s="27">
        <v>0</v>
      </c>
      <c r="F4" s="53">
        <f t="shared" ref="F4:F12" si="0">D4*E4</f>
        <v>0</v>
      </c>
      <c r="G4" s="53">
        <f t="shared" ref="G4:G12" si="1">F4*0.05</f>
        <v>0</v>
      </c>
      <c r="H4" s="53">
        <f t="shared" ref="H4:H12" si="2">F4*0.1</f>
        <v>0</v>
      </c>
      <c r="I4" s="54">
        <f t="shared" ref="I4:I12" si="3">F4*F$2+G4*G$2+H4*H$2</f>
        <v>0</v>
      </c>
      <c r="J4" s="39"/>
    </row>
    <row r="5" spans="1:10" x14ac:dyDescent="0.25">
      <c r="A5" s="28" t="s">
        <v>165</v>
      </c>
      <c r="B5" s="27"/>
      <c r="C5" s="27"/>
      <c r="D5" s="27"/>
      <c r="E5" s="27"/>
      <c r="F5" s="53">
        <f t="shared" si="0"/>
        <v>0</v>
      </c>
      <c r="G5" s="53">
        <f t="shared" si="1"/>
        <v>0</v>
      </c>
      <c r="H5" s="53">
        <f t="shared" si="2"/>
        <v>0</v>
      </c>
      <c r="I5" s="54">
        <f t="shared" si="3"/>
        <v>0</v>
      </c>
      <c r="J5" s="39"/>
    </row>
    <row r="6" spans="1:10" ht="25.5" x14ac:dyDescent="0.25">
      <c r="A6" s="61" t="s">
        <v>166</v>
      </c>
      <c r="B6" s="27" t="s">
        <v>23</v>
      </c>
      <c r="C6" s="27"/>
      <c r="D6" s="27"/>
      <c r="E6" s="27"/>
      <c r="F6" s="53"/>
      <c r="G6" s="53"/>
      <c r="H6" s="53"/>
      <c r="I6" s="54"/>
      <c r="J6" s="39"/>
    </row>
    <row r="7" spans="1:10" ht="15.75" x14ac:dyDescent="0.25">
      <c r="A7" s="61" t="s">
        <v>167</v>
      </c>
      <c r="B7" s="27">
        <v>2</v>
      </c>
      <c r="C7" s="27">
        <v>1</v>
      </c>
      <c r="D7" s="27">
        <v>2</v>
      </c>
      <c r="E7" s="27">
        <v>0</v>
      </c>
      <c r="F7" s="53">
        <f t="shared" si="0"/>
        <v>0</v>
      </c>
      <c r="G7" s="53">
        <f t="shared" si="1"/>
        <v>0</v>
      </c>
      <c r="H7" s="53">
        <f t="shared" si="2"/>
        <v>0</v>
      </c>
      <c r="I7" s="54">
        <f t="shared" si="3"/>
        <v>0</v>
      </c>
      <c r="J7" s="39"/>
    </row>
    <row r="8" spans="1:10" ht="28.5" x14ac:dyDescent="0.25">
      <c r="A8" s="61" t="s">
        <v>168</v>
      </c>
      <c r="B8" s="47">
        <v>1</v>
      </c>
      <c r="C8" s="47">
        <v>0.4</v>
      </c>
      <c r="D8" s="47">
        <v>0.4</v>
      </c>
      <c r="E8" s="47">
        <v>45</v>
      </c>
      <c r="F8" s="53">
        <f t="shared" si="0"/>
        <v>18</v>
      </c>
      <c r="G8" s="53">
        <f t="shared" si="1"/>
        <v>0.9</v>
      </c>
      <c r="H8" s="53">
        <f t="shared" si="2"/>
        <v>1.8</v>
      </c>
      <c r="I8" s="54">
        <f t="shared" si="3"/>
        <v>998.03519999999992</v>
      </c>
      <c r="J8" s="39"/>
    </row>
    <row r="9" spans="1:10" ht="15.75" x14ac:dyDescent="0.25">
      <c r="A9" s="61" t="s">
        <v>169</v>
      </c>
      <c r="B9" s="27">
        <v>2</v>
      </c>
      <c r="C9" s="27">
        <v>1</v>
      </c>
      <c r="D9" s="27">
        <v>2</v>
      </c>
      <c r="E9" s="27">
        <v>0</v>
      </c>
      <c r="F9" s="53">
        <f t="shared" si="0"/>
        <v>0</v>
      </c>
      <c r="G9" s="53">
        <f t="shared" si="1"/>
        <v>0</v>
      </c>
      <c r="H9" s="53">
        <f t="shared" si="2"/>
        <v>0</v>
      </c>
      <c r="I9" s="54">
        <f t="shared" si="3"/>
        <v>0</v>
      </c>
      <c r="J9" s="39"/>
    </row>
    <row r="10" spans="1:10" ht="15.75" x14ac:dyDescent="0.25">
      <c r="A10" s="61" t="s">
        <v>170</v>
      </c>
      <c r="B10" s="27">
        <v>4</v>
      </c>
      <c r="C10" s="27">
        <v>1</v>
      </c>
      <c r="D10" s="27">
        <v>4</v>
      </c>
      <c r="E10" s="27">
        <v>0</v>
      </c>
      <c r="F10" s="53">
        <f t="shared" si="0"/>
        <v>0</v>
      </c>
      <c r="G10" s="53">
        <f t="shared" si="1"/>
        <v>0</v>
      </c>
      <c r="H10" s="53">
        <f t="shared" si="2"/>
        <v>0</v>
      </c>
      <c r="I10" s="54">
        <f t="shared" si="3"/>
        <v>0</v>
      </c>
      <c r="J10" s="39"/>
    </row>
    <row r="11" spans="1:10" ht="15.75" x14ac:dyDescent="0.25">
      <c r="A11" s="61" t="s">
        <v>171</v>
      </c>
      <c r="B11" s="27">
        <v>2</v>
      </c>
      <c r="C11" s="27">
        <v>1</v>
      </c>
      <c r="D11" s="27">
        <v>2</v>
      </c>
      <c r="E11" s="27">
        <v>0</v>
      </c>
      <c r="F11" s="53">
        <f t="shared" si="0"/>
        <v>0</v>
      </c>
      <c r="G11" s="53">
        <f t="shared" si="1"/>
        <v>0</v>
      </c>
      <c r="H11" s="53">
        <f t="shared" si="2"/>
        <v>0</v>
      </c>
      <c r="I11" s="54">
        <f t="shared" si="3"/>
        <v>0</v>
      </c>
      <c r="J11" s="39"/>
    </row>
    <row r="12" spans="1:10" ht="15.75" x14ac:dyDescent="0.25">
      <c r="A12" s="61" t="s">
        <v>172</v>
      </c>
      <c r="B12" s="27">
        <v>4</v>
      </c>
      <c r="C12" s="27">
        <v>1</v>
      </c>
      <c r="D12" s="27">
        <v>4</v>
      </c>
      <c r="E12" s="27">
        <v>0</v>
      </c>
      <c r="F12" s="53">
        <f t="shared" si="0"/>
        <v>0</v>
      </c>
      <c r="G12" s="53">
        <f t="shared" si="1"/>
        <v>0</v>
      </c>
      <c r="H12" s="53">
        <f t="shared" si="2"/>
        <v>0</v>
      </c>
      <c r="I12" s="54">
        <f t="shared" si="3"/>
        <v>0</v>
      </c>
      <c r="J12" s="39"/>
    </row>
    <row r="13" spans="1:10" ht="15.75" x14ac:dyDescent="0.25">
      <c r="A13" s="61" t="s">
        <v>173</v>
      </c>
      <c r="B13" s="47">
        <v>2</v>
      </c>
      <c r="C13" s="47">
        <v>0.4</v>
      </c>
      <c r="D13" s="47">
        <v>0.8</v>
      </c>
      <c r="E13" s="47">
        <v>45</v>
      </c>
      <c r="F13" s="53">
        <f t="shared" ref="F13:F16" si="4">D13*E13</f>
        <v>36</v>
      </c>
      <c r="G13" s="53">
        <f t="shared" ref="G13:G16" si="5">F13*0.05</f>
        <v>1.8</v>
      </c>
      <c r="H13" s="53">
        <f t="shared" ref="H13:H16" si="6">F13*0.1</f>
        <v>3.6</v>
      </c>
      <c r="I13" s="54">
        <f t="shared" ref="I13:I16" si="7">F13*F$2+G13*G$2+H13*H$2</f>
        <v>1996.0703999999998</v>
      </c>
      <c r="J13" s="39"/>
    </row>
    <row r="14" spans="1:10" ht="15.75" x14ac:dyDescent="0.25">
      <c r="A14" s="61" t="s">
        <v>174</v>
      </c>
      <c r="B14" s="47">
        <v>2</v>
      </c>
      <c r="C14" s="47">
        <v>2</v>
      </c>
      <c r="D14" s="47">
        <v>4</v>
      </c>
      <c r="E14" s="47">
        <v>45</v>
      </c>
      <c r="F14" s="53">
        <f t="shared" ref="F14:F15" si="8">D14*E14</f>
        <v>180</v>
      </c>
      <c r="G14" s="53">
        <f t="shared" ref="G14:G15" si="9">F14*0.05</f>
        <v>9</v>
      </c>
      <c r="H14" s="53">
        <f t="shared" ref="H14:H15" si="10">F14*0.1</f>
        <v>18</v>
      </c>
      <c r="I14" s="54">
        <f t="shared" ref="I14:I15" si="11">F14*F$2+G14*G$2+H14*H$2</f>
        <v>9980.351999999999</v>
      </c>
      <c r="J14" s="39"/>
    </row>
    <row r="15" spans="1:10" ht="15.75" x14ac:dyDescent="0.25">
      <c r="A15" s="61" t="s">
        <v>175</v>
      </c>
      <c r="B15" s="27">
        <v>4</v>
      </c>
      <c r="C15" s="27">
        <v>1</v>
      </c>
      <c r="D15" s="27">
        <v>4</v>
      </c>
      <c r="E15" s="27">
        <v>0</v>
      </c>
      <c r="F15" s="53">
        <f t="shared" si="8"/>
        <v>0</v>
      </c>
      <c r="G15" s="53">
        <f t="shared" si="9"/>
        <v>0</v>
      </c>
      <c r="H15" s="53">
        <f t="shared" si="10"/>
        <v>0</v>
      </c>
      <c r="I15" s="54">
        <f t="shared" si="11"/>
        <v>0</v>
      </c>
      <c r="J15" s="39"/>
    </row>
    <row r="16" spans="1:10" ht="15.75" x14ac:dyDescent="0.25">
      <c r="A16" s="61" t="s">
        <v>176</v>
      </c>
      <c r="B16" s="27">
        <v>4</v>
      </c>
      <c r="C16" s="27">
        <v>1</v>
      </c>
      <c r="D16" s="27">
        <v>4</v>
      </c>
      <c r="E16" s="27">
        <v>0</v>
      </c>
      <c r="F16" s="53">
        <f t="shared" si="4"/>
        <v>0</v>
      </c>
      <c r="G16" s="55">
        <f t="shared" si="5"/>
        <v>0</v>
      </c>
      <c r="H16" s="55">
        <f t="shared" si="6"/>
        <v>0</v>
      </c>
      <c r="I16" s="56">
        <f t="shared" si="7"/>
        <v>0</v>
      </c>
      <c r="J16" s="39"/>
    </row>
    <row r="17" spans="1:10" x14ac:dyDescent="0.25">
      <c r="A17" s="43" t="s">
        <v>135</v>
      </c>
      <c r="B17" s="57"/>
      <c r="C17" s="57"/>
      <c r="D17" s="57"/>
      <c r="E17" s="57"/>
      <c r="F17" s="75">
        <f>SUM(F4:H16)</f>
        <v>269.10000000000002</v>
      </c>
      <c r="G17" s="75"/>
      <c r="H17" s="75"/>
      <c r="I17" s="58">
        <f>ROUND(SUM(I4:I16),-2)</f>
        <v>13000</v>
      </c>
      <c r="J17" s="39"/>
    </row>
    <row r="18" spans="1:10" x14ac:dyDescent="0.25">
      <c r="A18" s="39"/>
      <c r="B18" s="39"/>
      <c r="C18" s="39"/>
      <c r="D18" s="39"/>
      <c r="E18" s="39"/>
      <c r="F18" s="39"/>
      <c r="G18" s="39"/>
      <c r="H18" s="39"/>
      <c r="I18" s="39"/>
      <c r="J18" s="39"/>
    </row>
    <row r="19" spans="1:10" x14ac:dyDescent="0.25">
      <c r="A19" s="59" t="s">
        <v>48</v>
      </c>
      <c r="B19" s="39"/>
      <c r="C19" s="39"/>
      <c r="D19" s="39"/>
      <c r="E19" s="39"/>
      <c r="F19" s="39"/>
      <c r="G19" s="39"/>
      <c r="H19" s="39"/>
      <c r="I19" s="39"/>
      <c r="J19" s="39"/>
    </row>
    <row r="20" spans="1:10" ht="15.75" x14ac:dyDescent="0.25">
      <c r="A20" s="60" t="s">
        <v>157</v>
      </c>
      <c r="B20" s="39"/>
      <c r="C20" s="39"/>
      <c r="D20" s="39"/>
      <c r="E20" s="39"/>
      <c r="F20" s="39"/>
      <c r="G20" s="39"/>
      <c r="H20" s="39"/>
      <c r="I20" s="39"/>
      <c r="J20" s="39"/>
    </row>
    <row r="21" spans="1:10" ht="15.75" x14ac:dyDescent="0.25">
      <c r="A21" s="60" t="s">
        <v>158</v>
      </c>
      <c r="B21" s="39"/>
      <c r="C21" s="39"/>
      <c r="D21" s="39"/>
      <c r="E21" s="39"/>
      <c r="F21" s="39"/>
      <c r="G21" s="39"/>
      <c r="H21" s="39"/>
      <c r="I21" s="39"/>
      <c r="J21" s="39"/>
    </row>
    <row r="22" spans="1:10" ht="15.75" x14ac:dyDescent="0.25">
      <c r="A22" s="60" t="s">
        <v>159</v>
      </c>
      <c r="B22" s="39"/>
      <c r="C22" s="39"/>
      <c r="D22" s="39"/>
      <c r="E22" s="39"/>
      <c r="F22" s="39"/>
      <c r="G22" s="39"/>
      <c r="H22" s="39"/>
      <c r="I22" s="39"/>
      <c r="J22" s="39"/>
    </row>
    <row r="23" spans="1:10" ht="15.75" x14ac:dyDescent="0.25">
      <c r="A23" s="60" t="s">
        <v>160</v>
      </c>
      <c r="B23" s="39"/>
      <c r="C23" s="39"/>
      <c r="D23" s="39"/>
      <c r="E23" s="39"/>
      <c r="F23" s="39"/>
      <c r="G23" s="39"/>
      <c r="H23" s="39"/>
      <c r="I23" s="39"/>
      <c r="J23" s="39"/>
    </row>
    <row r="24" spans="1:10" ht="15.75" x14ac:dyDescent="0.25">
      <c r="A24" s="60" t="s">
        <v>161</v>
      </c>
      <c r="B24" s="39"/>
      <c r="C24" s="39"/>
      <c r="D24" s="39"/>
      <c r="E24" s="39"/>
      <c r="F24" s="39"/>
      <c r="G24" s="39"/>
      <c r="H24" s="39"/>
      <c r="I24" s="39"/>
      <c r="J24" s="39"/>
    </row>
    <row r="25" spans="1:10" ht="15.75" x14ac:dyDescent="0.25">
      <c r="A25" s="60" t="s">
        <v>162</v>
      </c>
      <c r="B25" s="39"/>
      <c r="C25" s="39"/>
      <c r="D25" s="39"/>
      <c r="E25" s="39"/>
      <c r="F25" s="39"/>
      <c r="G25" s="39"/>
      <c r="H25" s="39"/>
      <c r="I25" s="39"/>
      <c r="J25" s="39"/>
    </row>
    <row r="26" spans="1:10" ht="15.75" x14ac:dyDescent="0.25">
      <c r="A26" s="60" t="s">
        <v>163</v>
      </c>
      <c r="B26" s="39"/>
      <c r="C26" s="39"/>
      <c r="D26" s="39"/>
      <c r="E26" s="39"/>
      <c r="F26" s="39"/>
      <c r="G26" s="39"/>
      <c r="H26" s="39"/>
      <c r="I26" s="39"/>
      <c r="J26" s="39"/>
    </row>
    <row r="27" spans="1:10" x14ac:dyDescent="0.25">
      <c r="A27" s="39"/>
      <c r="B27" s="39"/>
      <c r="C27" s="39"/>
      <c r="D27" s="39"/>
      <c r="E27" s="39"/>
      <c r="F27" s="39"/>
      <c r="G27" s="39"/>
      <c r="H27" s="39"/>
      <c r="I27" s="39"/>
      <c r="J27" s="39"/>
    </row>
    <row r="28" spans="1:10" x14ac:dyDescent="0.25">
      <c r="A28" s="39"/>
      <c r="B28" s="39"/>
      <c r="C28" s="39"/>
      <c r="D28" s="39"/>
      <c r="E28" s="39"/>
      <c r="F28" s="39"/>
      <c r="G28" s="39"/>
      <c r="H28" s="39"/>
      <c r="I28" s="39"/>
      <c r="J28" s="39"/>
    </row>
    <row r="30" spans="1:10" ht="15.75" thickBot="1" x14ac:dyDescent="0.3"/>
    <row r="31" spans="1:10" ht="19.5" thickBot="1" x14ac:dyDescent="0.3">
      <c r="A31" s="32" t="s">
        <v>116</v>
      </c>
      <c r="B31" s="33" t="s">
        <v>117</v>
      </c>
      <c r="C31" s="33" t="s">
        <v>118</v>
      </c>
      <c r="D31" s="33" t="s">
        <v>119</v>
      </c>
    </row>
    <row r="32" spans="1:10" ht="16.5" thickBot="1" x14ac:dyDescent="0.3">
      <c r="A32" s="34" t="s">
        <v>120</v>
      </c>
      <c r="B32" s="35">
        <v>41.64</v>
      </c>
      <c r="C32" s="36">
        <f>0.6*B32</f>
        <v>24.983999999999998</v>
      </c>
      <c r="D32" s="36">
        <f>B32+C32</f>
        <v>66.623999999999995</v>
      </c>
    </row>
    <row r="33" spans="1:4" ht="16.5" thickBot="1" x14ac:dyDescent="0.3">
      <c r="A33" s="34" t="s">
        <v>121</v>
      </c>
      <c r="B33" s="35">
        <v>30.9</v>
      </c>
      <c r="C33" s="36">
        <f t="shared" ref="C33:C34" si="12">0.6*B33</f>
        <v>18.54</v>
      </c>
      <c r="D33" s="36">
        <f t="shared" ref="D33:D34" si="13">B33+C33</f>
        <v>49.44</v>
      </c>
    </row>
    <row r="34" spans="1:4" ht="16.5" thickBot="1" x14ac:dyDescent="0.3">
      <c r="A34" s="34" t="s">
        <v>122</v>
      </c>
      <c r="B34" s="35">
        <v>16.72</v>
      </c>
      <c r="C34" s="36">
        <f t="shared" si="12"/>
        <v>10.031999999999998</v>
      </c>
      <c r="D34" s="36">
        <f t="shared" si="13"/>
        <v>26.751999999999995</v>
      </c>
    </row>
    <row r="35" spans="1:4" x14ac:dyDescent="0.25">
      <c r="A35" s="37" t="s">
        <v>123</v>
      </c>
    </row>
    <row r="36" spans="1:4" ht="15.75" x14ac:dyDescent="0.25">
      <c r="A36" s="38" t="s">
        <v>124</v>
      </c>
    </row>
  </sheetData>
  <mergeCells count="1">
    <mergeCell ref="F17:H17"/>
  </mergeCells>
  <hyperlinks>
    <hyperlink ref="A35" r:id="rId1" display="https://www.opm.gov/policy-data-oversight/pay-leave/salaries-wages/salary-tables/pdf/2019/GS_h.pdf" xr:uid="{68DE378A-476D-4568-BCA7-081264629CAD}"/>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7769E-F72E-4431-A6C9-C997215D10C1}">
  <dimension ref="A1:E12"/>
  <sheetViews>
    <sheetView workbookViewId="0">
      <selection activeCell="A7" sqref="A7"/>
    </sheetView>
  </sheetViews>
  <sheetFormatPr defaultRowHeight="15" x14ac:dyDescent="0.25"/>
  <cols>
    <col min="1" max="1" width="44.5703125" customWidth="1"/>
    <col min="2" max="5" width="15.7109375" customWidth="1"/>
  </cols>
  <sheetData>
    <row r="1" spans="1:5" ht="60" x14ac:dyDescent="0.25">
      <c r="A1" s="44" t="s">
        <v>136</v>
      </c>
      <c r="B1" s="44" t="s">
        <v>137</v>
      </c>
      <c r="C1" s="44" t="s">
        <v>138</v>
      </c>
      <c r="D1" s="44" t="s">
        <v>139</v>
      </c>
      <c r="E1" s="44" t="s">
        <v>140</v>
      </c>
    </row>
    <row r="2" spans="1:5" x14ac:dyDescent="0.25">
      <c r="A2" s="45"/>
      <c r="B2" s="45"/>
      <c r="C2" s="45"/>
      <c r="D2" s="46"/>
      <c r="E2" s="47" t="s">
        <v>141</v>
      </c>
    </row>
    <row r="3" spans="1:5" x14ac:dyDescent="0.25">
      <c r="A3" s="48" t="s">
        <v>142</v>
      </c>
      <c r="B3" s="47">
        <v>0</v>
      </c>
      <c r="C3" s="47">
        <v>0</v>
      </c>
      <c r="D3" s="47">
        <v>0</v>
      </c>
      <c r="E3" s="47">
        <v>0</v>
      </c>
    </row>
    <row r="4" spans="1:5" x14ac:dyDescent="0.25">
      <c r="A4" s="48" t="s">
        <v>143</v>
      </c>
      <c r="B4" s="47">
        <v>0</v>
      </c>
      <c r="C4" s="47">
        <v>0</v>
      </c>
      <c r="D4" s="47">
        <v>0</v>
      </c>
      <c r="E4" s="47">
        <v>0</v>
      </c>
    </row>
    <row r="5" spans="1:5" x14ac:dyDescent="0.25">
      <c r="A5" s="48" t="s">
        <v>144</v>
      </c>
      <c r="B5" s="47">
        <v>0</v>
      </c>
      <c r="C5" s="47">
        <v>0</v>
      </c>
      <c r="D5" s="47">
        <v>0</v>
      </c>
      <c r="E5" s="47">
        <v>0</v>
      </c>
    </row>
    <row r="6" spans="1:5" x14ac:dyDescent="0.25">
      <c r="A6" s="48" t="s">
        <v>146</v>
      </c>
      <c r="B6" s="47">
        <f>Burden!E12</f>
        <v>45</v>
      </c>
      <c r="C6" s="47">
        <f>Burden!C12</f>
        <v>0.4</v>
      </c>
      <c r="D6" s="47">
        <v>0</v>
      </c>
      <c r="E6" s="47">
        <f>B6*C6</f>
        <v>18</v>
      </c>
    </row>
    <row r="7" spans="1:5" x14ac:dyDescent="0.25">
      <c r="A7" s="48" t="s">
        <v>151</v>
      </c>
      <c r="B7" s="47">
        <f>Burden!E32</f>
        <v>45</v>
      </c>
      <c r="C7" s="47">
        <f>Burden!C32</f>
        <v>0.4</v>
      </c>
      <c r="D7" s="47">
        <v>1</v>
      </c>
      <c r="E7" s="47">
        <f>B7*C7</f>
        <v>18</v>
      </c>
    </row>
    <row r="8" spans="1:5" x14ac:dyDescent="0.25">
      <c r="A8" s="48" t="s">
        <v>145</v>
      </c>
      <c r="B8" s="47">
        <f>Burden!E33</f>
        <v>45</v>
      </c>
      <c r="C8" s="47">
        <f>Burden!C33</f>
        <v>2</v>
      </c>
      <c r="D8" s="47">
        <v>0</v>
      </c>
      <c r="E8" s="47">
        <f>B8*C8</f>
        <v>90</v>
      </c>
    </row>
    <row r="9" spans="1:5" x14ac:dyDescent="0.25">
      <c r="A9" s="49"/>
      <c r="B9" s="49"/>
      <c r="C9" s="49"/>
      <c r="D9" s="44" t="s">
        <v>75</v>
      </c>
      <c r="E9" s="50">
        <f>SUM(E3:E8)</f>
        <v>126</v>
      </c>
    </row>
    <row r="12" spans="1:5" x14ac:dyDescent="0.25">
      <c r="D12" s="52" t="s">
        <v>149</v>
      </c>
      <c r="E12" s="51">
        <f>Burden!F46/Responses!E9</f>
        <v>119.04761904761905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Burden</vt:lpstr>
      <vt:lpstr>Increment</vt:lpstr>
      <vt:lpstr>OpCosts</vt:lpstr>
      <vt:lpstr>2_EPA</vt:lpstr>
      <vt:lpstr>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Coburn, Jeff</dc:creator>
  <cp:lastModifiedBy>EPA</cp:lastModifiedBy>
  <dcterms:created xsi:type="dcterms:W3CDTF">2019-08-12T22:39:09Z</dcterms:created>
  <dcterms:modified xsi:type="dcterms:W3CDTF">2019-08-23T18:47:36Z</dcterms:modified>
</cp:coreProperties>
</file>