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SHARE\_Metals and Inorganic Chemicals Group\Iron &amp; Steel Foundries\I&amp;S Foundries RTR\Proposal\ICR\"/>
    </mc:Choice>
  </mc:AlternateContent>
  <xr:revisionPtr revIDLastSave="0" documentId="8_{B5F27D0F-AF62-433A-9184-D9EC3CDE0D7D}" xr6:coauthVersionLast="41" xr6:coauthVersionMax="41" xr10:uidLastSave="{00000000-0000-0000-0000-000000000000}"/>
  <bookViews>
    <workbookView xWindow="1560" yWindow="1560" windowWidth="18900" windowHeight="11055" xr2:uid="{00000000-000D-0000-FFFF-FFFF00000000}"/>
  </bookViews>
  <sheets>
    <sheet name="1a_small" sheetId="1" r:id="rId1"/>
    <sheet name="1b_large" sheetId="2" r:id="rId2"/>
    <sheet name="OpCosts" sheetId="7" r:id="rId3"/>
    <sheet name="1c_Summary" sheetId="3" r:id="rId4"/>
    <sheet name="2_EPA" sheetId="4" r:id="rId5"/>
    <sheet name="Responses" sheetId="6" r:id="rId6"/>
    <sheet name="Working Respondent" sheetId="5" r:id="rId7"/>
    <sheet name="1a_increment" sheetId="8" r:id="rId8"/>
    <sheet name="1b_increment" sheetId="9"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4" l="1"/>
  <c r="D6" i="4"/>
  <c r="G6" i="3"/>
  <c r="C10" i="6" l="1"/>
  <c r="B10" i="6"/>
  <c r="E10" i="6" l="1"/>
  <c r="E34" i="9" l="1"/>
  <c r="D34" i="9"/>
  <c r="F34" i="9" s="1"/>
  <c r="C10" i="4"/>
  <c r="C9" i="4"/>
  <c r="C8" i="4"/>
  <c r="C7" i="4"/>
  <c r="E8" i="4"/>
  <c r="D8" i="4"/>
  <c r="E34" i="2"/>
  <c r="D34" i="2"/>
  <c r="F34" i="2" s="1"/>
  <c r="H34" i="9" l="1"/>
  <c r="G34" i="9"/>
  <c r="I34" i="9" s="1"/>
  <c r="F8" i="4"/>
  <c r="H8" i="4" s="1"/>
  <c r="G8" i="4"/>
  <c r="I8" i="4" s="1"/>
  <c r="G34" i="2"/>
  <c r="H34" i="2"/>
  <c r="I34" i="2" l="1"/>
  <c r="C9" i="6" l="1"/>
  <c r="D9" i="4"/>
  <c r="C25" i="4"/>
  <c r="D25" i="4" s="1"/>
  <c r="H2" i="4" s="1"/>
  <c r="C24" i="4"/>
  <c r="D24" i="4" s="1"/>
  <c r="F2" i="4" s="1"/>
  <c r="C23" i="4"/>
  <c r="D23" i="4" s="1"/>
  <c r="G2" i="4" s="1"/>
  <c r="E45" i="9"/>
  <c r="D45" i="9"/>
  <c r="E44" i="9"/>
  <c r="F44" i="9" s="1"/>
  <c r="D44" i="9"/>
  <c r="D43" i="9"/>
  <c r="F43" i="9" s="1"/>
  <c r="F42" i="9"/>
  <c r="D42" i="9"/>
  <c r="E41" i="9"/>
  <c r="D41" i="9"/>
  <c r="E40" i="9"/>
  <c r="F40" i="9" s="1"/>
  <c r="D40" i="9"/>
  <c r="E39" i="9"/>
  <c r="D39" i="9"/>
  <c r="D35" i="9"/>
  <c r="F35" i="9" s="1"/>
  <c r="F29" i="9"/>
  <c r="D29" i="9"/>
  <c r="D28" i="9"/>
  <c r="F28" i="9" s="1"/>
  <c r="F23" i="9"/>
  <c r="D23" i="9"/>
  <c r="H22" i="9"/>
  <c r="G22" i="9"/>
  <c r="F22" i="9"/>
  <c r="D22" i="9"/>
  <c r="D18" i="9"/>
  <c r="F18" i="9" s="1"/>
  <c r="F17" i="9"/>
  <c r="D17" i="9"/>
  <c r="D16" i="9"/>
  <c r="F16" i="9" s="1"/>
  <c r="D15" i="9"/>
  <c r="F15" i="9" s="1"/>
  <c r="F14" i="9"/>
  <c r="D14" i="9"/>
  <c r="H13" i="9"/>
  <c r="G13" i="9"/>
  <c r="F13" i="9"/>
  <c r="D13" i="9"/>
  <c r="D12" i="9"/>
  <c r="F12" i="9" s="1"/>
  <c r="F11" i="9"/>
  <c r="D11" i="9"/>
  <c r="D9" i="9"/>
  <c r="F9" i="9" s="1"/>
  <c r="P7" i="9"/>
  <c r="P6" i="9"/>
  <c r="P5" i="9"/>
  <c r="G3" i="9" s="1"/>
  <c r="I26" i="9" s="1"/>
  <c r="H3" i="9"/>
  <c r="F3" i="9"/>
  <c r="E41" i="8"/>
  <c r="D41" i="8"/>
  <c r="F40" i="8"/>
  <c r="E40" i="8"/>
  <c r="D40" i="8"/>
  <c r="D39" i="8"/>
  <c r="F39" i="8" s="1"/>
  <c r="F38" i="8"/>
  <c r="D38" i="8"/>
  <c r="E37" i="8"/>
  <c r="D37" i="8"/>
  <c r="F36" i="8"/>
  <c r="E36" i="8"/>
  <c r="D36" i="8"/>
  <c r="E35" i="8"/>
  <c r="D35" i="8"/>
  <c r="F35" i="8" s="1"/>
  <c r="D31" i="8"/>
  <c r="F31" i="8" s="1"/>
  <c r="F22" i="8"/>
  <c r="D22" i="8"/>
  <c r="D19" i="8"/>
  <c r="F19" i="8" s="1"/>
  <c r="H18" i="8"/>
  <c r="F18" i="8"/>
  <c r="G18" i="8" s="1"/>
  <c r="D18" i="8"/>
  <c r="D14" i="8"/>
  <c r="F14" i="8" s="1"/>
  <c r="F12" i="8"/>
  <c r="D12" i="8"/>
  <c r="F9" i="8"/>
  <c r="D9" i="8"/>
  <c r="P7" i="8"/>
  <c r="H3" i="8" s="1"/>
  <c r="P6" i="8"/>
  <c r="P5" i="8"/>
  <c r="G3" i="8"/>
  <c r="F3" i="8"/>
  <c r="C12" i="6"/>
  <c r="C11" i="6"/>
  <c r="G8" i="7"/>
  <c r="G7" i="7"/>
  <c r="G6" i="7"/>
  <c r="B3" i="5"/>
  <c r="D40" i="2"/>
  <c r="D39" i="2"/>
  <c r="D36" i="1"/>
  <c r="D35" i="1"/>
  <c r="G9" i="7" l="1"/>
  <c r="I49" i="2" s="1"/>
  <c r="F37" i="8"/>
  <c r="F41" i="8"/>
  <c r="G41" i="8" s="1"/>
  <c r="F39" i="9"/>
  <c r="F41" i="9"/>
  <c r="F45" i="9"/>
  <c r="G12" i="9"/>
  <c r="H12" i="9"/>
  <c r="I12" i="9" s="1"/>
  <c r="I29" i="9"/>
  <c r="G16" i="9"/>
  <c r="H16" i="9"/>
  <c r="I16" i="9"/>
  <c r="H15" i="9"/>
  <c r="G15" i="9"/>
  <c r="I15" i="9" s="1"/>
  <c r="I22" i="9"/>
  <c r="G41" i="9"/>
  <c r="H41" i="9"/>
  <c r="I41" i="9"/>
  <c r="G18" i="9"/>
  <c r="H18" i="9"/>
  <c r="I18" i="9"/>
  <c r="G28" i="9"/>
  <c r="H28" i="9"/>
  <c r="G35" i="9"/>
  <c r="H35" i="9"/>
  <c r="G43" i="9"/>
  <c r="H43" i="9"/>
  <c r="G45" i="9"/>
  <c r="H45" i="9"/>
  <c r="G9" i="9"/>
  <c r="H9" i="9"/>
  <c r="I9" i="9" s="1"/>
  <c r="I13" i="9"/>
  <c r="I14" i="9"/>
  <c r="G39" i="9"/>
  <c r="H39" i="9"/>
  <c r="I39" i="9"/>
  <c r="G11" i="9"/>
  <c r="I11" i="9" s="1"/>
  <c r="G14" i="9"/>
  <c r="G17" i="9"/>
  <c r="G23" i="9"/>
  <c r="I23" i="9" s="1"/>
  <c r="G29" i="9"/>
  <c r="G40" i="9"/>
  <c r="G42" i="9"/>
  <c r="G44" i="9"/>
  <c r="I44" i="9" s="1"/>
  <c r="H11" i="9"/>
  <c r="H14" i="9"/>
  <c r="H17" i="9"/>
  <c r="H23" i="9"/>
  <c r="H29" i="9"/>
  <c r="H40" i="9"/>
  <c r="H42" i="9"/>
  <c r="H44" i="9"/>
  <c r="G37" i="8"/>
  <c r="H37" i="8"/>
  <c r="I37" i="8" s="1"/>
  <c r="G39" i="8"/>
  <c r="H39" i="8"/>
  <c r="I39" i="8" s="1"/>
  <c r="H14" i="8"/>
  <c r="G14" i="8"/>
  <c r="I14" i="8" s="1"/>
  <c r="H19" i="8"/>
  <c r="I19" i="8" s="1"/>
  <c r="G19" i="8"/>
  <c r="H41" i="8"/>
  <c r="G31" i="8"/>
  <c r="H31" i="8"/>
  <c r="H9" i="8"/>
  <c r="G9" i="8"/>
  <c r="I9" i="8" s="1"/>
  <c r="G35" i="8"/>
  <c r="H35" i="8"/>
  <c r="G12" i="8"/>
  <c r="I12" i="8" s="1"/>
  <c r="I18" i="8"/>
  <c r="G22" i="8"/>
  <c r="I22" i="8" s="1"/>
  <c r="G36" i="8"/>
  <c r="I36" i="8" s="1"/>
  <c r="G38" i="8"/>
  <c r="G40" i="8"/>
  <c r="H12" i="8"/>
  <c r="H22" i="8"/>
  <c r="H36" i="8"/>
  <c r="H38" i="8"/>
  <c r="H40" i="8"/>
  <c r="I40" i="8" s="1"/>
  <c r="I35" i="8" l="1"/>
  <c r="I41" i="8"/>
  <c r="I45" i="9"/>
  <c r="I40" i="9"/>
  <c r="I35" i="9"/>
  <c r="I31" i="8"/>
  <c r="I42" i="9"/>
  <c r="F47" i="9"/>
  <c r="I43" i="9"/>
  <c r="I28" i="9"/>
  <c r="I17" i="9"/>
  <c r="F36" i="9"/>
  <c r="F48" i="9" s="1"/>
  <c r="F50" i="9" s="1"/>
  <c r="I36" i="9"/>
  <c r="I47" i="9"/>
  <c r="F43" i="8"/>
  <c r="I38" i="8"/>
  <c r="I43" i="8"/>
  <c r="F32" i="8"/>
  <c r="I32" i="8"/>
  <c r="F46" i="8" l="1"/>
  <c r="I48" i="9"/>
  <c r="I50" i="9" s="1"/>
  <c r="I46" i="8"/>
  <c r="I44" i="8"/>
  <c r="F44" i="8"/>
  <c r="P7" i="2" l="1"/>
  <c r="H3" i="2" s="1"/>
  <c r="P6" i="2"/>
  <c r="F3" i="2" s="1"/>
  <c r="P5" i="2"/>
  <c r="G3" i="2" s="1"/>
  <c r="D31" i="1"/>
  <c r="D12" i="1"/>
  <c r="F12" i="1" s="1"/>
  <c r="D14" i="1"/>
  <c r="F14" i="1" s="1"/>
  <c r="D9" i="1"/>
  <c r="P7" i="1"/>
  <c r="H3" i="1" s="1"/>
  <c r="P6" i="1"/>
  <c r="F3" i="1" s="1"/>
  <c r="P5" i="1"/>
  <c r="G3" i="1" s="1"/>
  <c r="G14" i="1" l="1"/>
  <c r="H14" i="1"/>
  <c r="H12" i="1"/>
  <c r="G12" i="1"/>
  <c r="I12" i="1" s="1"/>
  <c r="I14" i="1" l="1"/>
  <c r="D5" i="5" l="1"/>
  <c r="D4" i="5"/>
  <c r="D3" i="5" s="1"/>
  <c r="C4" i="5"/>
  <c r="E40" i="1" l="1"/>
  <c r="E36" i="1"/>
  <c r="F36" i="1" s="1"/>
  <c r="E38" i="1"/>
  <c r="E31" i="1"/>
  <c r="E39" i="1"/>
  <c r="E41" i="1"/>
  <c r="E37" i="1"/>
  <c r="E35" i="1"/>
  <c r="F35" i="1" s="1"/>
  <c r="E9" i="1"/>
  <c r="F9" i="1" s="1"/>
  <c r="H4" i="5"/>
  <c r="F31" i="1" l="1"/>
  <c r="B11" i="6"/>
  <c r="E11" i="6" s="1"/>
  <c r="G5" i="3" s="1"/>
  <c r="E9" i="4"/>
  <c r="F9" i="4" s="1"/>
  <c r="G31" i="1"/>
  <c r="H31" i="1"/>
  <c r="G9" i="1"/>
  <c r="H9" i="1"/>
  <c r="G36" i="1"/>
  <c r="H36" i="1"/>
  <c r="G35" i="1"/>
  <c r="H35" i="1"/>
  <c r="D41" i="1"/>
  <c r="D11" i="2"/>
  <c r="F32" i="1" l="1"/>
  <c r="G9" i="4"/>
  <c r="H9" i="4"/>
  <c r="I31" i="1"/>
  <c r="I35" i="1"/>
  <c r="I36" i="1"/>
  <c r="I9" i="1"/>
  <c r="F41" i="1"/>
  <c r="G41" i="1" s="1"/>
  <c r="I9" i="4" l="1"/>
  <c r="H41" i="1"/>
  <c r="I41" i="1" s="1"/>
  <c r="C5" i="5"/>
  <c r="E41" i="2" l="1"/>
  <c r="E43" i="2"/>
  <c r="E42" i="2"/>
  <c r="E12" i="2"/>
  <c r="E28" i="2"/>
  <c r="B9" i="6" s="1"/>
  <c r="E9" i="6" s="1"/>
  <c r="E18" i="2"/>
  <c r="E17" i="2"/>
  <c r="E11" i="2"/>
  <c r="F11" i="2" s="1"/>
  <c r="H11" i="2" s="1"/>
  <c r="E35" i="2"/>
  <c r="B12" i="6" s="1"/>
  <c r="E12" i="6" s="1"/>
  <c r="E39" i="2"/>
  <c r="F39" i="2" s="1"/>
  <c r="E9" i="2"/>
  <c r="E40" i="2"/>
  <c r="F40" i="2" s="1"/>
  <c r="E45" i="2"/>
  <c r="E44" i="2"/>
  <c r="C3" i="5"/>
  <c r="H5" i="5"/>
  <c r="E10" i="4"/>
  <c r="E7" i="4"/>
  <c r="G7" i="3" l="1"/>
  <c r="E13" i="6"/>
  <c r="H39" i="2"/>
  <c r="G39" i="2"/>
  <c r="H40" i="2"/>
  <c r="G40" i="2"/>
  <c r="I40" i="2" s="1"/>
  <c r="G11" i="2"/>
  <c r="I11" i="2" s="1"/>
  <c r="D22" i="1"/>
  <c r="F22" i="1" s="1"/>
  <c r="G22" i="1" s="1"/>
  <c r="I26" i="2"/>
  <c r="D12" i="2"/>
  <c r="F12" i="2" s="1"/>
  <c r="G12" i="2" s="1"/>
  <c r="D7" i="4"/>
  <c r="F7" i="4" s="1"/>
  <c r="I39" i="2" l="1"/>
  <c r="H12" i="2"/>
  <c r="I12" i="2" s="1"/>
  <c r="H22" i="1"/>
  <c r="I22" i="1" s="1"/>
  <c r="G7" i="4"/>
  <c r="H7" i="4"/>
  <c r="I7" i="4" l="1"/>
  <c r="D10" i="4" l="1"/>
  <c r="F10" i="4" s="1"/>
  <c r="F6" i="4"/>
  <c r="G6" i="4" s="1"/>
  <c r="F5" i="4"/>
  <c r="G10" i="4" l="1"/>
  <c r="G5" i="4"/>
  <c r="H6" i="4"/>
  <c r="I6" i="4" s="1"/>
  <c r="H5" i="4"/>
  <c r="H10" i="4"/>
  <c r="D45" i="2"/>
  <c r="F45" i="2" s="1"/>
  <c r="G45" i="2" s="1"/>
  <c r="D44" i="2"/>
  <c r="F44" i="2" s="1"/>
  <c r="D43" i="2"/>
  <c r="F43" i="2" s="1"/>
  <c r="D42" i="2"/>
  <c r="F42" i="2" s="1"/>
  <c r="D41" i="2"/>
  <c r="F41" i="2" s="1"/>
  <c r="G41" i="2" s="1"/>
  <c r="D35" i="2"/>
  <c r="F35" i="2" s="1"/>
  <c r="H35" i="2" s="1"/>
  <c r="D29" i="2"/>
  <c r="F29" i="2" s="1"/>
  <c r="G29" i="2" s="1"/>
  <c r="D28" i="2"/>
  <c r="D23" i="2"/>
  <c r="F23" i="2" s="1"/>
  <c r="D22" i="2"/>
  <c r="F22" i="2" s="1"/>
  <c r="D18" i="2"/>
  <c r="F18" i="2" s="1"/>
  <c r="H18" i="2" s="1"/>
  <c r="D17" i="2"/>
  <c r="F17" i="2" s="1"/>
  <c r="D16" i="2"/>
  <c r="F16" i="2" s="1"/>
  <c r="D15" i="2"/>
  <c r="F15" i="2" s="1"/>
  <c r="D14" i="2"/>
  <c r="F14" i="2" s="1"/>
  <c r="D13" i="2"/>
  <c r="F13" i="2" s="1"/>
  <c r="G13" i="2" s="1"/>
  <c r="D9" i="2"/>
  <c r="F9" i="2" s="1"/>
  <c r="G15" i="2" l="1"/>
  <c r="H15" i="2"/>
  <c r="F11" i="4"/>
  <c r="F28" i="2"/>
  <c r="G28" i="2" s="1"/>
  <c r="H9" i="2"/>
  <c r="G9" i="2"/>
  <c r="G14" i="2"/>
  <c r="H14" i="2"/>
  <c r="G18" i="2"/>
  <c r="I18" i="2" s="1"/>
  <c r="G35" i="2"/>
  <c r="I35" i="2" s="1"/>
  <c r="I10" i="4"/>
  <c r="I5" i="4"/>
  <c r="G23" i="2"/>
  <c r="H23" i="2"/>
  <c r="G44" i="2"/>
  <c r="G22" i="2"/>
  <c r="H22" i="2"/>
  <c r="G43" i="2"/>
  <c r="H43" i="2"/>
  <c r="G42" i="2"/>
  <c r="H42" i="2"/>
  <c r="G17" i="2"/>
  <c r="H17" i="2"/>
  <c r="G16" i="2"/>
  <c r="H16" i="2"/>
  <c r="H29" i="2"/>
  <c r="I29" i="2" s="1"/>
  <c r="H45" i="2"/>
  <c r="I45" i="2" s="1"/>
  <c r="H44" i="2"/>
  <c r="H41" i="2"/>
  <c r="I41" i="2" s="1"/>
  <c r="H13" i="2"/>
  <c r="I13" i="2" s="1"/>
  <c r="D40" i="1"/>
  <c r="F40" i="1" s="1"/>
  <c r="D39" i="1"/>
  <c r="F39" i="1" s="1"/>
  <c r="G39" i="1" s="1"/>
  <c r="D38" i="1"/>
  <c r="F38" i="1" s="1"/>
  <c r="G38" i="1" s="1"/>
  <c r="D37" i="1"/>
  <c r="F37" i="1" s="1"/>
  <c r="D19" i="1"/>
  <c r="F19" i="1" s="1"/>
  <c r="H19" i="1" s="1"/>
  <c r="D18" i="1"/>
  <c r="F18" i="1" s="1"/>
  <c r="I15" i="2" l="1"/>
  <c r="I14" i="2"/>
  <c r="H28" i="2"/>
  <c r="F36" i="2" s="1"/>
  <c r="C6" i="3" s="1"/>
  <c r="I17" i="2"/>
  <c r="I11" i="4"/>
  <c r="I9" i="2"/>
  <c r="I28" i="2"/>
  <c r="I16" i="2"/>
  <c r="I43" i="2"/>
  <c r="I22" i="2"/>
  <c r="I23" i="2"/>
  <c r="G37" i="1"/>
  <c r="I42" i="2"/>
  <c r="I44" i="2"/>
  <c r="F47" i="2"/>
  <c r="D6" i="3" s="1"/>
  <c r="H37" i="1"/>
  <c r="G18" i="1"/>
  <c r="H18" i="1"/>
  <c r="G40" i="1"/>
  <c r="H40" i="1"/>
  <c r="G19" i="1"/>
  <c r="I19" i="1" s="1"/>
  <c r="H39" i="1"/>
  <c r="I39" i="1" s="1"/>
  <c r="H38" i="1"/>
  <c r="I38" i="1" s="1"/>
  <c r="F43" i="1" l="1"/>
  <c r="C5" i="3"/>
  <c r="C7" i="3" s="1"/>
  <c r="I36" i="2"/>
  <c r="F48" i="2"/>
  <c r="E6" i="3" s="1"/>
  <c r="I47" i="2"/>
  <c r="I37" i="1"/>
  <c r="I18" i="1"/>
  <c r="I40" i="1"/>
  <c r="I50" i="2" l="1"/>
  <c r="I43" i="1"/>
  <c r="I48" i="2"/>
  <c r="F46" i="1"/>
  <c r="D5" i="3"/>
  <c r="D7" i="3" s="1"/>
  <c r="I32" i="1"/>
  <c r="I44" i="1" s="1"/>
  <c r="F44" i="1"/>
  <c r="E5" i="3" s="1"/>
  <c r="F50" i="2"/>
  <c r="F6" i="3" l="1"/>
  <c r="I46" i="1"/>
  <c r="F5" i="3"/>
  <c r="F7" i="3" s="1"/>
  <c r="E7" i="3"/>
  <c r="E10" i="3" s="1"/>
</calcChain>
</file>

<file path=xl/sharedStrings.xml><?xml version="1.0" encoding="utf-8"?>
<sst xmlns="http://schemas.openxmlformats.org/spreadsheetml/2006/main" count="613" uniqueCount="248">
  <si>
    <t>Burden item</t>
  </si>
  <si>
    <t>1.  Applications</t>
  </si>
  <si>
    <t>N/A</t>
  </si>
  <si>
    <t xml:space="preserve">  </t>
  </si>
  <si>
    <t>2.  Surveys and Studies</t>
  </si>
  <si>
    <t>3.  Acquisition, Installation, and Utilization of Technology and Systems</t>
  </si>
  <si>
    <t>4.  Reporting Requirements</t>
  </si>
  <si>
    <t>B.  Required activities</t>
  </si>
  <si>
    <t>C.  Create information</t>
  </si>
  <si>
    <t>See 4B</t>
  </si>
  <si>
    <t>D.  Gather existing information</t>
  </si>
  <si>
    <t>E.  Write report</t>
  </si>
  <si>
    <t>Subtotal for Reporting Requirements</t>
  </si>
  <si>
    <t xml:space="preserve">5.  Recordkeeping Requirements </t>
  </si>
  <si>
    <t>See 4A</t>
  </si>
  <si>
    <t>F.  Time to transmit or disclose information</t>
  </si>
  <si>
    <t>G.  Time for audits</t>
  </si>
  <si>
    <t>Subtotal for Recordkeeping Requirements</t>
  </si>
  <si>
    <t xml:space="preserve">3.  Acquisition, Installation, and Utilization of Technology and Systems </t>
  </si>
  <si>
    <t xml:space="preserve">B.  Required activities </t>
  </si>
  <si>
    <t>Report Review:</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</si>
  <si>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</si>
  <si>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</si>
  <si>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</si>
  <si>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</si>
  <si>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</si>
  <si>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</si>
  <si>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</si>
  <si>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Activity</t>
  </si>
  <si>
    <t>(A) EPA person-hours per occurrence</t>
  </si>
  <si>
    <t>(B) No. of occurrences per plant per year</t>
  </si>
  <si>
    <t>(C) EPA person hours per plant per year (AxB)</t>
  </si>
  <si>
    <t>(E) Technical person-hours per year (CxD)</t>
  </si>
  <si>
    <t>(F) Management person-hours per year (Ex0.05)</t>
  </si>
  <si>
    <t>(G) Clerical person-hours per year (Ex0.1)</t>
  </si>
  <si>
    <t>Assumptions:</t>
  </si>
  <si>
    <t>hr per resp</t>
  </si>
  <si>
    <t>Reporting Hours</t>
  </si>
  <si>
    <t>Recordkeeping Hours</t>
  </si>
  <si>
    <r>
      <t xml:space="preserve">(D) Respondents per year </t>
    </r>
    <r>
      <rPr>
        <b/>
        <vertAlign val="superscript"/>
        <sz val="10"/>
        <rFont val="Times New Roman"/>
        <family val="1"/>
      </rPr>
      <t>a</t>
    </r>
  </si>
  <si>
    <r>
      <t xml:space="preserve">  Initial notification of applicability</t>
    </r>
    <r>
      <rPr>
        <vertAlign val="superscript"/>
        <sz val="9"/>
        <rFont val="Times New Roman"/>
        <family val="1"/>
      </rPr>
      <t xml:space="preserve"> c</t>
    </r>
  </si>
  <si>
    <r>
      <t xml:space="preserve">  Notification of compliance status</t>
    </r>
    <r>
      <rPr>
        <vertAlign val="superscript"/>
        <sz val="9"/>
        <rFont val="Times New Roman"/>
        <family val="1"/>
      </rPr>
      <t>c</t>
    </r>
  </si>
  <si>
    <t>Table 2: Average Annual EPA Burden and Cost – NESHAP for Iron and Steel Foundry Area Sources (40 CFR Part 63, Subpart ZZZZZ) (Renewal)</t>
  </si>
  <si>
    <t>Table 1c: Annual Respondent Burden and Cost for All Foundries – NESHAP for Iron and Steel Foundry Area Sources (40 CFR Part 63, Subpart ZZZZZ) (Renewal)</t>
  </si>
  <si>
    <t>Table 1b: Annual Respondent Burden and Cost for Large Foundries – NESHAP for Iron and Steel Foundry Area Sources (40 CFR Part 63, Subpart ZZZZZ) (Renewal)</t>
  </si>
  <si>
    <t>Table 1a: Annual Respondent Burden and Cost for Small Foundries – NESHAP for Iron and Steel Foundry Area Sources (40 CFR Part 63, Subpart ZZZZZ) (Renewal)</t>
  </si>
  <si>
    <r>
      <t xml:space="preserve">c </t>
    </r>
    <r>
      <rPr>
        <sz val="9"/>
        <color rgb="FF000000"/>
        <rFont val="Times New Roman"/>
        <family val="1"/>
      </rPr>
      <t>One-time only costs</t>
    </r>
  </si>
  <si>
    <r>
      <t xml:space="preserve">  Notification of performance test</t>
    </r>
    <r>
      <rPr>
        <vertAlign val="superscript"/>
        <sz val="9"/>
        <rFont val="Times New Roman"/>
        <family val="1"/>
      </rPr>
      <t>d</t>
    </r>
  </si>
  <si>
    <t>A.  Familiarization with Regulatory Requirements</t>
  </si>
  <si>
    <t>small</t>
  </si>
  <si>
    <t>large</t>
  </si>
  <si>
    <t>Distribution</t>
  </si>
  <si>
    <t>revised small count</t>
  </si>
  <si>
    <t>revised large count</t>
  </si>
  <si>
    <r>
      <t>A.  Familiarization with Regulatory Requirements</t>
    </r>
    <r>
      <rPr>
        <vertAlign val="superscript"/>
        <sz val="9"/>
        <color rgb="FF000000"/>
        <rFont val="Times New Roman"/>
        <family val="1"/>
      </rPr>
      <t>a</t>
    </r>
  </si>
  <si>
    <t>do not see rolling average in rule, just emission averaging; monthly basis</t>
  </si>
  <si>
    <t xml:space="preserve">     Monthly emission averaging calculation</t>
  </si>
  <si>
    <t>this was the line item for footnote E which talks about opacity and lack of need for separate notification</t>
  </si>
  <si>
    <t>added footnote g since this is one-time</t>
  </si>
  <si>
    <t>new footnote H since we did not assume any small sources would have to write this report</t>
  </si>
  <si>
    <r>
      <t>A.  Familiarization with Regulatory Requirements</t>
    </r>
    <r>
      <rPr>
        <vertAlign val="superscript"/>
        <sz val="9"/>
        <rFont val="Times New Roman"/>
        <family val="1"/>
      </rPr>
      <t>a</t>
    </r>
  </si>
  <si>
    <t>added training time</t>
  </si>
  <si>
    <t>added footnote h, one-time</t>
  </si>
  <si>
    <t>added footnote j</t>
  </si>
  <si>
    <t>new footnote i</t>
  </si>
  <si>
    <t>relabeled to k</t>
  </si>
  <si>
    <r>
      <t>TOTAL BURDEN AND COST (rounded)</t>
    </r>
    <r>
      <rPr>
        <b/>
        <vertAlign val="superscript"/>
        <sz val="9"/>
        <rFont val="Times New Roman"/>
        <family val="1"/>
      </rPr>
      <t>e</t>
    </r>
  </si>
  <si>
    <t>85% of small foundries are small entities</t>
  </si>
  <si>
    <t>45% of large foundries are small entities</t>
  </si>
  <si>
    <t>(A)</t>
  </si>
  <si>
    <t>Information Collection Activity</t>
  </si>
  <si>
    <t>(B)</t>
  </si>
  <si>
    <t>Number of Respondents</t>
  </si>
  <si>
    <t>(C)</t>
  </si>
  <si>
    <t>Number of Responses</t>
  </si>
  <si>
    <t>(D)</t>
  </si>
  <si>
    <t>Number of Existing Respondents That Keep Records But Do Not Submit Reports</t>
  </si>
  <si>
    <t>(E)</t>
  </si>
  <si>
    <t>Total Annual  Responses</t>
  </si>
  <si>
    <t>E=(BxC)+D</t>
  </si>
  <si>
    <t>Initial Notification</t>
  </si>
  <si>
    <t>Notification of Compliance Status</t>
  </si>
  <si>
    <t>Notification of Foundry Reclassification</t>
  </si>
  <si>
    <t>Semiannual compliance reports (large foundries)</t>
  </si>
  <si>
    <t>Total</t>
  </si>
  <si>
    <t>Number of Sources</t>
  </si>
  <si>
    <t>Number of Small Entity</t>
  </si>
  <si>
    <t>Basis</t>
  </si>
  <si>
    <t>ERG comment on changes</t>
  </si>
  <si>
    <t>added respondent burden and referenced footnote a, but decreased this burden from 4 to 1 hr for ongoing burden</t>
  </si>
  <si>
    <r>
      <t xml:space="preserve">(D) Respondents per year </t>
    </r>
    <r>
      <rPr>
        <b/>
        <vertAlign val="superscript"/>
        <sz val="9"/>
        <rFont val="Times New Roman"/>
        <family val="1"/>
      </rPr>
      <t>a</t>
    </r>
  </si>
  <si>
    <r>
      <t xml:space="preserve">(H) Total Cost per year </t>
    </r>
    <r>
      <rPr>
        <b/>
        <vertAlign val="superscript"/>
        <sz val="9"/>
        <rFont val="Times New Roman"/>
        <family val="1"/>
      </rPr>
      <t>b</t>
    </r>
  </si>
  <si>
    <t xml:space="preserve">Added this as an ongoing burden per OMB requirement, but decreased hours from 8 to 1 for re-familiarization of rule </t>
  </si>
  <si>
    <r>
      <t xml:space="preserve">(D) Plants per year </t>
    </r>
    <r>
      <rPr>
        <b/>
        <vertAlign val="superscript"/>
        <sz val="9"/>
        <rFont val="Times New Roman"/>
        <family val="1"/>
      </rPr>
      <t>a</t>
    </r>
    <r>
      <rPr>
        <b/>
        <sz val="9"/>
        <rFont val="Times New Roman"/>
        <family val="1"/>
      </rPr>
      <t xml:space="preserve">  </t>
    </r>
  </si>
  <si>
    <r>
      <t xml:space="preserve">(H) Cost, $ </t>
    </r>
    <r>
      <rPr>
        <b/>
        <vertAlign val="superscript"/>
        <sz val="9"/>
        <rFont val="Times New Roman"/>
        <family val="1"/>
      </rPr>
      <t>b</t>
    </r>
  </si>
  <si>
    <t xml:space="preserve">Labor Cost </t>
  </si>
  <si>
    <t>Total Labor Hours</t>
  </si>
  <si>
    <t>Number of Response</t>
  </si>
  <si>
    <t>Small Foundry</t>
  </si>
  <si>
    <t>Large Foundry</t>
  </si>
  <si>
    <t>Category</t>
  </si>
  <si>
    <t>RTI Comment</t>
  </si>
  <si>
    <t>Salaries taken for NAICS 331500: Foundries</t>
  </si>
  <si>
    <t>May 2018</t>
  </si>
  <si>
    <t>https://www.bls.gov/oes/current/naics4_331500.htm</t>
  </si>
  <si>
    <t>Occupation Code</t>
  </si>
  <si>
    <t>Title</t>
  </si>
  <si>
    <t>Mean Hourly Rate</t>
  </si>
  <si>
    <t>Estimated Total Pay with Benefits</t>
  </si>
  <si>
    <t>11-0000</t>
  </si>
  <si>
    <t>Mgmt Occup</t>
  </si>
  <si>
    <t>17-2081</t>
  </si>
  <si>
    <t>Envir Engr</t>
  </si>
  <si>
    <t>43-0000</t>
  </si>
  <si>
    <t>Office and Admin Support</t>
  </si>
  <si>
    <t>Estimate only  0.5 hours for small foundries - not much there for them.</t>
  </si>
  <si>
    <t>Applicable for large foundries only.</t>
  </si>
  <si>
    <t>Deleted deviations report - just do semiannual report.  Adding here.</t>
  </si>
  <si>
    <t>Assigning these for initial cost of rule revisions</t>
  </si>
  <si>
    <t xml:space="preserve">     Repeat performance tests for opacity</t>
  </si>
  <si>
    <r>
      <t xml:space="preserve">b  </t>
    </r>
    <r>
      <rPr>
        <sz val="9"/>
        <color rgb="FF000000"/>
        <rFont val="Times New Roman"/>
        <family val="1"/>
      </rPr>
      <t>This ICR uses the following labor rates from the United States Department of Labor, Bureau of Labor Statistics, May 2018, mean labor rates for Foundries (NAICS 331500) for Management Occupations (11-0000), Environmental Engineer (17-2081) and Office and Administrative Support (43-0000) . The rates have been increased by 110 percent to account for the benefit packages available to those employed by private industry. Fully burdened hourly rates are: $123.71 for management; $81.33 for technical; and $42.80 for clerical.</t>
    </r>
  </si>
  <si>
    <t>Don't use full compensation rates and then add burden. Either use straight rates and add burden or use full compensation rates.</t>
  </si>
  <si>
    <r>
      <t xml:space="preserve">     Scrap specifications</t>
    </r>
    <r>
      <rPr>
        <vertAlign val="superscript"/>
        <sz val="9"/>
        <color rgb="FF000000"/>
        <rFont val="Times New Roman"/>
        <family val="1"/>
      </rPr>
      <t>c</t>
    </r>
  </si>
  <si>
    <r>
      <t xml:space="preserve">     No methanol binder formulation </t>
    </r>
    <r>
      <rPr>
        <vertAlign val="superscript"/>
        <sz val="9"/>
        <color rgb="FF000000"/>
        <rFont val="Times New Roman"/>
        <family val="1"/>
      </rPr>
      <t>d</t>
    </r>
    <r>
      <rPr>
        <sz val="9"/>
        <color rgb="FF000000"/>
        <rFont val="Times New Roman"/>
        <family val="1"/>
      </rPr>
      <t xml:space="preserve"> </t>
    </r>
  </si>
  <si>
    <r>
      <t>d</t>
    </r>
    <r>
      <rPr>
        <sz val="9"/>
        <color rgb="FF000000"/>
        <rFont val="Times New Roman"/>
        <family val="1"/>
      </rPr>
      <t xml:space="preserve"> We have assumed that no burden would be incurred for this requirement because all small area source foundries are already meeting the no methanol requirement.</t>
    </r>
  </si>
  <si>
    <r>
      <t xml:space="preserve">     Initial notification of applicability</t>
    </r>
    <r>
      <rPr>
        <vertAlign val="superscript"/>
        <sz val="9"/>
        <color rgb="FF000000"/>
        <rFont val="Times New Roman"/>
        <family val="1"/>
      </rPr>
      <t>c</t>
    </r>
  </si>
  <si>
    <r>
      <t xml:space="preserve">     Notification of compliance status</t>
    </r>
    <r>
      <rPr>
        <vertAlign val="superscript"/>
        <sz val="9"/>
        <color rgb="FF000000"/>
        <rFont val="Times New Roman"/>
        <family val="1"/>
      </rPr>
      <t>c</t>
    </r>
  </si>
  <si>
    <r>
      <t xml:space="preserve">     Notification of construction/reconstruction</t>
    </r>
    <r>
      <rPr>
        <vertAlign val="superscript"/>
        <sz val="9"/>
        <color rgb="FF000000"/>
        <rFont val="Times New Roman"/>
        <family val="1"/>
      </rPr>
      <t>c</t>
    </r>
  </si>
  <si>
    <r>
      <t xml:space="preserve">     Notification of actual startup</t>
    </r>
    <r>
      <rPr>
        <vertAlign val="superscript"/>
        <sz val="9"/>
        <color rgb="FF000000"/>
        <rFont val="Times New Roman"/>
        <family val="1"/>
      </rPr>
      <t>c</t>
    </r>
  </si>
  <si>
    <r>
      <t xml:space="preserve">     Request for compliance extension</t>
    </r>
    <r>
      <rPr>
        <vertAlign val="superscript"/>
        <sz val="9"/>
        <color rgb="FF000000"/>
        <rFont val="Times New Roman"/>
        <family val="1"/>
      </rPr>
      <t>c</t>
    </r>
  </si>
  <si>
    <t xml:space="preserve">     Notification of repeat performance test</t>
  </si>
  <si>
    <t xml:space="preserve">     Site specific test plan</t>
  </si>
  <si>
    <t xml:space="preserve">     Notification of performance evaluation</t>
  </si>
  <si>
    <t xml:space="preserve">  Quality assurance plan for CEMS/COMS</t>
  </si>
  <si>
    <r>
      <t xml:space="preserve">     NESHAP waiver request</t>
    </r>
    <r>
      <rPr>
        <vertAlign val="superscript"/>
        <sz val="9"/>
        <color rgb="FF000000"/>
        <rFont val="Times New Roman"/>
        <family val="1"/>
      </rPr>
      <t>c</t>
    </r>
  </si>
  <si>
    <r>
      <t xml:space="preserve">     Notification of foundry reclassification</t>
    </r>
    <r>
      <rPr>
        <vertAlign val="superscript"/>
        <sz val="9"/>
        <color rgb="FF000000"/>
        <rFont val="Times New Roman"/>
        <family val="1"/>
      </rPr>
      <t>e</t>
    </r>
  </si>
  <si>
    <r>
      <t>e</t>
    </r>
    <r>
      <rPr>
        <sz val="9"/>
        <color rgb="FF000000"/>
        <rFont val="Times New Roman"/>
        <family val="1"/>
      </rPr>
      <t xml:space="preserve"> We have assumed that no small foundries will be reclassified as large foundries.</t>
    </r>
  </si>
  <si>
    <t xml:space="preserve">     Startup, shutdown, and malfunction plan/reports</t>
  </si>
  <si>
    <r>
      <t>E.  Time to enter information</t>
    </r>
    <r>
      <rPr>
        <vertAlign val="superscript"/>
        <sz val="9"/>
        <color rgb="FF000000"/>
        <rFont val="Times New Roman"/>
        <family val="1"/>
      </rPr>
      <t>g</t>
    </r>
  </si>
  <si>
    <r>
      <t>D   Develop record system</t>
    </r>
    <r>
      <rPr>
        <b/>
        <vertAlign val="superscript"/>
        <sz val="9"/>
        <color rgb="FF000000"/>
        <rFont val="Times New Roman"/>
        <family val="1"/>
      </rPr>
      <t xml:space="preserve"> </t>
    </r>
    <r>
      <rPr>
        <vertAlign val="superscript"/>
        <sz val="9"/>
        <color rgb="FF000000"/>
        <rFont val="Times New Roman"/>
        <family val="1"/>
      </rPr>
      <t>f</t>
    </r>
  </si>
  <si>
    <r>
      <t xml:space="preserve">F.  Time to train personnel </t>
    </r>
    <r>
      <rPr>
        <vertAlign val="superscript"/>
        <sz val="9"/>
        <color rgb="FF000000"/>
        <rFont val="Times New Roman"/>
        <family val="1"/>
      </rPr>
      <t>f</t>
    </r>
  </si>
  <si>
    <r>
      <t xml:space="preserve">G.  Time to adjust existing ways </t>
    </r>
    <r>
      <rPr>
        <vertAlign val="superscript"/>
        <sz val="9"/>
        <color rgb="FF000000"/>
        <rFont val="Times New Roman"/>
        <family val="1"/>
      </rPr>
      <t>f</t>
    </r>
  </si>
  <si>
    <r>
      <t xml:space="preserve">h </t>
    </r>
    <r>
      <rPr>
        <sz val="9"/>
        <color theme="1"/>
        <rFont val="Times New Roman"/>
        <family val="1"/>
      </rPr>
      <t>Totals have been rounded to 3 significant figures. Figures may not add exactly due to rounding. Small foundries are not assumed to incur any capital or O&amp;M costs.</t>
    </r>
  </si>
  <si>
    <r>
      <t>TOTAL LABOR BURDEN AND COST (rounded)</t>
    </r>
    <r>
      <rPr>
        <b/>
        <vertAlign val="superscript"/>
        <sz val="8"/>
        <color rgb="FF000000"/>
        <rFont val="Times New Roman"/>
        <family val="1"/>
      </rPr>
      <t>h</t>
    </r>
  </si>
  <si>
    <r>
      <t>TOTAL CAPITAL AND O&amp;M COST (rounded)</t>
    </r>
    <r>
      <rPr>
        <b/>
        <vertAlign val="superscript"/>
        <sz val="8"/>
        <rFont val="Times New Roman"/>
        <family val="1"/>
      </rPr>
      <t>h</t>
    </r>
  </si>
  <si>
    <r>
      <t>GRAND TOTAL (rounded)</t>
    </r>
    <r>
      <rPr>
        <b/>
        <vertAlign val="superscript"/>
        <sz val="9"/>
        <color rgb="FF000000"/>
        <rFont val="Times New Roman"/>
        <family val="1"/>
      </rPr>
      <t>h</t>
    </r>
  </si>
  <si>
    <t>OK</t>
  </si>
  <si>
    <t>Increased the hours to do test, consistent with 40 CFR 63 subpart EEEEE</t>
  </si>
  <si>
    <r>
      <t xml:space="preserve">c  </t>
    </r>
    <r>
      <rPr>
        <sz val="9"/>
        <color rgb="FF000000"/>
        <rFont val="Times New Roman"/>
        <family val="1"/>
      </rPr>
      <t>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a change to an operating limit or a process change likely to increase HAP emissions over the period of this ICR.   A notification is required.</t>
    </r>
  </si>
  <si>
    <r>
      <t xml:space="preserve">d  </t>
    </r>
    <r>
      <rPr>
        <sz val="9"/>
        <color rgb="FF000000"/>
        <rFont val="Times New Roman"/>
        <family val="1"/>
      </rPr>
      <t xml:space="preserve">We have assumed that all foundries would need to conduct performance tests to demonstrate compliance with the opacity limit in §63.10895(e) at least every 6 months and will not implement a process change likely to increase fugitive emissions over the 3 year period of this ICR. Opacity performance tests should be conducted over 3-hour period as specified in </t>
    </r>
    <r>
      <rPr>
        <sz val="9"/>
        <color rgb="FF000000"/>
        <rFont val="Calibri"/>
        <family val="2"/>
      </rPr>
      <t>§</t>
    </r>
    <r>
      <rPr>
        <sz val="9"/>
        <color rgb="FF000000"/>
        <rFont val="Times New Roman"/>
        <family val="1"/>
      </rPr>
      <t xml:space="preserve">63.6(h)(5)(ii). Assume one observation location can be used per foundry. No separate notification required.    </t>
    </r>
  </si>
  <si>
    <r>
      <t xml:space="preserve">     Scrap material specifications</t>
    </r>
    <r>
      <rPr>
        <vertAlign val="superscript"/>
        <sz val="9"/>
        <rFont val="Times New Roman"/>
        <family val="1"/>
      </rPr>
      <t>e</t>
    </r>
  </si>
  <si>
    <r>
      <t xml:space="preserve">     Prepare operation &amp; maintenance plan</t>
    </r>
    <r>
      <rPr>
        <vertAlign val="superscript"/>
        <sz val="9"/>
        <rFont val="Times New Roman"/>
        <family val="1"/>
      </rPr>
      <t>e</t>
    </r>
  </si>
  <si>
    <r>
      <t xml:space="preserve">     No methanol binder formulation </t>
    </r>
    <r>
      <rPr>
        <vertAlign val="superscript"/>
        <sz val="9"/>
        <rFont val="Times New Roman"/>
        <family val="1"/>
      </rPr>
      <t>e</t>
    </r>
    <r>
      <rPr>
        <sz val="9"/>
        <rFont val="Times New Roman"/>
        <family val="1"/>
      </rPr>
      <t xml:space="preserve"> </t>
    </r>
  </si>
  <si>
    <t>This essentially a one time requirement.  Once change system, no real on-going burden.</t>
  </si>
  <si>
    <r>
      <t xml:space="preserve">     Initial performance tests </t>
    </r>
    <r>
      <rPr>
        <vertAlign val="superscript"/>
        <sz val="9"/>
        <rFont val="Times New Roman"/>
        <family val="1"/>
      </rPr>
      <t>e</t>
    </r>
  </si>
  <si>
    <r>
      <t xml:space="preserve">     Initial and periodic inspections of PM control devices, monthly inspection of capture systems </t>
    </r>
    <r>
      <rPr>
        <vertAlign val="superscript"/>
        <sz val="9"/>
        <rFont val="Times New Roman"/>
        <family val="1"/>
      </rPr>
      <t>f</t>
    </r>
  </si>
  <si>
    <r>
      <t xml:space="preserve">    Monthly emissions averaging calculations </t>
    </r>
    <r>
      <rPr>
        <vertAlign val="superscript"/>
        <sz val="9"/>
        <rFont val="Times New Roman"/>
        <family val="1"/>
      </rPr>
      <t>g</t>
    </r>
  </si>
  <si>
    <r>
      <t xml:space="preserve">e </t>
    </r>
    <r>
      <rPr>
        <sz val="9"/>
        <color rgb="FF000000"/>
        <rFont val="Times New Roman"/>
        <family val="1"/>
      </rPr>
      <t>One-time only costs</t>
    </r>
  </si>
  <si>
    <r>
      <t xml:space="preserve">f  </t>
    </r>
    <r>
      <rPr>
        <sz val="9"/>
        <color rgb="FF000000"/>
        <rFont val="Times New Roman"/>
        <family val="1"/>
      </rPr>
      <t xml:space="preserve">We have assumed that all large foundries must conduct inspection of control device and capture system. </t>
    </r>
  </si>
  <si>
    <t>Increased the hours to do test, one observation spot</t>
  </si>
  <si>
    <r>
      <t xml:space="preserve">     Initial notification of applicability</t>
    </r>
    <r>
      <rPr>
        <vertAlign val="superscript"/>
        <sz val="9"/>
        <rFont val="Times New Roman"/>
        <family val="1"/>
      </rPr>
      <t>e</t>
    </r>
  </si>
  <si>
    <r>
      <t xml:space="preserve">     Notification of compliance status</t>
    </r>
    <r>
      <rPr>
        <vertAlign val="superscript"/>
        <sz val="9"/>
        <rFont val="Times New Roman"/>
        <family val="1"/>
      </rPr>
      <t>e</t>
    </r>
  </si>
  <si>
    <r>
      <t xml:space="preserve">     Notification of construction/reconstruction</t>
    </r>
    <r>
      <rPr>
        <vertAlign val="superscript"/>
        <sz val="9"/>
        <rFont val="Times New Roman"/>
        <family val="1"/>
      </rPr>
      <t>e</t>
    </r>
  </si>
  <si>
    <r>
      <t xml:space="preserve">     Notification of actual startup</t>
    </r>
    <r>
      <rPr>
        <vertAlign val="superscript"/>
        <sz val="9"/>
        <rFont val="Times New Roman"/>
        <family val="1"/>
      </rPr>
      <t>e</t>
    </r>
  </si>
  <si>
    <r>
      <t xml:space="preserve">h </t>
    </r>
    <r>
      <rPr>
        <sz val="9"/>
        <color rgb="FF000000"/>
        <rFont val="Times New Roman"/>
        <family val="1"/>
      </rPr>
      <t>We have assumed that no foundries will be reclassified as small foundries.</t>
    </r>
  </si>
  <si>
    <r>
      <t xml:space="preserve">     Notification of foundry reclassification</t>
    </r>
    <r>
      <rPr>
        <vertAlign val="superscript"/>
        <sz val="9"/>
        <rFont val="Times New Roman"/>
        <family val="1"/>
      </rPr>
      <t>h</t>
    </r>
  </si>
  <si>
    <r>
      <t xml:space="preserve">     Request for compliance extension</t>
    </r>
    <r>
      <rPr>
        <vertAlign val="superscript"/>
        <sz val="9"/>
        <rFont val="Times New Roman"/>
        <family val="1"/>
      </rPr>
      <t>c</t>
    </r>
  </si>
  <si>
    <r>
      <t xml:space="preserve">     Notification of repeat PM performance test </t>
    </r>
    <r>
      <rPr>
        <vertAlign val="superscript"/>
        <sz val="9"/>
        <rFont val="Times New Roman"/>
        <family val="1"/>
      </rPr>
      <t>c</t>
    </r>
  </si>
  <si>
    <r>
      <t xml:space="preserve">     Site specific test plan </t>
    </r>
    <r>
      <rPr>
        <vertAlign val="superscript"/>
        <sz val="9"/>
        <rFont val="Times New Roman"/>
        <family val="1"/>
      </rPr>
      <t>e</t>
    </r>
  </si>
  <si>
    <r>
      <t xml:space="preserve">     Notification of performance evaluation</t>
    </r>
    <r>
      <rPr>
        <vertAlign val="superscript"/>
        <sz val="9"/>
        <rFont val="Times New Roman"/>
        <family val="1"/>
      </rPr>
      <t>e</t>
    </r>
  </si>
  <si>
    <r>
      <t xml:space="preserve">     NESHAP waiver request</t>
    </r>
    <r>
      <rPr>
        <vertAlign val="superscript"/>
        <sz val="9"/>
        <rFont val="Times New Roman"/>
        <family val="1"/>
      </rPr>
      <t>e</t>
    </r>
  </si>
  <si>
    <r>
      <t xml:space="preserve">     Quality assurance plan for CEMS/COMS</t>
    </r>
    <r>
      <rPr>
        <vertAlign val="superscript"/>
        <sz val="9"/>
        <rFont val="Times New Roman"/>
        <family val="1"/>
      </rPr>
      <t>e</t>
    </r>
  </si>
  <si>
    <t>no longer required</t>
  </si>
  <si>
    <r>
      <t xml:space="preserve">i </t>
    </r>
    <r>
      <rPr>
        <sz val="9"/>
        <color rgb="FF000000"/>
        <rFont val="Times New Roman"/>
        <family val="1"/>
      </rPr>
      <t>We have assumed all large foundries will have to submit semi-annual compliance reports.</t>
    </r>
  </si>
  <si>
    <r>
      <t>C.  Implement activities</t>
    </r>
    <r>
      <rPr>
        <vertAlign val="superscript"/>
        <sz val="9"/>
        <color rgb="FF000000"/>
        <rFont val="Times New Roman"/>
        <family val="1"/>
      </rPr>
      <t xml:space="preserve"> f</t>
    </r>
  </si>
  <si>
    <r>
      <t>B.  Plan activities</t>
    </r>
    <r>
      <rPr>
        <vertAlign val="superscript"/>
        <sz val="9"/>
        <color rgb="FF000000"/>
        <rFont val="Times New Roman"/>
        <family val="1"/>
      </rPr>
      <t>f</t>
    </r>
  </si>
  <si>
    <r>
      <rPr>
        <vertAlign val="superscript"/>
        <sz val="9"/>
        <rFont val="Times New Roman"/>
        <family val="1"/>
      </rPr>
      <t>g</t>
    </r>
    <r>
      <rPr>
        <sz val="9"/>
        <rFont val="Times New Roman"/>
        <family val="1"/>
      </rPr>
      <t xml:space="preserve"> We have assumed that small foundries must record information to demonstrate compliance with pollution prevention management practices for metallic scrap and binder formulations.</t>
    </r>
  </si>
  <si>
    <r>
      <t>a</t>
    </r>
    <r>
      <rPr>
        <sz val="9"/>
        <color rgb="FF000000"/>
        <rFont val="Times New Roman"/>
        <family val="1"/>
      </rPr>
      <t xml:space="preserve"> This table is specific to area source foundries classified as large iron and steel foundries.  There are an estimated 390 area souce foundries, 75 of which are expected to be classified as large foundries.  No new area source foundries are projected during the 3-year term of this ICR. We assume all respondents will have to spend time familiarizing themselves with regulatory requirements each year.</t>
    </r>
  </si>
  <si>
    <r>
      <t>a</t>
    </r>
    <r>
      <rPr>
        <sz val="9"/>
        <rFont val="Times New Roman"/>
        <family val="1"/>
      </rPr>
      <t xml:space="preserve"> This table is specific to area source foundres classified as small iron and steel foundries.  A total of 315 of the 390 area source foundries are small foundries and 75 are large foundries.  No new area source foundries are projected during the 3-year term of this ICR. We assume all respondents will have to spend time familiarizing themselves with regulatory requirements each year.</t>
    </r>
  </si>
  <si>
    <r>
      <rPr>
        <vertAlign val="superscript"/>
        <sz val="9"/>
        <rFont val="Times New Roman"/>
        <family val="1"/>
      </rPr>
      <t>f</t>
    </r>
    <r>
      <rPr>
        <sz val="9"/>
        <rFont val="Times New Roman"/>
        <family val="1"/>
      </rPr>
      <t xml:space="preserve">  We have assumed that all small foundries would review record keeping system, adjust methods and train employees during the first year of the rule amendments. Subsequent years, these activities would not be needed. Therefore, the average number of respondents per year is (315+0+0)/3 = 105.</t>
    </r>
  </si>
  <si>
    <t>Current ICR (2267.05)</t>
  </si>
  <si>
    <t>Total count gone down consistently, assumed two more drop. One small and one large</t>
  </si>
  <si>
    <r>
      <t>Revised ICR (</t>
    </r>
    <r>
      <rPr>
        <b/>
        <sz val="10"/>
        <color rgb="FFFF0000"/>
        <rFont val="Calibri"/>
        <family val="2"/>
        <scheme val="minor"/>
      </rPr>
      <t>2267.06</t>
    </r>
    <r>
      <rPr>
        <b/>
        <sz val="10"/>
        <color theme="1"/>
        <rFont val="Calibri"/>
        <family val="2"/>
        <scheme val="minor"/>
      </rPr>
      <t>)</t>
    </r>
  </si>
  <si>
    <r>
      <rPr>
        <vertAlign val="superscript"/>
        <sz val="9"/>
        <rFont val="Times New Roman"/>
        <family val="1"/>
      </rPr>
      <t>j</t>
    </r>
    <r>
      <rPr>
        <sz val="9"/>
        <rFont val="Times New Roman"/>
        <family val="1"/>
      </rPr>
      <t xml:space="preserve"> We have assumed that all large foundries would review record keeping system, adjust methods and train employees during the first year of the rule amendments. Subsequent years, these activities would not be needed. Therefore, the average number of respondents per year is (75+0+0)/3 = 25.</t>
    </r>
  </si>
  <si>
    <r>
      <t>g</t>
    </r>
    <r>
      <rPr>
        <sz val="9"/>
        <color rgb="FF000000"/>
        <rFont val="Times New Roman"/>
        <family val="1"/>
      </rPr>
      <t xml:space="preserve"> We assumed half of the large area source foundries (75/2 = 37.5) would use the emissions averaging provisions.</t>
    </r>
  </si>
  <si>
    <r>
      <t>B.  Plan activities</t>
    </r>
    <r>
      <rPr>
        <vertAlign val="superscript"/>
        <sz val="9"/>
        <rFont val="Times New Roman"/>
        <family val="1"/>
      </rPr>
      <t xml:space="preserve"> j</t>
    </r>
  </si>
  <si>
    <r>
      <t>C.  Implement activities</t>
    </r>
    <r>
      <rPr>
        <vertAlign val="superscript"/>
        <sz val="9"/>
        <rFont val="Times New Roman"/>
        <family val="1"/>
      </rPr>
      <t xml:space="preserve"> j</t>
    </r>
  </si>
  <si>
    <r>
      <t>D   Develop record system</t>
    </r>
    <r>
      <rPr>
        <vertAlign val="superscript"/>
        <sz val="9"/>
        <rFont val="Times New Roman"/>
        <family val="1"/>
      </rPr>
      <t xml:space="preserve"> j</t>
    </r>
  </si>
  <si>
    <r>
      <t>E.  Time to enter information</t>
    </r>
    <r>
      <rPr>
        <vertAlign val="superscript"/>
        <sz val="9"/>
        <rFont val="Times New Roman"/>
        <family val="1"/>
      </rPr>
      <t xml:space="preserve"> k</t>
    </r>
  </si>
  <si>
    <r>
      <t xml:space="preserve">k   </t>
    </r>
    <r>
      <rPr>
        <sz val="9"/>
        <color rgb="FF000000"/>
        <rFont val="Times New Roman"/>
        <family val="1"/>
      </rPr>
      <t xml:space="preserve">We have assumed that large foundries must record information to demonstrate compliance with pollution prevention management practices for metallic scrap and binder formulations and information to demonstrate compliance with monitoring; inspection; operation and maintenance; startups, shutdowns, and malfunctions; and other requirements of the General Provisions (40 CFR part 63, subpart A). In addition, record to record information to demonstrate compliance with the PM and opacity standards. </t>
    </r>
  </si>
  <si>
    <r>
      <rPr>
        <vertAlign val="superscript"/>
        <sz val="9"/>
        <rFont val="Times New Roman"/>
        <family val="1"/>
      </rPr>
      <t xml:space="preserve">l </t>
    </r>
    <r>
      <rPr>
        <sz val="9"/>
        <rFont val="Times New Roman"/>
        <family val="1"/>
      </rPr>
      <t>Totals have been rounded to 3 significant figures. Figures may not add exactly due to rounding. Large foundries are not assumed to incur any capital or O&amp;M costs.</t>
    </r>
  </si>
  <si>
    <r>
      <t>G.  Time to adjust existing ways</t>
    </r>
    <r>
      <rPr>
        <vertAlign val="superscript"/>
        <sz val="9"/>
        <rFont val="Times New Roman"/>
        <family val="1"/>
      </rPr>
      <t>j</t>
    </r>
  </si>
  <si>
    <r>
      <t xml:space="preserve">F.  Time to train personnel </t>
    </r>
    <r>
      <rPr>
        <vertAlign val="superscript"/>
        <sz val="9"/>
        <rFont val="Times New Roman"/>
        <family val="1"/>
      </rPr>
      <t>j</t>
    </r>
  </si>
  <si>
    <r>
      <t>F.  Time to transmit or disclose information</t>
    </r>
    <r>
      <rPr>
        <vertAlign val="superscript"/>
        <sz val="9"/>
        <rFont val="Times New Roman"/>
        <family val="1"/>
      </rPr>
      <t xml:space="preserve"> k</t>
    </r>
  </si>
  <si>
    <r>
      <t>TOTAL LABOR BURDEN AND COST (rounded)</t>
    </r>
    <r>
      <rPr>
        <b/>
        <vertAlign val="superscript"/>
        <sz val="9"/>
        <rFont val="Times New Roman"/>
        <family val="1"/>
      </rPr>
      <t>l</t>
    </r>
  </si>
  <si>
    <r>
      <t>TOTAL CAPITAL AND O&amp;M COST (rounded)</t>
    </r>
    <r>
      <rPr>
        <b/>
        <vertAlign val="superscript"/>
        <sz val="9"/>
        <rFont val="Times New Roman"/>
        <family val="1"/>
      </rPr>
      <t>l</t>
    </r>
  </si>
  <si>
    <r>
      <t>GRAND TOTAL (rounded)</t>
    </r>
    <r>
      <rPr>
        <b/>
        <vertAlign val="superscript"/>
        <sz val="9"/>
        <rFont val="Times New Roman"/>
        <family val="1"/>
      </rPr>
      <t>l</t>
    </r>
  </si>
  <si>
    <t>Capital/Startup vs. Operation and Maintenance (O&amp;M) Costs</t>
  </si>
  <si>
    <t>(F)</t>
  </si>
  <si>
    <t>(G)</t>
  </si>
  <si>
    <t>Continuous Monitoring Device</t>
  </si>
  <si>
    <t>Capital/Startup Cost for One Respondent</t>
  </si>
  <si>
    <t xml:space="preserve">Number of New Respondents </t>
  </si>
  <si>
    <t>Annual O&amp;M Costs for One Respondent</t>
  </si>
  <si>
    <t>Leak detectors</t>
  </si>
  <si>
    <t>Flow rate monitors</t>
  </si>
  <si>
    <t>Pressure drop</t>
  </si>
  <si>
    <t>Total Capital/Startup Cost, (B x C)</t>
  </si>
  <si>
    <t>Total O&amp;M, 
(E x F)</t>
  </si>
  <si>
    <r>
      <t>On-going Performance Test for PM</t>
    </r>
    <r>
      <rPr>
        <vertAlign val="superscript"/>
        <sz val="9"/>
        <rFont val="Times New Roman"/>
        <family val="1"/>
      </rPr>
      <t>c</t>
    </r>
  </si>
  <si>
    <r>
      <t>On-going Performance Test for Opacity</t>
    </r>
    <r>
      <rPr>
        <vertAlign val="superscript"/>
        <sz val="9"/>
        <rFont val="Times New Roman"/>
        <family val="1"/>
      </rPr>
      <t>d</t>
    </r>
  </si>
  <si>
    <r>
      <t xml:space="preserve">  </t>
    </r>
    <r>
      <rPr>
        <sz val="9"/>
        <rFont val="Times New Roman"/>
        <family val="1"/>
      </rPr>
      <t>Semiannual compliance report - small</t>
    </r>
    <r>
      <rPr>
        <vertAlign val="superscript"/>
        <sz val="9"/>
        <rFont val="Times New Roman"/>
        <family val="1"/>
      </rPr>
      <t>a</t>
    </r>
  </si>
  <si>
    <r>
      <t xml:space="preserve">  </t>
    </r>
    <r>
      <rPr>
        <sz val="9"/>
        <rFont val="Times New Roman"/>
        <family val="1"/>
      </rPr>
      <t>Semiannual compliance report - large</t>
    </r>
    <r>
      <rPr>
        <vertAlign val="superscript"/>
        <sz val="9"/>
        <rFont val="Times New Roman"/>
        <family val="1"/>
      </rPr>
      <t>a</t>
    </r>
  </si>
  <si>
    <t xml:space="preserve">     Semiannual compliance reports</t>
  </si>
  <si>
    <r>
      <t xml:space="preserve">     Semiannual compliance reports </t>
    </r>
    <r>
      <rPr>
        <vertAlign val="superscript"/>
        <sz val="9"/>
        <rFont val="Times New Roman"/>
        <family val="1"/>
      </rPr>
      <t>i</t>
    </r>
  </si>
  <si>
    <t>Semiannual compliance reports (small foundries)</t>
  </si>
  <si>
    <r>
      <t>Number of Respondents with O&amp;M</t>
    </r>
    <r>
      <rPr>
        <vertAlign val="superscript"/>
        <sz val="10"/>
        <color rgb="FF000000"/>
        <rFont val="Times New Roman"/>
        <family val="1"/>
      </rPr>
      <t>a</t>
    </r>
  </si>
  <si>
    <r>
      <rPr>
        <vertAlign val="superscript"/>
        <sz val="10"/>
        <color theme="1"/>
        <rFont val="Times New Roman"/>
        <family val="1"/>
      </rPr>
      <t>a</t>
    </r>
    <r>
      <rPr>
        <sz val="10"/>
        <color theme="1"/>
        <rFont val="Times New Roman"/>
        <family val="1"/>
      </rPr>
      <t xml:space="preserve"> PM control system O&amp;M cost are only applicable to large iron and steel foundries, of which there are 75. Assumes 20 foundries use a wet scrubber and the remainder use a baghouse. </t>
    </r>
  </si>
  <si>
    <r>
      <t xml:space="preserve">Total </t>
    </r>
    <r>
      <rPr>
        <vertAlign val="superscript"/>
        <sz val="10"/>
        <color theme="1"/>
        <rFont val="Times New Roman"/>
        <family val="1"/>
      </rPr>
      <t>b</t>
    </r>
  </si>
  <si>
    <r>
      <rPr>
        <vertAlign val="superscript"/>
        <sz val="10"/>
        <color theme="1"/>
        <rFont val="Times New Roman"/>
        <family val="1"/>
      </rPr>
      <t xml:space="preserve">b </t>
    </r>
    <r>
      <rPr>
        <sz val="10"/>
        <color theme="1"/>
        <rFont val="Times New Roman"/>
        <family val="1"/>
      </rPr>
      <t>Totals have been rounded to 3 significant figures. Figures may not add exactly due to rounding.</t>
    </r>
  </si>
  <si>
    <t>Agency Worker Rates</t>
  </si>
  <si>
    <r>
      <t xml:space="preserve">Labor Rates, $/hr </t>
    </r>
    <r>
      <rPr>
        <b/>
        <vertAlign val="superscript"/>
        <sz val="12"/>
        <color rgb="FF000000"/>
        <rFont val="Times New Roman"/>
        <family val="1"/>
      </rPr>
      <t>a</t>
    </r>
  </si>
  <si>
    <t>60% Overhead</t>
  </si>
  <si>
    <t>Total, $/hr</t>
  </si>
  <si>
    <t>Managerial (GS-13, step 5)</t>
  </si>
  <si>
    <t xml:space="preserve">Technical (GS-12, step 1) </t>
  </si>
  <si>
    <t>Clerical (GS-6, step 3)</t>
  </si>
  <si>
    <t xml:space="preserve">a https://www.opm.gov/policy-data-oversight/pay-leave/salaries-wages/salary-tables/pdf/2019/GS_h.pdf  </t>
  </si>
  <si>
    <t>Effective January 2019</t>
  </si>
  <si>
    <t>2019:</t>
  </si>
  <si>
    <r>
      <t>Notification of Performance Test for PM (large foundries)</t>
    </r>
    <r>
      <rPr>
        <vertAlign val="superscript"/>
        <sz val="9"/>
        <color theme="1"/>
        <rFont val="Times New Roman"/>
        <family val="1"/>
      </rPr>
      <t>a</t>
    </r>
  </si>
  <si>
    <r>
      <t xml:space="preserve">     Report of performance test (through CEDRI using ERT) </t>
    </r>
    <r>
      <rPr>
        <vertAlign val="superscript"/>
        <sz val="9"/>
        <rFont val="Times New Roman"/>
        <family val="1"/>
      </rPr>
      <t>c</t>
    </r>
  </si>
  <si>
    <r>
      <t>Report of Performance Test for PM (large foundries)</t>
    </r>
    <r>
      <rPr>
        <vertAlign val="superscript"/>
        <sz val="9"/>
        <color theme="1"/>
        <rFont val="Times New Roman"/>
        <family val="1"/>
      </rPr>
      <t>a</t>
    </r>
  </si>
  <si>
    <r>
      <t xml:space="preserve">  Performance test report</t>
    </r>
    <r>
      <rPr>
        <vertAlign val="superscript"/>
        <sz val="9"/>
        <rFont val="Times New Roman"/>
        <family val="1"/>
      </rPr>
      <t>d</t>
    </r>
  </si>
  <si>
    <t>Table 1a: Annual Respondent Burden and Cost for Small Foundries – NESHAP for Iron and Steel Foundry Area Sources (40 CFR Part 63, Subpart ZZZZZ) (Proposed Amendments)</t>
  </si>
  <si>
    <r>
      <t>a</t>
    </r>
    <r>
      <rPr>
        <sz val="9"/>
        <color theme="1"/>
        <rFont val="Times New Roman"/>
        <family val="1"/>
      </rPr>
      <t xml:space="preserve"> This table is specific to area source foundries classified as small iron and steel foundries. A total of 315 of the 390 area source foundries are small foundries and 75 are large foundries. No new area source foundries are projected during the 3-year term of this ICR. We assume all respondents will have to spend time familiarizing themselves with regulatory requirements each year.</t>
    </r>
  </si>
  <si>
    <r>
      <t>f</t>
    </r>
    <r>
      <rPr>
        <sz val="9"/>
        <color theme="1"/>
        <rFont val="Times New Roman"/>
        <family val="1"/>
      </rPr>
      <t xml:space="preserve">  We have assumed that all small foundries would review record keeping system, adjust methods and train employees during the first year of the rule amendments. Subsequent years, these activities would not be needed. Therefore, the average number of respondents per year is (315+0+0)/3 = 105.</t>
    </r>
  </si>
  <si>
    <r>
      <t>g</t>
    </r>
    <r>
      <rPr>
        <sz val="9"/>
        <color theme="1"/>
        <rFont val="Times New Roman"/>
        <family val="1"/>
      </rPr>
      <t xml:space="preserve"> We have assumed that small foundries must record information to demonstrate compliance with pollution prevention management practices for metallic scrap and binder formulations.</t>
    </r>
  </si>
  <si>
    <r>
      <t xml:space="preserve">h </t>
    </r>
    <r>
      <rPr>
        <sz val="9"/>
        <color rgb="FF000000"/>
        <rFont val="Times New Roman"/>
        <family val="1"/>
      </rPr>
      <t>Totals have been rounded to 3 significant figures. Figures may not add exactly due to rounding. Small foundries are not assumed to incur any capital or O&amp;M costs.</t>
    </r>
  </si>
  <si>
    <t>Table 1b: Annual Respondent Burden and Cost for Large Foundries – NESHAP for Iron and Steel Foundry Area Sources (40 CFR Part 63, Subpart ZZZZZ) (Proposed Amendments)</t>
  </si>
  <si>
    <r>
      <t>a</t>
    </r>
    <r>
      <rPr>
        <sz val="9"/>
        <color rgb="FF000000"/>
        <rFont val="Times New Roman"/>
        <family val="1"/>
      </rPr>
      <t xml:space="preserve"> This table is specific to area source foundries classified as large iron and steel foundries. There are an estimated 390 area source foundries, 75 of which are expected to be classified as large foundries. No new area source foundries are projected during the 3-year term of this ICR. We assume all respondents will have to spend time familiarizing themselves with regulatory requirements each year.</t>
    </r>
  </si>
  <si>
    <r>
      <t xml:space="preserve">c  </t>
    </r>
    <r>
      <rPr>
        <sz val="9"/>
        <color rgb="FF000000"/>
        <rFont val="Times New Roman"/>
        <family val="1"/>
      </rPr>
      <t>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a change to an operating limit or a process change likely to increase HAP emissions over the period of this ICR. A notification is required.</t>
    </r>
  </si>
  <si>
    <r>
      <t>j</t>
    </r>
    <r>
      <rPr>
        <sz val="9"/>
        <color theme="1"/>
        <rFont val="Times New Roman"/>
        <family val="1"/>
      </rPr>
      <t xml:space="preserve"> We have assumed that all large foundries would review record keeping system, adjust methods and train employees during the first year of the rule amendments. Subsequent years, these activities would not be needed. Therefore, the average number of respondents per year is (75+0+0)/3 = 25.</t>
    </r>
  </si>
  <si>
    <r>
      <t xml:space="preserve"> </t>
    </r>
    <r>
      <rPr>
        <vertAlign val="superscript"/>
        <sz val="9"/>
        <color theme="1"/>
        <rFont val="Times New Roman"/>
        <family val="1"/>
      </rPr>
      <t>a</t>
    </r>
    <r>
      <rPr>
        <sz val="9"/>
        <color theme="1"/>
        <rFont val="Times New Roman"/>
        <family val="1"/>
      </rPr>
      <t xml:space="preserve"> Taking into account shutdown data for foundries, we have assumed that there are 390 existing iron and steel foundries that are area sources. No new sources are projected during the 3-year term of this ICR. A total of 315 of the 390 facilities are small foundries and 75 are large foundries. All foundries have to submit semiannual compliance reports.</t>
    </r>
  </si>
  <si>
    <r>
      <t xml:space="preserve">c </t>
    </r>
    <r>
      <rPr>
        <sz val="9"/>
        <color theme="1"/>
        <rFont val="Times New Roman"/>
        <family val="1"/>
      </rPr>
      <t>One-time only costs</t>
    </r>
  </si>
  <si>
    <r>
      <t xml:space="preserve">d </t>
    </r>
    <r>
      <rPr>
        <sz val="9"/>
        <color theme="1"/>
        <rFont val="Times New Roman"/>
        <family val="1"/>
      </rPr>
      <t xml:space="preserve">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change to an operating limit or a process change likely to increase HAP emissions.  </t>
    </r>
  </si>
  <si>
    <r>
      <t xml:space="preserve">e </t>
    </r>
    <r>
      <rPr>
        <sz val="9"/>
        <color theme="1"/>
        <rFont val="Times New Roman"/>
        <family val="1"/>
      </rPr>
      <t>Totals have been rounded to 3 significant figures. Figures may not add exactly due to rounding.</t>
    </r>
  </si>
  <si>
    <r>
      <t xml:space="preserve">b  </t>
    </r>
    <r>
      <rPr>
        <sz val="9"/>
        <color rgb="FF000000"/>
        <rFont val="Times New Roman"/>
        <family val="1"/>
      </rPr>
      <t>This cost is based on the following 2019 labor rates which incorporates a 1.6 benefits multiplication factor to account for government overhead expenses: $66.62 Managerial rate (GS-13, Step 5), $49.44 Technical rate (GS-12, Step 1), and $26.75 Clerical rate (GS-6, Step 3).  These rates are calculated from the hourly rates included in the Office of Personnel Management (OPM) 2019 General Schedule which excludes locality rates of pay; the rates have been increased by 60 percent to account for benefit packages available to government employees</t>
    </r>
    <r>
      <rPr>
        <sz val="9"/>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</si>
</sst>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quot;$&quot;#,##0"/>
    <numFmt numFmtId="166" formatCode="#,##0.0"/>
    <numFmt numFmtId="167" formatCode="0.0"/>
  </numFmts>
  <fonts count="51" x14ac:knownFonts="1">
    <font>
      <sz val="11"/>
      <color theme="1"/>
      <name val="Calibri"/>
      <family val="2"/>
      <scheme val="minor"/>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sz val="8"/>
      <color rgb="FF000000"/>
      <name val="Times New Roman"/>
      <family val="1"/>
    </font>
    <font>
      <b/>
      <sz val="10"/>
      <color theme="1"/>
      <name val="Times New Roman"/>
      <family val="1"/>
    </font>
    <font>
      <b/>
      <vertAlign val="superscript"/>
      <sz val="10"/>
      <color theme="1"/>
      <name val="Times New Roman"/>
      <family val="1"/>
    </font>
    <font>
      <b/>
      <i/>
      <sz val="9"/>
      <color rgb="FF000000"/>
      <name val="Times New Roman"/>
      <family val="1"/>
    </font>
    <font>
      <b/>
      <sz val="9"/>
      <color theme="1"/>
      <name val="Times New Roman"/>
      <family val="1"/>
    </font>
    <font>
      <sz val="11"/>
      <color rgb="FFFF0000"/>
      <name val="Calibri"/>
      <family val="2"/>
      <scheme val="minor"/>
    </font>
    <font>
      <b/>
      <sz val="10"/>
      <name val="Times New Roman"/>
      <family val="1"/>
    </font>
    <font>
      <b/>
      <sz val="11"/>
      <color theme="1"/>
      <name val="Times New Roman"/>
      <family val="1"/>
    </font>
    <font>
      <b/>
      <vertAlign val="superscript"/>
      <sz val="10"/>
      <name val="Times New Roman"/>
      <family val="1"/>
    </font>
    <font>
      <sz val="11"/>
      <name val="Calibri"/>
      <family val="2"/>
      <scheme val="minor"/>
    </font>
    <font>
      <sz val="9"/>
      <name val="Times New Roman"/>
      <family val="1"/>
    </font>
    <font>
      <sz val="9"/>
      <name val="Arial"/>
      <family val="2"/>
    </font>
    <font>
      <vertAlign val="superscript"/>
      <sz val="9"/>
      <name val="Times New Roman"/>
      <family val="1"/>
    </font>
    <font>
      <b/>
      <sz val="9"/>
      <name val="Times New Roman"/>
      <family val="1"/>
    </font>
    <font>
      <b/>
      <vertAlign val="superscript"/>
      <sz val="9"/>
      <name val="Times New Roman"/>
      <family val="1"/>
    </font>
    <font>
      <b/>
      <i/>
      <sz val="9"/>
      <name val="Times New Roman"/>
      <family val="1"/>
    </font>
    <font>
      <b/>
      <sz val="8"/>
      <name val="Times New Roman"/>
      <family val="1"/>
    </font>
    <font>
      <sz val="12"/>
      <name val="Arial"/>
      <family val="2"/>
    </font>
    <font>
      <vertAlign val="superscript"/>
      <sz val="9"/>
      <color theme="1"/>
      <name val="Times New Roman"/>
      <family val="1"/>
    </font>
    <font>
      <sz val="9"/>
      <color theme="1"/>
      <name val="Times New Roman"/>
      <family val="1"/>
    </font>
    <font>
      <b/>
      <sz val="11"/>
      <color theme="1"/>
      <name val="Calibri"/>
      <family val="2"/>
      <scheme val="minor"/>
    </font>
    <font>
      <strike/>
      <sz val="11"/>
      <color rgb="FFFF0000"/>
      <name val="Calibri"/>
      <family val="2"/>
      <scheme val="minor"/>
    </font>
    <font>
      <b/>
      <vertAlign val="superscript"/>
      <sz val="8"/>
      <color rgb="FF000000"/>
      <name val="Times New Roman"/>
      <family val="1"/>
    </font>
    <font>
      <b/>
      <vertAlign val="superscript"/>
      <sz val="8"/>
      <name val="Times New Roman"/>
      <family val="1"/>
    </font>
    <font>
      <sz val="10"/>
      <color theme="1"/>
      <name val="Calibri"/>
      <family val="2"/>
      <scheme val="minor"/>
    </font>
    <font>
      <b/>
      <sz val="10"/>
      <color theme="1"/>
      <name val="Calibri"/>
      <family val="2"/>
      <scheme val="minor"/>
    </font>
    <font>
      <b/>
      <u/>
      <sz val="10"/>
      <color theme="1"/>
      <name val="Calibri"/>
      <family val="2"/>
      <scheme val="minor"/>
    </font>
    <font>
      <i/>
      <sz val="10"/>
      <color theme="1"/>
      <name val="Calibri"/>
      <family val="2"/>
      <scheme val="minor"/>
    </font>
    <font>
      <sz val="9"/>
      <name val="Calibri"/>
      <family val="2"/>
      <scheme val="minor"/>
    </font>
    <font>
      <sz val="9"/>
      <color theme="1"/>
      <name val="Calibri"/>
      <family val="2"/>
      <scheme val="minor"/>
    </font>
    <font>
      <sz val="9"/>
      <color rgb="FFFF0000"/>
      <name val="Calibri"/>
      <family val="2"/>
      <scheme val="minor"/>
    </font>
    <font>
      <b/>
      <sz val="9"/>
      <name val="Calibri"/>
      <family val="2"/>
      <scheme val="minor"/>
    </font>
    <font>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
      <b/>
      <sz val="9"/>
      <color theme="1"/>
      <name val="Calibri"/>
      <family val="2"/>
      <scheme val="minor"/>
    </font>
    <font>
      <u/>
      <sz val="11"/>
      <color theme="10"/>
      <name val="Calibri"/>
      <family val="2"/>
      <scheme val="minor"/>
    </font>
    <font>
      <sz val="9"/>
      <color rgb="FF000000"/>
      <name val="Calibri"/>
      <family val="2"/>
    </font>
    <font>
      <b/>
      <sz val="10"/>
      <color rgb="FFFF0000"/>
      <name val="Calibri"/>
      <family val="2"/>
      <scheme val="minor"/>
    </font>
    <font>
      <sz val="12"/>
      <color rgb="FF000000"/>
      <name val="Times New Roman"/>
      <family val="1"/>
    </font>
    <font>
      <b/>
      <sz val="12"/>
      <color rgb="FF000000"/>
      <name val="Times New Roman"/>
      <family val="1"/>
    </font>
    <font>
      <vertAlign val="superscript"/>
      <sz val="10"/>
      <color rgb="FF000000"/>
      <name val="Times New Roman"/>
      <family val="1"/>
    </font>
    <font>
      <vertAlign val="superscript"/>
      <sz val="10"/>
      <color theme="1"/>
      <name val="Times New Roman"/>
      <family val="1"/>
    </font>
    <font>
      <b/>
      <vertAlign val="superscript"/>
      <sz val="12"/>
      <color rgb="FF000000"/>
      <name val="Times New Roman"/>
      <family val="1"/>
    </font>
    <font>
      <sz val="12"/>
      <color theme="1"/>
      <name val="Times New Roman"/>
      <family val="1"/>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medium">
        <color rgb="FFFFFFFF"/>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42" fillId="0" borderId="0" applyNumberFormat="0" applyFill="0" applyBorder="0" applyAlignment="0" applyProtection="0"/>
  </cellStyleXfs>
  <cellXfs count="197">
    <xf numFmtId="0" fontId="0" fillId="0" borderId="0" xfId="0"/>
    <xf numFmtId="0" fontId="6" fillId="0" borderId="1" xfId="0" applyFont="1" applyBorder="1" applyAlignment="1">
      <alignment horizontal="center" vertical="center" wrapText="1"/>
    </xf>
    <xf numFmtId="0" fontId="3" fillId="0" borderId="1" xfId="0" applyFont="1" applyBorder="1" applyAlignment="1">
      <alignment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0" fontId="8" fillId="0" borderId="1" xfId="0" applyFont="1" applyBorder="1" applyAlignment="1">
      <alignment vertical="top"/>
    </xf>
    <xf numFmtId="0" fontId="5" fillId="0" borderId="5" xfId="0" applyFont="1" applyBorder="1" applyAlignment="1">
      <alignment horizontal="left" vertical="center"/>
    </xf>
    <xf numFmtId="2" fontId="3" fillId="0" borderId="1" xfId="0" applyNumberFormat="1" applyFont="1" applyBorder="1" applyAlignment="1">
      <alignment horizontal="center" vertical="top"/>
    </xf>
    <xf numFmtId="0" fontId="1" fillId="0" borderId="6" xfId="0" applyFont="1" applyFill="1" applyBorder="1" applyAlignment="1">
      <alignment horizontal="left" vertical="center"/>
    </xf>
    <xf numFmtId="165" fontId="3" fillId="0" borderId="1" xfId="0" applyNumberFormat="1" applyFont="1" applyBorder="1" applyAlignment="1">
      <alignment horizontal="center" vertical="top"/>
    </xf>
    <xf numFmtId="0" fontId="3" fillId="0" borderId="1" xfId="0" applyFont="1" applyBorder="1" applyAlignment="1">
      <alignment vertical="top"/>
    </xf>
    <xf numFmtId="0" fontId="10" fillId="0" borderId="0" xfId="0" applyFont="1"/>
    <xf numFmtId="0" fontId="12" fillId="0" borderId="0" xfId="0" applyFont="1"/>
    <xf numFmtId="0" fontId="1" fillId="0" borderId="0" xfId="0" applyFont="1" applyFill="1" applyBorder="1" applyAlignment="1">
      <alignment horizontal="left" vertical="center"/>
    </xf>
    <xf numFmtId="0" fontId="9" fillId="0" borderId="0" xfId="0" applyFont="1" applyBorder="1" applyAlignment="1">
      <alignment horizontal="center" vertical="center"/>
    </xf>
    <xf numFmtId="3" fontId="9" fillId="0" borderId="0" xfId="0" applyNumberFormat="1" applyFont="1" applyBorder="1" applyAlignment="1">
      <alignment horizontal="center" vertical="center"/>
    </xf>
    <xf numFmtId="165" fontId="9" fillId="0" borderId="0" xfId="0" applyNumberFormat="1" applyFont="1" applyBorder="1" applyAlignment="1">
      <alignment horizontal="center" vertical="center"/>
    </xf>
    <xf numFmtId="166"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11" fillId="0" borderId="1" xfId="0" applyFont="1" applyBorder="1" applyAlignment="1">
      <alignment horizontal="center" vertical="center" wrapText="1"/>
    </xf>
    <xf numFmtId="0" fontId="15" fillId="0" borderId="1" xfId="0" applyFont="1" applyBorder="1" applyAlignment="1">
      <alignment vertical="top"/>
    </xf>
    <xf numFmtId="0" fontId="16" fillId="0" borderId="1" xfId="0" applyFont="1" applyBorder="1" applyAlignment="1">
      <alignment horizontal="right" vertical="top"/>
    </xf>
    <xf numFmtId="0" fontId="15" fillId="0" borderId="1" xfId="0" applyFont="1" applyBorder="1" applyAlignment="1">
      <alignment horizontal="center" vertical="top"/>
    </xf>
    <xf numFmtId="3" fontId="15" fillId="0" borderId="1" xfId="0" applyNumberFormat="1" applyFont="1" applyFill="1" applyBorder="1" applyAlignment="1">
      <alignment horizontal="center" vertical="top"/>
    </xf>
    <xf numFmtId="4" fontId="15" fillId="0" borderId="1" xfId="0" applyNumberFormat="1" applyFont="1" applyFill="1" applyBorder="1" applyAlignment="1">
      <alignment horizontal="center" vertical="top"/>
    </xf>
    <xf numFmtId="0" fontId="15" fillId="0" borderId="1" xfId="0" applyFont="1" applyFill="1" applyBorder="1" applyAlignment="1">
      <alignment horizontal="center" vertical="top"/>
    </xf>
    <xf numFmtId="0" fontId="18" fillId="0" borderId="6" xfId="0" applyFont="1" applyFill="1" applyBorder="1" applyAlignment="1">
      <alignment vertical="top"/>
    </xf>
    <xf numFmtId="6" fontId="18" fillId="0" borderId="6" xfId="0" applyNumberFormat="1" applyFont="1" applyBorder="1"/>
    <xf numFmtId="0" fontId="14" fillId="0" borderId="0" xfId="0" applyFont="1" applyFill="1"/>
    <xf numFmtId="1" fontId="15" fillId="0" borderId="1" xfId="0" applyNumberFormat="1" applyFont="1" applyFill="1" applyBorder="1" applyAlignment="1">
      <alignment horizontal="center" vertical="top"/>
    </xf>
    <xf numFmtId="164" fontId="15" fillId="0" borderId="1" xfId="0" applyNumberFormat="1" applyFont="1" applyFill="1" applyBorder="1" applyAlignment="1">
      <alignment horizontal="center" vertical="top"/>
    </xf>
    <xf numFmtId="2" fontId="15" fillId="0" borderId="1" xfId="0" applyNumberFormat="1" applyFont="1" applyFill="1" applyBorder="1" applyAlignment="1">
      <alignment horizontal="center" vertical="top"/>
    </xf>
    <xf numFmtId="0" fontId="20" fillId="0" borderId="1" xfId="0" applyFont="1" applyFill="1" applyBorder="1" applyAlignment="1">
      <alignment vertical="top"/>
    </xf>
    <xf numFmtId="167" fontId="15" fillId="0" borderId="1" xfId="0" applyNumberFormat="1" applyFont="1" applyFill="1" applyBorder="1" applyAlignment="1">
      <alignment horizontal="center" vertical="top"/>
    </xf>
    <xf numFmtId="0" fontId="4" fillId="0" borderId="0" xfId="0" applyFont="1" applyAlignment="1">
      <alignment vertical="center"/>
    </xf>
    <xf numFmtId="165" fontId="8" fillId="0" borderId="1" xfId="0" applyNumberFormat="1" applyFont="1" applyBorder="1" applyAlignment="1">
      <alignment horizontal="center" vertical="top"/>
    </xf>
    <xf numFmtId="0" fontId="21" fillId="0" borderId="8" xfId="0" applyFont="1" applyFill="1" applyBorder="1" applyAlignment="1">
      <alignment vertical="top"/>
    </xf>
    <xf numFmtId="3" fontId="20" fillId="0" borderId="1" xfId="0" applyNumberFormat="1" applyFont="1" applyFill="1" applyBorder="1" applyAlignment="1">
      <alignment horizontal="center" vertical="top"/>
    </xf>
    <xf numFmtId="165" fontId="15" fillId="0" borderId="1" xfId="0" applyNumberFormat="1" applyFont="1" applyFill="1" applyBorder="1" applyAlignment="1">
      <alignment horizontal="center" vertical="top"/>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Fill="1" applyBorder="1" applyAlignment="1">
      <alignment vertical="top"/>
    </xf>
    <xf numFmtId="0" fontId="22" fillId="0" borderId="1" xfId="0" applyFont="1" applyFill="1" applyBorder="1" applyAlignment="1">
      <alignment horizontal="right" vertical="top"/>
    </xf>
    <xf numFmtId="0" fontId="9" fillId="0" borderId="1" xfId="0" applyFont="1" applyBorder="1" applyAlignment="1">
      <alignment horizontal="center" vertical="center"/>
    </xf>
    <xf numFmtId="0" fontId="15" fillId="0" borderId="0" xfId="0" applyFont="1" applyFill="1"/>
    <xf numFmtId="0" fontId="23" fillId="0" borderId="0" xfId="0" applyFont="1"/>
    <xf numFmtId="0" fontId="26" fillId="0" borderId="0" xfId="0" applyFont="1"/>
    <xf numFmtId="0" fontId="15" fillId="0" borderId="0" xfId="0" applyFont="1" applyAlignment="1">
      <alignment vertical="center"/>
    </xf>
    <xf numFmtId="0" fontId="3" fillId="0" borderId="1" xfId="0" applyFont="1" applyFill="1" applyBorder="1" applyAlignment="1">
      <alignment horizontal="center" vertical="top"/>
    </xf>
    <xf numFmtId="165" fontId="18" fillId="0" borderId="1" xfId="0" applyNumberFormat="1" applyFont="1" applyFill="1" applyBorder="1" applyAlignment="1">
      <alignment horizontal="center" vertical="top"/>
    </xf>
    <xf numFmtId="165" fontId="1" fillId="0" borderId="1" xfId="0" applyNumberFormat="1" applyFont="1" applyBorder="1" applyAlignment="1">
      <alignment horizontal="center" vertical="center"/>
    </xf>
    <xf numFmtId="0" fontId="15" fillId="0" borderId="1" xfId="0" applyFont="1" applyFill="1" applyBorder="1" applyAlignment="1">
      <alignment vertical="top" wrapText="1"/>
    </xf>
    <xf numFmtId="165" fontId="18" fillId="0" borderId="8" xfId="0" applyNumberFormat="1" applyFont="1" applyFill="1" applyBorder="1" applyAlignment="1">
      <alignment horizontal="center" vertical="top"/>
    </xf>
    <xf numFmtId="166" fontId="15" fillId="0" borderId="1" xfId="0" applyNumberFormat="1" applyFont="1" applyFill="1" applyBorder="1" applyAlignment="1">
      <alignment horizontal="center" vertical="top"/>
    </xf>
    <xf numFmtId="165" fontId="20" fillId="0" borderId="1" xfId="0" applyNumberFormat="1" applyFont="1" applyFill="1" applyBorder="1" applyAlignment="1">
      <alignment horizontal="center" vertical="top"/>
    </xf>
    <xf numFmtId="165" fontId="18" fillId="0" borderId="6" xfId="0" applyNumberFormat="1" applyFont="1" applyFill="1" applyBorder="1" applyAlignment="1">
      <alignment horizontal="center"/>
    </xf>
    <xf numFmtId="3" fontId="15" fillId="0" borderId="1" xfId="0" applyNumberFormat="1" applyFont="1" applyBorder="1" applyAlignment="1">
      <alignment horizontal="center" vertical="top"/>
    </xf>
    <xf numFmtId="0" fontId="9"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25" fillId="0" borderId="0" xfId="0" applyFont="1"/>
    <xf numFmtId="0" fontId="0" fillId="0" borderId="1" xfId="0" applyBorder="1"/>
    <xf numFmtId="0" fontId="29" fillId="0" borderId="1"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xf>
    <xf numFmtId="0" fontId="29" fillId="0" borderId="1" xfId="0" applyFont="1" applyBorder="1" applyAlignment="1">
      <alignment vertical="center"/>
    </xf>
    <xf numFmtId="2" fontId="29" fillId="0" borderId="1" xfId="0" applyNumberFormat="1" applyFont="1" applyBorder="1" applyAlignment="1">
      <alignment vertical="center"/>
    </xf>
    <xf numFmtId="1" fontId="29" fillId="0" borderId="1" xfId="0" applyNumberFormat="1" applyFont="1" applyBorder="1" applyAlignment="1">
      <alignment vertical="center"/>
    </xf>
    <xf numFmtId="0" fontId="29" fillId="0" borderId="1" xfId="0" applyFont="1" applyBorder="1" applyAlignment="1">
      <alignment vertical="center" wrapText="1"/>
    </xf>
    <xf numFmtId="0" fontId="29" fillId="0" borderId="0" xfId="0" applyFont="1" applyAlignment="1">
      <alignment vertical="center"/>
    </xf>
    <xf numFmtId="0" fontId="32" fillId="0" borderId="1" xfId="0" applyFont="1" applyBorder="1" applyAlignment="1">
      <alignment horizontal="center" vertical="center"/>
    </xf>
    <xf numFmtId="0" fontId="29" fillId="0" borderId="0" xfId="0" applyFont="1" applyAlignment="1">
      <alignment horizontal="center"/>
    </xf>
    <xf numFmtId="0" fontId="29" fillId="0" borderId="0" xfId="0" applyFont="1"/>
    <xf numFmtId="0" fontId="10" fillId="0" borderId="0" xfId="0" applyFont="1" applyFill="1"/>
    <xf numFmtId="164" fontId="3" fillId="0" borderId="1" xfId="0" applyNumberFormat="1" applyFont="1" applyFill="1" applyBorder="1" applyAlignment="1">
      <alignment horizontal="center" vertical="top"/>
    </xf>
    <xf numFmtId="0" fontId="0" fillId="0" borderId="0" xfId="0" applyFill="1"/>
    <xf numFmtId="0" fontId="3" fillId="0" borderId="1" xfId="0" applyFont="1" applyFill="1" applyBorder="1" applyAlignment="1">
      <alignment vertical="top"/>
    </xf>
    <xf numFmtId="3" fontId="3" fillId="0" borderId="1" xfId="0" applyNumberFormat="1" applyFont="1" applyFill="1" applyBorder="1" applyAlignment="1">
      <alignment horizontal="center" vertical="top"/>
    </xf>
    <xf numFmtId="167" fontId="3" fillId="0" borderId="1" xfId="0" applyNumberFormat="1" applyFont="1" applyFill="1" applyBorder="1" applyAlignment="1">
      <alignment horizontal="center" vertical="top"/>
    </xf>
    <xf numFmtId="165"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2"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indent="1"/>
    </xf>
    <xf numFmtId="0" fontId="17" fillId="0" borderId="0" xfId="0" applyFont="1" applyAlignment="1">
      <alignment vertical="center"/>
    </xf>
    <xf numFmtId="0" fontId="15" fillId="0" borderId="1" xfId="0" applyFont="1" applyFill="1" applyBorder="1" applyAlignment="1">
      <alignment horizontal="left" vertical="top" indent="2"/>
    </xf>
    <xf numFmtId="0" fontId="33" fillId="0" borderId="0" xfId="0" applyFont="1" applyFill="1"/>
    <xf numFmtId="0" fontId="34" fillId="0" borderId="0" xfId="0" applyFont="1"/>
    <xf numFmtId="164" fontId="33" fillId="0" borderId="0" xfId="0" applyNumberFormat="1" applyFont="1" applyFill="1"/>
    <xf numFmtId="0" fontId="9" fillId="0" borderId="7" xfId="0" applyFont="1" applyFill="1" applyBorder="1" applyAlignment="1">
      <alignment horizontal="center" vertical="center" wrapText="1"/>
    </xf>
    <xf numFmtId="0" fontId="34" fillId="0" borderId="0" xfId="0" applyFont="1" applyFill="1"/>
    <xf numFmtId="0" fontId="18" fillId="0" borderId="1" xfId="0" applyFont="1" applyFill="1" applyBorder="1" applyAlignment="1">
      <alignment horizontal="center" vertical="center" wrapText="1"/>
    </xf>
    <xf numFmtId="0" fontId="18" fillId="0" borderId="5" xfId="0" applyFont="1" applyFill="1" applyBorder="1" applyAlignment="1">
      <alignment vertical="top"/>
    </xf>
    <xf numFmtId="0" fontId="16" fillId="0" borderId="5" xfId="0" applyFont="1" applyFill="1" applyBorder="1" applyAlignment="1">
      <alignment horizontal="right" vertical="top"/>
    </xf>
    <xf numFmtId="0" fontId="18" fillId="0" borderId="8" xfId="0" applyFont="1" applyFill="1" applyBorder="1" applyAlignment="1">
      <alignment vertical="top"/>
    </xf>
    <xf numFmtId="0" fontId="16" fillId="0" borderId="8" xfId="0" applyFont="1" applyFill="1" applyBorder="1" applyAlignment="1">
      <alignment horizontal="right" vertical="top"/>
    </xf>
    <xf numFmtId="0" fontId="36" fillId="0" borderId="6" xfId="0" applyFont="1" applyFill="1" applyBorder="1"/>
    <xf numFmtId="0" fontId="18" fillId="0" borderId="0" xfId="0" applyFont="1" applyFill="1"/>
    <xf numFmtId="0" fontId="18" fillId="0" borderId="1" xfId="0" applyFont="1" applyFill="1" applyBorder="1" applyAlignment="1">
      <alignment vertical="top"/>
    </xf>
    <xf numFmtId="3" fontId="15" fillId="0" borderId="1" xfId="0" applyNumberFormat="1" applyFont="1" applyBorder="1" applyAlignment="1">
      <alignment horizontal="right" vertical="top"/>
    </xf>
    <xf numFmtId="8" fontId="15" fillId="0" borderId="1" xfId="0" applyNumberFormat="1" applyFont="1" applyFill="1" applyBorder="1" applyAlignment="1">
      <alignment horizontal="right" vertical="top"/>
    </xf>
    <xf numFmtId="6" fontId="15" fillId="0" borderId="1" xfId="0" applyNumberFormat="1" applyFont="1" applyFill="1" applyBorder="1" applyAlignment="1">
      <alignment horizontal="right" vertical="top"/>
    </xf>
    <xf numFmtId="0" fontId="33" fillId="0" borderId="0" xfId="0" applyFont="1"/>
    <xf numFmtId="46" fontId="33" fillId="0" borderId="0" xfId="0" quotePrefix="1" applyNumberFormat="1" applyFont="1" applyFill="1"/>
    <xf numFmtId="0" fontId="18" fillId="0" borderId="1" xfId="0" applyFont="1" applyBorder="1" applyAlignment="1">
      <alignment horizontal="center" vertical="center" wrapText="1"/>
    </xf>
    <xf numFmtId="0" fontId="33" fillId="0" borderId="0" xfId="0" applyFont="1" applyFill="1" applyAlignment="1">
      <alignment wrapText="1"/>
    </xf>
    <xf numFmtId="0" fontId="33" fillId="0" borderId="6" xfId="0" applyFont="1" applyBorder="1"/>
    <xf numFmtId="0" fontId="18" fillId="0" borderId="0" xfId="0" applyFont="1"/>
    <xf numFmtId="0" fontId="35" fillId="0" borderId="0" xfId="0" applyFont="1"/>
    <xf numFmtId="0" fontId="36" fillId="0" borderId="0" xfId="0" applyFont="1"/>
    <xf numFmtId="0" fontId="24" fillId="0" borderId="1" xfId="0" applyFont="1" applyBorder="1" applyAlignment="1">
      <alignment horizontal="center" vertical="center" wrapText="1"/>
    </xf>
    <xf numFmtId="0" fontId="0" fillId="0" borderId="1" xfId="0" applyBorder="1" applyAlignment="1">
      <alignment vertical="top" wrapText="1"/>
    </xf>
    <xf numFmtId="0" fontId="24"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37" fillId="0" borderId="0" xfId="0" applyFont="1"/>
    <xf numFmtId="0" fontId="37" fillId="0" borderId="0" xfId="0" applyFont="1" applyAlignment="1"/>
    <xf numFmtId="0" fontId="38" fillId="0" borderId="1" xfId="0" applyFont="1" applyBorder="1" applyAlignment="1">
      <alignment vertical="top"/>
    </xf>
    <xf numFmtId="0" fontId="38" fillId="0" borderId="1" xfId="0" applyFont="1" applyBorder="1" applyAlignment="1">
      <alignment horizontal="center" vertical="top"/>
    </xf>
    <xf numFmtId="0" fontId="38" fillId="0" borderId="1" xfId="0" applyFont="1" applyFill="1" applyBorder="1" applyAlignment="1">
      <alignment vertical="top"/>
    </xf>
    <xf numFmtId="0" fontId="39" fillId="0" borderId="1" xfId="0" applyFont="1" applyBorder="1" applyAlignment="1">
      <alignment vertical="top"/>
    </xf>
    <xf numFmtId="3" fontId="39" fillId="0" borderId="1" xfId="0" applyNumberFormat="1" applyFont="1" applyFill="1" applyBorder="1" applyAlignment="1">
      <alignment vertical="top"/>
    </xf>
    <xf numFmtId="3" fontId="39" fillId="0" borderId="1" xfId="0" applyNumberFormat="1" applyFont="1" applyBorder="1" applyAlignment="1">
      <alignment horizontal="center" vertical="top"/>
    </xf>
    <xf numFmtId="6" fontId="39" fillId="0" borderId="1" xfId="0" applyNumberFormat="1" applyFont="1" applyBorder="1" applyAlignment="1">
      <alignment horizontal="center" vertical="top"/>
    </xf>
    <xf numFmtId="3" fontId="37" fillId="0" borderId="1" xfId="0" applyNumberFormat="1" applyFont="1" applyBorder="1"/>
    <xf numFmtId="3" fontId="37" fillId="0" borderId="0" xfId="0" applyNumberFormat="1" applyFont="1"/>
    <xf numFmtId="3" fontId="38" fillId="0" borderId="1" xfId="0" applyNumberFormat="1" applyFont="1" applyBorder="1" applyAlignment="1">
      <alignment vertical="top"/>
    </xf>
    <xf numFmtId="3" fontId="38" fillId="0" borderId="1" xfId="0" applyNumberFormat="1" applyFont="1" applyBorder="1" applyAlignment="1">
      <alignment horizontal="center" vertical="top"/>
    </xf>
    <xf numFmtId="6" fontId="38" fillId="0" borderId="1" xfId="0" applyNumberFormat="1" applyFont="1" applyBorder="1" applyAlignment="1">
      <alignment horizontal="center" vertical="top"/>
    </xf>
    <xf numFmtId="3" fontId="37" fillId="0" borderId="0" xfId="0" applyNumberFormat="1" applyFont="1" applyAlignment="1"/>
    <xf numFmtId="1" fontId="37" fillId="0" borderId="0" xfId="0" applyNumberFormat="1" applyFont="1" applyAlignment="1"/>
    <xf numFmtId="0" fontId="40" fillId="0" borderId="0" xfId="0" applyFont="1"/>
    <xf numFmtId="0" fontId="6" fillId="0" borderId="0" xfId="0" applyFont="1"/>
    <xf numFmtId="3" fontId="6" fillId="0" borderId="1" xfId="0" applyNumberFormat="1" applyFont="1" applyBorder="1"/>
    <xf numFmtId="0" fontId="3" fillId="0" borderId="1" xfId="0" applyFont="1" applyFill="1" applyBorder="1" applyAlignment="1">
      <alignment vertical="top"/>
    </xf>
    <xf numFmtId="0" fontId="3" fillId="0" borderId="1" xfId="0" applyFont="1" applyBorder="1" applyAlignment="1">
      <alignment vertical="top"/>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15" fillId="0" borderId="1" xfId="0" applyFont="1" applyFill="1" applyBorder="1" applyAlignment="1">
      <alignment vertical="top"/>
    </xf>
    <xf numFmtId="0" fontId="41" fillId="0" borderId="0" xfId="0" applyFont="1" applyAlignment="1">
      <alignment horizontal="center" vertical="center"/>
    </xf>
    <xf numFmtId="17" fontId="0" fillId="0" borderId="0" xfId="0" quotePrefix="1" applyNumberFormat="1"/>
    <xf numFmtId="0" fontId="42" fillId="0" borderId="0" xfId="1"/>
    <xf numFmtId="0" fontId="38" fillId="0" borderId="0" xfId="0" applyFont="1" applyAlignment="1">
      <alignment horizontal="center" vertical="center" wrapText="1"/>
    </xf>
    <xf numFmtId="165" fontId="1" fillId="0" borderId="1" xfId="0" applyNumberFormat="1" applyFont="1" applyFill="1" applyBorder="1" applyAlignment="1">
      <alignment horizontal="center" vertical="center"/>
    </xf>
    <xf numFmtId="0" fontId="34" fillId="2" borderId="0" xfId="0" applyFont="1" applyFill="1"/>
    <xf numFmtId="0" fontId="33" fillId="2" borderId="0" xfId="0" applyFont="1" applyFill="1"/>
    <xf numFmtId="0" fontId="46" fillId="0" borderId="20" xfId="0" applyFont="1" applyBorder="1" applyAlignment="1">
      <alignment vertical="center" wrapText="1"/>
    </xf>
    <xf numFmtId="0" fontId="39" fillId="0" borderId="21" xfId="0" applyFont="1" applyBorder="1" applyAlignment="1">
      <alignment vertical="center" wrapText="1"/>
    </xf>
    <xf numFmtId="0" fontId="39" fillId="0" borderId="9" xfId="0" applyFont="1" applyBorder="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0" fontId="37" fillId="0" borderId="1" xfId="0" applyFont="1" applyBorder="1" applyAlignment="1">
      <alignment vertical="center" wrapText="1"/>
    </xf>
    <xf numFmtId="6"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46" fillId="0" borderId="22" xfId="0" applyFont="1" applyBorder="1" applyAlignment="1">
      <alignment vertical="center"/>
    </xf>
    <xf numFmtId="0" fontId="46" fillId="0" borderId="23" xfId="0" applyFont="1" applyBorder="1" applyAlignment="1">
      <alignment horizontal="center" vertical="center"/>
    </xf>
    <xf numFmtId="0" fontId="45" fillId="0" borderId="24" xfId="0" applyFont="1" applyBorder="1" applyAlignment="1">
      <alignment vertical="center"/>
    </xf>
    <xf numFmtId="8" fontId="45" fillId="0" borderId="25" xfId="0" applyNumberFormat="1" applyFont="1" applyBorder="1" applyAlignment="1">
      <alignment horizontal="center" vertical="center"/>
    </xf>
    <xf numFmtId="8" fontId="50" fillId="0" borderId="25" xfId="0" applyNumberFormat="1" applyFont="1" applyBorder="1" applyAlignment="1">
      <alignment horizontal="center" vertical="center"/>
    </xf>
    <xf numFmtId="0" fontId="42" fillId="0" borderId="0" xfId="1" applyAlignment="1">
      <alignment vertical="center"/>
    </xf>
    <xf numFmtId="0" fontId="45" fillId="0" borderId="0" xfId="0" applyFont="1" applyAlignment="1">
      <alignment vertical="center"/>
    </xf>
    <xf numFmtId="8" fontId="33" fillId="0" borderId="0" xfId="0" applyNumberFormat="1" applyFont="1"/>
    <xf numFmtId="0" fontId="23"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center"/>
    </xf>
    <xf numFmtId="0" fontId="24" fillId="0" borderId="0" xfId="0" applyFont="1" applyAlignment="1">
      <alignment vertical="center"/>
    </xf>
    <xf numFmtId="3" fontId="8" fillId="0" borderId="2" xfId="0" applyNumberFormat="1" applyFont="1" applyFill="1" applyBorder="1" applyAlignment="1">
      <alignment horizontal="center" vertical="top"/>
    </xf>
    <xf numFmtId="3" fontId="8" fillId="0" borderId="3" xfId="0" applyNumberFormat="1" applyFont="1" applyFill="1" applyBorder="1" applyAlignment="1">
      <alignment horizontal="center" vertical="top"/>
    </xf>
    <xf numFmtId="3" fontId="8" fillId="0" borderId="4" xfId="0" applyNumberFormat="1" applyFont="1" applyFill="1" applyBorder="1" applyAlignment="1">
      <alignment horizontal="center" vertical="top"/>
    </xf>
    <xf numFmtId="3" fontId="1" fillId="0" borderId="1" xfId="0" applyNumberFormat="1" applyFont="1" applyBorder="1" applyAlignment="1">
      <alignment horizontal="center" vertical="center"/>
    </xf>
    <xf numFmtId="0" fontId="3" fillId="0" borderId="1" xfId="0" applyFont="1" applyFill="1" applyBorder="1" applyAlignment="1">
      <alignment vertical="top"/>
    </xf>
    <xf numFmtId="0" fontId="3" fillId="0" borderId="1" xfId="0" applyFont="1" applyBorder="1" applyAlignment="1">
      <alignment vertical="top"/>
    </xf>
    <xf numFmtId="3" fontId="18" fillId="0" borderId="1" xfId="0" applyNumberFormat="1" applyFont="1" applyFill="1" applyBorder="1" applyAlignment="1">
      <alignment horizontal="center" vertical="top"/>
    </xf>
    <xf numFmtId="0" fontId="15" fillId="0" borderId="1" xfId="0" applyFont="1" applyFill="1" applyBorder="1" applyAlignment="1">
      <alignment vertical="top"/>
    </xf>
    <xf numFmtId="3" fontId="20" fillId="0" borderId="2" xfId="0" applyNumberFormat="1" applyFont="1" applyFill="1" applyBorder="1" applyAlignment="1">
      <alignment horizontal="center" vertical="top"/>
    </xf>
    <xf numFmtId="3" fontId="20" fillId="0" borderId="3" xfId="0" applyNumberFormat="1" applyFont="1" applyFill="1" applyBorder="1" applyAlignment="1">
      <alignment horizontal="center" vertical="top"/>
    </xf>
    <xf numFmtId="3" fontId="20" fillId="0" borderId="4" xfId="0" applyNumberFormat="1" applyFont="1" applyFill="1" applyBorder="1" applyAlignment="1">
      <alignment horizontal="center" vertical="top"/>
    </xf>
    <xf numFmtId="3" fontId="18" fillId="0" borderId="6" xfId="0" applyNumberFormat="1" applyFont="1" applyFill="1" applyBorder="1" applyAlignment="1">
      <alignment horizontal="center"/>
    </xf>
    <xf numFmtId="0" fontId="18" fillId="0" borderId="6" xfId="0" applyFont="1" applyFill="1" applyBorder="1" applyAlignment="1">
      <alignment horizontal="center"/>
    </xf>
    <xf numFmtId="3" fontId="18" fillId="0" borderId="5" xfId="0" applyNumberFormat="1" applyFont="1" applyFill="1" applyBorder="1" applyAlignment="1">
      <alignment horizontal="center" vertical="top"/>
    </xf>
    <xf numFmtId="3" fontId="18" fillId="0" borderId="7" xfId="0" applyNumberFormat="1" applyFont="1" applyFill="1" applyBorder="1" applyAlignment="1">
      <alignment horizontal="center" vertical="top"/>
    </xf>
    <xf numFmtId="3" fontId="18" fillId="0" borderId="0" xfId="0" applyNumberFormat="1" applyFont="1" applyFill="1" applyBorder="1" applyAlignment="1">
      <alignment horizontal="center" vertical="top"/>
    </xf>
    <xf numFmtId="3" fontId="18" fillId="0" borderId="9" xfId="0" applyNumberFormat="1" applyFont="1" applyFill="1" applyBorder="1" applyAlignment="1">
      <alignment horizontal="center" vertical="top"/>
    </xf>
    <xf numFmtId="0" fontId="45" fillId="0" borderId="14" xfId="0" applyFont="1" applyBorder="1" applyAlignment="1">
      <alignment vertical="center" wrapText="1"/>
    </xf>
    <xf numFmtId="0" fontId="45" fillId="0" borderId="15" xfId="0" applyFont="1" applyBorder="1" applyAlignment="1">
      <alignment vertical="center" wrapText="1"/>
    </xf>
    <xf numFmtId="0" fontId="45" fillId="0" borderId="16" xfId="0" applyFont="1" applyBorder="1" applyAlignment="1">
      <alignment vertical="center" wrapText="1"/>
    </xf>
    <xf numFmtId="0" fontId="46" fillId="0" borderId="17"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3" fontId="18" fillId="0" borderId="6" xfId="0" applyNumberFormat="1" applyFont="1" applyBorder="1" applyAlignment="1">
      <alignment horizontal="center"/>
    </xf>
    <xf numFmtId="0" fontId="3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s.gov/oes/current/naics4_331500.ht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ls.gov/oes/current/naics4_3315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pm.gov/policy-data-oversight/pay-leave/salaries-wages/salary-tables/pdf/2019/GS_h.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bls.gov/oes/current/naics4_331500.ht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ls.gov/oes/current/naics4_3315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
  <sheetViews>
    <sheetView tabSelected="1" zoomScaleNormal="100" workbookViewId="0">
      <selection activeCell="A55" sqref="A55"/>
    </sheetView>
  </sheetViews>
  <sheetFormatPr defaultRowHeight="15" x14ac:dyDescent="0.25"/>
  <cols>
    <col min="1" max="1" width="43.28515625" customWidth="1"/>
    <col min="2" max="3" width="11.42578125" customWidth="1"/>
    <col min="4" max="4" width="13" customWidth="1"/>
    <col min="5" max="5" width="13.85546875" customWidth="1"/>
    <col min="9" max="9" width="11.140625" bestFit="1" customWidth="1"/>
    <col min="10" max="10" width="21.140625" customWidth="1"/>
    <col min="11" max="11" width="24.42578125" style="92" customWidth="1"/>
    <col min="14" max="14" width="12.140625" customWidth="1"/>
  </cols>
  <sheetData>
    <row r="1" spans="1:16" x14ac:dyDescent="0.25">
      <c r="A1" t="s">
        <v>234</v>
      </c>
      <c r="M1" t="s">
        <v>102</v>
      </c>
    </row>
    <row r="2" spans="1:16" x14ac:dyDescent="0.25">
      <c r="M2" s="146" t="s">
        <v>103</v>
      </c>
      <c r="N2" s="147" t="s">
        <v>104</v>
      </c>
    </row>
    <row r="3" spans="1:16" x14ac:dyDescent="0.25">
      <c r="D3" s="79"/>
      <c r="E3" s="11"/>
      <c r="F3" s="11">
        <f>P6</f>
        <v>81.33</v>
      </c>
      <c r="G3" s="11">
        <f>P5</f>
        <v>123.71</v>
      </c>
      <c r="H3" s="11">
        <f>P7</f>
        <v>42.8</v>
      </c>
      <c r="J3" s="11"/>
    </row>
    <row r="4" spans="1:16" ht="78.75" customHeight="1" x14ac:dyDescent="0.25">
      <c r="A4" s="1" t="s">
        <v>0</v>
      </c>
      <c r="B4" s="1" t="s">
        <v>21</v>
      </c>
      <c r="C4" s="1" t="s">
        <v>22</v>
      </c>
      <c r="D4" s="1" t="s">
        <v>23</v>
      </c>
      <c r="E4" s="19" t="s">
        <v>39</v>
      </c>
      <c r="F4" s="1" t="s">
        <v>24</v>
      </c>
      <c r="G4" s="1" t="s">
        <v>25</v>
      </c>
      <c r="H4" s="1" t="s">
        <v>26</v>
      </c>
      <c r="I4" s="1" t="s">
        <v>27</v>
      </c>
      <c r="J4" s="94" t="s">
        <v>88</v>
      </c>
      <c r="K4" s="145" t="s">
        <v>101</v>
      </c>
      <c r="M4" s="148" t="s">
        <v>105</v>
      </c>
      <c r="N4" s="148" t="s">
        <v>106</v>
      </c>
      <c r="O4" s="148" t="s">
        <v>107</v>
      </c>
      <c r="P4" s="148" t="s">
        <v>108</v>
      </c>
    </row>
    <row r="5" spans="1:16" x14ac:dyDescent="0.25">
      <c r="A5" s="2" t="s">
        <v>1</v>
      </c>
      <c r="B5" s="3" t="s">
        <v>2</v>
      </c>
      <c r="C5" s="3"/>
      <c r="D5" s="3"/>
      <c r="E5" s="3"/>
      <c r="F5" s="3"/>
      <c r="G5" s="3"/>
      <c r="H5" s="3"/>
      <c r="I5" s="3" t="s">
        <v>3</v>
      </c>
      <c r="J5" s="92"/>
      <c r="K5" s="150" t="s">
        <v>121</v>
      </c>
      <c r="M5" t="s">
        <v>109</v>
      </c>
      <c r="N5" t="s">
        <v>110</v>
      </c>
      <c r="O5">
        <v>58.91</v>
      </c>
      <c r="P5">
        <f>ROUND(O5*2.1,2)</f>
        <v>123.71</v>
      </c>
    </row>
    <row r="6" spans="1:16" x14ac:dyDescent="0.25">
      <c r="A6" s="2" t="s">
        <v>4</v>
      </c>
      <c r="B6" s="3" t="s">
        <v>2</v>
      </c>
      <c r="C6" s="3"/>
      <c r="D6" s="3"/>
      <c r="E6" s="3"/>
      <c r="F6" s="3"/>
      <c r="G6" s="3"/>
      <c r="H6" s="3"/>
      <c r="I6" s="3" t="s">
        <v>3</v>
      </c>
      <c r="J6" s="92"/>
      <c r="M6" t="s">
        <v>111</v>
      </c>
      <c r="N6" t="s">
        <v>112</v>
      </c>
      <c r="O6">
        <v>38.729999999999997</v>
      </c>
      <c r="P6">
        <f t="shared" ref="P6:P7" si="0">ROUND(O6*2.1,2)</f>
        <v>81.33</v>
      </c>
    </row>
    <row r="7" spans="1:16" x14ac:dyDescent="0.25">
      <c r="A7" s="2" t="s">
        <v>5</v>
      </c>
      <c r="B7" s="3" t="s">
        <v>2</v>
      </c>
      <c r="C7" s="3"/>
      <c r="D7" s="3"/>
      <c r="E7" s="3"/>
      <c r="F7" s="3"/>
      <c r="G7" s="3"/>
      <c r="H7" s="3"/>
      <c r="I7" s="3" t="s">
        <v>3</v>
      </c>
      <c r="J7" s="92"/>
      <c r="M7" t="s">
        <v>113</v>
      </c>
      <c r="N7" t="s">
        <v>114</v>
      </c>
      <c r="O7">
        <v>20.38</v>
      </c>
      <c r="P7">
        <f t="shared" si="0"/>
        <v>42.8</v>
      </c>
    </row>
    <row r="8" spans="1:16" s="81" customFormat="1" ht="24" customHeight="1" x14ac:dyDescent="0.25">
      <c r="A8" s="176" t="s">
        <v>6</v>
      </c>
      <c r="B8" s="176"/>
      <c r="C8" s="48"/>
      <c r="D8" s="48"/>
      <c r="E8" s="48"/>
      <c r="F8" s="48"/>
      <c r="G8" s="48"/>
      <c r="H8" s="48"/>
      <c r="I8" s="80" t="s">
        <v>3</v>
      </c>
      <c r="J8" s="95"/>
    </row>
    <row r="9" spans="1:16" s="81" customFormat="1" x14ac:dyDescent="0.25">
      <c r="A9" s="82" t="s">
        <v>54</v>
      </c>
      <c r="B9" s="48">
        <v>0.5</v>
      </c>
      <c r="C9" s="48">
        <v>1</v>
      </c>
      <c r="D9" s="48">
        <f>B9*C9</f>
        <v>0.5</v>
      </c>
      <c r="E9" s="48">
        <f>'Working Respondent'!$F$4</f>
        <v>315</v>
      </c>
      <c r="F9" s="83">
        <f>D9*E9</f>
        <v>157.5</v>
      </c>
      <c r="G9" s="84">
        <f>F9*0.05</f>
        <v>7.875</v>
      </c>
      <c r="H9" s="84">
        <f>F9*0.1</f>
        <v>15.75</v>
      </c>
      <c r="I9" s="85">
        <f>F9*F$3+G9*G$3+H9*H$3</f>
        <v>14457.79125</v>
      </c>
      <c r="J9" s="95" t="s">
        <v>89</v>
      </c>
      <c r="K9" s="150" t="s">
        <v>115</v>
      </c>
    </row>
    <row r="10" spans="1:16" s="81" customFormat="1" x14ac:dyDescent="0.25">
      <c r="A10" s="176" t="s">
        <v>7</v>
      </c>
      <c r="B10" s="176"/>
      <c r="C10" s="48"/>
      <c r="D10" s="48"/>
      <c r="E10" s="48"/>
      <c r="F10" s="48"/>
      <c r="G10" s="86"/>
      <c r="H10" s="86"/>
      <c r="I10" s="80" t="s">
        <v>3</v>
      </c>
      <c r="J10" s="95"/>
      <c r="K10" s="95"/>
    </row>
    <row r="11" spans="1:16" s="81" customFormat="1" x14ac:dyDescent="0.25">
      <c r="A11" s="82" t="s">
        <v>119</v>
      </c>
      <c r="B11" s="48" t="s">
        <v>2</v>
      </c>
      <c r="C11" s="48"/>
      <c r="D11" s="48"/>
      <c r="E11" s="48"/>
      <c r="F11" s="48"/>
      <c r="G11" s="87"/>
      <c r="H11" s="87"/>
      <c r="I11" s="80"/>
      <c r="J11" s="95"/>
      <c r="K11" s="150" t="s">
        <v>116</v>
      </c>
    </row>
    <row r="12" spans="1:16" s="81" customFormat="1" x14ac:dyDescent="0.25">
      <c r="A12" s="82" t="s">
        <v>122</v>
      </c>
      <c r="B12" s="48">
        <v>4</v>
      </c>
      <c r="C12" s="48">
        <v>1</v>
      </c>
      <c r="D12" s="48">
        <f>B12*C12</f>
        <v>4</v>
      </c>
      <c r="E12" s="48">
        <v>0</v>
      </c>
      <c r="F12" s="48">
        <f t="shared" ref="F12:F14" si="1">D12*E12</f>
        <v>0</v>
      </c>
      <c r="G12" s="86">
        <f t="shared" ref="G12:G14" si="2">F12*0.05</f>
        <v>0</v>
      </c>
      <c r="H12" s="86">
        <f t="shared" ref="H12:H14" si="3">F12*0.1</f>
        <v>0</v>
      </c>
      <c r="I12" s="85">
        <f t="shared" ref="I12:I14" si="4">F12*F$3+G12*G$3+H12*H$3</f>
        <v>0</v>
      </c>
      <c r="J12" s="95"/>
      <c r="K12" s="95"/>
    </row>
    <row r="13" spans="1:16" s="81" customFormat="1" x14ac:dyDescent="0.25">
      <c r="A13" s="82" t="s">
        <v>56</v>
      </c>
      <c r="B13" s="48" t="s">
        <v>2</v>
      </c>
      <c r="C13" s="48"/>
      <c r="D13" s="48"/>
      <c r="E13" s="48"/>
      <c r="F13" s="48"/>
      <c r="G13" s="87"/>
      <c r="H13" s="87"/>
      <c r="I13" s="80"/>
      <c r="J13" s="95" t="s">
        <v>55</v>
      </c>
      <c r="K13" s="150" t="s">
        <v>116</v>
      </c>
    </row>
    <row r="14" spans="1:16" s="81" customFormat="1" x14ac:dyDescent="0.25">
      <c r="A14" s="82" t="s">
        <v>123</v>
      </c>
      <c r="B14" s="48">
        <v>0</v>
      </c>
      <c r="C14" s="48">
        <v>0</v>
      </c>
      <c r="D14" s="48">
        <f>B14*C14</f>
        <v>0</v>
      </c>
      <c r="E14" s="48">
        <v>0</v>
      </c>
      <c r="F14" s="48">
        <f t="shared" si="1"/>
        <v>0</v>
      </c>
      <c r="G14" s="48">
        <f t="shared" si="2"/>
        <v>0</v>
      </c>
      <c r="H14" s="48">
        <f t="shared" si="3"/>
        <v>0</v>
      </c>
      <c r="I14" s="85">
        <f t="shared" si="4"/>
        <v>0</v>
      </c>
      <c r="J14" s="95"/>
    </row>
    <row r="15" spans="1:16" s="81" customFormat="1" x14ac:dyDescent="0.25">
      <c r="A15" s="82" t="s">
        <v>8</v>
      </c>
      <c r="B15" s="48" t="s">
        <v>9</v>
      </c>
      <c r="C15" s="48"/>
      <c r="D15" s="48"/>
      <c r="E15" s="48"/>
      <c r="F15" s="48"/>
      <c r="G15" s="48"/>
      <c r="H15" s="48"/>
      <c r="I15" s="80" t="s">
        <v>3</v>
      </c>
      <c r="J15" s="95"/>
    </row>
    <row r="16" spans="1:16" x14ac:dyDescent="0.25">
      <c r="A16" s="2" t="s">
        <v>10</v>
      </c>
      <c r="B16" s="3" t="s">
        <v>9</v>
      </c>
      <c r="C16" s="3"/>
      <c r="D16" s="3"/>
      <c r="E16" s="3"/>
      <c r="F16" s="3"/>
      <c r="G16" s="3"/>
      <c r="H16" s="3"/>
      <c r="I16" s="4" t="s">
        <v>3</v>
      </c>
      <c r="J16" s="92"/>
    </row>
    <row r="17" spans="1:11" x14ac:dyDescent="0.25">
      <c r="A17" s="2" t="s">
        <v>11</v>
      </c>
      <c r="B17" s="3" t="s">
        <v>9</v>
      </c>
      <c r="C17" s="3"/>
      <c r="D17" s="3"/>
      <c r="E17" s="3"/>
      <c r="F17" s="3"/>
      <c r="G17" s="3"/>
      <c r="H17" s="3"/>
      <c r="I17" s="4" t="s">
        <v>3</v>
      </c>
      <c r="J17" s="92"/>
    </row>
    <row r="18" spans="1:11" x14ac:dyDescent="0.25">
      <c r="A18" s="10" t="s">
        <v>125</v>
      </c>
      <c r="B18" s="3">
        <v>2</v>
      </c>
      <c r="C18" s="3">
        <v>1</v>
      </c>
      <c r="D18" s="3">
        <f t="shared" ref="D18:D19" si="5">B18*C18</f>
        <v>2</v>
      </c>
      <c r="E18" s="3">
        <v>0</v>
      </c>
      <c r="F18" s="3">
        <f t="shared" ref="F18:F19" si="6">D18*E18</f>
        <v>0</v>
      </c>
      <c r="G18" s="3">
        <f t="shared" ref="G18:G19" si="7">F18*0.05</f>
        <v>0</v>
      </c>
      <c r="H18" s="3">
        <f t="shared" ref="H18:H19" si="8">F18*0.1</f>
        <v>0</v>
      </c>
      <c r="I18" s="9">
        <f t="shared" ref="I18:I19" si="9">F18*F$3+G18*G$3+H18*H$3</f>
        <v>0</v>
      </c>
      <c r="J18" s="92"/>
    </row>
    <row r="19" spans="1:11" x14ac:dyDescent="0.25">
      <c r="A19" s="2" t="s">
        <v>126</v>
      </c>
      <c r="B19" s="3">
        <v>4</v>
      </c>
      <c r="C19" s="3">
        <v>1</v>
      </c>
      <c r="D19" s="3">
        <f t="shared" si="5"/>
        <v>4</v>
      </c>
      <c r="E19" s="3">
        <v>0</v>
      </c>
      <c r="F19" s="3">
        <f t="shared" si="6"/>
        <v>0</v>
      </c>
      <c r="G19" s="18">
        <f t="shared" si="7"/>
        <v>0</v>
      </c>
      <c r="H19" s="18">
        <f t="shared" si="8"/>
        <v>0</v>
      </c>
      <c r="I19" s="9">
        <f t="shared" si="9"/>
        <v>0</v>
      </c>
      <c r="J19" s="92"/>
    </row>
    <row r="20" spans="1:11" s="81" customFormat="1" x14ac:dyDescent="0.25">
      <c r="A20" s="82" t="s">
        <v>127</v>
      </c>
      <c r="B20" s="48" t="s">
        <v>2</v>
      </c>
      <c r="C20" s="48"/>
      <c r="D20" s="48"/>
      <c r="E20" s="48"/>
      <c r="F20" s="48"/>
      <c r="G20" s="48"/>
      <c r="H20" s="48"/>
      <c r="I20" s="80" t="s">
        <v>3</v>
      </c>
      <c r="J20" s="95" t="s">
        <v>58</v>
      </c>
    </row>
    <row r="21" spans="1:11" s="81" customFormat="1" x14ac:dyDescent="0.25">
      <c r="A21" s="82" t="s">
        <v>128</v>
      </c>
      <c r="B21" s="48" t="s">
        <v>2</v>
      </c>
      <c r="C21" s="48"/>
      <c r="D21" s="48"/>
      <c r="E21" s="48"/>
      <c r="F21" s="48"/>
      <c r="G21" s="48"/>
      <c r="H21" s="48"/>
      <c r="I21" s="80" t="s">
        <v>3</v>
      </c>
      <c r="J21" s="95" t="s">
        <v>58</v>
      </c>
    </row>
    <row r="22" spans="1:11" s="81" customFormat="1" x14ac:dyDescent="0.25">
      <c r="A22" s="82" t="s">
        <v>135</v>
      </c>
      <c r="B22" s="48">
        <v>1</v>
      </c>
      <c r="C22" s="48">
        <v>0</v>
      </c>
      <c r="D22" s="48">
        <f t="shared" ref="D22" si="10">B22*C22</f>
        <v>0</v>
      </c>
      <c r="E22" s="48">
        <v>0</v>
      </c>
      <c r="F22" s="48">
        <f t="shared" ref="F22" si="11">D22*E22</f>
        <v>0</v>
      </c>
      <c r="G22" s="86">
        <f t="shared" ref="G22" si="12">F22*0.05</f>
        <v>0</v>
      </c>
      <c r="H22" s="86">
        <f t="shared" ref="H22" si="13">F22*0.1</f>
        <v>0</v>
      </c>
      <c r="I22" s="85">
        <f t="shared" ref="I22" si="14">F22*F$3+G22*G$3+H22*H$3</f>
        <v>0</v>
      </c>
      <c r="J22" s="95"/>
    </row>
    <row r="23" spans="1:11" s="81" customFormat="1" x14ac:dyDescent="0.25">
      <c r="A23" s="82" t="s">
        <v>129</v>
      </c>
      <c r="B23" s="48" t="s">
        <v>2</v>
      </c>
      <c r="C23" s="48"/>
      <c r="D23" s="48"/>
      <c r="E23" s="48"/>
      <c r="F23" s="48"/>
      <c r="G23" s="48"/>
      <c r="H23" s="48"/>
      <c r="I23" s="80" t="s">
        <v>3</v>
      </c>
      <c r="J23" s="95" t="s">
        <v>58</v>
      </c>
    </row>
    <row r="24" spans="1:11" x14ac:dyDescent="0.25">
      <c r="A24" s="82" t="s">
        <v>130</v>
      </c>
      <c r="B24" s="3" t="s">
        <v>2</v>
      </c>
      <c r="C24" s="3"/>
      <c r="D24" s="3"/>
      <c r="E24" s="3"/>
      <c r="F24" s="3"/>
      <c r="G24" s="3"/>
      <c r="H24" s="3"/>
      <c r="I24" s="4" t="s">
        <v>3</v>
      </c>
      <c r="J24" s="92" t="s">
        <v>57</v>
      </c>
    </row>
    <row r="25" spans="1:11" x14ac:dyDescent="0.25">
      <c r="A25" s="82" t="s">
        <v>131</v>
      </c>
      <c r="B25" s="3" t="s">
        <v>2</v>
      </c>
      <c r="C25" s="3"/>
      <c r="D25" s="3"/>
      <c r="E25" s="3"/>
      <c r="F25" s="3"/>
      <c r="G25" s="3"/>
      <c r="H25" s="3"/>
      <c r="I25" s="4" t="s">
        <v>3</v>
      </c>
      <c r="J25" s="92" t="s">
        <v>58</v>
      </c>
    </row>
    <row r="26" spans="1:11" x14ac:dyDescent="0.25">
      <c r="A26" s="82" t="s">
        <v>132</v>
      </c>
      <c r="B26" s="3" t="s">
        <v>2</v>
      </c>
      <c r="C26" s="3"/>
      <c r="D26" s="3"/>
      <c r="E26" s="3"/>
      <c r="F26" s="3"/>
      <c r="G26" s="3"/>
      <c r="H26" s="3"/>
      <c r="I26" s="4" t="s">
        <v>3</v>
      </c>
      <c r="J26" s="92" t="s">
        <v>58</v>
      </c>
    </row>
    <row r="27" spans="1:11" x14ac:dyDescent="0.25">
      <c r="A27" s="88" t="s">
        <v>133</v>
      </c>
      <c r="B27" s="3" t="s">
        <v>2</v>
      </c>
      <c r="C27" s="3"/>
      <c r="D27" s="3"/>
      <c r="E27" s="3"/>
      <c r="F27" s="3"/>
      <c r="G27" s="3"/>
      <c r="H27" s="3"/>
      <c r="I27" s="4" t="s">
        <v>3</v>
      </c>
      <c r="J27" s="92" t="s">
        <v>58</v>
      </c>
    </row>
    <row r="28" spans="1:11" x14ac:dyDescent="0.25">
      <c r="A28" s="82" t="s">
        <v>134</v>
      </c>
      <c r="B28" s="3" t="s">
        <v>2</v>
      </c>
      <c r="C28" s="3"/>
      <c r="D28" s="3"/>
      <c r="E28" s="3"/>
      <c r="F28" s="3"/>
      <c r="G28" s="3"/>
      <c r="H28" s="3"/>
      <c r="I28" s="4" t="s">
        <v>3</v>
      </c>
      <c r="J28" s="92" t="s">
        <v>58</v>
      </c>
    </row>
    <row r="29" spans="1:11" x14ac:dyDescent="0.25">
      <c r="A29" s="82" t="s">
        <v>137</v>
      </c>
      <c r="B29" s="3" t="s">
        <v>2</v>
      </c>
      <c r="C29" s="3"/>
      <c r="D29" s="3"/>
      <c r="E29" s="3"/>
      <c r="F29" s="3"/>
      <c r="G29" s="3"/>
      <c r="H29" s="3"/>
      <c r="I29" s="4" t="s">
        <v>3</v>
      </c>
      <c r="J29" s="92" t="s">
        <v>59</v>
      </c>
    </row>
    <row r="30" spans="1:11" x14ac:dyDescent="0.25">
      <c r="A30" s="142" t="s">
        <v>231</v>
      </c>
      <c r="B30" s="3" t="s">
        <v>2</v>
      </c>
      <c r="C30" s="3"/>
      <c r="D30" s="3"/>
      <c r="E30" s="3"/>
      <c r="F30" s="3"/>
      <c r="G30" s="3"/>
      <c r="H30" s="3"/>
      <c r="I30" s="4"/>
      <c r="J30" s="92"/>
    </row>
    <row r="31" spans="1:11" x14ac:dyDescent="0.25">
      <c r="A31" s="82" t="s">
        <v>213</v>
      </c>
      <c r="B31" s="3">
        <v>4</v>
      </c>
      <c r="C31" s="3">
        <v>2</v>
      </c>
      <c r="D31" s="48">
        <f t="shared" ref="D31" si="15">B31*C31</f>
        <v>8</v>
      </c>
      <c r="E31" s="48">
        <f>'Working Respondent'!$F$4</f>
        <v>315</v>
      </c>
      <c r="F31" s="48">
        <f t="shared" ref="F31" si="16">D31*E31</f>
        <v>2520</v>
      </c>
      <c r="G31" s="86">
        <f t="shared" ref="G31" si="17">F31*0.05</f>
        <v>126</v>
      </c>
      <c r="H31" s="86">
        <f t="shared" ref="H31" si="18">F31*0.1</f>
        <v>252</v>
      </c>
      <c r="I31" s="85">
        <f t="shared" ref="I31" si="19">F31*F$3+G31*G$3+H31*H$3</f>
        <v>231324.66</v>
      </c>
      <c r="J31" s="92" t="s">
        <v>59</v>
      </c>
      <c r="K31" s="150" t="s">
        <v>117</v>
      </c>
    </row>
    <row r="32" spans="1:11" x14ac:dyDescent="0.25">
      <c r="A32" s="5" t="s">
        <v>12</v>
      </c>
      <c r="B32" s="3"/>
      <c r="C32" s="3"/>
      <c r="D32" s="3"/>
      <c r="E32" s="3"/>
      <c r="F32" s="172">
        <f>SUM(F5:H31)</f>
        <v>3079.125</v>
      </c>
      <c r="G32" s="173"/>
      <c r="H32" s="174"/>
      <c r="I32" s="35">
        <f>SUM(I5:I31)</f>
        <v>245782.45125000001</v>
      </c>
      <c r="J32" s="92"/>
    </row>
    <row r="33" spans="1:11" x14ac:dyDescent="0.25">
      <c r="A33" s="177" t="s">
        <v>13</v>
      </c>
      <c r="B33" s="177"/>
      <c r="C33" s="177"/>
      <c r="D33" s="3"/>
      <c r="E33" s="3"/>
      <c r="F33" s="3"/>
      <c r="G33" s="3"/>
      <c r="H33" s="3"/>
      <c r="I33" s="4" t="s">
        <v>3</v>
      </c>
      <c r="J33" s="92"/>
    </row>
    <row r="34" spans="1:11" x14ac:dyDescent="0.25">
      <c r="A34" s="2" t="s">
        <v>48</v>
      </c>
      <c r="B34" s="3" t="s">
        <v>14</v>
      </c>
      <c r="C34" s="3"/>
      <c r="D34" s="3"/>
      <c r="E34" s="3"/>
      <c r="F34" s="3"/>
      <c r="G34" s="3"/>
      <c r="H34" s="3"/>
      <c r="I34" s="4" t="s">
        <v>3</v>
      </c>
      <c r="J34" s="92"/>
    </row>
    <row r="35" spans="1:11" x14ac:dyDescent="0.25">
      <c r="A35" s="2" t="s">
        <v>175</v>
      </c>
      <c r="B35" s="3">
        <v>2</v>
      </c>
      <c r="C35" s="3">
        <v>1</v>
      </c>
      <c r="D35" s="3">
        <f t="shared" ref="D35:D36" si="20">B35*C35</f>
        <v>2</v>
      </c>
      <c r="E35" s="86">
        <f>'Working Respondent'!$F$4/3</f>
        <v>105</v>
      </c>
      <c r="F35" s="3">
        <f t="shared" ref="F35:F36" si="21">D35*E35</f>
        <v>210</v>
      </c>
      <c r="G35" s="18">
        <f t="shared" ref="G35:G36" si="22">F35*0.05</f>
        <v>10.5</v>
      </c>
      <c r="H35" s="18">
        <f t="shared" ref="H35:H36" si="23">F35*0.1</f>
        <v>21</v>
      </c>
      <c r="I35" s="9">
        <f t="shared" ref="I35:I36" si="24">F35*F$3+G35*G$3+H35*H$3</f>
        <v>19277.054999999997</v>
      </c>
      <c r="J35" s="92"/>
    </row>
    <row r="36" spans="1:11" x14ac:dyDescent="0.25">
      <c r="A36" s="2" t="s">
        <v>174</v>
      </c>
      <c r="B36" s="3">
        <v>2</v>
      </c>
      <c r="C36" s="3">
        <v>1</v>
      </c>
      <c r="D36" s="3">
        <f t="shared" si="20"/>
        <v>2</v>
      </c>
      <c r="E36" s="86">
        <f>'Working Respondent'!$F$4/3</f>
        <v>105</v>
      </c>
      <c r="F36" s="3">
        <f t="shared" si="21"/>
        <v>210</v>
      </c>
      <c r="G36" s="18">
        <f t="shared" si="22"/>
        <v>10.5</v>
      </c>
      <c r="H36" s="18">
        <f t="shared" si="23"/>
        <v>21</v>
      </c>
      <c r="I36" s="9">
        <f t="shared" si="24"/>
        <v>19277.054999999997</v>
      </c>
      <c r="J36" s="92"/>
    </row>
    <row r="37" spans="1:11" x14ac:dyDescent="0.25">
      <c r="A37" s="2" t="s">
        <v>139</v>
      </c>
      <c r="B37" s="3">
        <v>1</v>
      </c>
      <c r="C37" s="3">
        <v>1</v>
      </c>
      <c r="D37" s="3">
        <f t="shared" ref="D37:D41" si="25">B37*C37</f>
        <v>1</v>
      </c>
      <c r="E37" s="86">
        <f>'Working Respondent'!$F$4/3</f>
        <v>105</v>
      </c>
      <c r="F37" s="3">
        <f>D37*E37</f>
        <v>105</v>
      </c>
      <c r="G37" s="18">
        <f t="shared" ref="G37:G40" si="26">F37*0.05</f>
        <v>5.25</v>
      </c>
      <c r="H37" s="18">
        <f t="shared" ref="H37:H40" si="27">F37*0.1</f>
        <v>10.5</v>
      </c>
      <c r="I37" s="9">
        <f>F37*F$3+G37*G$3+H37*H$3</f>
        <v>9638.5274999999983</v>
      </c>
      <c r="J37" s="92" t="s">
        <v>58</v>
      </c>
      <c r="K37" s="150" t="s">
        <v>118</v>
      </c>
    </row>
    <row r="38" spans="1:11" x14ac:dyDescent="0.25">
      <c r="A38" s="2" t="s">
        <v>138</v>
      </c>
      <c r="B38" s="3">
        <v>0.1</v>
      </c>
      <c r="C38" s="3">
        <v>52</v>
      </c>
      <c r="D38" s="3">
        <f t="shared" si="25"/>
        <v>5.2</v>
      </c>
      <c r="E38" s="86">
        <f>'Working Respondent'!$F$4</f>
        <v>315</v>
      </c>
      <c r="F38" s="17">
        <f>D38*E38</f>
        <v>1638</v>
      </c>
      <c r="G38" s="7">
        <f t="shared" si="26"/>
        <v>81.900000000000006</v>
      </c>
      <c r="H38" s="7">
        <f t="shared" si="27"/>
        <v>163.80000000000001</v>
      </c>
      <c r="I38" s="4">
        <f t="shared" ref="I38:I40" si="28">F38*F$3+G38*G$3+H38*H$3</f>
        <v>150361.02900000001</v>
      </c>
      <c r="J38" s="92"/>
    </row>
    <row r="39" spans="1:11" x14ac:dyDescent="0.25">
      <c r="A39" s="2" t="s">
        <v>15</v>
      </c>
      <c r="B39" s="3">
        <v>0.25</v>
      </c>
      <c r="C39" s="3">
        <v>2</v>
      </c>
      <c r="D39" s="3">
        <f t="shared" si="25"/>
        <v>0.5</v>
      </c>
      <c r="E39" s="86">
        <f>'Working Respondent'!$F$4</f>
        <v>315</v>
      </c>
      <c r="F39" s="18">
        <f t="shared" ref="F39" si="29">D39*E39</f>
        <v>157.5</v>
      </c>
      <c r="G39" s="7">
        <f t="shared" si="26"/>
        <v>7.875</v>
      </c>
      <c r="H39" s="7">
        <f t="shared" si="27"/>
        <v>15.75</v>
      </c>
      <c r="I39" s="4">
        <f t="shared" si="28"/>
        <v>14457.79125</v>
      </c>
      <c r="J39" s="92"/>
    </row>
    <row r="40" spans="1:11" x14ac:dyDescent="0.25">
      <c r="A40" s="10" t="s">
        <v>141</v>
      </c>
      <c r="B40" s="3">
        <v>1</v>
      </c>
      <c r="C40" s="3">
        <v>1</v>
      </c>
      <c r="D40" s="3">
        <f t="shared" si="25"/>
        <v>1</v>
      </c>
      <c r="E40" s="86">
        <f>'Working Respondent'!$F$4/3</f>
        <v>105</v>
      </c>
      <c r="F40" s="18">
        <f>D40*E40</f>
        <v>105</v>
      </c>
      <c r="G40" s="18">
        <f t="shared" si="26"/>
        <v>5.25</v>
      </c>
      <c r="H40" s="18">
        <f t="shared" si="27"/>
        <v>10.5</v>
      </c>
      <c r="I40" s="9">
        <f t="shared" si="28"/>
        <v>9638.5274999999983</v>
      </c>
      <c r="J40" s="92"/>
      <c r="K40" s="150" t="s">
        <v>118</v>
      </c>
    </row>
    <row r="41" spans="1:11" s="81" customFormat="1" x14ac:dyDescent="0.25">
      <c r="A41" s="82" t="s">
        <v>140</v>
      </c>
      <c r="B41" s="48">
        <v>2</v>
      </c>
      <c r="C41" s="48">
        <v>1</v>
      </c>
      <c r="D41" s="48">
        <f t="shared" si="25"/>
        <v>2</v>
      </c>
      <c r="E41" s="86">
        <f>'Working Respondent'!$F$4/3</f>
        <v>105</v>
      </c>
      <c r="F41" s="83">
        <f>D41*E41</f>
        <v>210</v>
      </c>
      <c r="G41" s="84">
        <f t="shared" ref="G41" si="30">F41*0.05</f>
        <v>10.5</v>
      </c>
      <c r="H41" s="84">
        <f t="shared" ref="H41" si="31">F41*0.1</f>
        <v>21</v>
      </c>
      <c r="I41" s="85">
        <f t="shared" ref="I41" si="32">F41*F$3+G41*G$3+H41*H$3</f>
        <v>19277.054999999997</v>
      </c>
      <c r="J41" s="95" t="s">
        <v>61</v>
      </c>
      <c r="K41" s="150" t="s">
        <v>118</v>
      </c>
    </row>
    <row r="42" spans="1:11" x14ac:dyDescent="0.25">
      <c r="A42" s="2" t="s">
        <v>16</v>
      </c>
      <c r="B42" s="3" t="s">
        <v>2</v>
      </c>
      <c r="C42" s="3"/>
      <c r="D42" s="3"/>
      <c r="E42" s="3"/>
      <c r="F42" s="3"/>
      <c r="G42" s="3"/>
      <c r="H42" s="3"/>
      <c r="I42" s="4" t="s">
        <v>3</v>
      </c>
      <c r="J42" s="92"/>
    </row>
    <row r="43" spans="1:11" x14ac:dyDescent="0.25">
      <c r="A43" s="5" t="s">
        <v>17</v>
      </c>
      <c r="B43" s="3"/>
      <c r="C43" s="3"/>
      <c r="D43" s="3"/>
      <c r="E43" s="3"/>
      <c r="F43" s="172">
        <f>SUM(F33:H42)</f>
        <v>3030.8250000000003</v>
      </c>
      <c r="G43" s="173"/>
      <c r="H43" s="174"/>
      <c r="I43" s="35">
        <f>SUM(I33:I42)</f>
        <v>241927.04024999999</v>
      </c>
      <c r="J43" s="92"/>
    </row>
    <row r="44" spans="1:11" ht="21" customHeight="1" x14ac:dyDescent="0.25">
      <c r="A44" s="6" t="s">
        <v>143</v>
      </c>
      <c r="B44" s="39"/>
      <c r="C44" s="39"/>
      <c r="D44" s="40"/>
      <c r="E44" s="40"/>
      <c r="F44" s="175">
        <f>ROUND(F43+F32,-1)</f>
        <v>6110</v>
      </c>
      <c r="G44" s="175"/>
      <c r="H44" s="175"/>
      <c r="I44" s="149">
        <f>ROUND(I43+I32,-3)</f>
        <v>488000</v>
      </c>
      <c r="J44" s="92"/>
    </row>
    <row r="45" spans="1:11" s="28" customFormat="1" x14ac:dyDescent="0.25">
      <c r="A45" s="36" t="s">
        <v>144</v>
      </c>
      <c r="B45" s="41"/>
      <c r="C45" s="41"/>
      <c r="D45" s="42"/>
      <c r="E45" s="42"/>
      <c r="F45" s="178"/>
      <c r="G45" s="178"/>
      <c r="H45" s="178"/>
      <c r="I45" s="49">
        <v>0</v>
      </c>
      <c r="J45" s="91"/>
    </row>
    <row r="46" spans="1:11" x14ac:dyDescent="0.25">
      <c r="A46" s="8" t="s">
        <v>145</v>
      </c>
      <c r="B46" s="43"/>
      <c r="C46" s="43"/>
      <c r="D46" s="43"/>
      <c r="E46" s="43"/>
      <c r="F46" s="175">
        <f>ROUND(F43+F32,-1)</f>
        <v>6110</v>
      </c>
      <c r="G46" s="175"/>
      <c r="H46" s="175"/>
      <c r="I46" s="50">
        <f>ROUND(I43+I32,-3)</f>
        <v>488000</v>
      </c>
      <c r="J46" s="92"/>
    </row>
    <row r="47" spans="1:11" x14ac:dyDescent="0.25">
      <c r="A47" s="13"/>
      <c r="B47" s="14"/>
      <c r="C47" s="14"/>
      <c r="D47" s="14"/>
      <c r="E47" s="14"/>
      <c r="F47" s="15"/>
      <c r="G47" s="14"/>
      <c r="H47" s="14"/>
      <c r="I47" s="16"/>
    </row>
    <row r="48" spans="1:11" x14ac:dyDescent="0.25">
      <c r="A48" s="12" t="s">
        <v>35</v>
      </c>
    </row>
    <row r="49" spans="1:10" ht="15.75" x14ac:dyDescent="0.25">
      <c r="A49" s="168" t="s">
        <v>235</v>
      </c>
      <c r="B49" s="168"/>
      <c r="C49" s="169"/>
    </row>
    <row r="50" spans="1:10" ht="15.75" x14ac:dyDescent="0.25">
      <c r="A50" s="34" t="s">
        <v>120</v>
      </c>
      <c r="B50" s="34"/>
      <c r="C50" s="169"/>
    </row>
    <row r="51" spans="1:10" ht="15.75" x14ac:dyDescent="0.25">
      <c r="A51" s="34" t="s">
        <v>46</v>
      </c>
      <c r="B51" s="34"/>
      <c r="C51" s="169"/>
    </row>
    <row r="52" spans="1:10" x14ac:dyDescent="0.25">
      <c r="A52" s="34" t="s">
        <v>124</v>
      </c>
      <c r="B52" s="34"/>
      <c r="C52" s="34"/>
    </row>
    <row r="53" spans="1:10" ht="15.75" x14ac:dyDescent="0.25">
      <c r="A53" s="34" t="s">
        <v>136</v>
      </c>
      <c r="B53" s="170"/>
      <c r="C53" s="170"/>
      <c r="D53" s="46"/>
      <c r="E53" s="46"/>
      <c r="F53" s="46"/>
      <c r="G53" s="46"/>
      <c r="H53" s="46"/>
      <c r="I53" s="46"/>
    </row>
    <row r="54" spans="1:10" ht="15.75" x14ac:dyDescent="0.25">
      <c r="A54" s="168" t="s">
        <v>236</v>
      </c>
      <c r="B54" s="168"/>
      <c r="C54" s="169"/>
    </row>
    <row r="55" spans="1:10" ht="15.75" x14ac:dyDescent="0.25">
      <c r="A55" s="168" t="s">
        <v>237</v>
      </c>
      <c r="B55" s="168"/>
      <c r="C55" s="169"/>
      <c r="J55" s="92"/>
    </row>
    <row r="56" spans="1:10" x14ac:dyDescent="0.25">
      <c r="A56" s="34" t="s">
        <v>238</v>
      </c>
      <c r="B56" s="34"/>
      <c r="C56" s="34"/>
    </row>
  </sheetData>
  <mergeCells count="8">
    <mergeCell ref="F32:H32"/>
    <mergeCell ref="F44:H44"/>
    <mergeCell ref="F46:H46"/>
    <mergeCell ref="F43:H43"/>
    <mergeCell ref="A8:B8"/>
    <mergeCell ref="A10:B10"/>
    <mergeCell ref="A33:C33"/>
    <mergeCell ref="F45:H45"/>
  </mergeCells>
  <hyperlinks>
    <hyperlink ref="N2" r:id="rId1" xr:uid="{24E63BBC-D1C6-44D3-ABA6-01492BDF1F8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topLeftCell="A35" zoomScaleNormal="100" workbookViewId="0">
      <selection activeCell="A63" sqref="A63:A64"/>
    </sheetView>
  </sheetViews>
  <sheetFormatPr defaultRowHeight="12" x14ac:dyDescent="0.2"/>
  <cols>
    <col min="1" max="1" width="52.140625" style="91" customWidth="1"/>
    <col min="2" max="8" width="9.140625" style="91"/>
    <col min="9" max="9" width="11.140625" style="91" bestFit="1" customWidth="1"/>
    <col min="10" max="10" width="38.28515625" style="91" customWidth="1"/>
    <col min="11" max="16384" width="9.140625" style="91"/>
  </cols>
  <sheetData>
    <row r="1" spans="1:17" ht="15" x14ac:dyDescent="0.25">
      <c r="A1" s="91" t="s">
        <v>239</v>
      </c>
      <c r="K1" s="92"/>
      <c r="L1"/>
      <c r="M1" t="s">
        <v>102</v>
      </c>
      <c r="N1"/>
      <c r="O1"/>
      <c r="P1"/>
      <c r="Q1"/>
    </row>
    <row r="2" spans="1:17" ht="15" x14ac:dyDescent="0.25">
      <c r="K2" s="92"/>
      <c r="L2"/>
      <c r="M2" s="146" t="s">
        <v>103</v>
      </c>
      <c r="N2" s="147" t="s">
        <v>104</v>
      </c>
      <c r="O2"/>
      <c r="P2"/>
      <c r="Q2"/>
    </row>
    <row r="3" spans="1:17" ht="15" x14ac:dyDescent="0.25">
      <c r="F3" s="91">
        <f>P6</f>
        <v>81.33</v>
      </c>
      <c r="G3" s="91">
        <f>P5</f>
        <v>123.71</v>
      </c>
      <c r="H3" s="91">
        <f>P7</f>
        <v>42.8</v>
      </c>
      <c r="K3" s="92"/>
      <c r="L3"/>
      <c r="M3"/>
      <c r="N3"/>
      <c r="O3"/>
      <c r="P3"/>
      <c r="Q3"/>
    </row>
    <row r="4" spans="1:17" ht="72" x14ac:dyDescent="0.25">
      <c r="A4" s="96" t="s">
        <v>0</v>
      </c>
      <c r="B4" s="96" t="s">
        <v>21</v>
      </c>
      <c r="C4" s="96" t="s">
        <v>22</v>
      </c>
      <c r="D4" s="96" t="s">
        <v>23</v>
      </c>
      <c r="E4" s="96" t="s">
        <v>90</v>
      </c>
      <c r="F4" s="96" t="s">
        <v>24</v>
      </c>
      <c r="G4" s="96" t="s">
        <v>25</v>
      </c>
      <c r="H4" s="96" t="s">
        <v>26</v>
      </c>
      <c r="I4" s="96" t="s">
        <v>91</v>
      </c>
      <c r="J4" s="94" t="s">
        <v>88</v>
      </c>
      <c r="K4" s="145" t="s">
        <v>101</v>
      </c>
      <c r="L4"/>
      <c r="M4" s="148" t="s">
        <v>105</v>
      </c>
      <c r="N4" s="148" t="s">
        <v>106</v>
      </c>
      <c r="O4" s="148" t="s">
        <v>107</v>
      </c>
      <c r="P4" s="148" t="s">
        <v>108</v>
      </c>
      <c r="Q4"/>
    </row>
    <row r="5" spans="1:17" ht="15" x14ac:dyDescent="0.25">
      <c r="A5" s="61" t="s">
        <v>1</v>
      </c>
      <c r="B5" s="25" t="s">
        <v>2</v>
      </c>
      <c r="C5" s="25"/>
      <c r="D5" s="25"/>
      <c r="E5" s="25"/>
      <c r="F5" s="25"/>
      <c r="G5" s="25"/>
      <c r="H5" s="25"/>
      <c r="I5" s="25"/>
      <c r="K5" s="150" t="s">
        <v>121</v>
      </c>
      <c r="L5"/>
      <c r="M5" t="s">
        <v>109</v>
      </c>
      <c r="N5" t="s">
        <v>110</v>
      </c>
      <c r="O5">
        <v>58.91</v>
      </c>
      <c r="P5">
        <f>ROUND(O5*2.1,2)</f>
        <v>123.71</v>
      </c>
      <c r="Q5"/>
    </row>
    <row r="6" spans="1:17" ht="15" x14ac:dyDescent="0.25">
      <c r="A6" s="61" t="s">
        <v>4</v>
      </c>
      <c r="B6" s="25" t="s">
        <v>2</v>
      </c>
      <c r="C6" s="25"/>
      <c r="D6" s="25"/>
      <c r="E6" s="25"/>
      <c r="F6" s="25"/>
      <c r="G6" s="25"/>
      <c r="H6" s="25"/>
      <c r="I6" s="25"/>
      <c r="K6" s="92"/>
      <c r="L6"/>
      <c r="M6" t="s">
        <v>111</v>
      </c>
      <c r="N6" t="s">
        <v>112</v>
      </c>
      <c r="O6">
        <v>38.729999999999997</v>
      </c>
      <c r="P6">
        <f t="shared" ref="P6:P7" si="0">ROUND(O6*2.1,2)</f>
        <v>81.33</v>
      </c>
      <c r="Q6"/>
    </row>
    <row r="7" spans="1:17" ht="15" x14ac:dyDescent="0.25">
      <c r="A7" s="61" t="s">
        <v>18</v>
      </c>
      <c r="B7" s="25" t="s">
        <v>2</v>
      </c>
      <c r="C7" s="25"/>
      <c r="D7" s="25"/>
      <c r="E7" s="25"/>
      <c r="F7" s="25"/>
      <c r="G7" s="25"/>
      <c r="H7" s="25"/>
      <c r="I7" s="25"/>
      <c r="K7" s="92"/>
      <c r="L7"/>
      <c r="M7" t="s">
        <v>113</v>
      </c>
      <c r="N7" t="s">
        <v>114</v>
      </c>
      <c r="O7">
        <v>20.38</v>
      </c>
      <c r="P7">
        <f t="shared" si="0"/>
        <v>42.8</v>
      </c>
      <c r="Q7"/>
    </row>
    <row r="8" spans="1:17" ht="24" customHeight="1" x14ac:dyDescent="0.2">
      <c r="A8" s="179" t="s">
        <v>6</v>
      </c>
      <c r="B8" s="179"/>
      <c r="C8" s="25"/>
      <c r="D8" s="25"/>
      <c r="E8" s="25"/>
      <c r="F8" s="25"/>
      <c r="G8" s="25"/>
      <c r="H8" s="25"/>
      <c r="I8" s="25"/>
    </row>
    <row r="9" spans="1:17" ht="13.5" x14ac:dyDescent="0.2">
      <c r="A9" s="61" t="s">
        <v>60</v>
      </c>
      <c r="B9" s="25">
        <v>1</v>
      </c>
      <c r="C9" s="25">
        <v>1</v>
      </c>
      <c r="D9" s="25">
        <f>B9*C9</f>
        <v>1</v>
      </c>
      <c r="E9" s="25">
        <f>'Working Respondent'!$F$5</f>
        <v>75</v>
      </c>
      <c r="F9" s="29">
        <f>D9*E9</f>
        <v>75</v>
      </c>
      <c r="G9" s="33">
        <f>F9*0.05</f>
        <v>3.75</v>
      </c>
      <c r="H9" s="33">
        <f>F9*0.1</f>
        <v>7.5</v>
      </c>
      <c r="I9" s="38">
        <f>F9*F$3+G9*G$3+H9*H$3</f>
        <v>6884.6625000000004</v>
      </c>
      <c r="J9" s="91" t="s">
        <v>92</v>
      </c>
      <c r="K9" s="151" t="s">
        <v>146</v>
      </c>
    </row>
    <row r="10" spans="1:17" x14ac:dyDescent="0.2">
      <c r="A10" s="61" t="s">
        <v>19</v>
      </c>
      <c r="B10" s="25"/>
      <c r="C10" s="25"/>
      <c r="D10" s="25"/>
      <c r="E10" s="25"/>
      <c r="F10" s="29"/>
      <c r="G10" s="29"/>
      <c r="H10" s="29"/>
      <c r="I10" s="38"/>
    </row>
    <row r="11" spans="1:17" ht="13.5" x14ac:dyDescent="0.2">
      <c r="A11" s="90" t="s">
        <v>209</v>
      </c>
      <c r="B11" s="25">
        <v>70</v>
      </c>
      <c r="C11" s="25">
        <v>0.2</v>
      </c>
      <c r="D11" s="25">
        <f>B11*C11</f>
        <v>14</v>
      </c>
      <c r="E11" s="25">
        <f>'Working Respondent'!$F$5</f>
        <v>75</v>
      </c>
      <c r="F11" s="33">
        <f>D11*E11</f>
        <v>1050</v>
      </c>
      <c r="G11" s="31">
        <f>F11*0.05</f>
        <v>52.5</v>
      </c>
      <c r="H11" s="31">
        <f>F11*0.1</f>
        <v>105</v>
      </c>
      <c r="I11" s="38">
        <f>F11*F$3+G11*G$3+H11*H$3</f>
        <v>96385.274999999994</v>
      </c>
      <c r="K11" s="151" t="s">
        <v>147</v>
      </c>
    </row>
    <row r="12" spans="1:17" ht="13.5" x14ac:dyDescent="0.2">
      <c r="A12" s="90" t="s">
        <v>210</v>
      </c>
      <c r="B12" s="25">
        <v>3</v>
      </c>
      <c r="C12" s="25">
        <v>2</v>
      </c>
      <c r="D12" s="25">
        <f t="shared" ref="D12:D18" si="1">B12*C12</f>
        <v>6</v>
      </c>
      <c r="E12" s="25">
        <f>'Working Respondent'!$F$5</f>
        <v>75</v>
      </c>
      <c r="F12" s="33">
        <f>D12*E12</f>
        <v>450</v>
      </c>
      <c r="G12" s="31">
        <f>F12*0.05</f>
        <v>22.5</v>
      </c>
      <c r="H12" s="31">
        <f t="shared" ref="H12:H18" si="2">F12*0.1</f>
        <v>45</v>
      </c>
      <c r="I12" s="38">
        <f>F12*F$3+G12*G$3+H12*H$3</f>
        <v>41307.974999999999</v>
      </c>
      <c r="K12" s="151" t="s">
        <v>159</v>
      </c>
    </row>
    <row r="13" spans="1:17" ht="13.5" x14ac:dyDescent="0.2">
      <c r="A13" s="61" t="s">
        <v>150</v>
      </c>
      <c r="B13" s="25">
        <v>4</v>
      </c>
      <c r="C13" s="25">
        <v>1</v>
      </c>
      <c r="D13" s="25">
        <f t="shared" si="1"/>
        <v>4</v>
      </c>
      <c r="E13" s="25">
        <v>0</v>
      </c>
      <c r="F13" s="29">
        <f t="shared" ref="F13:F18" si="3">D13*E13</f>
        <v>0</v>
      </c>
      <c r="G13" s="29">
        <f t="shared" ref="G13:G18" si="4">F13*0.05</f>
        <v>0</v>
      </c>
      <c r="H13" s="29">
        <f t="shared" si="2"/>
        <v>0</v>
      </c>
      <c r="I13" s="38">
        <f t="shared" ref="I13:I18" si="5">F13*F$3+G13*G$3+H13*H$3</f>
        <v>0</v>
      </c>
    </row>
    <row r="14" spans="1:17" ht="13.5" x14ac:dyDescent="0.2">
      <c r="A14" s="61" t="s">
        <v>151</v>
      </c>
      <c r="B14" s="25">
        <v>8</v>
      </c>
      <c r="C14" s="25">
        <v>1</v>
      </c>
      <c r="D14" s="25">
        <f t="shared" si="1"/>
        <v>8</v>
      </c>
      <c r="E14" s="25">
        <v>0</v>
      </c>
      <c r="F14" s="29">
        <f t="shared" si="3"/>
        <v>0</v>
      </c>
      <c r="G14" s="29">
        <f t="shared" si="4"/>
        <v>0</v>
      </c>
      <c r="H14" s="29">
        <f t="shared" si="2"/>
        <v>0</v>
      </c>
      <c r="I14" s="38">
        <f t="shared" si="5"/>
        <v>0</v>
      </c>
    </row>
    <row r="15" spans="1:17" ht="13.5" x14ac:dyDescent="0.2">
      <c r="A15" s="61" t="s">
        <v>152</v>
      </c>
      <c r="B15" s="25">
        <v>4</v>
      </c>
      <c r="C15" s="25">
        <v>1</v>
      </c>
      <c r="D15" s="25">
        <f t="shared" si="1"/>
        <v>4</v>
      </c>
      <c r="E15" s="25">
        <v>0</v>
      </c>
      <c r="F15" s="29">
        <f t="shared" ref="F15" si="6">D15*E15</f>
        <v>0</v>
      </c>
      <c r="G15" s="29">
        <f t="shared" ref="G15" si="7">F15*0.05</f>
        <v>0</v>
      </c>
      <c r="H15" s="29">
        <f t="shared" ref="H15" si="8">F15*0.1</f>
        <v>0</v>
      </c>
      <c r="I15" s="38">
        <f t="shared" ref="I15" si="9">F15*F$3+G15*G$3+H15*H$3</f>
        <v>0</v>
      </c>
      <c r="K15" s="151" t="s">
        <v>153</v>
      </c>
    </row>
    <row r="16" spans="1:17" ht="13.5" x14ac:dyDescent="0.2">
      <c r="A16" s="61" t="s">
        <v>154</v>
      </c>
      <c r="B16" s="25">
        <v>70</v>
      </c>
      <c r="C16" s="25">
        <v>0</v>
      </c>
      <c r="D16" s="25">
        <f t="shared" si="1"/>
        <v>0</v>
      </c>
      <c r="E16" s="25">
        <v>0</v>
      </c>
      <c r="F16" s="25">
        <f t="shared" si="3"/>
        <v>0</v>
      </c>
      <c r="G16" s="25">
        <f t="shared" si="4"/>
        <v>0</v>
      </c>
      <c r="H16" s="25">
        <f t="shared" si="2"/>
        <v>0</v>
      </c>
      <c r="I16" s="38">
        <f t="shared" si="5"/>
        <v>0</v>
      </c>
    </row>
    <row r="17" spans="1:10" ht="25.5" x14ac:dyDescent="0.2">
      <c r="A17" s="51" t="s">
        <v>155</v>
      </c>
      <c r="B17" s="25">
        <v>2</v>
      </c>
      <c r="C17" s="25">
        <v>12</v>
      </c>
      <c r="D17" s="25">
        <f t="shared" si="1"/>
        <v>24</v>
      </c>
      <c r="E17" s="25">
        <f>'Working Respondent'!$F$5</f>
        <v>75</v>
      </c>
      <c r="F17" s="25">
        <f t="shared" si="3"/>
        <v>1800</v>
      </c>
      <c r="G17" s="25">
        <f t="shared" si="4"/>
        <v>90</v>
      </c>
      <c r="H17" s="25">
        <f t="shared" si="2"/>
        <v>180</v>
      </c>
      <c r="I17" s="38">
        <f t="shared" si="5"/>
        <v>165231.9</v>
      </c>
    </row>
    <row r="18" spans="1:10" ht="13.5" x14ac:dyDescent="0.2">
      <c r="A18" s="61" t="s">
        <v>156</v>
      </c>
      <c r="B18" s="25">
        <v>0.25</v>
      </c>
      <c r="C18" s="25">
        <v>12</v>
      </c>
      <c r="D18" s="25">
        <f t="shared" si="1"/>
        <v>3</v>
      </c>
      <c r="E18" s="25">
        <f>'Working Respondent'!$F$5/2</f>
        <v>37.5</v>
      </c>
      <c r="F18" s="25">
        <f t="shared" si="3"/>
        <v>112.5</v>
      </c>
      <c r="G18" s="25">
        <f t="shared" si="4"/>
        <v>5.625</v>
      </c>
      <c r="H18" s="25">
        <f t="shared" si="2"/>
        <v>11.25</v>
      </c>
      <c r="I18" s="38">
        <f t="shared" si="5"/>
        <v>10326.99375</v>
      </c>
    </row>
    <row r="19" spans="1:10" x14ac:dyDescent="0.2">
      <c r="A19" s="61" t="s">
        <v>8</v>
      </c>
      <c r="B19" s="25" t="s">
        <v>9</v>
      </c>
      <c r="C19" s="25"/>
      <c r="D19" s="25"/>
      <c r="E19" s="25"/>
      <c r="F19" s="25"/>
      <c r="G19" s="25"/>
      <c r="H19" s="25"/>
      <c r="I19" s="38"/>
    </row>
    <row r="20" spans="1:10" x14ac:dyDescent="0.2">
      <c r="A20" s="61" t="s">
        <v>10</v>
      </c>
      <c r="B20" s="25" t="s">
        <v>9</v>
      </c>
      <c r="C20" s="25"/>
      <c r="D20" s="25"/>
      <c r="E20" s="25"/>
      <c r="F20" s="25"/>
      <c r="G20" s="25"/>
      <c r="H20" s="25"/>
      <c r="I20" s="38"/>
    </row>
    <row r="21" spans="1:10" x14ac:dyDescent="0.2">
      <c r="A21" s="61" t="s">
        <v>11</v>
      </c>
      <c r="B21" s="25" t="s">
        <v>9</v>
      </c>
      <c r="C21" s="25"/>
      <c r="D21" s="25"/>
      <c r="E21" s="25"/>
      <c r="F21" s="25"/>
      <c r="G21" s="25"/>
      <c r="H21" s="25"/>
      <c r="I21" s="38"/>
    </row>
    <row r="22" spans="1:10" ht="13.5" x14ac:dyDescent="0.2">
      <c r="A22" s="61" t="s">
        <v>160</v>
      </c>
      <c r="B22" s="25">
        <v>4</v>
      </c>
      <c r="C22" s="25">
        <v>1</v>
      </c>
      <c r="D22" s="25">
        <f>B22*C22</f>
        <v>4</v>
      </c>
      <c r="E22" s="25">
        <v>0</v>
      </c>
      <c r="F22" s="29">
        <f t="shared" ref="F22:F23" si="10">D22*E22</f>
        <v>0</v>
      </c>
      <c r="G22" s="29">
        <f t="shared" ref="G22:G23" si="11">F22*0.05</f>
        <v>0</v>
      </c>
      <c r="H22" s="29">
        <f t="shared" ref="H22:H23" si="12">F22*0.1</f>
        <v>0</v>
      </c>
      <c r="I22" s="38">
        <f t="shared" ref="I22:I23" si="13">F22*F$3+G22*G$3+H22*H$3</f>
        <v>0</v>
      </c>
    </row>
    <row r="23" spans="1:10" ht="13.5" x14ac:dyDescent="0.2">
      <c r="A23" s="61" t="s">
        <v>161</v>
      </c>
      <c r="B23" s="25">
        <v>8</v>
      </c>
      <c r="C23" s="25">
        <v>1</v>
      </c>
      <c r="D23" s="25">
        <f>B23*C23</f>
        <v>8</v>
      </c>
      <c r="E23" s="25">
        <v>0</v>
      </c>
      <c r="F23" s="29">
        <f t="shared" si="10"/>
        <v>0</v>
      </c>
      <c r="G23" s="29">
        <f t="shared" si="11"/>
        <v>0</v>
      </c>
      <c r="H23" s="29">
        <f t="shared" si="12"/>
        <v>0</v>
      </c>
      <c r="I23" s="38">
        <f t="shared" si="13"/>
        <v>0</v>
      </c>
    </row>
    <row r="24" spans="1:10" ht="13.5" x14ac:dyDescent="0.2">
      <c r="A24" s="61" t="s">
        <v>162</v>
      </c>
      <c r="B24" s="25" t="s">
        <v>2</v>
      </c>
      <c r="C24" s="25"/>
      <c r="D24" s="25"/>
      <c r="E24" s="25"/>
      <c r="F24" s="25"/>
      <c r="G24" s="25"/>
      <c r="H24" s="25"/>
      <c r="I24" s="30"/>
    </row>
    <row r="25" spans="1:10" ht="13.5" x14ac:dyDescent="0.2">
      <c r="A25" s="61" t="s">
        <v>163</v>
      </c>
      <c r="B25" s="25" t="s">
        <v>2</v>
      </c>
      <c r="C25" s="25"/>
      <c r="D25" s="25"/>
      <c r="E25" s="25"/>
      <c r="F25" s="25"/>
      <c r="G25" s="25"/>
      <c r="H25" s="25"/>
      <c r="I25" s="30"/>
    </row>
    <row r="26" spans="1:10" ht="13.5" x14ac:dyDescent="0.2">
      <c r="A26" s="61" t="s">
        <v>165</v>
      </c>
      <c r="B26" s="25">
        <v>1</v>
      </c>
      <c r="C26" s="25">
        <v>0</v>
      </c>
      <c r="D26" s="25">
        <v>0</v>
      </c>
      <c r="E26" s="25">
        <v>0</v>
      </c>
      <c r="F26" s="25">
        <v>0</v>
      </c>
      <c r="G26" s="25">
        <v>0</v>
      </c>
      <c r="H26" s="25">
        <v>0</v>
      </c>
      <c r="I26" s="38">
        <f t="shared" ref="I26:I29" si="14">F26*F$3+G26*G$3+H26*H$3</f>
        <v>0</v>
      </c>
    </row>
    <row r="27" spans="1:10" ht="13.5" x14ac:dyDescent="0.2">
      <c r="A27" s="61" t="s">
        <v>166</v>
      </c>
      <c r="B27" s="25" t="s">
        <v>2</v>
      </c>
      <c r="C27" s="25"/>
      <c r="D27" s="25"/>
      <c r="E27" s="25"/>
      <c r="F27" s="25"/>
      <c r="G27" s="25"/>
      <c r="H27" s="25"/>
      <c r="I27" s="30"/>
      <c r="J27" s="91" t="s">
        <v>62</v>
      </c>
    </row>
    <row r="28" spans="1:10" ht="13.5" x14ac:dyDescent="0.2">
      <c r="A28" s="61" t="s">
        <v>167</v>
      </c>
      <c r="B28" s="25">
        <v>1</v>
      </c>
      <c r="C28" s="25">
        <v>0.2</v>
      </c>
      <c r="D28" s="25">
        <f>B28*C28</f>
        <v>0.2</v>
      </c>
      <c r="E28" s="25">
        <f>'Working Respondent'!$F$5</f>
        <v>75</v>
      </c>
      <c r="F28" s="33">
        <f>D28*E28</f>
        <v>15</v>
      </c>
      <c r="G28" s="31">
        <f t="shared" ref="G28:G29" si="15">F28*0.05</f>
        <v>0.75</v>
      </c>
      <c r="H28" s="31">
        <f t="shared" ref="H28:H29" si="16">F28*0.1</f>
        <v>1.5</v>
      </c>
      <c r="I28" s="38">
        <f t="shared" si="14"/>
        <v>1376.9325000000001</v>
      </c>
    </row>
    <row r="29" spans="1:10" ht="13.5" x14ac:dyDescent="0.2">
      <c r="A29" s="61" t="s">
        <v>168</v>
      </c>
      <c r="B29" s="25">
        <v>0</v>
      </c>
      <c r="C29" s="25">
        <v>0</v>
      </c>
      <c r="D29" s="25">
        <f>B29*C29</f>
        <v>0</v>
      </c>
      <c r="E29" s="25">
        <v>0</v>
      </c>
      <c r="F29" s="25">
        <f t="shared" ref="F29" si="17">D29*E29</f>
        <v>0</v>
      </c>
      <c r="G29" s="25">
        <f t="shared" si="15"/>
        <v>0</v>
      </c>
      <c r="H29" s="25">
        <f t="shared" si="16"/>
        <v>0</v>
      </c>
      <c r="I29" s="38">
        <f t="shared" si="14"/>
        <v>0</v>
      </c>
      <c r="J29" s="91" t="s">
        <v>62</v>
      </c>
    </row>
    <row r="30" spans="1:10" ht="13.5" x14ac:dyDescent="0.2">
      <c r="A30" s="61" t="s">
        <v>169</v>
      </c>
      <c r="B30" s="25" t="s">
        <v>2</v>
      </c>
      <c r="C30" s="25"/>
      <c r="D30" s="25"/>
      <c r="E30" s="25"/>
      <c r="F30" s="25"/>
      <c r="G30" s="25"/>
      <c r="H30" s="25"/>
      <c r="I30" s="30"/>
      <c r="J30" s="91" t="s">
        <v>62</v>
      </c>
    </row>
    <row r="31" spans="1:10" ht="13.5" x14ac:dyDescent="0.2">
      <c r="A31" s="61" t="s">
        <v>171</v>
      </c>
      <c r="B31" s="25" t="s">
        <v>2</v>
      </c>
      <c r="C31" s="25"/>
      <c r="D31" s="25"/>
      <c r="E31" s="25"/>
      <c r="F31" s="25"/>
      <c r="G31" s="25"/>
      <c r="H31" s="25"/>
      <c r="I31" s="30"/>
      <c r="J31" s="91" t="s">
        <v>62</v>
      </c>
    </row>
    <row r="32" spans="1:10" ht="13.5" x14ac:dyDescent="0.2">
      <c r="A32" s="61" t="s">
        <v>170</v>
      </c>
      <c r="B32" s="25" t="s">
        <v>2</v>
      </c>
      <c r="C32" s="25"/>
      <c r="D32" s="25"/>
      <c r="E32" s="25"/>
      <c r="F32" s="25"/>
      <c r="G32" s="25"/>
      <c r="H32" s="25"/>
      <c r="I32" s="30"/>
      <c r="J32" s="91" t="s">
        <v>62</v>
      </c>
    </row>
    <row r="33" spans="1:11" x14ac:dyDescent="0.2">
      <c r="A33" s="61" t="s">
        <v>137</v>
      </c>
      <c r="B33" s="25" t="s">
        <v>2</v>
      </c>
      <c r="C33" s="25"/>
      <c r="D33" s="25"/>
      <c r="E33" s="25"/>
      <c r="F33" s="25"/>
      <c r="G33" s="25"/>
      <c r="H33" s="25"/>
      <c r="I33" s="30"/>
      <c r="J33" s="91" t="s">
        <v>63</v>
      </c>
      <c r="K33" s="91" t="s">
        <v>172</v>
      </c>
    </row>
    <row r="34" spans="1:11" ht="13.5" x14ac:dyDescent="0.2">
      <c r="A34" s="142" t="s">
        <v>231</v>
      </c>
      <c r="B34" s="25">
        <v>8</v>
      </c>
      <c r="C34" s="25">
        <v>0.2</v>
      </c>
      <c r="D34" s="25">
        <f>B34*C34</f>
        <v>1.6</v>
      </c>
      <c r="E34" s="25">
        <f>'Working Respondent'!$F$5</f>
        <v>75</v>
      </c>
      <c r="F34" s="33">
        <f>D34*E34</f>
        <v>120</v>
      </c>
      <c r="G34" s="31">
        <f t="shared" ref="G34" si="18">F34*0.05</f>
        <v>6</v>
      </c>
      <c r="H34" s="31">
        <f t="shared" ref="H34" si="19">F34*0.1</f>
        <v>12</v>
      </c>
      <c r="I34" s="38">
        <f t="shared" ref="I34" si="20">F34*F$3+G34*G$3+H34*H$3</f>
        <v>11015.460000000001</v>
      </c>
    </row>
    <row r="35" spans="1:11" ht="13.5" x14ac:dyDescent="0.2">
      <c r="A35" s="61" t="s">
        <v>214</v>
      </c>
      <c r="B35" s="25">
        <v>8</v>
      </c>
      <c r="C35" s="25">
        <v>2</v>
      </c>
      <c r="D35" s="25">
        <f>B35*C35</f>
        <v>16</v>
      </c>
      <c r="E35" s="25">
        <f>'Working Respondent'!$F$5</f>
        <v>75</v>
      </c>
      <c r="F35" s="29">
        <f>D35*E35</f>
        <v>1200</v>
      </c>
      <c r="G35" s="33">
        <f>F35*0.05</f>
        <v>60</v>
      </c>
      <c r="H35" s="33">
        <f>F35*0.1</f>
        <v>120</v>
      </c>
      <c r="I35" s="38">
        <f t="shared" ref="I35" si="21">F35*F$3+G35*G$3+H35*H$3</f>
        <v>110154.6</v>
      </c>
      <c r="J35" s="91" t="s">
        <v>63</v>
      </c>
    </row>
    <row r="36" spans="1:11" x14ac:dyDescent="0.2">
      <c r="A36" s="32" t="s">
        <v>12</v>
      </c>
      <c r="B36" s="25"/>
      <c r="C36" s="25"/>
      <c r="D36" s="25"/>
      <c r="E36" s="25"/>
      <c r="F36" s="180">
        <f>SUM(F5:H35)</f>
        <v>5545.875</v>
      </c>
      <c r="G36" s="181"/>
      <c r="H36" s="182"/>
      <c r="I36" s="54">
        <f>SUM(I5:I35)</f>
        <v>442683.79875000007</v>
      </c>
    </row>
    <row r="37" spans="1:11" ht="24" customHeight="1" x14ac:dyDescent="0.2">
      <c r="A37" s="179" t="s">
        <v>13</v>
      </c>
      <c r="B37" s="179"/>
      <c r="C37" s="25"/>
      <c r="D37" s="25"/>
      <c r="E37" s="25"/>
      <c r="F37" s="25"/>
      <c r="G37" s="25"/>
      <c r="H37" s="25"/>
      <c r="I37" s="30"/>
    </row>
    <row r="38" spans="1:11" x14ac:dyDescent="0.2">
      <c r="A38" s="61" t="s">
        <v>48</v>
      </c>
      <c r="B38" s="25" t="s">
        <v>14</v>
      </c>
      <c r="C38" s="25"/>
      <c r="D38" s="25"/>
      <c r="E38" s="25"/>
      <c r="F38" s="25"/>
      <c r="G38" s="25"/>
      <c r="H38" s="25"/>
      <c r="I38" s="30"/>
    </row>
    <row r="39" spans="1:11" ht="13.5" x14ac:dyDescent="0.2">
      <c r="A39" s="61" t="s">
        <v>185</v>
      </c>
      <c r="B39" s="25">
        <v>4</v>
      </c>
      <c r="C39" s="25">
        <v>1</v>
      </c>
      <c r="D39" s="25">
        <f t="shared" ref="D39:D40" si="22">B39*C39</f>
        <v>4</v>
      </c>
      <c r="E39" s="29">
        <f>'Working Respondent'!$F$5/3</f>
        <v>25</v>
      </c>
      <c r="F39" s="29">
        <f t="shared" ref="F39:F40" si="23">D39*E39</f>
        <v>100</v>
      </c>
      <c r="G39" s="29">
        <f t="shared" ref="G39:G40" si="24">F39*0.05</f>
        <v>5</v>
      </c>
      <c r="H39" s="29">
        <f t="shared" ref="H39:H40" si="25">F39*0.1</f>
        <v>10</v>
      </c>
      <c r="I39" s="29">
        <f t="shared" ref="I39:I40" si="26">F39*F$3+G39*G$3+H39*H$3</f>
        <v>9179.5499999999993</v>
      </c>
    </row>
    <row r="40" spans="1:11" ht="13.5" x14ac:dyDescent="0.2">
      <c r="A40" s="61" t="s">
        <v>186</v>
      </c>
      <c r="B40" s="25">
        <v>4</v>
      </c>
      <c r="C40" s="25">
        <v>1</v>
      </c>
      <c r="D40" s="25">
        <f t="shared" si="22"/>
        <v>4</v>
      </c>
      <c r="E40" s="29">
        <f>'Working Respondent'!$F$5/3</f>
        <v>25</v>
      </c>
      <c r="F40" s="29">
        <f t="shared" si="23"/>
        <v>100</v>
      </c>
      <c r="G40" s="29">
        <f t="shared" si="24"/>
        <v>5</v>
      </c>
      <c r="H40" s="29">
        <f t="shared" si="25"/>
        <v>10</v>
      </c>
      <c r="I40" s="29">
        <f t="shared" si="26"/>
        <v>9179.5499999999993</v>
      </c>
    </row>
    <row r="41" spans="1:11" ht="13.5" x14ac:dyDescent="0.2">
      <c r="A41" s="61" t="s">
        <v>187</v>
      </c>
      <c r="B41" s="25">
        <v>2</v>
      </c>
      <c r="C41" s="25">
        <v>1</v>
      </c>
      <c r="D41" s="25">
        <f t="shared" ref="D41:D45" si="27">B41*C41</f>
        <v>2</v>
      </c>
      <c r="E41" s="29">
        <f>'Working Respondent'!$F$5/3</f>
        <v>25</v>
      </c>
      <c r="F41" s="29">
        <f t="shared" ref="F41:F45" si="28">D41*E41</f>
        <v>50</v>
      </c>
      <c r="G41" s="29">
        <f t="shared" ref="G41:G45" si="29">F41*0.05</f>
        <v>2.5</v>
      </c>
      <c r="H41" s="29">
        <f t="shared" ref="H41:H45" si="30">F41*0.1</f>
        <v>5</v>
      </c>
      <c r="I41" s="29">
        <f t="shared" ref="I41:I45" si="31">F41*F$3+G41*G$3+H41*H$3</f>
        <v>4589.7749999999996</v>
      </c>
    </row>
    <row r="42" spans="1:11" ht="13.5" x14ac:dyDescent="0.2">
      <c r="A42" s="61" t="s">
        <v>188</v>
      </c>
      <c r="B42" s="25">
        <v>0.5</v>
      </c>
      <c r="C42" s="25">
        <v>52</v>
      </c>
      <c r="D42" s="25">
        <f t="shared" si="27"/>
        <v>26</v>
      </c>
      <c r="E42" s="29">
        <f>'Working Respondent'!$F$5</f>
        <v>75</v>
      </c>
      <c r="F42" s="23">
        <f t="shared" si="28"/>
        <v>1950</v>
      </c>
      <c r="G42" s="33">
        <f t="shared" si="29"/>
        <v>97.5</v>
      </c>
      <c r="H42" s="33">
        <f t="shared" si="30"/>
        <v>195</v>
      </c>
      <c r="I42" s="38">
        <f t="shared" si="31"/>
        <v>179001.22500000001</v>
      </c>
      <c r="J42" s="93"/>
    </row>
    <row r="43" spans="1:11" ht="13.5" x14ac:dyDescent="0.2">
      <c r="A43" s="61" t="s">
        <v>193</v>
      </c>
      <c r="B43" s="25">
        <v>0.25</v>
      </c>
      <c r="C43" s="25">
        <v>2</v>
      </c>
      <c r="D43" s="25">
        <f t="shared" si="27"/>
        <v>0.5</v>
      </c>
      <c r="E43" s="29">
        <f>'Working Respondent'!$F$5</f>
        <v>75</v>
      </c>
      <c r="F43" s="29">
        <f t="shared" si="28"/>
        <v>37.5</v>
      </c>
      <c r="G43" s="33">
        <f t="shared" si="29"/>
        <v>1.875</v>
      </c>
      <c r="H43" s="33">
        <f t="shared" si="30"/>
        <v>3.75</v>
      </c>
      <c r="I43" s="38">
        <f t="shared" si="31"/>
        <v>3442.3312500000002</v>
      </c>
    </row>
    <row r="44" spans="1:11" ht="13.5" x14ac:dyDescent="0.2">
      <c r="A44" s="61" t="s">
        <v>191</v>
      </c>
      <c r="B44" s="25">
        <v>2</v>
      </c>
      <c r="C44" s="25">
        <v>1</v>
      </c>
      <c r="D44" s="25">
        <f t="shared" si="27"/>
        <v>2</v>
      </c>
      <c r="E44" s="29">
        <f>'Working Respondent'!$F$5/3</f>
        <v>25</v>
      </c>
      <c r="F44" s="29">
        <f t="shared" si="28"/>
        <v>50</v>
      </c>
      <c r="G44" s="29">
        <f t="shared" si="29"/>
        <v>2.5</v>
      </c>
      <c r="H44" s="29">
        <f t="shared" si="30"/>
        <v>5</v>
      </c>
      <c r="I44" s="38">
        <f t="shared" si="31"/>
        <v>4589.7749999999996</v>
      </c>
    </row>
    <row r="45" spans="1:11" ht="13.5" x14ac:dyDescent="0.2">
      <c r="A45" s="61" t="s">
        <v>192</v>
      </c>
      <c r="B45" s="25">
        <v>4</v>
      </c>
      <c r="C45" s="25">
        <v>1</v>
      </c>
      <c r="D45" s="25">
        <f t="shared" si="27"/>
        <v>4</v>
      </c>
      <c r="E45" s="29">
        <f>'Working Respondent'!$F$5/3</f>
        <v>25</v>
      </c>
      <c r="F45" s="29">
        <f t="shared" si="28"/>
        <v>100</v>
      </c>
      <c r="G45" s="33">
        <f t="shared" si="29"/>
        <v>5</v>
      </c>
      <c r="H45" s="33">
        <f t="shared" si="30"/>
        <v>10</v>
      </c>
      <c r="I45" s="38">
        <f t="shared" si="31"/>
        <v>9179.5499999999993</v>
      </c>
    </row>
    <row r="46" spans="1:11" x14ac:dyDescent="0.2">
      <c r="A46" s="61" t="s">
        <v>16</v>
      </c>
      <c r="B46" s="25" t="s">
        <v>2</v>
      </c>
      <c r="C46" s="25"/>
      <c r="D46" s="25"/>
      <c r="E46" s="25"/>
      <c r="F46" s="25"/>
      <c r="G46" s="25"/>
      <c r="H46" s="25"/>
      <c r="I46" s="30"/>
    </row>
    <row r="47" spans="1:11" x14ac:dyDescent="0.2">
      <c r="A47" s="32" t="s">
        <v>17</v>
      </c>
      <c r="B47" s="25"/>
      <c r="C47" s="25"/>
      <c r="D47" s="25"/>
      <c r="E47" s="25"/>
      <c r="F47" s="180">
        <f>SUM(F37:H46)</f>
        <v>2745.625</v>
      </c>
      <c r="G47" s="181"/>
      <c r="H47" s="182"/>
      <c r="I47" s="37">
        <f>SUM(I37:I46)</f>
        <v>219161.75624999998</v>
      </c>
    </row>
    <row r="48" spans="1:11" ht="14.25" x14ac:dyDescent="0.2">
      <c r="A48" s="97" t="s">
        <v>194</v>
      </c>
      <c r="B48" s="97"/>
      <c r="C48" s="97"/>
      <c r="D48" s="98"/>
      <c r="E48" s="98"/>
      <c r="F48" s="185">
        <f>ROUND(F47+F36,-1)</f>
        <v>8290</v>
      </c>
      <c r="G48" s="185"/>
      <c r="H48" s="185"/>
      <c r="I48" s="62">
        <f>ROUND(I47+I36,-3)</f>
        <v>662000</v>
      </c>
    </row>
    <row r="49" spans="1:11" ht="14.25" x14ac:dyDescent="0.2">
      <c r="A49" s="99" t="s">
        <v>195</v>
      </c>
      <c r="B49" s="99"/>
      <c r="C49" s="99"/>
      <c r="D49" s="100"/>
      <c r="E49" s="100"/>
      <c r="F49" s="186"/>
      <c r="G49" s="187"/>
      <c r="H49" s="188"/>
      <c r="I49" s="52">
        <f>ROUND(OpCosts!G9,-3)</f>
        <v>0</v>
      </c>
    </row>
    <row r="50" spans="1:11" ht="14.25" x14ac:dyDescent="0.2">
      <c r="A50" s="26" t="s">
        <v>196</v>
      </c>
      <c r="B50" s="101"/>
      <c r="C50" s="101"/>
      <c r="D50" s="101"/>
      <c r="E50" s="101"/>
      <c r="F50" s="183">
        <f>F48</f>
        <v>8290</v>
      </c>
      <c r="G50" s="184"/>
      <c r="H50" s="184"/>
      <c r="I50" s="55">
        <f>ROUND(I36+I47+OpCosts!G9,-3)</f>
        <v>662000</v>
      </c>
    </row>
    <row r="52" spans="1:11" x14ac:dyDescent="0.2">
      <c r="A52" s="102" t="s">
        <v>35</v>
      </c>
    </row>
    <row r="53" spans="1:11" ht="13.5" x14ac:dyDescent="0.2">
      <c r="A53" s="34" t="s">
        <v>240</v>
      </c>
    </row>
    <row r="54" spans="1:11" ht="13.5" x14ac:dyDescent="0.2">
      <c r="A54" s="34" t="s">
        <v>120</v>
      </c>
    </row>
    <row r="55" spans="1:11" ht="13.5" x14ac:dyDescent="0.2">
      <c r="A55" s="34" t="s">
        <v>241</v>
      </c>
    </row>
    <row r="56" spans="1:11" ht="13.5" x14ac:dyDescent="0.2">
      <c r="A56" s="34" t="s">
        <v>149</v>
      </c>
    </row>
    <row r="57" spans="1:11" ht="13.5" x14ac:dyDescent="0.2">
      <c r="A57" s="34" t="s">
        <v>157</v>
      </c>
    </row>
    <row r="58" spans="1:11" ht="13.5" x14ac:dyDescent="0.2">
      <c r="A58" s="34" t="s">
        <v>158</v>
      </c>
    </row>
    <row r="59" spans="1:11" ht="13.5" x14ac:dyDescent="0.2">
      <c r="A59" s="34" t="s">
        <v>184</v>
      </c>
    </row>
    <row r="60" spans="1:11" ht="13.5" x14ac:dyDescent="0.2">
      <c r="A60" s="34" t="s">
        <v>164</v>
      </c>
    </row>
    <row r="61" spans="1:11" ht="13.5" x14ac:dyDescent="0.2">
      <c r="A61" s="34" t="s">
        <v>173</v>
      </c>
    </row>
    <row r="62" spans="1:11" ht="13.5" x14ac:dyDescent="0.2">
      <c r="A62" s="168" t="s">
        <v>242</v>
      </c>
      <c r="K62" s="91" t="s">
        <v>64</v>
      </c>
    </row>
    <row r="63" spans="1:11" ht="13.5" x14ac:dyDescent="0.2">
      <c r="A63" s="34" t="s">
        <v>189</v>
      </c>
      <c r="K63" s="91" t="s">
        <v>63</v>
      </c>
    </row>
    <row r="64" spans="1:11" ht="13.5" x14ac:dyDescent="0.2">
      <c r="A64" s="44" t="s">
        <v>190</v>
      </c>
      <c r="K64" s="91" t="s">
        <v>65</v>
      </c>
    </row>
  </sheetData>
  <mergeCells count="7">
    <mergeCell ref="A37:B37"/>
    <mergeCell ref="F36:H36"/>
    <mergeCell ref="F47:H47"/>
    <mergeCell ref="F50:H50"/>
    <mergeCell ref="A8:B8"/>
    <mergeCell ref="F48:H48"/>
    <mergeCell ref="F49:H49"/>
  </mergeCells>
  <hyperlinks>
    <hyperlink ref="N2" r:id="rId1" xr:uid="{F8528B36-0526-4D8C-8CC1-0AFFB8A7F54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B0709-5990-4BBF-A291-7FC555D0288B}">
  <dimension ref="A1:G11"/>
  <sheetViews>
    <sheetView workbookViewId="0">
      <selection activeCell="F9" sqref="F9"/>
    </sheetView>
  </sheetViews>
  <sheetFormatPr defaultRowHeight="15" x14ac:dyDescent="0.25"/>
  <cols>
    <col min="1" max="1" width="23.5703125" customWidth="1"/>
    <col min="2" max="4" width="12.5703125" customWidth="1"/>
    <col min="5" max="7" width="11.85546875" customWidth="1"/>
  </cols>
  <sheetData>
    <row r="1" spans="1:7" ht="15.75" x14ac:dyDescent="0.25">
      <c r="A1" s="189"/>
      <c r="B1" s="190"/>
      <c r="C1" s="190"/>
      <c r="D1" s="190"/>
      <c r="E1" s="190"/>
      <c r="F1" s="190"/>
      <c r="G1" s="191"/>
    </row>
    <row r="2" spans="1:7" ht="16.5" thickBot="1" x14ac:dyDescent="0.3">
      <c r="A2" s="192" t="s">
        <v>197</v>
      </c>
      <c r="B2" s="193"/>
      <c r="C2" s="193"/>
      <c r="D2" s="193"/>
      <c r="E2" s="193"/>
      <c r="F2" s="193"/>
      <c r="G2" s="194"/>
    </row>
    <row r="3" spans="1:7" ht="15.75" x14ac:dyDescent="0.25">
      <c r="A3" s="152"/>
      <c r="B3" s="153"/>
      <c r="C3" s="153"/>
      <c r="D3" s="153"/>
      <c r="E3" s="153"/>
      <c r="F3" s="153"/>
      <c r="G3" s="154"/>
    </row>
    <row r="4" spans="1:7" x14ac:dyDescent="0.25">
      <c r="A4" s="155" t="s">
        <v>69</v>
      </c>
      <c r="B4" s="155" t="s">
        <v>71</v>
      </c>
      <c r="C4" s="155" t="s">
        <v>73</v>
      </c>
      <c r="D4" s="155" t="s">
        <v>75</v>
      </c>
      <c r="E4" s="155" t="s">
        <v>77</v>
      </c>
      <c r="F4" s="155" t="s">
        <v>198</v>
      </c>
      <c r="G4" s="155" t="s">
        <v>199</v>
      </c>
    </row>
    <row r="5" spans="1:7" ht="41.25" x14ac:dyDescent="0.25">
      <c r="A5" s="156" t="s">
        <v>200</v>
      </c>
      <c r="B5" s="156" t="s">
        <v>201</v>
      </c>
      <c r="C5" s="156" t="s">
        <v>202</v>
      </c>
      <c r="D5" s="156" t="s">
        <v>207</v>
      </c>
      <c r="E5" s="156" t="s">
        <v>203</v>
      </c>
      <c r="F5" s="156" t="s">
        <v>216</v>
      </c>
      <c r="G5" s="156" t="s">
        <v>208</v>
      </c>
    </row>
    <row r="6" spans="1:7" x14ac:dyDescent="0.25">
      <c r="A6" s="157" t="s">
        <v>204</v>
      </c>
      <c r="B6" s="158">
        <v>9000</v>
      </c>
      <c r="C6" s="159">
        <v>0</v>
      </c>
      <c r="D6" s="158">
        <v>0</v>
      </c>
      <c r="E6" s="158">
        <v>1470</v>
      </c>
      <c r="F6" s="159">
        <v>0</v>
      </c>
      <c r="G6" s="158">
        <f>E6*F6</f>
        <v>0</v>
      </c>
    </row>
    <row r="7" spans="1:7" x14ac:dyDescent="0.25">
      <c r="A7" s="157" t="s">
        <v>205</v>
      </c>
      <c r="B7" s="158">
        <v>7500</v>
      </c>
      <c r="C7" s="159">
        <v>0</v>
      </c>
      <c r="D7" s="158">
        <v>0</v>
      </c>
      <c r="E7" s="158">
        <v>2000</v>
      </c>
      <c r="F7" s="159">
        <v>0</v>
      </c>
      <c r="G7" s="158">
        <f t="shared" ref="G7:G8" si="0">E7*F7</f>
        <v>0</v>
      </c>
    </row>
    <row r="8" spans="1:7" x14ac:dyDescent="0.25">
      <c r="A8" s="157" t="s">
        <v>206</v>
      </c>
      <c r="B8" s="158">
        <v>7500</v>
      </c>
      <c r="C8" s="159">
        <v>0</v>
      </c>
      <c r="D8" s="158">
        <v>0</v>
      </c>
      <c r="E8" s="158">
        <v>2000</v>
      </c>
      <c r="F8" s="159">
        <v>0</v>
      </c>
      <c r="G8" s="158">
        <f t="shared" si="0"/>
        <v>0</v>
      </c>
    </row>
    <row r="9" spans="1:7" ht="15.75" x14ac:dyDescent="0.25">
      <c r="A9" s="157" t="s">
        <v>218</v>
      </c>
      <c r="B9" s="159"/>
      <c r="C9" s="159"/>
      <c r="D9" s="158">
        <v>0</v>
      </c>
      <c r="E9" s="159"/>
      <c r="F9" s="159"/>
      <c r="G9" s="158">
        <f>ROUND(SUM(G6:G8),-3)</f>
        <v>0</v>
      </c>
    </row>
    <row r="10" spans="1:7" ht="16.5" x14ac:dyDescent="0.25">
      <c r="A10" s="121" t="s">
        <v>217</v>
      </c>
    </row>
    <row r="11" spans="1:7" ht="16.5" x14ac:dyDescent="0.25">
      <c r="A11" s="121" t="s">
        <v>219</v>
      </c>
    </row>
  </sheetData>
  <mergeCells count="2">
    <mergeCell ref="A1:G1"/>
    <mergeCell ref="A2:G2"/>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workbookViewId="0">
      <selection activeCell="G7" sqref="G7"/>
    </sheetView>
  </sheetViews>
  <sheetFormatPr defaultRowHeight="12.75" x14ac:dyDescent="0.2"/>
  <cols>
    <col min="1" max="1" width="9.140625" style="121"/>
    <col min="2" max="2" width="13.85546875" style="122" customWidth="1"/>
    <col min="3" max="3" width="14.28515625" style="122" bestFit="1" customWidth="1"/>
    <col min="4" max="4" width="18.42578125" style="122" bestFit="1" customWidth="1"/>
    <col min="5" max="5" width="15.42578125" style="122" bestFit="1" customWidth="1"/>
    <col min="6" max="6" width="16.140625" style="122" bestFit="1" customWidth="1"/>
    <col min="7" max="7" width="17.28515625" style="121" bestFit="1" customWidth="1"/>
    <col min="8" max="16384" width="9.140625" style="121"/>
  </cols>
  <sheetData>
    <row r="1" spans="1:8" x14ac:dyDescent="0.2">
      <c r="A1" s="138" t="s">
        <v>43</v>
      </c>
    </row>
    <row r="4" spans="1:8" x14ac:dyDescent="0.2">
      <c r="B4" s="123" t="s">
        <v>100</v>
      </c>
      <c r="C4" s="123" t="s">
        <v>37</v>
      </c>
      <c r="D4" s="123" t="s">
        <v>38</v>
      </c>
      <c r="E4" s="124" t="s">
        <v>96</v>
      </c>
      <c r="F4" s="124" t="s">
        <v>95</v>
      </c>
      <c r="G4" s="125" t="s">
        <v>97</v>
      </c>
    </row>
    <row r="5" spans="1:8" x14ac:dyDescent="0.2">
      <c r="B5" s="126" t="s">
        <v>98</v>
      </c>
      <c r="C5" s="127">
        <f>'1a_small'!F32</f>
        <v>3079.125</v>
      </c>
      <c r="D5" s="127">
        <f>'1a_small'!F43</f>
        <v>3030.8250000000003</v>
      </c>
      <c r="E5" s="128">
        <f>SUM('1a_small'!F44:H44)</f>
        <v>6110</v>
      </c>
      <c r="F5" s="129">
        <f>'1a_small'!I44</f>
        <v>488000</v>
      </c>
      <c r="G5" s="130">
        <f>Responses!E11</f>
        <v>630</v>
      </c>
      <c r="H5" s="131"/>
    </row>
    <row r="6" spans="1:8" x14ac:dyDescent="0.2">
      <c r="B6" s="126" t="s">
        <v>99</v>
      </c>
      <c r="C6" s="127">
        <f>'1b_large'!F36</f>
        <v>5545.875</v>
      </c>
      <c r="D6" s="127">
        <f>'1b_large'!F47</f>
        <v>2745.625</v>
      </c>
      <c r="E6" s="128">
        <f>SUM('1b_large'!F48:H48)</f>
        <v>8290</v>
      </c>
      <c r="F6" s="129">
        <f>'1b_large'!I48</f>
        <v>662000</v>
      </c>
      <c r="G6" s="130">
        <f>Responses!E9+Responses!E12+Responses!E10</f>
        <v>180</v>
      </c>
      <c r="H6" s="131"/>
    </row>
    <row r="7" spans="1:8" x14ac:dyDescent="0.2">
      <c r="B7" s="123" t="s">
        <v>84</v>
      </c>
      <c r="C7" s="132">
        <f>SUM(C5:C6)</f>
        <v>8625</v>
      </c>
      <c r="D7" s="132">
        <f>SUM(D5:D6)</f>
        <v>5776.4500000000007</v>
      </c>
      <c r="E7" s="133">
        <f>SUM(E5:E6)</f>
        <v>14400</v>
      </c>
      <c r="F7" s="134">
        <f>ROUND(SUM(F5:F6), -4)</f>
        <v>1150000</v>
      </c>
      <c r="G7" s="139">
        <f>SUM(G5:G6)</f>
        <v>810</v>
      </c>
      <c r="H7" s="131"/>
    </row>
    <row r="9" spans="1:8" x14ac:dyDescent="0.2">
      <c r="D9" s="135"/>
    </row>
    <row r="10" spans="1:8" x14ac:dyDescent="0.2">
      <c r="E10" s="136">
        <f>E7/ROUND(G7,0)</f>
        <v>17.777777777777779</v>
      </c>
      <c r="F10" s="122" t="s">
        <v>36</v>
      </c>
      <c r="G10" s="13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workbookViewId="0">
      <selection activeCell="D7" sqref="D7"/>
    </sheetView>
  </sheetViews>
  <sheetFormatPr defaultRowHeight="12" x14ac:dyDescent="0.2"/>
  <cols>
    <col min="1" max="1" width="32.5703125" style="107" bestFit="1" customWidth="1"/>
    <col min="2" max="8" width="9.140625" style="107"/>
    <col min="9" max="9" width="12.42578125" style="107" customWidth="1"/>
    <col min="10" max="10" width="4" style="107" customWidth="1"/>
    <col min="11" max="11" width="70.7109375" style="107" customWidth="1"/>
    <col min="12" max="16384" width="9.140625" style="107"/>
  </cols>
  <sheetData>
    <row r="1" spans="1:11" x14ac:dyDescent="0.2">
      <c r="A1" s="114" t="s">
        <v>42</v>
      </c>
    </row>
    <row r="2" spans="1:11" x14ac:dyDescent="0.2">
      <c r="E2" s="108" t="s">
        <v>229</v>
      </c>
      <c r="F2" s="167">
        <f>D24</f>
        <v>49.44</v>
      </c>
      <c r="G2" s="167">
        <f>D23</f>
        <v>66.623999999999995</v>
      </c>
      <c r="H2" s="167">
        <f>D25</f>
        <v>26.751999999999995</v>
      </c>
    </row>
    <row r="3" spans="1:11" ht="72" x14ac:dyDescent="0.2">
      <c r="A3" s="109" t="s">
        <v>28</v>
      </c>
      <c r="B3" s="109" t="s">
        <v>29</v>
      </c>
      <c r="C3" s="109" t="s">
        <v>30</v>
      </c>
      <c r="D3" s="109" t="s">
        <v>31</v>
      </c>
      <c r="E3" s="109" t="s">
        <v>93</v>
      </c>
      <c r="F3" s="109" t="s">
        <v>32</v>
      </c>
      <c r="G3" s="96" t="s">
        <v>33</v>
      </c>
      <c r="H3" s="96" t="s">
        <v>34</v>
      </c>
      <c r="I3" s="109" t="s">
        <v>94</v>
      </c>
    </row>
    <row r="4" spans="1:11" x14ac:dyDescent="0.2">
      <c r="A4" s="20" t="s">
        <v>20</v>
      </c>
      <c r="B4" s="21"/>
      <c r="C4" s="21"/>
      <c r="D4" s="21"/>
      <c r="E4" s="21"/>
      <c r="F4" s="21"/>
      <c r="G4" s="21"/>
      <c r="H4" s="21"/>
      <c r="I4" s="21"/>
    </row>
    <row r="5" spans="1:11" ht="13.5" x14ac:dyDescent="0.2">
      <c r="A5" s="20" t="s">
        <v>40</v>
      </c>
      <c r="B5" s="22">
        <v>1</v>
      </c>
      <c r="C5" s="22">
        <v>1</v>
      </c>
      <c r="D5" s="22">
        <f t="shared" ref="D5:D10" si="0">B5*C5</f>
        <v>1</v>
      </c>
      <c r="E5" s="22">
        <v>0</v>
      </c>
      <c r="F5" s="56">
        <f t="shared" ref="F5:F10" si="1">D5*E5</f>
        <v>0</v>
      </c>
      <c r="G5" s="56">
        <f>F5*0.05</f>
        <v>0</v>
      </c>
      <c r="H5" s="56">
        <f>F5*0.1</f>
        <v>0</v>
      </c>
      <c r="I5" s="104">
        <f t="shared" ref="I5:I10" si="2">F5*F$2+G5*G$2+H5*H$2</f>
        <v>0</v>
      </c>
    </row>
    <row r="6" spans="1:11" s="91" customFormat="1" ht="13.5" x14ac:dyDescent="0.2">
      <c r="A6" s="144" t="s">
        <v>41</v>
      </c>
      <c r="B6" s="25">
        <v>2</v>
      </c>
      <c r="C6" s="25">
        <v>1</v>
      </c>
      <c r="D6" s="25">
        <f t="shared" si="0"/>
        <v>2</v>
      </c>
      <c r="E6" s="25">
        <v>0</v>
      </c>
      <c r="F6" s="23">
        <f t="shared" si="1"/>
        <v>0</v>
      </c>
      <c r="G6" s="23">
        <f t="shared" ref="G6:G10" si="3">F6*0.05</f>
        <v>0</v>
      </c>
      <c r="H6" s="23">
        <f t="shared" ref="H6:H10" si="4">F6*0.1</f>
        <v>0</v>
      </c>
      <c r="I6" s="106">
        <f t="shared" si="2"/>
        <v>0</v>
      </c>
    </row>
    <row r="7" spans="1:11" s="91" customFormat="1" ht="13.5" x14ac:dyDescent="0.2">
      <c r="A7" s="61" t="s">
        <v>47</v>
      </c>
      <c r="B7" s="25">
        <v>1</v>
      </c>
      <c r="C7" s="25">
        <f>'1b_large'!C28</f>
        <v>0.2</v>
      </c>
      <c r="D7" s="25">
        <f t="shared" si="0"/>
        <v>0.2</v>
      </c>
      <c r="E7" s="25">
        <f>'1b_large'!E28</f>
        <v>75</v>
      </c>
      <c r="F7" s="53">
        <f t="shared" si="1"/>
        <v>15</v>
      </c>
      <c r="G7" s="24">
        <f t="shared" ref="G7:G9" si="5">F7*0.05</f>
        <v>0.75</v>
      </c>
      <c r="H7" s="24">
        <f t="shared" ref="H7:H9" si="6">F7*0.1</f>
        <v>1.5</v>
      </c>
      <c r="I7" s="105">
        <f t="shared" si="2"/>
        <v>831.69599999999991</v>
      </c>
      <c r="K7" s="110"/>
    </row>
    <row r="8" spans="1:11" s="91" customFormat="1" ht="13.5" x14ac:dyDescent="0.2">
      <c r="A8" s="142" t="s">
        <v>233</v>
      </c>
      <c r="B8" s="25">
        <v>2</v>
      </c>
      <c r="C8" s="25">
        <f>'1b_large'!C34</f>
        <v>0.2</v>
      </c>
      <c r="D8" s="25">
        <f t="shared" ref="D8" si="7">B8*C8</f>
        <v>0.4</v>
      </c>
      <c r="E8" s="25">
        <f>'1b_large'!E34</f>
        <v>75</v>
      </c>
      <c r="F8" s="53">
        <f t="shared" ref="F8" si="8">D8*E8</f>
        <v>30</v>
      </c>
      <c r="G8" s="24">
        <f t="shared" ref="G8" si="9">F8*0.05</f>
        <v>1.5</v>
      </c>
      <c r="H8" s="24">
        <f t="shared" ref="H8" si="10">F8*0.1</f>
        <v>3</v>
      </c>
      <c r="I8" s="105">
        <f t="shared" ref="I8" si="11">F8*F$2+G8*G$2+H8*H$2</f>
        <v>1663.3919999999998</v>
      </c>
      <c r="K8" s="110"/>
    </row>
    <row r="9" spans="1:11" s="91" customFormat="1" ht="13.5" x14ac:dyDescent="0.2">
      <c r="A9" s="103" t="s">
        <v>211</v>
      </c>
      <c r="B9" s="25">
        <v>1</v>
      </c>
      <c r="C9" s="25">
        <f>'1a_small'!C31</f>
        <v>2</v>
      </c>
      <c r="D9" s="25">
        <f t="shared" ref="D9" si="12">B9*C9</f>
        <v>2</v>
      </c>
      <c r="E9" s="25">
        <f>'1a_small'!E31</f>
        <v>315</v>
      </c>
      <c r="F9" s="23">
        <f t="shared" ref="F9" si="13">D9*E9</f>
        <v>630</v>
      </c>
      <c r="G9" s="53">
        <f t="shared" si="5"/>
        <v>31.5</v>
      </c>
      <c r="H9" s="53">
        <f t="shared" si="6"/>
        <v>63</v>
      </c>
      <c r="I9" s="105">
        <f t="shared" ref="I9" si="14">F9*F$2+G9*G$2+H9*H$2</f>
        <v>34931.231999999996</v>
      </c>
      <c r="K9" s="110"/>
    </row>
    <row r="10" spans="1:11" s="91" customFormat="1" ht="13.5" x14ac:dyDescent="0.2">
      <c r="A10" s="103" t="s">
        <v>212</v>
      </c>
      <c r="B10" s="25">
        <v>2</v>
      </c>
      <c r="C10" s="25">
        <f>'1b_large'!C35</f>
        <v>2</v>
      </c>
      <c r="D10" s="25">
        <f t="shared" si="0"/>
        <v>4</v>
      </c>
      <c r="E10" s="25">
        <f>'1b_large'!E35</f>
        <v>75</v>
      </c>
      <c r="F10" s="23">
        <f t="shared" si="1"/>
        <v>300</v>
      </c>
      <c r="G10" s="53">
        <f t="shared" si="3"/>
        <v>15</v>
      </c>
      <c r="H10" s="53">
        <f t="shared" si="4"/>
        <v>30</v>
      </c>
      <c r="I10" s="105">
        <f t="shared" si="2"/>
        <v>16633.920000000002</v>
      </c>
    </row>
    <row r="11" spans="1:11" ht="14.25" x14ac:dyDescent="0.2">
      <c r="A11" s="26" t="s">
        <v>66</v>
      </c>
      <c r="B11" s="111"/>
      <c r="C11" s="111"/>
      <c r="D11" s="111"/>
      <c r="E11" s="111"/>
      <c r="F11" s="195">
        <f>SUM(F5:H10)</f>
        <v>1121.25</v>
      </c>
      <c r="G11" s="195"/>
      <c r="H11" s="195"/>
      <c r="I11" s="27">
        <f>ROUND(SUM(I5:I10),-2)</f>
        <v>54100</v>
      </c>
    </row>
    <row r="13" spans="1:11" x14ac:dyDescent="0.2">
      <c r="A13" s="112" t="s">
        <v>35</v>
      </c>
    </row>
    <row r="14" spans="1:11" ht="13.5" x14ac:dyDescent="0.2">
      <c r="A14" s="171" t="s">
        <v>243</v>
      </c>
      <c r="K14" s="113"/>
    </row>
    <row r="15" spans="1:11" ht="13.5" x14ac:dyDescent="0.2">
      <c r="A15" s="168" t="s">
        <v>247</v>
      </c>
    </row>
    <row r="16" spans="1:11" ht="13.5" x14ac:dyDescent="0.2">
      <c r="A16" s="168" t="s">
        <v>244</v>
      </c>
    </row>
    <row r="17" spans="1:4" ht="13.5" x14ac:dyDescent="0.2">
      <c r="A17" s="168" t="s">
        <v>245</v>
      </c>
    </row>
    <row r="18" spans="1:4" ht="13.5" x14ac:dyDescent="0.2">
      <c r="A18" s="168" t="s">
        <v>246</v>
      </c>
    </row>
    <row r="21" spans="1:4" ht="12.75" thickBot="1" x14ac:dyDescent="0.25"/>
    <row r="22" spans="1:4" ht="19.5" thickBot="1" x14ac:dyDescent="0.25">
      <c r="A22" s="160" t="s">
        <v>220</v>
      </c>
      <c r="B22" s="161" t="s">
        <v>221</v>
      </c>
      <c r="C22" s="161" t="s">
        <v>222</v>
      </c>
      <c r="D22" s="161" t="s">
        <v>223</v>
      </c>
    </row>
    <row r="23" spans="1:4" ht="16.5" thickBot="1" x14ac:dyDescent="0.25">
      <c r="A23" s="162" t="s">
        <v>224</v>
      </c>
      <c r="B23" s="163">
        <v>41.64</v>
      </c>
      <c r="C23" s="164">
        <f>0.6*B23</f>
        <v>24.983999999999998</v>
      </c>
      <c r="D23" s="164">
        <f>B23+C23</f>
        <v>66.623999999999995</v>
      </c>
    </row>
    <row r="24" spans="1:4" ht="16.5" thickBot="1" x14ac:dyDescent="0.25">
      <c r="A24" s="162" t="s">
        <v>225</v>
      </c>
      <c r="B24" s="163">
        <v>30.9</v>
      </c>
      <c r="C24" s="164">
        <f t="shared" ref="C24:C25" si="15">0.6*B24</f>
        <v>18.54</v>
      </c>
      <c r="D24" s="164">
        <f t="shared" ref="D24:D25" si="16">B24+C24</f>
        <v>49.44</v>
      </c>
    </row>
    <row r="25" spans="1:4" ht="16.5" thickBot="1" x14ac:dyDescent="0.25">
      <c r="A25" s="162" t="s">
        <v>226</v>
      </c>
      <c r="B25" s="163">
        <v>16.72</v>
      </c>
      <c r="C25" s="164">
        <f t="shared" si="15"/>
        <v>10.031999999999998</v>
      </c>
      <c r="D25" s="164">
        <f t="shared" si="16"/>
        <v>26.751999999999995</v>
      </c>
    </row>
    <row r="26" spans="1:4" ht="15" x14ac:dyDescent="0.25">
      <c r="A26" s="165" t="s">
        <v>227</v>
      </c>
      <c r="B26"/>
      <c r="C26"/>
      <c r="D26"/>
    </row>
    <row r="27" spans="1:4" ht="15.75" x14ac:dyDescent="0.25">
      <c r="A27" s="166" t="s">
        <v>228</v>
      </c>
      <c r="B27"/>
      <c r="C27"/>
      <c r="D27"/>
    </row>
  </sheetData>
  <mergeCells count="1">
    <mergeCell ref="F11:H11"/>
  </mergeCells>
  <hyperlinks>
    <hyperlink ref="A26" r:id="rId1" display="https://www.opm.gov/policy-data-oversight/pay-leave/salaries-wages/salary-tables/pdf/2019/GS_h.pdf" xr:uid="{56A11988-8FF4-4BB5-BE48-7B2CF02FD1AC}"/>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
  <sheetViews>
    <sheetView workbookViewId="0">
      <selection activeCell="C11" sqref="C11"/>
    </sheetView>
  </sheetViews>
  <sheetFormatPr defaultRowHeight="15" x14ac:dyDescent="0.25"/>
  <cols>
    <col min="1" max="1" width="34.85546875" customWidth="1"/>
    <col min="2" max="2" width="10.85546875" customWidth="1"/>
    <col min="4" max="4" width="20.28515625" customWidth="1"/>
    <col min="5" max="5" width="24" customWidth="1"/>
  </cols>
  <sheetData>
    <row r="1" spans="1:5" ht="15.75" thickBot="1" x14ac:dyDescent="0.3"/>
    <row r="2" spans="1:5" x14ac:dyDescent="0.25">
      <c r="A2" s="57"/>
      <c r="B2" s="59"/>
      <c r="C2" s="59"/>
      <c r="D2" s="59"/>
      <c r="E2" s="59"/>
    </row>
    <row r="3" spans="1:5" x14ac:dyDescent="0.25">
      <c r="A3" s="58" t="s">
        <v>69</v>
      </c>
      <c r="B3" s="60" t="s">
        <v>71</v>
      </c>
      <c r="C3" s="60" t="s">
        <v>73</v>
      </c>
      <c r="D3" s="60" t="s">
        <v>75</v>
      </c>
      <c r="E3" s="60" t="s">
        <v>77</v>
      </c>
    </row>
    <row r="4" spans="1:5" ht="48" x14ac:dyDescent="0.25">
      <c r="A4" s="119" t="s">
        <v>70</v>
      </c>
      <c r="B4" s="119" t="s">
        <v>72</v>
      </c>
      <c r="C4" s="119" t="s">
        <v>74</v>
      </c>
      <c r="D4" s="119" t="s">
        <v>76</v>
      </c>
      <c r="E4" s="119" t="s">
        <v>78</v>
      </c>
    </row>
    <row r="5" spans="1:5" x14ac:dyDescent="0.25">
      <c r="A5" s="64"/>
      <c r="B5" s="64"/>
      <c r="C5" s="64"/>
      <c r="D5" s="116"/>
      <c r="E5" s="115" t="s">
        <v>79</v>
      </c>
    </row>
    <row r="6" spans="1:5" x14ac:dyDescent="0.25">
      <c r="A6" s="117" t="s">
        <v>80</v>
      </c>
      <c r="B6" s="115">
        <v>0</v>
      </c>
      <c r="C6" s="115">
        <v>0</v>
      </c>
      <c r="D6" s="115">
        <v>0</v>
      </c>
      <c r="E6" s="115">
        <v>0</v>
      </c>
    </row>
    <row r="7" spans="1:5" x14ac:dyDescent="0.25">
      <c r="A7" s="117" t="s">
        <v>81</v>
      </c>
      <c r="B7" s="115">
        <v>0</v>
      </c>
      <c r="C7" s="115">
        <v>0</v>
      </c>
      <c r="D7" s="115">
        <v>0</v>
      </c>
      <c r="E7" s="115">
        <v>0</v>
      </c>
    </row>
    <row r="8" spans="1:5" x14ac:dyDescent="0.25">
      <c r="A8" s="117" t="s">
        <v>82</v>
      </c>
      <c r="B8" s="115">
        <v>0</v>
      </c>
      <c r="C8" s="115">
        <v>0</v>
      </c>
      <c r="D8" s="115">
        <v>0</v>
      </c>
      <c r="E8" s="115">
        <v>0</v>
      </c>
    </row>
    <row r="9" spans="1:5" ht="25.5" x14ac:dyDescent="0.25">
      <c r="A9" s="117" t="s">
        <v>230</v>
      </c>
      <c r="B9" s="115">
        <f>'1b_large'!E28</f>
        <v>75</v>
      </c>
      <c r="C9" s="115">
        <f>'1b_large'!C28</f>
        <v>0.2</v>
      </c>
      <c r="D9" s="115">
        <v>0</v>
      </c>
      <c r="E9" s="115">
        <f t="shared" ref="E9:E11" si="0">B9*C9</f>
        <v>15</v>
      </c>
    </row>
    <row r="10" spans="1:5" ht="27" customHeight="1" x14ac:dyDescent="0.25">
      <c r="A10" s="117" t="s">
        <v>232</v>
      </c>
      <c r="B10" s="115">
        <f>'1b_large'!E34</f>
        <v>75</v>
      </c>
      <c r="C10" s="115">
        <f>'1b_large'!C34</f>
        <v>0.2</v>
      </c>
      <c r="D10" s="115">
        <v>1</v>
      </c>
      <c r="E10" s="115">
        <f t="shared" ref="E10" si="1">B10*C10</f>
        <v>15</v>
      </c>
    </row>
    <row r="11" spans="1:5" ht="24" x14ac:dyDescent="0.25">
      <c r="A11" s="117" t="s">
        <v>215</v>
      </c>
      <c r="B11" s="115">
        <f>'1a_small'!E31</f>
        <v>315</v>
      </c>
      <c r="C11" s="115">
        <f>'1a_small'!C31</f>
        <v>2</v>
      </c>
      <c r="D11" s="115">
        <v>0</v>
      </c>
      <c r="E11" s="115">
        <f t="shared" si="0"/>
        <v>630</v>
      </c>
    </row>
    <row r="12" spans="1:5" s="63" customFormat="1" x14ac:dyDescent="0.25">
      <c r="A12" s="117" t="s">
        <v>83</v>
      </c>
      <c r="B12" s="115">
        <f>'1b_large'!E35</f>
        <v>75</v>
      </c>
      <c r="C12" s="115">
        <f>'1b_large'!C35</f>
        <v>2</v>
      </c>
      <c r="D12" s="115">
        <v>0</v>
      </c>
      <c r="E12" s="115">
        <f>B12*C12</f>
        <v>150</v>
      </c>
    </row>
    <row r="13" spans="1:5" x14ac:dyDescent="0.25">
      <c r="A13" s="118"/>
      <c r="B13" s="118"/>
      <c r="C13" s="118"/>
      <c r="D13" s="119" t="s">
        <v>84</v>
      </c>
      <c r="E13" s="120">
        <f>SUM(E6:E12)</f>
        <v>810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
  <sheetViews>
    <sheetView workbookViewId="0">
      <selection activeCell="E23" sqref="E23"/>
    </sheetView>
  </sheetViews>
  <sheetFormatPr defaultRowHeight="12.75" x14ac:dyDescent="0.2"/>
  <cols>
    <col min="1" max="1" width="9.140625" style="77"/>
    <col min="2" max="2" width="11.7109375" style="78" customWidth="1"/>
    <col min="3" max="3" width="11.5703125" style="78" bestFit="1" customWidth="1"/>
    <col min="4" max="4" width="12.42578125" style="78" customWidth="1"/>
    <col min="5" max="5" width="26" style="78" customWidth="1"/>
    <col min="6" max="6" width="12.28515625" style="78" customWidth="1"/>
    <col min="7" max="7" width="39.140625" style="78" customWidth="1"/>
    <col min="8" max="8" width="12.5703125" style="78" customWidth="1"/>
    <col min="9" max="9" width="25.42578125" style="78" customWidth="1"/>
    <col min="10" max="16384" width="9.140625" style="78"/>
  </cols>
  <sheetData>
    <row r="1" spans="1:9" s="66" customFormat="1" x14ac:dyDescent="0.25">
      <c r="A1" s="65"/>
      <c r="B1" s="196" t="s">
        <v>180</v>
      </c>
      <c r="C1" s="196"/>
      <c r="D1" s="196"/>
      <c r="E1" s="196"/>
      <c r="F1" s="196" t="s">
        <v>182</v>
      </c>
      <c r="G1" s="196"/>
      <c r="H1" s="196"/>
      <c r="I1" s="196"/>
    </row>
    <row r="2" spans="1:9" s="69" customFormat="1" ht="25.5" x14ac:dyDescent="0.25">
      <c r="A2" s="67"/>
      <c r="B2" s="68" t="s">
        <v>85</v>
      </c>
      <c r="C2" s="68" t="s">
        <v>51</v>
      </c>
      <c r="D2" s="68" t="s">
        <v>86</v>
      </c>
      <c r="E2" s="68" t="s">
        <v>87</v>
      </c>
      <c r="F2" s="68" t="s">
        <v>85</v>
      </c>
      <c r="G2" s="68" t="s">
        <v>87</v>
      </c>
      <c r="H2" s="68" t="s">
        <v>86</v>
      </c>
      <c r="I2" s="68" t="s">
        <v>87</v>
      </c>
    </row>
    <row r="3" spans="1:9" s="75" customFormat="1" ht="25.5" x14ac:dyDescent="0.25">
      <c r="A3" s="70" t="s">
        <v>84</v>
      </c>
      <c r="B3" s="71">
        <f>SUM(B4:B5)</f>
        <v>392</v>
      </c>
      <c r="C3" s="72">
        <f>SUM(C4:C5)</f>
        <v>1</v>
      </c>
      <c r="D3" s="73">
        <f>SUM(D4:D5)</f>
        <v>302.79999999999995</v>
      </c>
      <c r="E3" s="71"/>
      <c r="F3" s="71">
        <v>390</v>
      </c>
      <c r="G3" s="74" t="s">
        <v>181</v>
      </c>
      <c r="H3" s="71"/>
      <c r="I3" s="71"/>
    </row>
    <row r="4" spans="1:9" s="75" customFormat="1" ht="25.5" x14ac:dyDescent="0.25">
      <c r="A4" s="76" t="s">
        <v>49</v>
      </c>
      <c r="B4" s="71">
        <v>316</v>
      </c>
      <c r="C4" s="72">
        <f>B4/$B$3</f>
        <v>0.80612244897959184</v>
      </c>
      <c r="D4" s="73">
        <f>0.85*B4</f>
        <v>268.59999999999997</v>
      </c>
      <c r="E4" s="74" t="s">
        <v>67</v>
      </c>
      <c r="F4" s="71">
        <v>315</v>
      </c>
      <c r="G4" s="71" t="s">
        <v>52</v>
      </c>
      <c r="H4" s="71">
        <f>ROUND(0.85*F4,0)</f>
        <v>268</v>
      </c>
      <c r="I4" s="74" t="s">
        <v>67</v>
      </c>
    </row>
    <row r="5" spans="1:9" s="75" customFormat="1" ht="25.5" x14ac:dyDescent="0.25">
      <c r="A5" s="76" t="s">
        <v>50</v>
      </c>
      <c r="B5" s="71">
        <v>76</v>
      </c>
      <c r="C5" s="72">
        <f>B5/$B$3</f>
        <v>0.19387755102040816</v>
      </c>
      <c r="D5" s="73">
        <f>0.45*B5</f>
        <v>34.200000000000003</v>
      </c>
      <c r="E5" s="74" t="s">
        <v>68</v>
      </c>
      <c r="F5" s="71">
        <v>75</v>
      </c>
      <c r="G5" s="71" t="s">
        <v>53</v>
      </c>
      <c r="H5" s="71">
        <f>ROUND(0.45*F5,0)</f>
        <v>34</v>
      </c>
      <c r="I5" s="74" t="s">
        <v>68</v>
      </c>
    </row>
  </sheetData>
  <mergeCells count="2">
    <mergeCell ref="B1:E1"/>
    <mergeCell ref="F1:I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B569-F457-4D85-A919-395E2FD4C305}">
  <dimension ref="A1:P56"/>
  <sheetViews>
    <sheetView topLeftCell="A25" workbookViewId="0">
      <selection activeCell="A30" sqref="A30:B30"/>
    </sheetView>
  </sheetViews>
  <sheetFormatPr defaultRowHeight="15" x14ac:dyDescent="0.25"/>
  <cols>
    <col min="1" max="1" width="43.28515625" customWidth="1"/>
    <col min="2" max="3" width="11.42578125" customWidth="1"/>
    <col min="4" max="4" width="13" customWidth="1"/>
    <col min="5" max="5" width="13.85546875" customWidth="1"/>
    <col min="9" max="9" width="11.140625" bestFit="1" customWidth="1"/>
    <col min="10" max="10" width="21.140625" customWidth="1"/>
    <col min="11" max="11" width="24.42578125" style="92" customWidth="1"/>
    <col min="14" max="14" width="12.140625" customWidth="1"/>
  </cols>
  <sheetData>
    <row r="1" spans="1:16" x14ac:dyDescent="0.25">
      <c r="A1" t="s">
        <v>45</v>
      </c>
      <c r="M1" t="s">
        <v>102</v>
      </c>
    </row>
    <row r="2" spans="1:16" x14ac:dyDescent="0.25">
      <c r="M2" s="146" t="s">
        <v>103</v>
      </c>
      <c r="N2" s="147" t="s">
        <v>104</v>
      </c>
    </row>
    <row r="3" spans="1:16" x14ac:dyDescent="0.25">
      <c r="D3" s="79"/>
      <c r="E3" s="11"/>
      <c r="F3" s="11">
        <f>P6</f>
        <v>81.33</v>
      </c>
      <c r="G3" s="11">
        <f>P5</f>
        <v>123.71</v>
      </c>
      <c r="H3" s="11">
        <f>P7</f>
        <v>42.8</v>
      </c>
      <c r="J3" s="11"/>
    </row>
    <row r="4" spans="1:16" ht="78.75" customHeight="1" x14ac:dyDescent="0.25">
      <c r="A4" s="1" t="s">
        <v>0</v>
      </c>
      <c r="B4" s="1" t="s">
        <v>21</v>
      </c>
      <c r="C4" s="1" t="s">
        <v>22</v>
      </c>
      <c r="D4" s="1" t="s">
        <v>23</v>
      </c>
      <c r="E4" s="19" t="s">
        <v>39</v>
      </c>
      <c r="F4" s="1" t="s">
        <v>24</v>
      </c>
      <c r="G4" s="1" t="s">
        <v>25</v>
      </c>
      <c r="H4" s="1" t="s">
        <v>26</v>
      </c>
      <c r="I4" s="1" t="s">
        <v>27</v>
      </c>
      <c r="J4" s="94" t="s">
        <v>88</v>
      </c>
      <c r="K4" s="145" t="s">
        <v>101</v>
      </c>
      <c r="M4" s="148" t="s">
        <v>105</v>
      </c>
      <c r="N4" s="148" t="s">
        <v>106</v>
      </c>
      <c r="O4" s="148" t="s">
        <v>107</v>
      </c>
      <c r="P4" s="148" t="s">
        <v>108</v>
      </c>
    </row>
    <row r="5" spans="1:16" x14ac:dyDescent="0.25">
      <c r="A5" s="141" t="s">
        <v>1</v>
      </c>
      <c r="B5" s="3" t="s">
        <v>2</v>
      </c>
      <c r="C5" s="3"/>
      <c r="D5" s="3"/>
      <c r="E5" s="3"/>
      <c r="F5" s="3"/>
      <c r="G5" s="3"/>
      <c r="H5" s="3"/>
      <c r="I5" s="3" t="s">
        <v>3</v>
      </c>
      <c r="J5" s="92"/>
      <c r="K5" s="150" t="s">
        <v>121</v>
      </c>
      <c r="M5" t="s">
        <v>109</v>
      </c>
      <c r="N5" t="s">
        <v>110</v>
      </c>
      <c r="O5">
        <v>58.91</v>
      </c>
      <c r="P5">
        <f>ROUND(O5*2.1,2)</f>
        <v>123.71</v>
      </c>
    </row>
    <row r="6" spans="1:16" x14ac:dyDescent="0.25">
      <c r="A6" s="141" t="s">
        <v>4</v>
      </c>
      <c r="B6" s="3" t="s">
        <v>2</v>
      </c>
      <c r="C6" s="3"/>
      <c r="D6" s="3"/>
      <c r="E6" s="3"/>
      <c r="F6" s="3"/>
      <c r="G6" s="3"/>
      <c r="H6" s="3"/>
      <c r="I6" s="3" t="s">
        <v>3</v>
      </c>
      <c r="J6" s="92"/>
      <c r="M6" t="s">
        <v>111</v>
      </c>
      <c r="N6" t="s">
        <v>112</v>
      </c>
      <c r="O6">
        <v>38.729999999999997</v>
      </c>
      <c r="P6">
        <f t="shared" ref="P6:P7" si="0">ROUND(O6*2.1,2)</f>
        <v>81.33</v>
      </c>
    </row>
    <row r="7" spans="1:16" x14ac:dyDescent="0.25">
      <c r="A7" s="141" t="s">
        <v>5</v>
      </c>
      <c r="B7" s="3" t="s">
        <v>2</v>
      </c>
      <c r="C7" s="3"/>
      <c r="D7" s="3"/>
      <c r="E7" s="3"/>
      <c r="F7" s="3"/>
      <c r="G7" s="3"/>
      <c r="H7" s="3"/>
      <c r="I7" s="3" t="s">
        <v>3</v>
      </c>
      <c r="J7" s="92"/>
      <c r="M7" t="s">
        <v>113</v>
      </c>
      <c r="N7" t="s">
        <v>114</v>
      </c>
      <c r="O7">
        <v>20.38</v>
      </c>
      <c r="P7">
        <f t="shared" si="0"/>
        <v>42.8</v>
      </c>
    </row>
    <row r="8" spans="1:16" s="81" customFormat="1" ht="24" customHeight="1" x14ac:dyDescent="0.25">
      <c r="A8" s="176" t="s">
        <v>6</v>
      </c>
      <c r="B8" s="176"/>
      <c r="C8" s="48"/>
      <c r="D8" s="48"/>
      <c r="E8" s="48"/>
      <c r="F8" s="48"/>
      <c r="G8" s="48"/>
      <c r="H8" s="48"/>
      <c r="I8" s="80" t="s">
        <v>3</v>
      </c>
      <c r="J8" s="95"/>
    </row>
    <row r="9" spans="1:16" s="81" customFormat="1" x14ac:dyDescent="0.25">
      <c r="A9" s="140" t="s">
        <v>54</v>
      </c>
      <c r="B9" s="48">
        <v>0.5</v>
      </c>
      <c r="C9" s="48">
        <v>1</v>
      </c>
      <c r="D9" s="48">
        <f>B9*C9</f>
        <v>0.5</v>
      </c>
      <c r="E9" s="48">
        <v>0</v>
      </c>
      <c r="F9" s="83">
        <f>D9*E9</f>
        <v>0</v>
      </c>
      <c r="G9" s="84">
        <f>F9*0.05</f>
        <v>0</v>
      </c>
      <c r="H9" s="84">
        <f>F9*0.1</f>
        <v>0</v>
      </c>
      <c r="I9" s="80">
        <f>F9*F$3+G9*G$3+H9*H$3</f>
        <v>0</v>
      </c>
      <c r="J9" s="95" t="s">
        <v>89</v>
      </c>
      <c r="K9" s="150" t="s">
        <v>115</v>
      </c>
    </row>
    <row r="10" spans="1:16" s="81" customFormat="1" x14ac:dyDescent="0.25">
      <c r="A10" s="176" t="s">
        <v>7</v>
      </c>
      <c r="B10" s="176"/>
      <c r="C10" s="48"/>
      <c r="D10" s="48"/>
      <c r="E10" s="48"/>
      <c r="F10" s="48"/>
      <c r="G10" s="86"/>
      <c r="H10" s="86"/>
      <c r="I10" s="80" t="s">
        <v>3</v>
      </c>
      <c r="J10" s="95"/>
      <c r="K10" s="95"/>
    </row>
    <row r="11" spans="1:16" s="81" customFormat="1" x14ac:dyDescent="0.25">
      <c r="A11" s="140" t="s">
        <v>119</v>
      </c>
      <c r="B11" s="48" t="s">
        <v>2</v>
      </c>
      <c r="C11" s="48"/>
      <c r="D11" s="48"/>
      <c r="E11" s="48"/>
      <c r="F11" s="48"/>
      <c r="G11" s="87"/>
      <c r="H11" s="87"/>
      <c r="I11" s="80"/>
      <c r="J11" s="95"/>
      <c r="K11" s="150" t="s">
        <v>116</v>
      </c>
    </row>
    <row r="12" spans="1:16" s="81" customFormat="1" x14ac:dyDescent="0.25">
      <c r="A12" s="140" t="s">
        <v>122</v>
      </c>
      <c r="B12" s="48">
        <v>4</v>
      </c>
      <c r="C12" s="48">
        <v>1</v>
      </c>
      <c r="D12" s="48">
        <f>B12*C12</f>
        <v>4</v>
      </c>
      <c r="E12" s="48">
        <v>0</v>
      </c>
      <c r="F12" s="48">
        <f t="shared" ref="F12:F14" si="1">D12*E12</f>
        <v>0</v>
      </c>
      <c r="G12" s="86">
        <f t="shared" ref="G12:G14" si="2">F12*0.05</f>
        <v>0</v>
      </c>
      <c r="H12" s="86">
        <f t="shared" ref="H12:H14" si="3">F12*0.1</f>
        <v>0</v>
      </c>
      <c r="I12" s="85">
        <f t="shared" ref="I12:I14" si="4">F12*F$3+G12*G$3+H12*H$3</f>
        <v>0</v>
      </c>
      <c r="J12" s="95"/>
      <c r="K12" s="95"/>
    </row>
    <row r="13" spans="1:16" s="81" customFormat="1" x14ac:dyDescent="0.25">
      <c r="A13" s="140" t="s">
        <v>56</v>
      </c>
      <c r="B13" s="48" t="s">
        <v>2</v>
      </c>
      <c r="C13" s="48"/>
      <c r="D13" s="48"/>
      <c r="E13" s="48"/>
      <c r="F13" s="48"/>
      <c r="G13" s="87"/>
      <c r="H13" s="87"/>
      <c r="I13" s="80"/>
      <c r="J13" s="95" t="s">
        <v>55</v>
      </c>
      <c r="K13" s="150" t="s">
        <v>116</v>
      </c>
    </row>
    <row r="14" spans="1:16" s="81" customFormat="1" x14ac:dyDescent="0.25">
      <c r="A14" s="140" t="s">
        <v>123</v>
      </c>
      <c r="B14" s="48">
        <v>0</v>
      </c>
      <c r="C14" s="48">
        <v>0</v>
      </c>
      <c r="D14" s="48">
        <f>B14*C14</f>
        <v>0</v>
      </c>
      <c r="E14" s="48">
        <v>0</v>
      </c>
      <c r="F14" s="48">
        <f t="shared" si="1"/>
        <v>0</v>
      </c>
      <c r="G14" s="48">
        <f t="shared" si="2"/>
        <v>0</v>
      </c>
      <c r="H14" s="48">
        <f t="shared" si="3"/>
        <v>0</v>
      </c>
      <c r="I14" s="85">
        <f t="shared" si="4"/>
        <v>0</v>
      </c>
      <c r="J14" s="95"/>
    </row>
    <row r="15" spans="1:16" s="81" customFormat="1" x14ac:dyDescent="0.25">
      <c r="A15" s="140" t="s">
        <v>8</v>
      </c>
      <c r="B15" s="48" t="s">
        <v>9</v>
      </c>
      <c r="C15" s="48"/>
      <c r="D15" s="48"/>
      <c r="E15" s="48"/>
      <c r="F15" s="48"/>
      <c r="G15" s="48"/>
      <c r="H15" s="48"/>
      <c r="I15" s="80" t="s">
        <v>3</v>
      </c>
      <c r="J15" s="95"/>
    </row>
    <row r="16" spans="1:16" x14ac:dyDescent="0.25">
      <c r="A16" s="141" t="s">
        <v>10</v>
      </c>
      <c r="B16" s="3" t="s">
        <v>9</v>
      </c>
      <c r="C16" s="3"/>
      <c r="D16" s="3"/>
      <c r="E16" s="3"/>
      <c r="F16" s="3"/>
      <c r="G16" s="3"/>
      <c r="H16" s="3"/>
      <c r="I16" s="4" t="s">
        <v>3</v>
      </c>
      <c r="J16" s="92"/>
    </row>
    <row r="17" spans="1:11" x14ac:dyDescent="0.25">
      <c r="A17" s="141" t="s">
        <v>11</v>
      </c>
      <c r="B17" s="3" t="s">
        <v>9</v>
      </c>
      <c r="C17" s="3"/>
      <c r="D17" s="3"/>
      <c r="E17" s="3"/>
      <c r="F17" s="3"/>
      <c r="G17" s="3"/>
      <c r="H17" s="3"/>
      <c r="I17" s="4" t="s">
        <v>3</v>
      </c>
      <c r="J17" s="92"/>
    </row>
    <row r="18" spans="1:11" x14ac:dyDescent="0.25">
      <c r="A18" s="141" t="s">
        <v>125</v>
      </c>
      <c r="B18" s="3">
        <v>2</v>
      </c>
      <c r="C18" s="3">
        <v>1</v>
      </c>
      <c r="D18" s="3">
        <f t="shared" ref="D18:D19" si="5">B18*C18</f>
        <v>2</v>
      </c>
      <c r="E18" s="3">
        <v>0</v>
      </c>
      <c r="F18" s="3">
        <f t="shared" ref="F18:F19" si="6">D18*E18</f>
        <v>0</v>
      </c>
      <c r="G18" s="3">
        <f t="shared" ref="G18:G19" si="7">F18*0.05</f>
        <v>0</v>
      </c>
      <c r="H18" s="3">
        <f t="shared" ref="H18:H19" si="8">F18*0.1</f>
        <v>0</v>
      </c>
      <c r="I18" s="9">
        <f t="shared" ref="I18:I19" si="9">F18*F$3+G18*G$3+H18*H$3</f>
        <v>0</v>
      </c>
      <c r="J18" s="92"/>
    </row>
    <row r="19" spans="1:11" x14ac:dyDescent="0.25">
      <c r="A19" s="141" t="s">
        <v>126</v>
      </c>
      <c r="B19" s="3">
        <v>4</v>
      </c>
      <c r="C19" s="3">
        <v>1</v>
      </c>
      <c r="D19" s="3">
        <f t="shared" si="5"/>
        <v>4</v>
      </c>
      <c r="E19" s="3">
        <v>0</v>
      </c>
      <c r="F19" s="3">
        <f t="shared" si="6"/>
        <v>0</v>
      </c>
      <c r="G19" s="18">
        <f t="shared" si="7"/>
        <v>0</v>
      </c>
      <c r="H19" s="18">
        <f t="shared" si="8"/>
        <v>0</v>
      </c>
      <c r="I19" s="9">
        <f t="shared" si="9"/>
        <v>0</v>
      </c>
      <c r="J19" s="92"/>
    </row>
    <row r="20" spans="1:11" s="81" customFormat="1" x14ac:dyDescent="0.25">
      <c r="A20" s="140" t="s">
        <v>127</v>
      </c>
      <c r="B20" s="48" t="s">
        <v>2</v>
      </c>
      <c r="C20" s="48"/>
      <c r="D20" s="48"/>
      <c r="E20" s="48"/>
      <c r="F20" s="48"/>
      <c r="G20" s="48"/>
      <c r="H20" s="48"/>
      <c r="I20" s="80" t="s">
        <v>3</v>
      </c>
      <c r="J20" s="95" t="s">
        <v>58</v>
      </c>
    </row>
    <row r="21" spans="1:11" s="81" customFormat="1" x14ac:dyDescent="0.25">
      <c r="A21" s="140" t="s">
        <v>128</v>
      </c>
      <c r="B21" s="48" t="s">
        <v>2</v>
      </c>
      <c r="C21" s="48"/>
      <c r="D21" s="48"/>
      <c r="E21" s="48"/>
      <c r="F21" s="48"/>
      <c r="G21" s="48"/>
      <c r="H21" s="48"/>
      <c r="I21" s="80" t="s">
        <v>3</v>
      </c>
      <c r="J21" s="95" t="s">
        <v>58</v>
      </c>
    </row>
    <row r="22" spans="1:11" s="81" customFormat="1" x14ac:dyDescent="0.25">
      <c r="A22" s="140" t="s">
        <v>135</v>
      </c>
      <c r="B22" s="48">
        <v>1</v>
      </c>
      <c r="C22" s="48">
        <v>0</v>
      </c>
      <c r="D22" s="48">
        <f t="shared" ref="D22" si="10">B22*C22</f>
        <v>0</v>
      </c>
      <c r="E22" s="48">
        <v>0</v>
      </c>
      <c r="F22" s="48">
        <f t="shared" ref="F22" si="11">D22*E22</f>
        <v>0</v>
      </c>
      <c r="G22" s="86">
        <f t="shared" ref="G22" si="12">F22*0.05</f>
        <v>0</v>
      </c>
      <c r="H22" s="86">
        <f t="shared" ref="H22" si="13">F22*0.1</f>
        <v>0</v>
      </c>
      <c r="I22" s="85">
        <f t="shared" ref="I22" si="14">F22*F$3+G22*G$3+H22*H$3</f>
        <v>0</v>
      </c>
      <c r="J22" s="95"/>
    </row>
    <row r="23" spans="1:11" s="81" customFormat="1" x14ac:dyDescent="0.25">
      <c r="A23" s="140" t="s">
        <v>129</v>
      </c>
      <c r="B23" s="48" t="s">
        <v>2</v>
      </c>
      <c r="C23" s="48"/>
      <c r="D23" s="48"/>
      <c r="E23" s="48"/>
      <c r="F23" s="48"/>
      <c r="G23" s="48"/>
      <c r="H23" s="48"/>
      <c r="I23" s="80" t="s">
        <v>3</v>
      </c>
      <c r="J23" s="95" t="s">
        <v>58</v>
      </c>
    </row>
    <row r="24" spans="1:11" x14ac:dyDescent="0.25">
      <c r="A24" s="140" t="s">
        <v>130</v>
      </c>
      <c r="B24" s="3" t="s">
        <v>2</v>
      </c>
      <c r="C24" s="3"/>
      <c r="D24" s="3"/>
      <c r="E24" s="3"/>
      <c r="F24" s="3"/>
      <c r="G24" s="3"/>
      <c r="H24" s="3"/>
      <c r="I24" s="4" t="s">
        <v>3</v>
      </c>
      <c r="J24" s="92" t="s">
        <v>57</v>
      </c>
    </row>
    <row r="25" spans="1:11" x14ac:dyDescent="0.25">
      <c r="A25" s="140" t="s">
        <v>131</v>
      </c>
      <c r="B25" s="3" t="s">
        <v>2</v>
      </c>
      <c r="C25" s="3"/>
      <c r="D25" s="3"/>
      <c r="E25" s="3"/>
      <c r="F25" s="3"/>
      <c r="G25" s="3"/>
      <c r="H25" s="3"/>
      <c r="I25" s="4" t="s">
        <v>3</v>
      </c>
      <c r="J25" s="92" t="s">
        <v>58</v>
      </c>
    </row>
    <row r="26" spans="1:11" x14ac:dyDescent="0.25">
      <c r="A26" s="140" t="s">
        <v>132</v>
      </c>
      <c r="B26" s="3" t="s">
        <v>2</v>
      </c>
      <c r="C26" s="3"/>
      <c r="D26" s="3"/>
      <c r="E26" s="3"/>
      <c r="F26" s="3"/>
      <c r="G26" s="3"/>
      <c r="H26" s="3"/>
      <c r="I26" s="4" t="s">
        <v>3</v>
      </c>
      <c r="J26" s="92" t="s">
        <v>58</v>
      </c>
    </row>
    <row r="27" spans="1:11" x14ac:dyDescent="0.25">
      <c r="A27" s="88" t="s">
        <v>133</v>
      </c>
      <c r="B27" s="3" t="s">
        <v>2</v>
      </c>
      <c r="C27" s="3"/>
      <c r="D27" s="3"/>
      <c r="E27" s="3"/>
      <c r="F27" s="3"/>
      <c r="G27" s="3"/>
      <c r="H27" s="3"/>
      <c r="I27" s="4" t="s">
        <v>3</v>
      </c>
      <c r="J27" s="92" t="s">
        <v>58</v>
      </c>
    </row>
    <row r="28" spans="1:11" x14ac:dyDescent="0.25">
      <c r="A28" s="140" t="s">
        <v>134</v>
      </c>
      <c r="B28" s="3" t="s">
        <v>2</v>
      </c>
      <c r="C28" s="3"/>
      <c r="D28" s="3"/>
      <c r="E28" s="3"/>
      <c r="F28" s="3"/>
      <c r="G28" s="3"/>
      <c r="H28" s="3"/>
      <c r="I28" s="4" t="s">
        <v>3</v>
      </c>
      <c r="J28" s="92" t="s">
        <v>58</v>
      </c>
    </row>
    <row r="29" spans="1:11" x14ac:dyDescent="0.25">
      <c r="A29" s="140" t="s">
        <v>137</v>
      </c>
      <c r="B29" s="3" t="s">
        <v>2</v>
      </c>
      <c r="C29" s="3"/>
      <c r="D29" s="3"/>
      <c r="E29" s="3"/>
      <c r="F29" s="3"/>
      <c r="G29" s="3"/>
      <c r="H29" s="3"/>
      <c r="I29" s="4" t="s">
        <v>3</v>
      </c>
      <c r="J29" s="92" t="s">
        <v>59</v>
      </c>
    </row>
    <row r="30" spans="1:11" x14ac:dyDescent="0.25">
      <c r="A30" s="142" t="s">
        <v>231</v>
      </c>
      <c r="B30" s="3" t="s">
        <v>2</v>
      </c>
      <c r="C30" s="3"/>
      <c r="D30" s="3"/>
      <c r="E30" s="3"/>
      <c r="F30" s="3"/>
      <c r="G30" s="3"/>
      <c r="H30" s="3"/>
      <c r="I30" s="4"/>
      <c r="J30" s="92"/>
    </row>
    <row r="31" spans="1:11" x14ac:dyDescent="0.25">
      <c r="A31" s="140" t="s">
        <v>213</v>
      </c>
      <c r="B31" s="3">
        <v>4</v>
      </c>
      <c r="C31" s="3">
        <v>2</v>
      </c>
      <c r="D31" s="48">
        <f t="shared" ref="D31" si="15">B31*C31</f>
        <v>8</v>
      </c>
      <c r="E31" s="48">
        <v>0</v>
      </c>
      <c r="F31" s="48">
        <f t="shared" ref="F31" si="16">D31*E31</f>
        <v>0</v>
      </c>
      <c r="G31" s="86">
        <f t="shared" ref="G31" si="17">F31*0.05</f>
        <v>0</v>
      </c>
      <c r="H31" s="86">
        <f t="shared" ref="H31" si="18">F31*0.1</f>
        <v>0</v>
      </c>
      <c r="I31" s="85">
        <f t="shared" ref="I31" si="19">F31*F$3+G31*G$3+H31*H$3</f>
        <v>0</v>
      </c>
      <c r="J31" s="92" t="s">
        <v>59</v>
      </c>
      <c r="K31" s="150" t="s">
        <v>117</v>
      </c>
    </row>
    <row r="32" spans="1:11" x14ac:dyDescent="0.25">
      <c r="A32" s="5" t="s">
        <v>12</v>
      </c>
      <c r="B32" s="3"/>
      <c r="C32" s="3"/>
      <c r="D32" s="3"/>
      <c r="E32" s="3"/>
      <c r="F32" s="172">
        <f>SUM(F5:H31)</f>
        <v>0</v>
      </c>
      <c r="G32" s="173"/>
      <c r="H32" s="174"/>
      <c r="I32" s="35">
        <f>SUM(I5:I31)</f>
        <v>0</v>
      </c>
      <c r="J32" s="92"/>
    </row>
    <row r="33" spans="1:11" x14ac:dyDescent="0.25">
      <c r="A33" s="177" t="s">
        <v>13</v>
      </c>
      <c r="B33" s="177"/>
      <c r="C33" s="177"/>
      <c r="D33" s="3"/>
      <c r="E33" s="3"/>
      <c r="F33" s="3"/>
      <c r="G33" s="3"/>
      <c r="H33" s="3"/>
      <c r="I33" s="4" t="s">
        <v>3</v>
      </c>
      <c r="J33" s="92"/>
    </row>
    <row r="34" spans="1:11" x14ac:dyDescent="0.25">
      <c r="A34" s="141" t="s">
        <v>48</v>
      </c>
      <c r="B34" s="3" t="s">
        <v>14</v>
      </c>
      <c r="C34" s="3"/>
      <c r="D34" s="3"/>
      <c r="E34" s="3"/>
      <c r="F34" s="3"/>
      <c r="G34" s="3"/>
      <c r="H34" s="3"/>
      <c r="I34" s="4" t="s">
        <v>3</v>
      </c>
      <c r="J34" s="92"/>
    </row>
    <row r="35" spans="1:11" x14ac:dyDescent="0.25">
      <c r="A35" s="141" t="s">
        <v>175</v>
      </c>
      <c r="B35" s="3">
        <v>2</v>
      </c>
      <c r="C35" s="3">
        <v>1</v>
      </c>
      <c r="D35" s="3">
        <f t="shared" ref="D35:D41" si="20">B35*C35</f>
        <v>2</v>
      </c>
      <c r="E35" s="86">
        <f>'Working Respondent'!$F$4/3</f>
        <v>105</v>
      </c>
      <c r="F35" s="3">
        <f t="shared" ref="F35:F36" si="21">D35*E35</f>
        <v>210</v>
      </c>
      <c r="G35" s="18">
        <f t="shared" ref="G35:G41" si="22">F35*0.05</f>
        <v>10.5</v>
      </c>
      <c r="H35" s="18">
        <f t="shared" ref="H35:H41" si="23">F35*0.1</f>
        <v>21</v>
      </c>
      <c r="I35" s="9">
        <f t="shared" ref="I35:I36" si="24">F35*F$3+G35*G$3+H35*H$3</f>
        <v>19277.054999999997</v>
      </c>
      <c r="J35" s="92"/>
    </row>
    <row r="36" spans="1:11" x14ac:dyDescent="0.25">
      <c r="A36" s="141" t="s">
        <v>174</v>
      </c>
      <c r="B36" s="3">
        <v>2</v>
      </c>
      <c r="C36" s="3">
        <v>1</v>
      </c>
      <c r="D36" s="3">
        <f t="shared" si="20"/>
        <v>2</v>
      </c>
      <c r="E36" s="86">
        <f>'Working Respondent'!$F$4/3</f>
        <v>105</v>
      </c>
      <c r="F36" s="3">
        <f t="shared" si="21"/>
        <v>210</v>
      </c>
      <c r="G36" s="18">
        <f t="shared" si="22"/>
        <v>10.5</v>
      </c>
      <c r="H36" s="18">
        <f t="shared" si="23"/>
        <v>21</v>
      </c>
      <c r="I36" s="9">
        <f t="shared" si="24"/>
        <v>19277.054999999997</v>
      </c>
      <c r="J36" s="92"/>
    </row>
    <row r="37" spans="1:11" x14ac:dyDescent="0.25">
      <c r="A37" s="141" t="s">
        <v>139</v>
      </c>
      <c r="B37" s="3">
        <v>1</v>
      </c>
      <c r="C37" s="3">
        <v>1</v>
      </c>
      <c r="D37" s="3">
        <f t="shared" si="20"/>
        <v>1</v>
      </c>
      <c r="E37" s="86">
        <f>'Working Respondent'!$F$4/3</f>
        <v>105</v>
      </c>
      <c r="F37" s="3">
        <f>D37*E37</f>
        <v>105</v>
      </c>
      <c r="G37" s="18">
        <f t="shared" si="22"/>
        <v>5.25</v>
      </c>
      <c r="H37" s="18">
        <f t="shared" si="23"/>
        <v>10.5</v>
      </c>
      <c r="I37" s="9">
        <f>F37*F$3+G37*G$3+H37*H$3</f>
        <v>9638.5274999999983</v>
      </c>
      <c r="J37" s="92" t="s">
        <v>58</v>
      </c>
      <c r="K37" s="150" t="s">
        <v>118</v>
      </c>
    </row>
    <row r="38" spans="1:11" x14ac:dyDescent="0.25">
      <c r="A38" s="141" t="s">
        <v>138</v>
      </c>
      <c r="B38" s="3">
        <v>0.1</v>
      </c>
      <c r="C38" s="3">
        <v>52</v>
      </c>
      <c r="D38" s="3">
        <f t="shared" si="20"/>
        <v>5.2</v>
      </c>
      <c r="E38" s="86">
        <v>0</v>
      </c>
      <c r="F38" s="17">
        <f>D38*E38</f>
        <v>0</v>
      </c>
      <c r="G38" s="7">
        <f t="shared" si="22"/>
        <v>0</v>
      </c>
      <c r="H38" s="7">
        <f t="shared" si="23"/>
        <v>0</v>
      </c>
      <c r="I38" s="4">
        <f t="shared" ref="I38:I41" si="25">F38*F$3+G38*G$3+H38*H$3</f>
        <v>0</v>
      </c>
      <c r="J38" s="92"/>
    </row>
    <row r="39" spans="1:11" x14ac:dyDescent="0.25">
      <c r="A39" s="141" t="s">
        <v>15</v>
      </c>
      <c r="B39" s="3">
        <v>0.25</v>
      </c>
      <c r="C39" s="3">
        <v>2</v>
      </c>
      <c r="D39" s="3">
        <f t="shared" si="20"/>
        <v>0.5</v>
      </c>
      <c r="E39" s="86">
        <v>0</v>
      </c>
      <c r="F39" s="18">
        <f t="shared" ref="F39" si="26">D39*E39</f>
        <v>0</v>
      </c>
      <c r="G39" s="7">
        <f t="shared" si="22"/>
        <v>0</v>
      </c>
      <c r="H39" s="7">
        <f t="shared" si="23"/>
        <v>0</v>
      </c>
      <c r="I39" s="4">
        <f t="shared" si="25"/>
        <v>0</v>
      </c>
      <c r="J39" s="92"/>
    </row>
    <row r="40" spans="1:11" x14ac:dyDescent="0.25">
      <c r="A40" s="141" t="s">
        <v>141</v>
      </c>
      <c r="B40" s="3">
        <v>1</v>
      </c>
      <c r="C40" s="3">
        <v>1</v>
      </c>
      <c r="D40" s="3">
        <f t="shared" si="20"/>
        <v>1</v>
      </c>
      <c r="E40" s="86">
        <f>'Working Respondent'!$F$4/3</f>
        <v>105</v>
      </c>
      <c r="F40" s="18">
        <f>D40*E40</f>
        <v>105</v>
      </c>
      <c r="G40" s="18">
        <f t="shared" si="22"/>
        <v>5.25</v>
      </c>
      <c r="H40" s="18">
        <f t="shared" si="23"/>
        <v>10.5</v>
      </c>
      <c r="I40" s="9">
        <f t="shared" si="25"/>
        <v>9638.5274999999983</v>
      </c>
      <c r="J40" s="92"/>
      <c r="K40" s="150" t="s">
        <v>118</v>
      </c>
    </row>
    <row r="41" spans="1:11" s="81" customFormat="1" x14ac:dyDescent="0.25">
      <c r="A41" s="140" t="s">
        <v>140</v>
      </c>
      <c r="B41" s="48">
        <v>2</v>
      </c>
      <c r="C41" s="48">
        <v>1</v>
      </c>
      <c r="D41" s="48">
        <f t="shared" si="20"/>
        <v>2</v>
      </c>
      <c r="E41" s="86">
        <f>'Working Respondent'!$F$4/3</f>
        <v>105</v>
      </c>
      <c r="F41" s="83">
        <f>D41*E41</f>
        <v>210</v>
      </c>
      <c r="G41" s="84">
        <f t="shared" si="22"/>
        <v>10.5</v>
      </c>
      <c r="H41" s="84">
        <f t="shared" si="23"/>
        <v>21</v>
      </c>
      <c r="I41" s="85">
        <f t="shared" si="25"/>
        <v>19277.054999999997</v>
      </c>
      <c r="J41" s="95" t="s">
        <v>61</v>
      </c>
      <c r="K41" s="150" t="s">
        <v>118</v>
      </c>
    </row>
    <row r="42" spans="1:11" x14ac:dyDescent="0.25">
      <c r="A42" s="141" t="s">
        <v>16</v>
      </c>
      <c r="B42" s="3" t="s">
        <v>2</v>
      </c>
      <c r="C42" s="3"/>
      <c r="D42" s="3"/>
      <c r="E42" s="3"/>
      <c r="F42" s="3"/>
      <c r="G42" s="3"/>
      <c r="H42" s="3"/>
      <c r="I42" s="4" t="s">
        <v>3</v>
      </c>
      <c r="J42" s="92"/>
    </row>
    <row r="43" spans="1:11" x14ac:dyDescent="0.25">
      <c r="A43" s="5" t="s">
        <v>17</v>
      </c>
      <c r="B43" s="3"/>
      <c r="C43" s="3"/>
      <c r="D43" s="3"/>
      <c r="E43" s="3"/>
      <c r="F43" s="172">
        <f>SUM(F33:H42)</f>
        <v>966</v>
      </c>
      <c r="G43" s="173"/>
      <c r="H43" s="174"/>
      <c r="I43" s="35">
        <f>SUM(I33:I42)</f>
        <v>77108.219999999987</v>
      </c>
      <c r="J43" s="92"/>
    </row>
    <row r="44" spans="1:11" ht="21" customHeight="1" x14ac:dyDescent="0.25">
      <c r="A44" s="6" t="s">
        <v>143</v>
      </c>
      <c r="B44" s="39"/>
      <c r="C44" s="39"/>
      <c r="D44" s="40"/>
      <c r="E44" s="40"/>
      <c r="F44" s="175">
        <f>ROUND(F43+F32,-1)</f>
        <v>970</v>
      </c>
      <c r="G44" s="175"/>
      <c r="H44" s="175"/>
      <c r="I44" s="149">
        <f>ROUND(I43+I32,-3)</f>
        <v>77000</v>
      </c>
      <c r="J44" s="92"/>
    </row>
    <row r="45" spans="1:11" s="28" customFormat="1" x14ac:dyDescent="0.25">
      <c r="A45" s="36" t="s">
        <v>144</v>
      </c>
      <c r="B45" s="41"/>
      <c r="C45" s="41"/>
      <c r="D45" s="42"/>
      <c r="E45" s="42"/>
      <c r="F45" s="178"/>
      <c r="G45" s="178"/>
      <c r="H45" s="178"/>
      <c r="I45" s="49">
        <v>0</v>
      </c>
      <c r="J45" s="91"/>
    </row>
    <row r="46" spans="1:11" x14ac:dyDescent="0.25">
      <c r="A46" s="8" t="s">
        <v>145</v>
      </c>
      <c r="B46" s="43"/>
      <c r="C46" s="43"/>
      <c r="D46" s="43"/>
      <c r="E46" s="43"/>
      <c r="F46" s="175">
        <f>ROUND(F43+F32,-1)</f>
        <v>970</v>
      </c>
      <c r="G46" s="175"/>
      <c r="H46" s="175"/>
      <c r="I46" s="50">
        <f>ROUND(I43+I32,-3)</f>
        <v>77000</v>
      </c>
      <c r="J46" s="92"/>
    </row>
    <row r="47" spans="1:11" x14ac:dyDescent="0.25">
      <c r="A47" s="13"/>
      <c r="B47" s="14"/>
      <c r="C47" s="14"/>
      <c r="D47" s="14"/>
      <c r="E47" s="14"/>
      <c r="F47" s="15"/>
      <c r="G47" s="14"/>
      <c r="H47" s="14"/>
      <c r="I47" s="16"/>
    </row>
    <row r="48" spans="1:11" x14ac:dyDescent="0.25">
      <c r="A48" s="12" t="s">
        <v>35</v>
      </c>
    </row>
    <row r="49" spans="1:10" x14ac:dyDescent="0.25">
      <c r="A49" s="89" t="s">
        <v>178</v>
      </c>
    </row>
    <row r="50" spans="1:10" x14ac:dyDescent="0.25">
      <c r="A50" s="34" t="s">
        <v>120</v>
      </c>
    </row>
    <row r="51" spans="1:10" x14ac:dyDescent="0.25">
      <c r="A51" s="34" t="s">
        <v>46</v>
      </c>
    </row>
    <row r="52" spans="1:10" x14ac:dyDescent="0.25">
      <c r="A52" s="34" t="s">
        <v>124</v>
      </c>
    </row>
    <row r="53" spans="1:10" x14ac:dyDescent="0.25">
      <c r="A53" s="34" t="s">
        <v>136</v>
      </c>
      <c r="B53" s="46"/>
      <c r="C53" s="46"/>
      <c r="D53" s="46"/>
      <c r="E53" s="46"/>
      <c r="F53" s="46"/>
      <c r="G53" s="46"/>
      <c r="H53" s="46"/>
      <c r="I53" s="46"/>
    </row>
    <row r="54" spans="1:10" x14ac:dyDescent="0.25">
      <c r="A54" s="47" t="s">
        <v>179</v>
      </c>
    </row>
    <row r="55" spans="1:10" x14ac:dyDescent="0.25">
      <c r="A55" s="47" t="s">
        <v>176</v>
      </c>
      <c r="J55" s="92"/>
    </row>
    <row r="56" spans="1:10" x14ac:dyDescent="0.25">
      <c r="A56" s="45" t="s">
        <v>142</v>
      </c>
    </row>
  </sheetData>
  <mergeCells count="8">
    <mergeCell ref="F45:H45"/>
    <mergeCell ref="F46:H46"/>
    <mergeCell ref="A8:B8"/>
    <mergeCell ref="A10:B10"/>
    <mergeCell ref="F32:H32"/>
    <mergeCell ref="A33:C33"/>
    <mergeCell ref="F43:H43"/>
    <mergeCell ref="F44:H44"/>
  </mergeCells>
  <hyperlinks>
    <hyperlink ref="N2" r:id="rId1" xr:uid="{AC3A05DE-6B68-4FBE-A0C8-B20DDCB1AFA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69E5-AD1E-40D4-A84A-345912B9B263}">
  <dimension ref="A1:Q64"/>
  <sheetViews>
    <sheetView topLeftCell="A22" workbookViewId="0">
      <selection activeCell="J43" sqref="J43"/>
    </sheetView>
  </sheetViews>
  <sheetFormatPr defaultRowHeight="12" x14ac:dyDescent="0.2"/>
  <cols>
    <col min="1" max="1" width="52.140625" style="91" customWidth="1"/>
    <col min="2" max="8" width="9.140625" style="91"/>
    <col min="9" max="9" width="11.140625" style="91" bestFit="1" customWidth="1"/>
    <col min="10" max="10" width="38.28515625" style="91" customWidth="1"/>
    <col min="11" max="16384" width="9.140625" style="91"/>
  </cols>
  <sheetData>
    <row r="1" spans="1:17" ht="15" x14ac:dyDescent="0.25">
      <c r="A1" s="91" t="s">
        <v>44</v>
      </c>
      <c r="K1" s="92"/>
      <c r="L1"/>
      <c r="M1" t="s">
        <v>102</v>
      </c>
      <c r="N1"/>
      <c r="O1"/>
      <c r="P1"/>
      <c r="Q1"/>
    </row>
    <row r="2" spans="1:17" ht="15" x14ac:dyDescent="0.25">
      <c r="K2" s="92"/>
      <c r="L2"/>
      <c r="M2" s="146" t="s">
        <v>103</v>
      </c>
      <c r="N2" s="147" t="s">
        <v>104</v>
      </c>
      <c r="O2"/>
      <c r="P2"/>
      <c r="Q2"/>
    </row>
    <row r="3" spans="1:17" ht="15" x14ac:dyDescent="0.25">
      <c r="F3" s="91">
        <f>P6</f>
        <v>81.33</v>
      </c>
      <c r="G3" s="91">
        <f>P5</f>
        <v>123.71</v>
      </c>
      <c r="H3" s="91">
        <f>P7</f>
        <v>42.8</v>
      </c>
      <c r="K3" s="92"/>
      <c r="L3"/>
      <c r="M3"/>
      <c r="N3"/>
      <c r="O3"/>
      <c r="P3"/>
      <c r="Q3"/>
    </row>
    <row r="4" spans="1:17" ht="72" x14ac:dyDescent="0.25">
      <c r="A4" s="96" t="s">
        <v>0</v>
      </c>
      <c r="B4" s="96" t="s">
        <v>21</v>
      </c>
      <c r="C4" s="96" t="s">
        <v>22</v>
      </c>
      <c r="D4" s="96" t="s">
        <v>23</v>
      </c>
      <c r="E4" s="96" t="s">
        <v>90</v>
      </c>
      <c r="F4" s="96" t="s">
        <v>24</v>
      </c>
      <c r="G4" s="96" t="s">
        <v>25</v>
      </c>
      <c r="H4" s="96" t="s">
        <v>26</v>
      </c>
      <c r="I4" s="96" t="s">
        <v>91</v>
      </c>
      <c r="J4" s="94" t="s">
        <v>88</v>
      </c>
      <c r="K4" s="145" t="s">
        <v>101</v>
      </c>
      <c r="L4"/>
      <c r="M4" s="148" t="s">
        <v>105</v>
      </c>
      <c r="N4" s="148" t="s">
        <v>106</v>
      </c>
      <c r="O4" s="148" t="s">
        <v>107</v>
      </c>
      <c r="P4" s="148" t="s">
        <v>108</v>
      </c>
      <c r="Q4"/>
    </row>
    <row r="5" spans="1:17" ht="15" x14ac:dyDescent="0.25">
      <c r="A5" s="142" t="s">
        <v>1</v>
      </c>
      <c r="B5" s="25" t="s">
        <v>2</v>
      </c>
      <c r="C5" s="25"/>
      <c r="D5" s="25"/>
      <c r="E5" s="25"/>
      <c r="F5" s="25"/>
      <c r="G5" s="25"/>
      <c r="H5" s="25"/>
      <c r="I5" s="25"/>
      <c r="K5" s="150" t="s">
        <v>121</v>
      </c>
      <c r="L5"/>
      <c r="M5" t="s">
        <v>109</v>
      </c>
      <c r="N5" t="s">
        <v>110</v>
      </c>
      <c r="O5">
        <v>58.91</v>
      </c>
      <c r="P5">
        <f>ROUND(O5*2.1,2)</f>
        <v>123.71</v>
      </c>
      <c r="Q5"/>
    </row>
    <row r="6" spans="1:17" ht="15" x14ac:dyDescent="0.25">
      <c r="A6" s="142" t="s">
        <v>4</v>
      </c>
      <c r="B6" s="25" t="s">
        <v>2</v>
      </c>
      <c r="C6" s="25"/>
      <c r="D6" s="25"/>
      <c r="E6" s="25"/>
      <c r="F6" s="25"/>
      <c r="G6" s="25"/>
      <c r="H6" s="25"/>
      <c r="I6" s="25"/>
      <c r="K6" s="92"/>
      <c r="L6"/>
      <c r="M6" t="s">
        <v>111</v>
      </c>
      <c r="N6" t="s">
        <v>112</v>
      </c>
      <c r="O6">
        <v>38.729999999999997</v>
      </c>
      <c r="P6">
        <f t="shared" ref="P6:P7" si="0">ROUND(O6*2.1,2)</f>
        <v>81.33</v>
      </c>
      <c r="Q6"/>
    </row>
    <row r="7" spans="1:17" ht="15" x14ac:dyDescent="0.25">
      <c r="A7" s="142" t="s">
        <v>18</v>
      </c>
      <c r="B7" s="25" t="s">
        <v>2</v>
      </c>
      <c r="C7" s="25"/>
      <c r="D7" s="25"/>
      <c r="E7" s="25"/>
      <c r="F7" s="25"/>
      <c r="G7" s="25"/>
      <c r="H7" s="25"/>
      <c r="I7" s="25"/>
      <c r="K7" s="92"/>
      <c r="L7"/>
      <c r="M7" t="s">
        <v>113</v>
      </c>
      <c r="N7" t="s">
        <v>114</v>
      </c>
      <c r="O7">
        <v>20.38</v>
      </c>
      <c r="P7">
        <f t="shared" si="0"/>
        <v>42.8</v>
      </c>
      <c r="Q7"/>
    </row>
    <row r="8" spans="1:17" ht="24" customHeight="1" x14ac:dyDescent="0.2">
      <c r="A8" s="179" t="s">
        <v>6</v>
      </c>
      <c r="B8" s="179"/>
      <c r="C8" s="25"/>
      <c r="D8" s="25"/>
      <c r="E8" s="25"/>
      <c r="F8" s="25"/>
      <c r="G8" s="25"/>
      <c r="H8" s="25"/>
      <c r="I8" s="25"/>
    </row>
    <row r="9" spans="1:17" ht="13.5" x14ac:dyDescent="0.2">
      <c r="A9" s="142" t="s">
        <v>60</v>
      </c>
      <c r="B9" s="25">
        <v>1</v>
      </c>
      <c r="C9" s="25">
        <v>1</v>
      </c>
      <c r="D9" s="25">
        <f>B9*C9</f>
        <v>1</v>
      </c>
      <c r="E9" s="25"/>
      <c r="F9" s="29">
        <f>D9*E9</f>
        <v>0</v>
      </c>
      <c r="G9" s="33">
        <f>F9*0.05</f>
        <v>0</v>
      </c>
      <c r="H9" s="33">
        <f>F9*0.1</f>
        <v>0</v>
      </c>
      <c r="I9" s="30">
        <f>F9*F$3+G9*G$3+H9*H$3</f>
        <v>0</v>
      </c>
      <c r="J9" s="91" t="s">
        <v>92</v>
      </c>
      <c r="K9" s="151" t="s">
        <v>146</v>
      </c>
    </row>
    <row r="10" spans="1:17" x14ac:dyDescent="0.2">
      <c r="A10" s="142" t="s">
        <v>19</v>
      </c>
      <c r="B10" s="25"/>
      <c r="C10" s="25"/>
      <c r="D10" s="25"/>
      <c r="E10" s="25"/>
      <c r="F10" s="29"/>
      <c r="G10" s="29"/>
      <c r="H10" s="29"/>
      <c r="I10" s="30"/>
    </row>
    <row r="11" spans="1:17" ht="13.5" x14ac:dyDescent="0.2">
      <c r="A11" s="90" t="s">
        <v>209</v>
      </c>
      <c r="B11" s="25">
        <v>70</v>
      </c>
      <c r="C11" s="25">
        <v>0.2</v>
      </c>
      <c r="D11" s="25">
        <f>B11*C11</f>
        <v>14</v>
      </c>
      <c r="E11" s="25"/>
      <c r="F11" s="33">
        <f>D11*E11</f>
        <v>0</v>
      </c>
      <c r="G11" s="31">
        <f>F11*0.05</f>
        <v>0</v>
      </c>
      <c r="H11" s="31">
        <f>F11*0.1</f>
        <v>0</v>
      </c>
      <c r="I11" s="30">
        <f>F11*F$3+G11*G$3+H11*H$3</f>
        <v>0</v>
      </c>
      <c r="K11" s="151" t="s">
        <v>147</v>
      </c>
    </row>
    <row r="12" spans="1:17" ht="13.5" x14ac:dyDescent="0.2">
      <c r="A12" s="90" t="s">
        <v>210</v>
      </c>
      <c r="B12" s="25">
        <v>3</v>
      </c>
      <c r="C12" s="25">
        <v>2</v>
      </c>
      <c r="D12" s="25">
        <f t="shared" ref="D12:D18" si="1">B12*C12</f>
        <v>6</v>
      </c>
      <c r="E12" s="25"/>
      <c r="F12" s="33">
        <f>D12*E12</f>
        <v>0</v>
      </c>
      <c r="G12" s="31">
        <f>F12*0.05</f>
        <v>0</v>
      </c>
      <c r="H12" s="31">
        <f t="shared" ref="H12:H18" si="2">F12*0.1</f>
        <v>0</v>
      </c>
      <c r="I12" s="30">
        <f>F12*F$3+G12*G$3+H12*H$3</f>
        <v>0</v>
      </c>
      <c r="K12" s="151" t="s">
        <v>159</v>
      </c>
    </row>
    <row r="13" spans="1:17" ht="13.5" x14ac:dyDescent="0.2">
      <c r="A13" s="142" t="s">
        <v>150</v>
      </c>
      <c r="B13" s="25">
        <v>4</v>
      </c>
      <c r="C13" s="25">
        <v>1</v>
      </c>
      <c r="D13" s="25">
        <f t="shared" si="1"/>
        <v>4</v>
      </c>
      <c r="E13" s="25">
        <v>0</v>
      </c>
      <c r="F13" s="29">
        <f t="shared" ref="F13:F18" si="3">D13*E13</f>
        <v>0</v>
      </c>
      <c r="G13" s="29">
        <f t="shared" ref="G13:G18" si="4">F13*0.05</f>
        <v>0</v>
      </c>
      <c r="H13" s="29">
        <f t="shared" si="2"/>
        <v>0</v>
      </c>
      <c r="I13" s="38">
        <f t="shared" ref="I13:I18" si="5">F13*F$3+G13*G$3+H13*H$3</f>
        <v>0</v>
      </c>
    </row>
    <row r="14" spans="1:17" ht="13.5" x14ac:dyDescent="0.2">
      <c r="A14" s="142" t="s">
        <v>151</v>
      </c>
      <c r="B14" s="25">
        <v>8</v>
      </c>
      <c r="C14" s="25">
        <v>1</v>
      </c>
      <c r="D14" s="25">
        <f t="shared" si="1"/>
        <v>8</v>
      </c>
      <c r="E14" s="25">
        <v>0</v>
      </c>
      <c r="F14" s="29">
        <f t="shared" si="3"/>
        <v>0</v>
      </c>
      <c r="G14" s="29">
        <f t="shared" si="4"/>
        <v>0</v>
      </c>
      <c r="H14" s="29">
        <f t="shared" si="2"/>
        <v>0</v>
      </c>
      <c r="I14" s="38">
        <f t="shared" si="5"/>
        <v>0</v>
      </c>
    </row>
    <row r="15" spans="1:17" ht="13.5" x14ac:dyDescent="0.2">
      <c r="A15" s="142" t="s">
        <v>152</v>
      </c>
      <c r="B15" s="25">
        <v>4</v>
      </c>
      <c r="C15" s="25">
        <v>1</v>
      </c>
      <c r="D15" s="25">
        <f t="shared" si="1"/>
        <v>4</v>
      </c>
      <c r="E15" s="25">
        <v>0</v>
      </c>
      <c r="F15" s="29">
        <f t="shared" si="3"/>
        <v>0</v>
      </c>
      <c r="G15" s="29">
        <f t="shared" si="4"/>
        <v>0</v>
      </c>
      <c r="H15" s="29">
        <f t="shared" si="2"/>
        <v>0</v>
      </c>
      <c r="I15" s="38">
        <f t="shared" si="5"/>
        <v>0</v>
      </c>
      <c r="K15" s="151" t="s">
        <v>153</v>
      </c>
    </row>
    <row r="16" spans="1:17" ht="13.5" x14ac:dyDescent="0.2">
      <c r="A16" s="142" t="s">
        <v>154</v>
      </c>
      <c r="B16" s="25">
        <v>70</v>
      </c>
      <c r="C16" s="25">
        <v>0</v>
      </c>
      <c r="D16" s="25">
        <f t="shared" si="1"/>
        <v>0</v>
      </c>
      <c r="E16" s="25">
        <v>0</v>
      </c>
      <c r="F16" s="25">
        <f t="shared" si="3"/>
        <v>0</v>
      </c>
      <c r="G16" s="25">
        <f t="shared" si="4"/>
        <v>0</v>
      </c>
      <c r="H16" s="25">
        <f t="shared" si="2"/>
        <v>0</v>
      </c>
      <c r="I16" s="38">
        <f t="shared" si="5"/>
        <v>0</v>
      </c>
    </row>
    <row r="17" spans="1:10" ht="25.5" x14ac:dyDescent="0.2">
      <c r="A17" s="51" t="s">
        <v>155</v>
      </c>
      <c r="B17" s="25">
        <v>2</v>
      </c>
      <c r="C17" s="25">
        <v>12</v>
      </c>
      <c r="D17" s="25">
        <f t="shared" si="1"/>
        <v>24</v>
      </c>
      <c r="E17" s="25"/>
      <c r="F17" s="25">
        <f t="shared" si="3"/>
        <v>0</v>
      </c>
      <c r="G17" s="25">
        <f t="shared" si="4"/>
        <v>0</v>
      </c>
      <c r="H17" s="25">
        <f t="shared" si="2"/>
        <v>0</v>
      </c>
      <c r="I17" s="38">
        <f t="shared" si="5"/>
        <v>0</v>
      </c>
    </row>
    <row r="18" spans="1:10" ht="13.5" x14ac:dyDescent="0.2">
      <c r="A18" s="142" t="s">
        <v>156</v>
      </c>
      <c r="B18" s="25">
        <v>0.25</v>
      </c>
      <c r="C18" s="25">
        <v>12</v>
      </c>
      <c r="D18" s="25">
        <f t="shared" si="1"/>
        <v>3</v>
      </c>
      <c r="E18" s="25"/>
      <c r="F18" s="25">
        <f t="shared" si="3"/>
        <v>0</v>
      </c>
      <c r="G18" s="25">
        <f t="shared" si="4"/>
        <v>0</v>
      </c>
      <c r="H18" s="25">
        <f t="shared" si="2"/>
        <v>0</v>
      </c>
      <c r="I18" s="38">
        <f t="shared" si="5"/>
        <v>0</v>
      </c>
    </row>
    <row r="19" spans="1:10" x14ac:dyDescent="0.2">
      <c r="A19" s="142" t="s">
        <v>8</v>
      </c>
      <c r="B19" s="25" t="s">
        <v>9</v>
      </c>
      <c r="C19" s="25"/>
      <c r="D19" s="25"/>
      <c r="E19" s="25"/>
      <c r="F19" s="25"/>
      <c r="G19" s="25"/>
      <c r="H19" s="25"/>
      <c r="I19" s="38"/>
    </row>
    <row r="20" spans="1:10" x14ac:dyDescent="0.2">
      <c r="A20" s="142" t="s">
        <v>10</v>
      </c>
      <c r="B20" s="25" t="s">
        <v>9</v>
      </c>
      <c r="C20" s="25"/>
      <c r="D20" s="25"/>
      <c r="E20" s="25"/>
      <c r="F20" s="25"/>
      <c r="G20" s="25"/>
      <c r="H20" s="25"/>
      <c r="I20" s="38"/>
    </row>
    <row r="21" spans="1:10" x14ac:dyDescent="0.2">
      <c r="A21" s="142" t="s">
        <v>11</v>
      </c>
      <c r="B21" s="25" t="s">
        <v>9</v>
      </c>
      <c r="C21" s="25"/>
      <c r="D21" s="25"/>
      <c r="E21" s="25"/>
      <c r="F21" s="25"/>
      <c r="G21" s="25"/>
      <c r="H21" s="25"/>
      <c r="I21" s="38"/>
    </row>
    <row r="22" spans="1:10" ht="13.5" x14ac:dyDescent="0.2">
      <c r="A22" s="142" t="s">
        <v>160</v>
      </c>
      <c r="B22" s="25">
        <v>4</v>
      </c>
      <c r="C22" s="25">
        <v>1</v>
      </c>
      <c r="D22" s="25">
        <f>B22*C22</f>
        <v>4</v>
      </c>
      <c r="E22" s="25">
        <v>0</v>
      </c>
      <c r="F22" s="29">
        <f t="shared" ref="F22:F23" si="6">D22*E22</f>
        <v>0</v>
      </c>
      <c r="G22" s="29">
        <f t="shared" ref="G22:G23" si="7">F22*0.05</f>
        <v>0</v>
      </c>
      <c r="H22" s="29">
        <f t="shared" ref="H22:H23" si="8">F22*0.1</f>
        <v>0</v>
      </c>
      <c r="I22" s="38">
        <f t="shared" ref="I22:I23" si="9">F22*F$3+G22*G$3+H22*H$3</f>
        <v>0</v>
      </c>
    </row>
    <row r="23" spans="1:10" ht="13.5" x14ac:dyDescent="0.2">
      <c r="A23" s="142" t="s">
        <v>161</v>
      </c>
      <c r="B23" s="25">
        <v>8</v>
      </c>
      <c r="C23" s="25">
        <v>1</v>
      </c>
      <c r="D23" s="25">
        <f>B23*C23</f>
        <v>8</v>
      </c>
      <c r="E23" s="25">
        <v>0</v>
      </c>
      <c r="F23" s="29">
        <f t="shared" si="6"/>
        <v>0</v>
      </c>
      <c r="G23" s="29">
        <f t="shared" si="7"/>
        <v>0</v>
      </c>
      <c r="H23" s="29">
        <f t="shared" si="8"/>
        <v>0</v>
      </c>
      <c r="I23" s="38">
        <f t="shared" si="9"/>
        <v>0</v>
      </c>
    </row>
    <row r="24" spans="1:10" ht="13.5" x14ac:dyDescent="0.2">
      <c r="A24" s="142" t="s">
        <v>162</v>
      </c>
      <c r="B24" s="25" t="s">
        <v>2</v>
      </c>
      <c r="C24" s="25"/>
      <c r="D24" s="25"/>
      <c r="E24" s="25"/>
      <c r="F24" s="25"/>
      <c r="G24" s="25"/>
      <c r="H24" s="25"/>
      <c r="I24" s="30"/>
    </row>
    <row r="25" spans="1:10" ht="13.5" x14ac:dyDescent="0.2">
      <c r="A25" s="142" t="s">
        <v>163</v>
      </c>
      <c r="B25" s="25" t="s">
        <v>2</v>
      </c>
      <c r="C25" s="25"/>
      <c r="D25" s="25"/>
      <c r="E25" s="25"/>
      <c r="F25" s="25"/>
      <c r="G25" s="25"/>
      <c r="H25" s="25"/>
      <c r="I25" s="30"/>
    </row>
    <row r="26" spans="1:10" ht="13.5" x14ac:dyDescent="0.2">
      <c r="A26" s="142" t="s">
        <v>165</v>
      </c>
      <c r="B26" s="25">
        <v>1</v>
      </c>
      <c r="C26" s="25">
        <v>0</v>
      </c>
      <c r="D26" s="25">
        <v>0</v>
      </c>
      <c r="E26" s="25">
        <v>0</v>
      </c>
      <c r="F26" s="25">
        <v>0</v>
      </c>
      <c r="G26" s="25">
        <v>0</v>
      </c>
      <c r="H26" s="25">
        <v>0</v>
      </c>
      <c r="I26" s="38">
        <f t="shared" ref="I26:I29" si="10">F26*F$3+G26*G$3+H26*H$3</f>
        <v>0</v>
      </c>
    </row>
    <row r="27" spans="1:10" ht="13.5" x14ac:dyDescent="0.2">
      <c r="A27" s="142" t="s">
        <v>166</v>
      </c>
      <c r="B27" s="25" t="s">
        <v>2</v>
      </c>
      <c r="C27" s="25"/>
      <c r="D27" s="25"/>
      <c r="E27" s="25"/>
      <c r="F27" s="25"/>
      <c r="G27" s="25"/>
      <c r="H27" s="25"/>
      <c r="I27" s="30"/>
      <c r="J27" s="91" t="s">
        <v>62</v>
      </c>
    </row>
    <row r="28" spans="1:10" ht="13.5" x14ac:dyDescent="0.2">
      <c r="A28" s="142" t="s">
        <v>167</v>
      </c>
      <c r="B28" s="25">
        <v>1</v>
      </c>
      <c r="C28" s="25">
        <v>0.2</v>
      </c>
      <c r="D28" s="25">
        <f>B28*C28</f>
        <v>0.2</v>
      </c>
      <c r="E28" s="25"/>
      <c r="F28" s="33">
        <f>D28*E28</f>
        <v>0</v>
      </c>
      <c r="G28" s="31">
        <f t="shared" ref="G28:G29" si="11">F28*0.05</f>
        <v>0</v>
      </c>
      <c r="H28" s="31">
        <f t="shared" ref="H28:H29" si="12">F28*0.1</f>
        <v>0</v>
      </c>
      <c r="I28" s="30">
        <f t="shared" si="10"/>
        <v>0</v>
      </c>
    </row>
    <row r="29" spans="1:10" ht="13.5" x14ac:dyDescent="0.2">
      <c r="A29" s="142" t="s">
        <v>168</v>
      </c>
      <c r="B29" s="25">
        <v>0</v>
      </c>
      <c r="C29" s="25">
        <v>0</v>
      </c>
      <c r="D29" s="25">
        <f>B29*C29</f>
        <v>0</v>
      </c>
      <c r="E29" s="25">
        <v>0</v>
      </c>
      <c r="F29" s="25">
        <f t="shared" ref="F29" si="13">D29*E29</f>
        <v>0</v>
      </c>
      <c r="G29" s="25">
        <f t="shared" si="11"/>
        <v>0</v>
      </c>
      <c r="H29" s="25">
        <f t="shared" si="12"/>
        <v>0</v>
      </c>
      <c r="I29" s="38">
        <f t="shared" si="10"/>
        <v>0</v>
      </c>
      <c r="J29" s="91" t="s">
        <v>62</v>
      </c>
    </row>
    <row r="30" spans="1:10" ht="13.5" x14ac:dyDescent="0.2">
      <c r="A30" s="142" t="s">
        <v>169</v>
      </c>
      <c r="B30" s="25" t="s">
        <v>2</v>
      </c>
      <c r="C30" s="25"/>
      <c r="D30" s="25"/>
      <c r="E30" s="25"/>
      <c r="F30" s="25"/>
      <c r="G30" s="25"/>
      <c r="H30" s="25"/>
      <c r="I30" s="30"/>
      <c r="J30" s="91" t="s">
        <v>62</v>
      </c>
    </row>
    <row r="31" spans="1:10" ht="13.5" x14ac:dyDescent="0.2">
      <c r="A31" s="142" t="s">
        <v>171</v>
      </c>
      <c r="B31" s="25" t="s">
        <v>2</v>
      </c>
      <c r="C31" s="25"/>
      <c r="D31" s="25"/>
      <c r="E31" s="25"/>
      <c r="F31" s="25"/>
      <c r="G31" s="25"/>
      <c r="H31" s="25"/>
      <c r="I31" s="30"/>
      <c r="J31" s="91" t="s">
        <v>62</v>
      </c>
    </row>
    <row r="32" spans="1:10" ht="13.5" x14ac:dyDescent="0.2">
      <c r="A32" s="142" t="s">
        <v>170</v>
      </c>
      <c r="B32" s="25" t="s">
        <v>2</v>
      </c>
      <c r="C32" s="25"/>
      <c r="D32" s="25"/>
      <c r="E32" s="25"/>
      <c r="F32" s="25"/>
      <c r="G32" s="25"/>
      <c r="H32" s="25"/>
      <c r="I32" s="30"/>
      <c r="J32" s="91" t="s">
        <v>62</v>
      </c>
    </row>
    <row r="33" spans="1:11" x14ac:dyDescent="0.2">
      <c r="A33" s="142" t="s">
        <v>137</v>
      </c>
      <c r="B33" s="25" t="s">
        <v>2</v>
      </c>
      <c r="C33" s="25"/>
      <c r="D33" s="25"/>
      <c r="E33" s="25"/>
      <c r="F33" s="25"/>
      <c r="G33" s="25"/>
      <c r="H33" s="25"/>
      <c r="I33" s="30"/>
      <c r="J33" s="91" t="s">
        <v>63</v>
      </c>
      <c r="K33" s="91" t="s">
        <v>172</v>
      </c>
    </row>
    <row r="34" spans="1:11" ht="13.5" x14ac:dyDescent="0.2">
      <c r="A34" s="142" t="s">
        <v>231</v>
      </c>
      <c r="B34" s="25">
        <v>8</v>
      </c>
      <c r="C34" s="25">
        <v>0.2</v>
      </c>
      <c r="D34" s="25">
        <f>B34*C34</f>
        <v>1.6</v>
      </c>
      <c r="E34" s="25">
        <f>'Working Respondent'!$F$5</f>
        <v>75</v>
      </c>
      <c r="F34" s="33">
        <f>D34*E34</f>
        <v>120</v>
      </c>
      <c r="G34" s="31">
        <f t="shared" ref="G34" si="14">F34*0.05</f>
        <v>6</v>
      </c>
      <c r="H34" s="31">
        <f t="shared" ref="H34" si="15">F34*0.1</f>
        <v>12</v>
      </c>
      <c r="I34" s="30">
        <f t="shared" ref="I34" si="16">F34*F$3+G34*G$3+H34*H$3</f>
        <v>11015.460000000001</v>
      </c>
    </row>
    <row r="35" spans="1:11" ht="13.5" x14ac:dyDescent="0.2">
      <c r="A35" s="142" t="s">
        <v>214</v>
      </c>
      <c r="B35" s="25">
        <v>8</v>
      </c>
      <c r="C35" s="25">
        <v>2</v>
      </c>
      <c r="D35" s="25">
        <f>B35*C35</f>
        <v>16</v>
      </c>
      <c r="E35" s="25">
        <v>0</v>
      </c>
      <c r="F35" s="29">
        <f>D35*E35</f>
        <v>0</v>
      </c>
      <c r="G35" s="33">
        <f>F35*0.05</f>
        <v>0</v>
      </c>
      <c r="H35" s="33">
        <f>F35*0.1</f>
        <v>0</v>
      </c>
      <c r="I35" s="30">
        <f t="shared" ref="I35" si="17">F35*F$3+G35*G$3+H35*H$3</f>
        <v>0</v>
      </c>
      <c r="J35" s="91" t="s">
        <v>63</v>
      </c>
    </row>
    <row r="36" spans="1:11" x14ac:dyDescent="0.2">
      <c r="A36" s="32" t="s">
        <v>12</v>
      </c>
      <c r="B36" s="25"/>
      <c r="C36" s="25"/>
      <c r="D36" s="25"/>
      <c r="E36" s="25"/>
      <c r="F36" s="180">
        <f>SUM(F5:H35)</f>
        <v>138</v>
      </c>
      <c r="G36" s="181"/>
      <c r="H36" s="182"/>
      <c r="I36" s="54">
        <f>SUM(I5:I35)</f>
        <v>11015.460000000001</v>
      </c>
    </row>
    <row r="37" spans="1:11" ht="24" customHeight="1" x14ac:dyDescent="0.2">
      <c r="A37" s="179" t="s">
        <v>13</v>
      </c>
      <c r="B37" s="179"/>
      <c r="C37" s="25"/>
      <c r="D37" s="25"/>
      <c r="E37" s="25"/>
      <c r="F37" s="25"/>
      <c r="G37" s="25"/>
      <c r="H37" s="25"/>
      <c r="I37" s="30"/>
    </row>
    <row r="38" spans="1:11" x14ac:dyDescent="0.2">
      <c r="A38" s="142" t="s">
        <v>48</v>
      </c>
      <c r="B38" s="25" t="s">
        <v>14</v>
      </c>
      <c r="C38" s="25"/>
      <c r="D38" s="25"/>
      <c r="E38" s="25"/>
      <c r="F38" s="25"/>
      <c r="G38" s="25"/>
      <c r="H38" s="25"/>
      <c r="I38" s="30"/>
    </row>
    <row r="39" spans="1:11" ht="13.5" x14ac:dyDescent="0.2">
      <c r="A39" s="142" t="s">
        <v>185</v>
      </c>
      <c r="B39" s="25">
        <v>4</v>
      </c>
      <c r="C39" s="25">
        <v>1</v>
      </c>
      <c r="D39" s="25">
        <f t="shared" ref="D39:D45" si="18">B39*C39</f>
        <v>4</v>
      </c>
      <c r="E39" s="29">
        <f>'Working Respondent'!$F$5/3</f>
        <v>25</v>
      </c>
      <c r="F39" s="29">
        <f t="shared" ref="F39:F45" si="19">D39*E39</f>
        <v>100</v>
      </c>
      <c r="G39" s="29">
        <f t="shared" ref="G39:G45" si="20">F39*0.05</f>
        <v>5</v>
      </c>
      <c r="H39" s="29">
        <f t="shared" ref="H39:H45" si="21">F39*0.1</f>
        <v>10</v>
      </c>
      <c r="I39" s="29">
        <f t="shared" ref="I39:I45" si="22">F39*F$3+G39*G$3+H39*H$3</f>
        <v>9179.5499999999993</v>
      </c>
    </row>
    <row r="40" spans="1:11" ht="13.5" x14ac:dyDescent="0.2">
      <c r="A40" s="142" t="s">
        <v>186</v>
      </c>
      <c r="B40" s="25">
        <v>4</v>
      </c>
      <c r="C40" s="25">
        <v>1</v>
      </c>
      <c r="D40" s="25">
        <f t="shared" si="18"/>
        <v>4</v>
      </c>
      <c r="E40" s="29">
        <f>'Working Respondent'!$F$5/3</f>
        <v>25</v>
      </c>
      <c r="F40" s="29">
        <f t="shared" si="19"/>
        <v>100</v>
      </c>
      <c r="G40" s="29">
        <f t="shared" si="20"/>
        <v>5</v>
      </c>
      <c r="H40" s="29">
        <f t="shared" si="21"/>
        <v>10</v>
      </c>
      <c r="I40" s="29">
        <f t="shared" si="22"/>
        <v>9179.5499999999993</v>
      </c>
    </row>
    <row r="41" spans="1:11" ht="13.5" x14ac:dyDescent="0.2">
      <c r="A41" s="142" t="s">
        <v>187</v>
      </c>
      <c r="B41" s="25">
        <v>2</v>
      </c>
      <c r="C41" s="25">
        <v>1</v>
      </c>
      <c r="D41" s="25">
        <f t="shared" si="18"/>
        <v>2</v>
      </c>
      <c r="E41" s="29">
        <f>'Working Respondent'!$F$5/3</f>
        <v>25</v>
      </c>
      <c r="F41" s="29">
        <f t="shared" si="19"/>
        <v>50</v>
      </c>
      <c r="G41" s="29">
        <f t="shared" si="20"/>
        <v>2.5</v>
      </c>
      <c r="H41" s="29">
        <f t="shared" si="21"/>
        <v>5</v>
      </c>
      <c r="I41" s="29">
        <f t="shared" si="22"/>
        <v>4589.7749999999996</v>
      </c>
    </row>
    <row r="42" spans="1:11" ht="13.5" x14ac:dyDescent="0.2">
      <c r="A42" s="142" t="s">
        <v>188</v>
      </c>
      <c r="B42" s="25">
        <v>0.5</v>
      </c>
      <c r="C42" s="25">
        <v>52</v>
      </c>
      <c r="D42" s="25">
        <f t="shared" si="18"/>
        <v>26</v>
      </c>
      <c r="E42" s="29"/>
      <c r="F42" s="23">
        <f t="shared" si="19"/>
        <v>0</v>
      </c>
      <c r="G42" s="33">
        <f t="shared" si="20"/>
        <v>0</v>
      </c>
      <c r="H42" s="33">
        <f t="shared" si="21"/>
        <v>0</v>
      </c>
      <c r="I42" s="30">
        <f t="shared" si="22"/>
        <v>0</v>
      </c>
      <c r="J42" s="93"/>
    </row>
    <row r="43" spans="1:11" ht="13.5" x14ac:dyDescent="0.2">
      <c r="A43" s="142" t="s">
        <v>193</v>
      </c>
      <c r="B43" s="25">
        <v>0.25</v>
      </c>
      <c r="C43" s="25">
        <v>2</v>
      </c>
      <c r="D43" s="25">
        <f t="shared" si="18"/>
        <v>0.5</v>
      </c>
      <c r="E43" s="29"/>
      <c r="F43" s="29">
        <f t="shared" si="19"/>
        <v>0</v>
      </c>
      <c r="G43" s="33">
        <f t="shared" si="20"/>
        <v>0</v>
      </c>
      <c r="H43" s="33">
        <f t="shared" si="21"/>
        <v>0</v>
      </c>
      <c r="I43" s="30">
        <f t="shared" si="22"/>
        <v>0</v>
      </c>
    </row>
    <row r="44" spans="1:11" ht="13.5" x14ac:dyDescent="0.2">
      <c r="A44" s="142" t="s">
        <v>191</v>
      </c>
      <c r="B44" s="25">
        <v>2</v>
      </c>
      <c r="C44" s="25">
        <v>1</v>
      </c>
      <c r="D44" s="25">
        <f t="shared" si="18"/>
        <v>2</v>
      </c>
      <c r="E44" s="29">
        <f>'Working Respondent'!$F$5/3</f>
        <v>25</v>
      </c>
      <c r="F44" s="29">
        <f t="shared" si="19"/>
        <v>50</v>
      </c>
      <c r="G44" s="29">
        <f t="shared" si="20"/>
        <v>2.5</v>
      </c>
      <c r="H44" s="29">
        <f t="shared" si="21"/>
        <v>5</v>
      </c>
      <c r="I44" s="38">
        <f t="shared" si="22"/>
        <v>4589.7749999999996</v>
      </c>
    </row>
    <row r="45" spans="1:11" ht="13.5" x14ac:dyDescent="0.2">
      <c r="A45" s="142" t="s">
        <v>192</v>
      </c>
      <c r="B45" s="25">
        <v>4</v>
      </c>
      <c r="C45" s="25">
        <v>1</v>
      </c>
      <c r="D45" s="25">
        <f t="shared" si="18"/>
        <v>4</v>
      </c>
      <c r="E45" s="29">
        <f>'Working Respondent'!$F$5/3</f>
        <v>25</v>
      </c>
      <c r="F45" s="29">
        <f t="shared" si="19"/>
        <v>100</v>
      </c>
      <c r="G45" s="33">
        <f t="shared" si="20"/>
        <v>5</v>
      </c>
      <c r="H45" s="33">
        <f t="shared" si="21"/>
        <v>10</v>
      </c>
      <c r="I45" s="30">
        <f t="shared" si="22"/>
        <v>9179.5499999999993</v>
      </c>
    </row>
    <row r="46" spans="1:11" x14ac:dyDescent="0.2">
      <c r="A46" s="142" t="s">
        <v>16</v>
      </c>
      <c r="B46" s="25" t="s">
        <v>2</v>
      </c>
      <c r="C46" s="25"/>
      <c r="D46" s="25"/>
      <c r="E46" s="25"/>
      <c r="F46" s="25"/>
      <c r="G46" s="25"/>
      <c r="H46" s="25"/>
      <c r="I46" s="30"/>
    </row>
    <row r="47" spans="1:11" x14ac:dyDescent="0.2">
      <c r="A47" s="32" t="s">
        <v>17</v>
      </c>
      <c r="B47" s="25"/>
      <c r="C47" s="25"/>
      <c r="D47" s="25"/>
      <c r="E47" s="25"/>
      <c r="F47" s="180">
        <f>SUM(F37:H46)</f>
        <v>460</v>
      </c>
      <c r="G47" s="181"/>
      <c r="H47" s="182"/>
      <c r="I47" s="37">
        <f>SUM(I37:I46)</f>
        <v>36718.199999999997</v>
      </c>
    </row>
    <row r="48" spans="1:11" ht="14.25" x14ac:dyDescent="0.2">
      <c r="A48" s="97" t="s">
        <v>194</v>
      </c>
      <c r="B48" s="97"/>
      <c r="C48" s="97"/>
      <c r="D48" s="98"/>
      <c r="E48" s="98"/>
      <c r="F48" s="185">
        <f>ROUND(F47+F36,-1)</f>
        <v>600</v>
      </c>
      <c r="G48" s="185"/>
      <c r="H48" s="185"/>
      <c r="I48" s="143">
        <f>ROUND(I47+I36,-3)</f>
        <v>48000</v>
      </c>
    </row>
    <row r="49" spans="1:11" ht="14.25" x14ac:dyDescent="0.2">
      <c r="A49" s="99" t="s">
        <v>195</v>
      </c>
      <c r="B49" s="99"/>
      <c r="C49" s="99"/>
      <c r="D49" s="100"/>
      <c r="E49" s="100"/>
      <c r="F49" s="186"/>
      <c r="G49" s="187"/>
      <c r="H49" s="188"/>
      <c r="I49" s="52">
        <v>0</v>
      </c>
    </row>
    <row r="50" spans="1:11" ht="14.25" x14ac:dyDescent="0.2">
      <c r="A50" s="26" t="s">
        <v>196</v>
      </c>
      <c r="B50" s="101"/>
      <c r="C50" s="101"/>
      <c r="D50" s="101"/>
      <c r="E50" s="101"/>
      <c r="F50" s="183">
        <f>F48</f>
        <v>600</v>
      </c>
      <c r="G50" s="184"/>
      <c r="H50" s="184"/>
      <c r="I50" s="55">
        <f>I48</f>
        <v>48000</v>
      </c>
    </row>
    <row r="52" spans="1:11" x14ac:dyDescent="0.2">
      <c r="A52" s="102" t="s">
        <v>35</v>
      </c>
    </row>
    <row r="53" spans="1:11" ht="13.5" x14ac:dyDescent="0.2">
      <c r="A53" s="34" t="s">
        <v>177</v>
      </c>
    </row>
    <row r="54" spans="1:11" ht="13.5" x14ac:dyDescent="0.2">
      <c r="A54" s="34" t="s">
        <v>120</v>
      </c>
    </row>
    <row r="55" spans="1:11" ht="13.5" x14ac:dyDescent="0.2">
      <c r="A55" s="34" t="s">
        <v>148</v>
      </c>
    </row>
    <row r="56" spans="1:11" ht="13.5" x14ac:dyDescent="0.2">
      <c r="A56" s="34" t="s">
        <v>149</v>
      </c>
    </row>
    <row r="57" spans="1:11" ht="13.5" x14ac:dyDescent="0.2">
      <c r="A57" s="34" t="s">
        <v>157</v>
      </c>
    </row>
    <row r="58" spans="1:11" ht="13.5" x14ac:dyDescent="0.2">
      <c r="A58" s="34" t="s">
        <v>158</v>
      </c>
    </row>
    <row r="59" spans="1:11" ht="13.5" x14ac:dyDescent="0.2">
      <c r="A59" s="34" t="s">
        <v>184</v>
      </c>
    </row>
    <row r="60" spans="1:11" ht="13.5" x14ac:dyDescent="0.2">
      <c r="A60" s="34" t="s">
        <v>164</v>
      </c>
    </row>
    <row r="61" spans="1:11" ht="13.5" x14ac:dyDescent="0.2">
      <c r="A61" s="34" t="s">
        <v>173</v>
      </c>
    </row>
    <row r="62" spans="1:11" ht="13.5" x14ac:dyDescent="0.2">
      <c r="A62" s="47" t="s">
        <v>183</v>
      </c>
      <c r="K62" s="91" t="s">
        <v>64</v>
      </c>
    </row>
    <row r="63" spans="1:11" ht="13.5" x14ac:dyDescent="0.2">
      <c r="A63" s="34" t="s">
        <v>189</v>
      </c>
      <c r="K63" s="91" t="s">
        <v>63</v>
      </c>
    </row>
    <row r="64" spans="1:11" ht="13.5" x14ac:dyDescent="0.2">
      <c r="A64" s="44" t="s">
        <v>190</v>
      </c>
      <c r="K64" s="91" t="s">
        <v>65</v>
      </c>
    </row>
  </sheetData>
  <mergeCells count="7">
    <mergeCell ref="F50:H50"/>
    <mergeCell ref="A8:B8"/>
    <mergeCell ref="F36:H36"/>
    <mergeCell ref="A37:B37"/>
    <mergeCell ref="F47:H47"/>
    <mergeCell ref="F48:H48"/>
    <mergeCell ref="F49:H49"/>
  </mergeCells>
  <hyperlinks>
    <hyperlink ref="N2" r:id="rId1" xr:uid="{EDB096A2-0645-4D9C-8805-5408C8AB60A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1a_small</vt:lpstr>
      <vt:lpstr>1b_large</vt:lpstr>
      <vt:lpstr>OpCosts</vt:lpstr>
      <vt:lpstr>1c_Summary</vt:lpstr>
      <vt:lpstr>2_EPA</vt:lpstr>
      <vt:lpstr>Responses</vt:lpstr>
      <vt:lpstr>Working Respondent</vt:lpstr>
      <vt:lpstr>1a_increment</vt:lpstr>
      <vt:lpstr>1b_increment</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EPA</cp:lastModifiedBy>
  <dcterms:created xsi:type="dcterms:W3CDTF">2014-09-29T16:56:37Z</dcterms:created>
  <dcterms:modified xsi:type="dcterms:W3CDTF">2019-08-23T18:52:38Z</dcterms:modified>
</cp:coreProperties>
</file>