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wwrigley\OneDrive - Environmental Protection Agency (EPA)\Desktop\temp\"/>
    </mc:Choice>
  </mc:AlternateContent>
  <xr:revisionPtr revIDLastSave="0" documentId="8_{FDDA8602-846F-4C8C-96E8-0282DE8568B9}" xr6:coauthVersionLast="45" xr6:coauthVersionMax="45" xr10:uidLastSave="{00000000-0000-0000-0000-000000000000}"/>
  <bookViews>
    <workbookView xWindow="-110" yWindow="-110" windowWidth="19420" windowHeight="10420" xr2:uid="{0065329F-F5C5-4385-A595-A7A71DDAC2E3}"/>
  </bookViews>
  <sheets>
    <sheet name="Table 1" sheetId="1" r:id="rId1"/>
    <sheet name="Table 2" sheetId="3" r:id="rId2"/>
    <sheet name="O&amp;M" sheetId="4" r:id="rId3"/>
    <sheet name="Performance EvaluationRATA" sheetId="2" state="hidden" r:id="rId4"/>
  </sheets>
  <definedNames>
    <definedName name="_Toc489885102" localSheetId="0">'Performance EvaluationRATA'!$B$5</definedName>
    <definedName name="ap40.13.63_12192.6" localSheetId="0">'Performance EvaluationRATA'!$B$6</definedName>
    <definedName name="_xlnm.Print_Area" localSheetId="0">'Table 1'!$B$3:$N$59</definedName>
    <definedName name="_xlnm.Print_Area" localSheetId="1">'Table 2'!$B$2:$M$26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1" l="1"/>
  <c r="L42" i="1"/>
  <c r="H10" i="4"/>
  <c r="L44" i="1" s="1"/>
  <c r="H9" i="4"/>
  <c r="H8" i="4"/>
  <c r="H7" i="4"/>
  <c r="I19" i="3"/>
  <c r="H43" i="1"/>
  <c r="R43" i="1" s="1"/>
  <c r="M19" i="3"/>
  <c r="H25" i="1"/>
  <c r="H42" i="1"/>
  <c r="K42" i="1"/>
  <c r="K45" i="1"/>
  <c r="L43" i="1" l="1"/>
  <c r="L45" i="1" s="1"/>
  <c r="P43" i="1"/>
  <c r="M14" i="1" l="1"/>
  <c r="F8" i="4" l="1"/>
  <c r="G7" i="4" l="1"/>
  <c r="G8" i="4" l="1"/>
  <c r="F9" i="4"/>
  <c r="C9" i="4"/>
  <c r="E9" i="4" s="1"/>
  <c r="E8" i="4"/>
  <c r="F7" i="4"/>
  <c r="D7" i="4"/>
  <c r="E7" i="4" l="1"/>
  <c r="E10" i="4" s="1"/>
  <c r="M13" i="1" l="1"/>
  <c r="J18" i="3" l="1"/>
  <c r="M18" i="3" s="1"/>
  <c r="I17" i="3"/>
  <c r="J17" i="3" s="1"/>
  <c r="G15" i="3"/>
  <c r="I15" i="3" s="1"/>
  <c r="I9" i="3"/>
  <c r="B9" i="3"/>
  <c r="I8" i="3"/>
  <c r="I6" i="3"/>
  <c r="N42" i="1"/>
  <c r="F40" i="1"/>
  <c r="M39" i="1"/>
  <c r="F39" i="1"/>
  <c r="F37" i="1"/>
  <c r="F36" i="1"/>
  <c r="F34" i="1"/>
  <c r="G34" i="1"/>
  <c r="F33" i="1"/>
  <c r="M32" i="1"/>
  <c r="F32" i="1"/>
  <c r="H32" i="1" s="1"/>
  <c r="M30" i="1"/>
  <c r="F30" i="1"/>
  <c r="H30" i="1" s="1"/>
  <c r="G16" i="3"/>
  <c r="I16" i="3" s="1"/>
  <c r="F24" i="1"/>
  <c r="N23" i="1"/>
  <c r="M23" i="1"/>
  <c r="F23" i="1"/>
  <c r="H23" i="1" s="1"/>
  <c r="G22" i="1"/>
  <c r="N22" i="1" s="1"/>
  <c r="F22" i="1"/>
  <c r="G21" i="1"/>
  <c r="F21" i="1"/>
  <c r="F20" i="1"/>
  <c r="F19" i="1"/>
  <c r="F15" i="1"/>
  <c r="H15" i="1" s="1"/>
  <c r="M15" i="1"/>
  <c r="F14" i="1"/>
  <c r="H14" i="1" s="1"/>
  <c r="F13" i="1"/>
  <c r="F12" i="1"/>
  <c r="F11" i="1"/>
  <c r="H11" i="1" s="1"/>
  <c r="M11" i="1"/>
  <c r="L48" i="1" s="1"/>
  <c r="M8" i="1"/>
  <c r="F8" i="1"/>
  <c r="H8" i="1" s="1"/>
  <c r="K8" i="3" l="1"/>
  <c r="J6" i="3"/>
  <c r="M6" i="3" s="1"/>
  <c r="K17" i="3"/>
  <c r="M17" i="3" s="1"/>
  <c r="L47" i="1"/>
  <c r="M12" i="1"/>
  <c r="H40" i="1"/>
  <c r="J40" i="1" s="1"/>
  <c r="I14" i="1"/>
  <c r="I32" i="1"/>
  <c r="M33" i="1"/>
  <c r="H12" i="1"/>
  <c r="I12" i="1" s="1"/>
  <c r="H39" i="1"/>
  <c r="N24" i="1"/>
  <c r="M40" i="1"/>
  <c r="M24" i="1"/>
  <c r="I23" i="1"/>
  <c r="J30" i="1"/>
  <c r="K16" i="3"/>
  <c r="J16" i="3"/>
  <c r="J15" i="3"/>
  <c r="K15" i="3"/>
  <c r="I8" i="1"/>
  <c r="J8" i="1"/>
  <c r="J32" i="1"/>
  <c r="G14" i="3"/>
  <c r="I14" i="3" s="1"/>
  <c r="M21" i="1"/>
  <c r="N21" i="1"/>
  <c r="H21" i="1"/>
  <c r="J9" i="3"/>
  <c r="K9" i="3"/>
  <c r="H22" i="1"/>
  <c r="J23" i="1"/>
  <c r="I30" i="1"/>
  <c r="L30" i="1" s="1"/>
  <c r="J11" i="1"/>
  <c r="I11" i="1"/>
  <c r="J14" i="1"/>
  <c r="I15" i="1"/>
  <c r="J15" i="1"/>
  <c r="G13" i="3"/>
  <c r="I13" i="3" s="1"/>
  <c r="M19" i="1"/>
  <c r="H19" i="1"/>
  <c r="N19" i="1"/>
  <c r="M34" i="1"/>
  <c r="H34" i="1"/>
  <c r="H13" i="1"/>
  <c r="G20" i="1"/>
  <c r="M22" i="1"/>
  <c r="H24" i="1"/>
  <c r="H33" i="1"/>
  <c r="K6" i="3"/>
  <c r="J8" i="3"/>
  <c r="G36" i="1"/>
  <c r="G37" i="1"/>
  <c r="L17" i="3" l="1"/>
  <c r="L8" i="3"/>
  <c r="L6" i="3"/>
  <c r="L9" i="3"/>
  <c r="M8" i="3"/>
  <c r="L32" i="1"/>
  <c r="L15" i="1"/>
  <c r="I40" i="1"/>
  <c r="L40" i="1" s="1"/>
  <c r="M9" i="3"/>
  <c r="M16" i="3"/>
  <c r="L14" i="1"/>
  <c r="L23" i="1"/>
  <c r="L8" i="1"/>
  <c r="L11" i="1"/>
  <c r="M15" i="3"/>
  <c r="J39" i="1"/>
  <c r="L15" i="3"/>
  <c r="K14" i="1"/>
  <c r="K8" i="1"/>
  <c r="I39" i="1"/>
  <c r="J12" i="1"/>
  <c r="K12" i="1" s="1"/>
  <c r="K30" i="1"/>
  <c r="L16" i="3"/>
  <c r="K15" i="1"/>
  <c r="K23" i="1"/>
  <c r="J33" i="1"/>
  <c r="I33" i="1"/>
  <c r="H37" i="1"/>
  <c r="M37" i="1"/>
  <c r="J24" i="1"/>
  <c r="I24" i="1"/>
  <c r="I19" i="1"/>
  <c r="J19" i="1"/>
  <c r="I21" i="1"/>
  <c r="J21" i="1"/>
  <c r="J34" i="1"/>
  <c r="I34" i="1"/>
  <c r="J13" i="1"/>
  <c r="I13" i="1"/>
  <c r="M36" i="1"/>
  <c r="H36" i="1"/>
  <c r="N20" i="1"/>
  <c r="N25" i="1" s="1"/>
  <c r="N45" i="1" s="1"/>
  <c r="M20" i="1"/>
  <c r="M25" i="1" s="1"/>
  <c r="H20" i="1"/>
  <c r="K13" i="3"/>
  <c r="J13" i="3"/>
  <c r="K11" i="1"/>
  <c r="I22" i="1"/>
  <c r="J22" i="1"/>
  <c r="J14" i="3"/>
  <c r="K14" i="3"/>
  <c r="K32" i="1"/>
  <c r="K40" i="1" l="1"/>
  <c r="L21" i="1"/>
  <c r="K39" i="1"/>
  <c r="L22" i="1"/>
  <c r="L34" i="1"/>
  <c r="M14" i="3"/>
  <c r="L13" i="1"/>
  <c r="M13" i="3"/>
  <c r="L24" i="1"/>
  <c r="K33" i="1"/>
  <c r="L39" i="1"/>
  <c r="L12" i="1"/>
  <c r="L33" i="1"/>
  <c r="K19" i="1"/>
  <c r="L19" i="1"/>
  <c r="K34" i="1"/>
  <c r="K22" i="1"/>
  <c r="M42" i="1"/>
  <c r="M45" i="1" s="1"/>
  <c r="K24" i="1"/>
  <c r="K21" i="1"/>
  <c r="L14" i="3"/>
  <c r="K13" i="1"/>
  <c r="I37" i="1"/>
  <c r="J37" i="1"/>
  <c r="J36" i="1"/>
  <c r="I36" i="1"/>
  <c r="J20" i="1"/>
  <c r="I20" i="1"/>
  <c r="L13" i="3"/>
  <c r="L36" i="1" l="1"/>
  <c r="L20" i="1"/>
  <c r="L37" i="1"/>
  <c r="K20" i="1"/>
  <c r="K25" i="1" s="1"/>
  <c r="K36" i="1"/>
  <c r="K37" i="1"/>
  <c r="J47" i="1" l="1"/>
  <c r="K47" i="1" l="1"/>
  <c r="M47" i="1" s="1"/>
</calcChain>
</file>

<file path=xl/sharedStrings.xml><?xml version="1.0" encoding="utf-8"?>
<sst xmlns="http://schemas.openxmlformats.org/spreadsheetml/2006/main" count="207" uniqueCount="162">
  <si>
    <t>Burden Item</t>
  </si>
  <si>
    <t>(A)
Respondent Hours per Occurrence (Technical hours)</t>
  </si>
  <si>
    <t>(B) 
Non-Labor Costs Per Occurrence</t>
  </si>
  <si>
    <t>(C) 
Number of Occurrences Per Respondent Per Year</t>
  </si>
  <si>
    <t>(D)
Technical Hours per Respondent Per Year
 (A X C)</t>
  </si>
  <si>
    <t>(E)
Number of Respondents Per Year</t>
  </si>
  <si>
    <t>(F)
Technical Hours per Year
(D X E)</t>
  </si>
  <si>
    <t>(G) 
Clerical Hours per Year
(F X 0.1)</t>
  </si>
  <si>
    <t>(H)
Management Hours per Year
(F X .05)</t>
  </si>
  <si>
    <t>(I)
Total Hours per Year
(F + G + H)</t>
  </si>
  <si>
    <t>(K)
Total Non-Labor Costs Per Year 
(B x C x E)</t>
  </si>
  <si>
    <t>(L)
Total Number of Responses per Year
(C X E)</t>
  </si>
  <si>
    <t>Performance evaluation/RATA note and background: we assumed 3 facilities would conduct in year 1 and 1 facility would conduct in year 3. Subsequent performance evaluations/RATA must be done at least once every 12 quarters. So you will need to build this into your renewal. See the "Performance Evaluation RATA" tab for applicable rule language</t>
  </si>
  <si>
    <t>1.  Applications</t>
  </si>
  <si>
    <t>NA</t>
  </si>
  <si>
    <t>2.  Surveys and Studies</t>
  </si>
  <si>
    <t>3.  Reporting Requirements</t>
  </si>
  <si>
    <t>no costs</t>
  </si>
  <si>
    <t>B.  Required Activities</t>
  </si>
  <si>
    <t>a.  Capital Cost</t>
  </si>
  <si>
    <t>yr 3 for AB Mauri</t>
  </si>
  <si>
    <t>keep</t>
  </si>
  <si>
    <t>yr 1 &amp; 2 for 3 facilities (AB Mauri in yr 3)</t>
  </si>
  <si>
    <t>yr 1 for 3 facilities (AB Mauri in yr 3)</t>
  </si>
  <si>
    <t>3.  Brew Ethanol Correlation</t>
  </si>
  <si>
    <t>none</t>
  </si>
  <si>
    <t>yr 1 &amp; 2 for AB Mauri</t>
  </si>
  <si>
    <t>C.  Create Information</t>
  </si>
  <si>
    <t>Inc. in 3B</t>
  </si>
  <si>
    <t>D.  Gather Information</t>
  </si>
  <si>
    <t>Inc. in 3E</t>
  </si>
  <si>
    <t>E.  Report Preparation</t>
  </si>
  <si>
    <t>1.  Develop Performance Evaluation Plan</t>
  </si>
  <si>
    <t>2.  Notification of Performance Evaluation</t>
  </si>
  <si>
    <t>3.  Performance Evaluation Report</t>
  </si>
  <si>
    <t>4.  Notification of Performance Test</t>
  </si>
  <si>
    <t>5.  Notification of Compliance Status</t>
  </si>
  <si>
    <t>yr 1 &amp; 2 for AB Mauri (while doing stack tests)</t>
  </si>
  <si>
    <t>6.  Semiannual Compliance Report</t>
  </si>
  <si>
    <t>all yrs</t>
  </si>
  <si>
    <t>4.  Recordkeeping Requirements</t>
  </si>
  <si>
    <t>A.  Read Instructions</t>
  </si>
  <si>
    <t>Inc. in 3.A</t>
  </si>
  <si>
    <t>B.  Implement Activities</t>
  </si>
  <si>
    <t>C.  Develop Record System</t>
  </si>
  <si>
    <t>1.  Compliance Calculation Tracking</t>
  </si>
  <si>
    <t>yr 1 for all facilities &amp; yr 3 for AB Mauri</t>
  </si>
  <si>
    <t>D.  Record information</t>
  </si>
  <si>
    <t>1.  Performance Evaluations</t>
  </si>
  <si>
    <t>2.  CEMS Measurements</t>
  </si>
  <si>
    <t>3.  Compliance Calculation</t>
  </si>
  <si>
    <t>4.  CEMS Calibration and Maintenance</t>
  </si>
  <si>
    <t>Inc. in 3.B.1.b</t>
  </si>
  <si>
    <t>5.  Store, File, and Maintain Records</t>
  </si>
  <si>
    <t>6.  Retrieve Records/Reports</t>
  </si>
  <si>
    <t>E.  Personnel Training</t>
  </si>
  <si>
    <t>1.  Acquisition, Installation, &amp; Training</t>
  </si>
  <si>
    <t>2.  CEMS Inspection and Monitoring</t>
  </si>
  <si>
    <t>F.  Time for Audits</t>
  </si>
  <si>
    <t>Total Hours</t>
  </si>
  <si>
    <t>Labor</t>
  </si>
  <si>
    <t>Non-Labor</t>
  </si>
  <si>
    <t>Total</t>
  </si>
  <si>
    <t>Summary of Respondent Burden</t>
  </si>
  <si>
    <t>Initial Capital and Startup</t>
  </si>
  <si>
    <t>CEMS RATA: 2163(b)(1) langugage -- (1) You must conduct a RATA at least once every 12 calendar quarters, in accordance with sections 8 and 11, as applicable, of Performance Specification 8.</t>
  </si>
  <si>
    <t xml:space="preserve">Table 5 to Subpart CCCC of Part 63—Requirements for Reports </t>
  </si>
  <si>
    <t xml:space="preserve">You must submit a </t>
  </si>
  <si>
    <t>The report must contain...</t>
  </si>
  <si>
    <t>You must submit the report...</t>
  </si>
  <si>
    <t>3. Performance evaluation report</t>
  </si>
  <si>
    <t>The results of the performance evaluation, including information from the performance evaluation plan at § 63.8(e)(3).</t>
  </si>
  <si>
    <t>At least once every twelve calendar quarters and according to the requirements in §§ 63.2163(f) and 63.2181(a)(1)(ii).</t>
  </si>
  <si>
    <t>(A)</t>
  </si>
  <si>
    <t>(B)</t>
  </si>
  <si>
    <t>(C)</t>
  </si>
  <si>
    <t>(D)</t>
  </si>
  <si>
    <t>(E)</t>
  </si>
  <si>
    <t>(F)</t>
  </si>
  <si>
    <t>(G)</t>
  </si>
  <si>
    <t>Technical Hours Per Occurrence</t>
  </si>
  <si>
    <t>Tech Hours Per Year
(C=A x B)</t>
  </si>
  <si>
    <t>Management Hours Per Year
(D = C x 0.05)</t>
  </si>
  <si>
    <t>Clerical Hours Per Year
(E = C x 0.1)</t>
  </si>
  <si>
    <t>Total Hours Per Year (C+D+E)</t>
  </si>
  <si>
    <t>1.</t>
  </si>
  <si>
    <t>Applications</t>
  </si>
  <si>
    <t>not applicable</t>
  </si>
  <si>
    <t>2.</t>
  </si>
  <si>
    <t>3.</t>
  </si>
  <si>
    <t>Required Activities</t>
  </si>
  <si>
    <t>A.</t>
  </si>
  <si>
    <t>Observe stack tests</t>
  </si>
  <si>
    <t>B.</t>
  </si>
  <si>
    <t>C.</t>
  </si>
  <si>
    <t>Create Information</t>
  </si>
  <si>
    <t>D.</t>
  </si>
  <si>
    <t>Gather Information</t>
  </si>
  <si>
    <t>E.</t>
  </si>
  <si>
    <t>Report Reviews</t>
  </si>
  <si>
    <t>Review performance evaluation plans</t>
  </si>
  <si>
    <t>Review performance evaluation reports</t>
  </si>
  <si>
    <t>Review performance test reports</t>
  </si>
  <si>
    <t>4.</t>
  </si>
  <si>
    <t>Review compliance reports</t>
  </si>
  <si>
    <t>F.</t>
  </si>
  <si>
    <t>Prepare annual summary report</t>
  </si>
  <si>
    <t xml:space="preserve">Travel expenses:  (1 person *  30 hours per year / 8 hours per day * $75 per diem) + ($600 per round trip) = </t>
  </si>
  <si>
    <t>per trip</t>
  </si>
  <si>
    <t>Percent of Stack Tests Observed</t>
  </si>
  <si>
    <t>Estimated Percent Retesting</t>
  </si>
  <si>
    <t>Estimated Percent Emission Exceedences</t>
  </si>
  <si>
    <t>Revise to "familiarization with…" and update for 4 facilities.</t>
  </si>
  <si>
    <t>Revise to 0 - no costs following initial implementation</t>
  </si>
  <si>
    <t>Revise to 1.33/yr - see "Performance evaluation/RATA note and background" note above, assumes 4 sources will complete over 12 quarters or 3 years for average of 1.33/year</t>
  </si>
  <si>
    <t>Subtotal for Recordkeeping Requirements</t>
  </si>
  <si>
    <t>Subtotal for Reporting Requirements</t>
  </si>
  <si>
    <t>Table 1 - Annual Respondent Burden and Cost – NESHAP for Manufacturing of Nutritional Yeast (40 CFR Part 63, CCCC) (Renewal)</t>
  </si>
  <si>
    <t>Table 2 - Average Annual EPA Burden and Cost – NESHAP for Manufacturing of Nutritional Yeast (40 CFR Part 63, CCCC) (Renewal)</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</si>
  <si>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</si>
  <si>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</si>
  <si>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</si>
  <si>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</si>
  <si>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</si>
  <si>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</si>
  <si>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</si>
  <si>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</si>
  <si>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r>
      <t>VOC CEMs</t>
    </r>
    <r>
      <rPr>
        <vertAlign val="superscript"/>
        <sz val="10"/>
        <color rgb="FF000000"/>
        <rFont val="Times New Roman"/>
        <family val="1"/>
      </rPr>
      <t>a</t>
    </r>
  </si>
  <si>
    <r>
      <t>CEMS RATA</t>
    </r>
    <r>
      <rPr>
        <vertAlign val="superscript"/>
        <sz val="10"/>
        <color rgb="FF000000"/>
        <rFont val="Times New Roman"/>
        <family val="1"/>
      </rPr>
      <t>b</t>
    </r>
  </si>
  <si>
    <r>
      <t>Brew Ethanol Correlation</t>
    </r>
    <r>
      <rPr>
        <vertAlign val="superscript"/>
        <sz val="10"/>
        <color rgb="FF000000"/>
        <rFont val="Times New Roman"/>
        <family val="1"/>
      </rPr>
      <t>c</t>
    </r>
  </si>
  <si>
    <t>c Assumes no facilities will conduct brew ethanol correlation.</t>
  </si>
  <si>
    <t>a Assumes all facilities have installed CEMS to comply with the rule. Annual costs include operation, maintenance, and repair of CEMS.</t>
  </si>
  <si>
    <t>b Assumes an annual O&amp;M cost of $3,624 to conduct RATA per CEMS and an average of 6.5 CEMs per facility. Assumes 4 respondents will complete over 12 quarters or 3 years for average of 1.33 respondents/year.</t>
  </si>
  <si>
    <r>
      <rPr>
        <vertAlign val="superscript"/>
        <sz val="8"/>
        <rFont val="Arial"/>
        <family val="2"/>
      </rPr>
      <t>a</t>
    </r>
    <r>
      <rPr>
        <sz val="8"/>
        <rFont val="Arial"/>
        <family val="2"/>
      </rPr>
      <t xml:space="preserve">  We have assumed that all of the respondents will familiarize with the regulatory requirements each year.</t>
    </r>
  </si>
  <si>
    <r>
      <t xml:space="preserve">A.  Familiarization with the regulatory requirements </t>
    </r>
    <r>
      <rPr>
        <vertAlign val="superscript"/>
        <sz val="8"/>
        <rFont val="Arial"/>
        <family val="2"/>
      </rPr>
      <t>a</t>
    </r>
  </si>
  <si>
    <r>
      <t xml:space="preserve">1.  VOC CEMS </t>
    </r>
    <r>
      <rPr>
        <vertAlign val="superscript"/>
        <sz val="8"/>
        <rFont val="Arial"/>
        <family val="2"/>
      </rPr>
      <t>c</t>
    </r>
  </si>
  <si>
    <r>
      <t>b.  Annualized Cost</t>
    </r>
    <r>
      <rPr>
        <vertAlign val="superscript"/>
        <sz val="8"/>
        <rFont val="Arial"/>
        <family val="2"/>
      </rPr>
      <t xml:space="preserve"> d</t>
    </r>
  </si>
  <si>
    <r>
      <rPr>
        <vertAlign val="superscript"/>
        <sz val="8"/>
        <rFont val="Arial"/>
        <family val="2"/>
      </rPr>
      <t>d</t>
    </r>
    <r>
      <rPr>
        <sz val="8"/>
        <rFont val="Arial"/>
        <family val="2"/>
      </rPr>
      <t xml:space="preserve"> Annualized cost equals the average of all facility annualized costs (based on number of fermenters). Includes operation, maintenance, and repairs of CEMS.</t>
    </r>
  </si>
  <si>
    <r>
      <t xml:space="preserve">2.  Performance evaluation </t>
    </r>
    <r>
      <rPr>
        <vertAlign val="superscript"/>
        <sz val="8"/>
        <rFont val="Arial"/>
        <family val="2"/>
      </rPr>
      <t>e</t>
    </r>
  </si>
  <si>
    <r>
      <rPr>
        <vertAlign val="superscript"/>
        <sz val="8"/>
        <rFont val="Arial"/>
        <family val="2"/>
      </rPr>
      <t>e</t>
    </r>
    <r>
      <rPr>
        <sz val="8"/>
        <rFont val="Arial"/>
        <family val="2"/>
      </rPr>
      <t xml:space="preserve"> Labor hours to conduct performance evaluation of CEMS. Assumes 4 respondents will complete over 12 quarters or 3 years for average of 1.33/year.</t>
    </r>
  </si>
  <si>
    <r>
      <t xml:space="preserve">a.  CEMS RATA </t>
    </r>
    <r>
      <rPr>
        <vertAlign val="superscript"/>
        <sz val="8"/>
        <rFont val="Arial"/>
        <family val="2"/>
      </rPr>
      <t>f</t>
    </r>
  </si>
  <si>
    <r>
      <rPr>
        <vertAlign val="superscript"/>
        <sz val="8"/>
        <rFont val="Arial"/>
        <family val="2"/>
      </rPr>
      <t>c</t>
    </r>
    <r>
      <rPr>
        <sz val="8"/>
        <rFont val="Arial"/>
        <family val="2"/>
      </rPr>
      <t xml:space="preserve"> All facilities must use VOC CEMS.</t>
    </r>
  </si>
  <si>
    <r>
      <rPr>
        <vertAlign val="superscript"/>
        <sz val="9"/>
        <rFont val="Arial"/>
        <family val="2"/>
      </rPr>
      <t xml:space="preserve">a </t>
    </r>
    <r>
      <rPr>
        <sz val="9"/>
        <rFont val="Arial"/>
        <family val="2"/>
      </rPr>
      <t>Number of occurrences is the number of states where affected sources will exist and each EPA Region (3 states + 3 EPA regions = 6 respondents).</t>
    </r>
  </si>
  <si>
    <r>
      <rPr>
        <vertAlign val="superscript"/>
        <sz val="9"/>
        <rFont val="Arial"/>
        <family val="2"/>
      </rPr>
      <t>b</t>
    </r>
    <r>
      <rPr>
        <sz val="9"/>
        <rFont val="Arial"/>
        <family val="2"/>
      </rPr>
      <t xml:space="preserve"> Assume 1 of the facilities will exceed emissions in year 2.</t>
    </r>
  </si>
  <si>
    <r>
      <t xml:space="preserve">Excess emissions -- Enforcement Activities </t>
    </r>
    <r>
      <rPr>
        <vertAlign val="superscript"/>
        <sz val="9"/>
        <rFont val="Arial"/>
        <family val="2"/>
      </rPr>
      <t>b</t>
    </r>
  </si>
  <si>
    <r>
      <t xml:space="preserve">Total Cost Per Year </t>
    </r>
    <r>
      <rPr>
        <vertAlign val="superscript"/>
        <sz val="9"/>
        <color theme="1"/>
        <rFont val="Arial"/>
        <family val="2"/>
      </rPr>
      <t>c</t>
    </r>
  </si>
  <si>
    <r>
      <rPr>
        <vertAlign val="superscript"/>
        <sz val="8"/>
        <rFont val="Arial"/>
        <family val="2"/>
      </rPr>
      <t xml:space="preserve">g </t>
    </r>
    <r>
      <rPr>
        <sz val="8"/>
        <rFont val="Arial"/>
        <family val="2"/>
      </rPr>
      <t xml:space="preserve"> Totals have been rounded to 3 significant figures. Figures may not add exactly due to rounding.</t>
    </r>
  </si>
  <si>
    <r>
      <rPr>
        <vertAlign val="superscript"/>
        <sz val="8"/>
        <rFont val="Arial"/>
        <family val="2"/>
      </rPr>
      <t xml:space="preserve">f </t>
    </r>
    <r>
      <rPr>
        <sz val="8"/>
        <rFont val="Arial"/>
        <family val="2"/>
      </rPr>
      <t>Line item for annual non-labor cost to conduct RATA. Number of occurrences per respondent equals the average number of CEMS (i.e., fermenters) per facility. Assumes 4 sources will complete over 12 quarters or 3 years for average of 1.33/year.</t>
    </r>
  </si>
  <si>
    <r>
      <t xml:space="preserve">GRAND TOTAL (rounded) </t>
    </r>
    <r>
      <rPr>
        <b/>
        <vertAlign val="superscript"/>
        <sz val="8"/>
        <rFont val="Arial"/>
        <family val="2"/>
      </rPr>
      <t>g</t>
    </r>
  </si>
  <si>
    <r>
      <t xml:space="preserve">TOTAL CAPITAL AND O&amp;M COST (rounded) </t>
    </r>
    <r>
      <rPr>
        <b/>
        <vertAlign val="superscript"/>
        <sz val="8"/>
        <rFont val="Arial"/>
        <family val="2"/>
      </rPr>
      <t>g</t>
    </r>
  </si>
  <si>
    <t>Familiarization with the regulatory requirements</t>
  </si>
  <si>
    <r>
      <t xml:space="preserve">Number of Occurrences Per Year </t>
    </r>
    <r>
      <rPr>
        <vertAlign val="superscript"/>
        <sz val="9"/>
        <color theme="1"/>
        <rFont val="Arial"/>
        <family val="2"/>
      </rPr>
      <t>a</t>
    </r>
  </si>
  <si>
    <r>
      <t>TOTAL (rounded)</t>
    </r>
    <r>
      <rPr>
        <vertAlign val="superscript"/>
        <sz val="9"/>
        <rFont val="Arial"/>
        <family val="2"/>
      </rPr>
      <t xml:space="preserve"> d</t>
    </r>
  </si>
  <si>
    <r>
      <rPr>
        <vertAlign val="superscript"/>
        <sz val="10"/>
        <rFont val="Arial"/>
        <family val="2"/>
      </rPr>
      <t xml:space="preserve">d </t>
    </r>
    <r>
      <rPr>
        <sz val="10"/>
        <rFont val="Arial"/>
        <family val="2"/>
      </rPr>
      <t xml:space="preserve"> Totals have been rounded to 3 significant figures. Figures may not add exactly due to rounding.</t>
    </r>
  </si>
  <si>
    <t>hours per response</t>
  </si>
  <si>
    <r>
      <t xml:space="preserve">TOTAL LABOR BURDEN AND COSTS (rounded) </t>
    </r>
    <r>
      <rPr>
        <b/>
        <vertAlign val="superscript"/>
        <sz val="8"/>
        <rFont val="Arial"/>
        <family val="2"/>
      </rPr>
      <t>g</t>
    </r>
  </si>
  <si>
    <t>Assumptions:</t>
  </si>
  <si>
    <t>renewal notes</t>
  </si>
  <si>
    <r>
      <t xml:space="preserve">(I)
Total Labor Costs Per Year </t>
    </r>
    <r>
      <rPr>
        <vertAlign val="superscript"/>
        <sz val="8"/>
        <rFont val="Arial"/>
        <family val="2"/>
      </rPr>
      <t>b</t>
    </r>
  </si>
  <si>
    <t>hrs/response</t>
  </si>
  <si>
    <r>
      <rPr>
        <vertAlign val="superscript"/>
        <sz val="8"/>
        <rFont val="Arial"/>
        <family val="2"/>
      </rPr>
      <t>b</t>
    </r>
    <r>
      <rPr>
        <vertAlign val="superscript"/>
        <sz val="8"/>
        <color theme="1"/>
        <rFont val="Arial"/>
        <family val="2"/>
      </rPr>
      <t xml:space="preserve"> </t>
    </r>
    <r>
      <rPr>
        <sz val="8"/>
        <color theme="1"/>
        <rFont val="Arial"/>
        <family val="2"/>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</si>
  <si>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c</t>
    </r>
    <r>
      <rPr>
        <sz val="10"/>
        <color theme="1"/>
        <rFont val="Arial"/>
        <family val="2"/>
      </rPr>
      <t xml:space="preserve"> This cost is based on the following labor rates which incorporates a 1.6 benefits multiplication factor to account for government overhead expenses: $68.37 for Managerial (GS-13, Step 5, $42.73 x 1.6), $50.72 for Technical (GS-12, Step 1, $31.70 x 1.6), and $27.46 for Clerical (GS-6, Step 3, $17.16 x 1.6).  These rates are from the Office of Personnel Management (OPM) 2020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</si>
</sst>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General_)"/>
    <numFmt numFmtId="165" formatCode="&quot;$&quot;#,##0"/>
    <numFmt numFmtId="166" formatCode=";;;"/>
    <numFmt numFmtId="167" formatCode="0_)"/>
    <numFmt numFmtId="168" formatCode="&quot;$&quot;#,##0.00"/>
    <numFmt numFmtId="169" formatCode="0.00_)"/>
  </numFmts>
  <fonts count="39" x14ac:knownFonts="1">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sz val="8"/>
      <color rgb="FFC00000"/>
      <name val="Arial"/>
      <family val="2"/>
    </font>
    <font>
      <b/>
      <sz val="8"/>
      <color rgb="FF7030A0"/>
      <name val="Arial"/>
      <family val="2"/>
    </font>
    <font>
      <b/>
      <i/>
      <sz val="8"/>
      <color rgb="FF7030A0"/>
      <name val="Arial"/>
      <family val="2"/>
    </font>
    <font>
      <b/>
      <i/>
      <sz val="8"/>
      <name val="Arial"/>
      <family val="2"/>
    </font>
    <font>
      <b/>
      <sz val="10"/>
      <name val="Arial"/>
      <family val="2"/>
    </font>
    <font>
      <b/>
      <sz val="12"/>
      <color rgb="FF000000"/>
      <name val="Times New Roman"/>
      <family val="1"/>
    </font>
    <font>
      <b/>
      <sz val="10"/>
      <color rgb="FF000000"/>
      <name val="Times New Roman"/>
      <family val="1"/>
    </font>
    <font>
      <sz val="12"/>
      <color rgb="FF000000"/>
      <name val="Times New Roman"/>
      <family val="1"/>
    </font>
    <font>
      <b/>
      <sz val="11"/>
      <name val="Arial"/>
      <family val="2"/>
    </font>
    <font>
      <sz val="11"/>
      <color theme="1"/>
      <name val="Arial"/>
      <family val="2"/>
    </font>
    <font>
      <sz val="9"/>
      <name val="Arial"/>
      <family val="2"/>
    </font>
    <font>
      <sz val="9"/>
      <color theme="1"/>
      <name val="Arial"/>
      <family val="2"/>
    </font>
    <font>
      <sz val="9"/>
      <color indexed="12"/>
      <name val="Arial"/>
      <family val="2"/>
    </font>
    <font>
      <sz val="9"/>
      <color indexed="8"/>
      <name val="Arial"/>
      <family val="2"/>
    </font>
    <font>
      <sz val="10"/>
      <name val="Arial"/>
      <family val="2"/>
    </font>
    <font>
      <sz val="10"/>
      <color theme="1"/>
      <name val="Arial"/>
      <family val="2"/>
    </font>
    <font>
      <b/>
      <sz val="9"/>
      <name val="Arial"/>
      <family val="2"/>
    </font>
    <font>
      <sz val="8"/>
      <color indexed="10"/>
      <name val="Arial"/>
      <family val="2"/>
    </font>
    <font>
      <sz val="8"/>
      <color rgb="FF7030A0"/>
      <name val="Arial"/>
      <family val="2"/>
    </font>
    <font>
      <strike/>
      <sz val="8"/>
      <color rgb="FFFF0000"/>
      <name val="Arial"/>
      <family val="2"/>
    </font>
    <font>
      <b/>
      <strike/>
      <sz val="8"/>
      <color rgb="FFFF0000"/>
      <name val="Arial"/>
      <family val="2"/>
    </font>
    <font>
      <b/>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vertAlign val="superscript"/>
      <sz val="8"/>
      <name val="Arial"/>
      <family val="2"/>
    </font>
    <font>
      <vertAlign val="superscript"/>
      <sz val="10"/>
      <color theme="1"/>
      <name val="Arial"/>
      <family val="2"/>
    </font>
    <font>
      <vertAlign val="superscript"/>
      <sz val="8"/>
      <color theme="1"/>
      <name val="Arial"/>
      <family val="2"/>
    </font>
    <font>
      <sz val="8"/>
      <color theme="1"/>
      <name val="Arial"/>
      <family val="2"/>
    </font>
    <font>
      <vertAlign val="superscript"/>
      <sz val="9"/>
      <name val="Arial"/>
      <family val="2"/>
    </font>
    <font>
      <vertAlign val="superscript"/>
      <sz val="9"/>
      <color theme="1"/>
      <name val="Arial"/>
      <family val="2"/>
    </font>
    <font>
      <b/>
      <vertAlign val="superscript"/>
      <sz val="8"/>
      <name val="Arial"/>
      <family val="2"/>
    </font>
    <font>
      <vertAlign val="superscript"/>
      <sz val="10"/>
      <name val="Arial"/>
      <family val="2"/>
    </font>
    <font>
      <sz val="8"/>
      <color theme="0"/>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65">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8"/>
      </left>
      <right style="thin">
        <color indexed="8"/>
      </right>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diagonal/>
    </border>
    <border>
      <left/>
      <right style="thin">
        <color indexed="64"/>
      </right>
      <top/>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diagonal/>
    </border>
    <border>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8"/>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top style="double">
        <color indexed="64"/>
      </top>
      <bottom style="medium">
        <color indexed="64"/>
      </bottom>
      <diagonal/>
    </border>
    <border>
      <left/>
      <right/>
      <top style="double">
        <color indexed="64"/>
      </top>
      <bottom style="medium">
        <color indexed="64"/>
      </bottom>
      <diagonal/>
    </border>
    <border>
      <left style="thin">
        <color indexed="8"/>
      </left>
      <right/>
      <top style="double">
        <color indexed="64"/>
      </top>
      <bottom style="thin">
        <color indexed="64"/>
      </bottom>
      <diagonal/>
    </border>
    <border>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diagonal/>
    </border>
  </borders>
  <cellStyleXfs count="4">
    <xf numFmtId="0" fontId="0" fillId="0" borderId="0"/>
    <xf numFmtId="43" fontId="1" fillId="0" borderId="0" applyFont="0" applyFill="0" applyBorder="0" applyAlignment="0" applyProtection="0"/>
    <xf numFmtId="0" fontId="19" fillId="0" borderId="0"/>
    <xf numFmtId="44" fontId="1" fillId="0" borderId="0" applyFont="0" applyFill="0" applyBorder="0" applyAlignment="0" applyProtection="0"/>
  </cellStyleXfs>
  <cellXfs count="219">
    <xf numFmtId="0" fontId="0" fillId="0" borderId="0" xfId="0"/>
    <xf numFmtId="0" fontId="3" fillId="2" borderId="0" xfId="0" applyFont="1" applyFill="1"/>
    <xf numFmtId="0" fontId="4" fillId="3" borderId="0" xfId="0" applyFont="1" applyFill="1"/>
    <xf numFmtId="0" fontId="5" fillId="2" borderId="0" xfId="0" applyFont="1" applyFill="1"/>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1" fontId="3" fillId="2" borderId="3" xfId="0" applyNumberFormat="1" applyFont="1" applyFill="1" applyBorder="1" applyAlignment="1">
      <alignment horizontal="center" wrapText="1"/>
    </xf>
    <xf numFmtId="3" fontId="3" fillId="2" borderId="3" xfId="0" applyNumberFormat="1" applyFont="1" applyFill="1" applyBorder="1" applyAlignment="1">
      <alignment horizontal="center" wrapText="1"/>
    </xf>
    <xf numFmtId="0" fontId="3" fillId="2" borderId="0" xfId="0" applyFont="1" applyFill="1" applyAlignment="1">
      <alignment wrapText="1"/>
    </xf>
    <xf numFmtId="0" fontId="6" fillId="2" borderId="0" xfId="0" applyFont="1" applyFill="1" applyAlignment="1">
      <alignment wrapText="1"/>
    </xf>
    <xf numFmtId="0" fontId="3" fillId="2" borderId="4" xfId="0" applyFont="1" applyFill="1" applyBorder="1"/>
    <xf numFmtId="0" fontId="3" fillId="2" borderId="5" xfId="0" applyFont="1" applyFill="1" applyBorder="1" applyAlignment="1">
      <alignment horizontal="center" wrapText="1"/>
    </xf>
    <xf numFmtId="0" fontId="3" fillId="2" borderId="5" xfId="0" applyFont="1" applyFill="1" applyBorder="1" applyAlignment="1">
      <alignment horizontal="center"/>
    </xf>
    <xf numFmtId="0" fontId="4" fillId="2" borderId="0" xfId="0" applyFont="1" applyFill="1"/>
    <xf numFmtId="0" fontId="3" fillId="2" borderId="4" xfId="0" applyFont="1" applyFill="1" applyBorder="1" applyAlignment="1">
      <alignment horizontal="left" indent="2"/>
    </xf>
    <xf numFmtId="165" fontId="3" fillId="2" borderId="5" xfId="0" applyNumberFormat="1" applyFont="1" applyFill="1" applyBorder="1" applyAlignment="1">
      <alignment horizontal="center"/>
    </xf>
    <xf numFmtId="1" fontId="3" fillId="2" borderId="5" xfId="0" applyNumberFormat="1" applyFont="1" applyFill="1" applyBorder="1" applyAlignment="1">
      <alignment horizontal="center"/>
    </xf>
    <xf numFmtId="0" fontId="3" fillId="2" borderId="4" xfId="0" applyFont="1" applyFill="1" applyBorder="1" applyAlignment="1">
      <alignment horizontal="left" indent="4"/>
    </xf>
    <xf numFmtId="165" fontId="3" fillId="2" borderId="0" xfId="0" applyNumberFormat="1" applyFont="1" applyFill="1"/>
    <xf numFmtId="0" fontId="3" fillId="2" borderId="4" xfId="0" applyFont="1" applyFill="1" applyBorder="1" applyAlignment="1">
      <alignment horizontal="left" indent="6"/>
    </xf>
    <xf numFmtId="0" fontId="6" fillId="2" borderId="0" xfId="0" applyFont="1" applyFill="1"/>
    <xf numFmtId="0" fontId="3" fillId="2" borderId="4" xfId="0" applyFont="1" applyFill="1" applyBorder="1" applyAlignment="1">
      <alignment horizontal="left" wrapText="1" indent="4"/>
    </xf>
    <xf numFmtId="0" fontId="3" fillId="2" borderId="5" xfId="0" applyFont="1" applyFill="1" applyBorder="1" applyAlignment="1">
      <alignment horizontal="center" vertical="center"/>
    </xf>
    <xf numFmtId="0" fontId="8" fillId="2" borderId="4" xfId="0" applyFont="1" applyFill="1" applyBorder="1"/>
    <xf numFmtId="0" fontId="8" fillId="2" borderId="7" xfId="0" applyFont="1" applyFill="1" applyBorder="1"/>
    <xf numFmtId="1" fontId="3" fillId="2" borderId="8" xfId="0" applyNumberFormat="1" applyFont="1" applyFill="1" applyBorder="1" applyAlignment="1">
      <alignment horizontal="center"/>
    </xf>
    <xf numFmtId="165" fontId="3" fillId="2" borderId="8" xfId="0" applyNumberFormat="1" applyFont="1" applyFill="1" applyBorder="1" applyAlignment="1">
      <alignment horizontal="center"/>
    </xf>
    <xf numFmtId="0" fontId="3" fillId="2" borderId="10" xfId="0" applyFont="1" applyFill="1" applyBorder="1" applyAlignment="1">
      <alignment horizontal="center"/>
    </xf>
    <xf numFmtId="1" fontId="3" fillId="2" borderId="10" xfId="0" applyNumberFormat="1" applyFont="1" applyFill="1" applyBorder="1" applyAlignment="1">
      <alignment horizontal="center"/>
    </xf>
    <xf numFmtId="165" fontId="3" fillId="2" borderId="10" xfId="0" applyNumberFormat="1" applyFont="1" applyFill="1" applyBorder="1" applyAlignment="1">
      <alignment horizontal="center"/>
    </xf>
    <xf numFmtId="5"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0" fontId="10" fillId="0" borderId="0" xfId="0" applyFont="1" applyAlignment="1">
      <alignment vertical="center"/>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3" borderId="18" xfId="0" applyFont="1" applyFill="1" applyBorder="1" applyAlignment="1">
      <alignment vertical="center" wrapText="1"/>
    </xf>
    <xf numFmtId="0" fontId="14" fillId="2" borderId="0" xfId="0" applyFont="1" applyFill="1"/>
    <xf numFmtId="164" fontId="15" fillId="2" borderId="19" xfId="0" applyNumberFormat="1" applyFont="1" applyFill="1" applyBorder="1" applyAlignment="1">
      <alignment horizontal="centerContinuous"/>
    </xf>
    <xf numFmtId="164" fontId="15" fillId="2" borderId="20" xfId="0" applyNumberFormat="1" applyFont="1" applyFill="1" applyBorder="1" applyAlignment="1">
      <alignment horizontal="centerContinuous"/>
    </xf>
    <xf numFmtId="164" fontId="16" fillId="2" borderId="21" xfId="0" applyNumberFormat="1" applyFont="1" applyFill="1" applyBorder="1" applyAlignment="1">
      <alignment horizontal="center" vertical="center"/>
    </xf>
    <xf numFmtId="164" fontId="16" fillId="2" borderId="22" xfId="0" applyNumberFormat="1" applyFont="1" applyFill="1" applyBorder="1" applyAlignment="1">
      <alignment horizontal="center" vertical="center"/>
    </xf>
    <xf numFmtId="164" fontId="16" fillId="2" borderId="23" xfId="0" applyNumberFormat="1" applyFont="1" applyFill="1" applyBorder="1" applyAlignment="1">
      <alignment horizontal="center" vertical="center"/>
    </xf>
    <xf numFmtId="164" fontId="16" fillId="2" borderId="24" xfId="0" applyNumberFormat="1" applyFont="1" applyFill="1" applyBorder="1" applyAlignment="1">
      <alignment horizontal="center" vertical="center"/>
    </xf>
    <xf numFmtId="164" fontId="16" fillId="2" borderId="28" xfId="0" applyNumberFormat="1" applyFont="1" applyFill="1" applyBorder="1" applyAlignment="1">
      <alignment horizontal="center" wrapText="1"/>
    </xf>
    <xf numFmtId="164" fontId="16" fillId="2" borderId="29" xfId="0" applyNumberFormat="1" applyFont="1" applyFill="1" applyBorder="1" applyAlignment="1">
      <alignment horizontal="center" wrapText="1"/>
    </xf>
    <xf numFmtId="164" fontId="16" fillId="2" borderId="30" xfId="0" applyNumberFormat="1" applyFont="1" applyFill="1" applyBorder="1" applyAlignment="1">
      <alignment horizontal="center" wrapText="1"/>
    </xf>
    <xf numFmtId="164" fontId="15" fillId="2" borderId="31" xfId="0" applyNumberFormat="1" applyFont="1" applyFill="1" applyBorder="1" applyAlignment="1">
      <alignment horizontal="center" vertical="center"/>
    </xf>
    <xf numFmtId="164" fontId="15" fillId="2" borderId="32" xfId="0" applyNumberFormat="1" applyFont="1" applyFill="1" applyBorder="1" applyAlignment="1">
      <alignment horizontal="left" vertical="center"/>
    </xf>
    <xf numFmtId="164" fontId="15" fillId="2" borderId="32" xfId="0" applyNumberFormat="1" applyFont="1" applyFill="1" applyBorder="1"/>
    <xf numFmtId="164" fontId="15" fillId="2" borderId="33" xfId="0" applyNumberFormat="1" applyFont="1" applyFill="1" applyBorder="1"/>
    <xf numFmtId="164" fontId="15" fillId="2" borderId="11" xfId="0" applyNumberFormat="1" applyFont="1" applyFill="1" applyBorder="1" applyAlignment="1">
      <alignment horizontal="center" vertical="center"/>
    </xf>
    <xf numFmtId="164" fontId="15" fillId="2" borderId="0" xfId="0" applyNumberFormat="1" applyFont="1" applyFill="1" applyAlignment="1">
      <alignment horizontal="left" vertical="center"/>
    </xf>
    <xf numFmtId="164" fontId="15" fillId="2" borderId="0" xfId="0" applyNumberFormat="1" applyFont="1" applyFill="1" applyAlignment="1">
      <alignment vertical="center"/>
    </xf>
    <xf numFmtId="37" fontId="15" fillId="2" borderId="35" xfId="0" applyNumberFormat="1" applyFont="1" applyFill="1" applyBorder="1" applyAlignment="1" applyProtection="1">
      <alignment horizontal="center" vertical="center"/>
      <protection locked="0"/>
    </xf>
    <xf numFmtId="1" fontId="15" fillId="2" borderId="6" xfId="0" applyNumberFormat="1" applyFont="1" applyFill="1" applyBorder="1" applyAlignment="1">
      <alignment horizontal="center" vertical="center"/>
    </xf>
    <xf numFmtId="5" fontId="15" fillId="2" borderId="5" xfId="0" applyNumberFormat="1" applyFont="1" applyFill="1" applyBorder="1" applyAlignment="1">
      <alignment horizontal="center" vertical="center"/>
    </xf>
    <xf numFmtId="164" fontId="15" fillId="2" borderId="36" xfId="0" applyNumberFormat="1" applyFont="1" applyFill="1" applyBorder="1" applyAlignment="1">
      <alignment horizontal="center" vertical="center"/>
    </xf>
    <xf numFmtId="164" fontId="15" fillId="2" borderId="37" xfId="0" applyNumberFormat="1" applyFont="1" applyFill="1" applyBorder="1" applyAlignment="1">
      <alignment horizontal="left" vertical="center"/>
    </xf>
    <xf numFmtId="164" fontId="15" fillId="2" borderId="38" xfId="0" applyNumberFormat="1" applyFont="1" applyFill="1" applyBorder="1" applyAlignment="1">
      <alignment vertical="center"/>
    </xf>
    <xf numFmtId="166" fontId="17" fillId="2" borderId="11" xfId="0" applyNumberFormat="1" applyFont="1" applyFill="1" applyBorder="1" applyAlignment="1" applyProtection="1">
      <alignment vertical="center"/>
      <protection locked="0"/>
    </xf>
    <xf numFmtId="164" fontId="15" fillId="2" borderId="0" xfId="0" applyNumberFormat="1" applyFont="1" applyFill="1" applyAlignment="1">
      <alignment horizontal="right" vertical="center"/>
    </xf>
    <xf numFmtId="167" fontId="15" fillId="2" borderId="40" xfId="0" applyNumberFormat="1" applyFont="1" applyFill="1" applyBorder="1" applyAlignment="1" applyProtection="1">
      <alignment horizontal="center" vertical="center"/>
      <protection locked="0"/>
    </xf>
    <xf numFmtId="164" fontId="15" fillId="2" borderId="41" xfId="0" applyNumberFormat="1" applyFont="1" applyFill="1" applyBorder="1" applyAlignment="1">
      <alignment horizontal="center" vertical="center"/>
    </xf>
    <xf numFmtId="1" fontId="15" fillId="2" borderId="41" xfId="0" applyNumberFormat="1" applyFont="1" applyFill="1" applyBorder="1" applyAlignment="1">
      <alignment horizontal="center" vertical="center"/>
    </xf>
    <xf numFmtId="166" fontId="17" fillId="2" borderId="42" xfId="0" applyNumberFormat="1" applyFont="1" applyFill="1" applyBorder="1" applyAlignment="1" applyProtection="1">
      <alignment vertical="center"/>
      <protection locked="0"/>
    </xf>
    <xf numFmtId="9" fontId="18" fillId="2" borderId="43" xfId="0" applyNumberFormat="1" applyFont="1" applyFill="1" applyBorder="1" applyAlignment="1" applyProtection="1">
      <alignment horizontal="right" vertical="center"/>
      <protection locked="0"/>
    </xf>
    <xf numFmtId="164" fontId="15" fillId="2" borderId="43" xfId="0" applyNumberFormat="1" applyFont="1" applyFill="1" applyBorder="1" applyAlignment="1">
      <alignment horizontal="left" vertical="center"/>
    </xf>
    <xf numFmtId="164" fontId="15" fillId="2" borderId="43" xfId="0" applyNumberFormat="1" applyFont="1" applyFill="1" applyBorder="1" applyAlignment="1">
      <alignment vertical="center"/>
    </xf>
    <xf numFmtId="167" fontId="15" fillId="2" borderId="44" xfId="0" applyNumberFormat="1" applyFont="1" applyFill="1" applyBorder="1" applyAlignment="1" applyProtection="1">
      <alignment horizontal="center" vertical="center"/>
      <protection locked="0"/>
    </xf>
    <xf numFmtId="164" fontId="15" fillId="2" borderId="45" xfId="0" applyNumberFormat="1" applyFont="1" applyFill="1" applyBorder="1" applyAlignment="1">
      <alignment horizontal="center" vertical="center"/>
    </xf>
    <xf numFmtId="1" fontId="15" fillId="2" borderId="45" xfId="0" applyNumberFormat="1" applyFont="1" applyFill="1" applyBorder="1" applyAlignment="1">
      <alignment horizontal="center" vertical="center"/>
    </xf>
    <xf numFmtId="9" fontId="15" fillId="2" borderId="32" xfId="0" applyNumberFormat="1" applyFont="1" applyFill="1" applyBorder="1" applyAlignment="1">
      <alignment horizontal="right" vertical="center"/>
    </xf>
    <xf numFmtId="164" fontId="15" fillId="2" borderId="32" xfId="0" applyNumberFormat="1" applyFont="1" applyFill="1" applyBorder="1" applyAlignment="1">
      <alignment vertical="center"/>
    </xf>
    <xf numFmtId="9" fontId="15" fillId="2" borderId="46" xfId="0" applyNumberFormat="1" applyFont="1" applyFill="1" applyBorder="1" applyAlignment="1">
      <alignment horizontal="right" vertical="center"/>
    </xf>
    <xf numFmtId="164" fontId="15" fillId="2" borderId="46" xfId="0" applyNumberFormat="1" applyFont="1" applyFill="1" applyBorder="1" applyAlignment="1">
      <alignment horizontal="left" vertical="center"/>
    </xf>
    <xf numFmtId="164" fontId="15" fillId="2" borderId="46" xfId="0" applyNumberFormat="1" applyFont="1" applyFill="1" applyBorder="1" applyAlignment="1">
      <alignment vertical="center"/>
    </xf>
    <xf numFmtId="166" fontId="17" fillId="2" borderId="36" xfId="0" applyNumberFormat="1" applyFont="1" applyFill="1" applyBorder="1" applyAlignment="1" applyProtection="1">
      <alignment vertical="center"/>
      <protection locked="0"/>
    </xf>
    <xf numFmtId="9" fontId="15" fillId="2" borderId="37" xfId="0" applyNumberFormat="1" applyFont="1" applyFill="1" applyBorder="1" applyAlignment="1">
      <alignment horizontal="right" vertical="center"/>
    </xf>
    <xf numFmtId="164" fontId="15" fillId="2" borderId="37" xfId="0" applyNumberFormat="1" applyFont="1" applyFill="1" applyBorder="1" applyAlignment="1">
      <alignment vertical="center"/>
    </xf>
    <xf numFmtId="49" fontId="15" fillId="2" borderId="37" xfId="2" applyNumberFormat="1" applyFont="1" applyFill="1" applyBorder="1" applyAlignment="1">
      <alignment horizontal="right" vertical="center"/>
    </xf>
    <xf numFmtId="164" fontId="15" fillId="2" borderId="49" xfId="0" applyNumberFormat="1" applyFont="1" applyFill="1" applyBorder="1" applyAlignment="1">
      <alignment horizontal="left" vertical="center"/>
    </xf>
    <xf numFmtId="167" fontId="15" fillId="2" borderId="5" xfId="0" applyNumberFormat="1" applyFont="1" applyFill="1" applyBorder="1" applyAlignment="1" applyProtection="1">
      <alignment horizontal="center" vertical="center"/>
      <protection locked="0"/>
    </xf>
    <xf numFmtId="164" fontId="15" fillId="2" borderId="5" xfId="0" applyNumberFormat="1" applyFont="1" applyFill="1" applyBorder="1" applyAlignment="1">
      <alignment horizontal="center" vertical="center"/>
    </xf>
    <xf numFmtId="1" fontId="15" fillId="2" borderId="5" xfId="0" applyNumberFormat="1" applyFont="1" applyFill="1" applyBorder="1" applyAlignment="1">
      <alignment horizontal="center" vertical="center"/>
    </xf>
    <xf numFmtId="166" fontId="17" fillId="2" borderId="50" xfId="0" applyNumberFormat="1" applyFont="1" applyFill="1" applyBorder="1" applyAlignment="1" applyProtection="1">
      <alignment vertical="center"/>
      <protection locked="0"/>
    </xf>
    <xf numFmtId="9" fontId="15" fillId="2" borderId="34" xfId="0" applyNumberFormat="1" applyFont="1" applyFill="1" applyBorder="1" applyAlignment="1">
      <alignment horizontal="right" vertical="center"/>
    </xf>
    <xf numFmtId="49" fontId="15" fillId="2" borderId="34" xfId="2" applyNumberFormat="1" applyFont="1" applyFill="1" applyBorder="1" applyAlignment="1">
      <alignment horizontal="right" vertical="center"/>
    </xf>
    <xf numFmtId="164" fontId="15" fillId="2" borderId="34" xfId="0" applyNumberFormat="1" applyFont="1" applyFill="1" applyBorder="1" applyAlignment="1">
      <alignment horizontal="left" vertical="center"/>
    </xf>
    <xf numFmtId="164" fontId="15" fillId="2" borderId="6" xfId="0" applyNumberFormat="1" applyFont="1" applyFill="1" applyBorder="1" applyAlignment="1">
      <alignment horizontal="left" vertical="center"/>
    </xf>
    <xf numFmtId="164" fontId="15" fillId="2" borderId="34" xfId="0" applyNumberFormat="1" applyFont="1" applyFill="1" applyBorder="1" applyAlignment="1">
      <alignment horizontal="left" vertical="center" wrapText="1"/>
    </xf>
    <xf numFmtId="164" fontId="15" fillId="2" borderId="50" xfId="0" applyNumberFormat="1" applyFont="1" applyFill="1" applyBorder="1" applyAlignment="1">
      <alignment horizontal="center" vertical="center"/>
    </xf>
    <xf numFmtId="164" fontId="15" fillId="2" borderId="34" xfId="0" applyNumberFormat="1" applyFont="1" applyFill="1" applyBorder="1" applyAlignment="1">
      <alignment horizontal="right" vertical="center"/>
    </xf>
    <xf numFmtId="164" fontId="15" fillId="2" borderId="6" xfId="0" applyNumberFormat="1" applyFont="1" applyFill="1" applyBorder="1" applyAlignment="1">
      <alignment vertical="center"/>
    </xf>
    <xf numFmtId="37" fontId="15" fillId="2" borderId="5" xfId="0" applyNumberFormat="1" applyFont="1" applyFill="1" applyBorder="1" applyAlignment="1" applyProtection="1">
      <alignment horizontal="center" vertical="center"/>
      <protection locked="0"/>
    </xf>
    <xf numFmtId="164" fontId="18" fillId="2" borderId="25" xfId="0" quotePrefix="1" applyNumberFormat="1" applyFont="1" applyFill="1" applyBorder="1" applyAlignment="1" applyProtection="1">
      <alignment horizontal="center" vertical="center"/>
      <protection locked="0"/>
    </xf>
    <xf numFmtId="9" fontId="15" fillId="2" borderId="26" xfId="0" applyNumberFormat="1" applyFont="1" applyFill="1" applyBorder="1" applyAlignment="1">
      <alignment horizontal="left" vertical="center"/>
    </xf>
    <xf numFmtId="164" fontId="15" fillId="2" borderId="26" xfId="0" applyNumberFormat="1" applyFont="1" applyFill="1" applyBorder="1" applyAlignment="1">
      <alignment vertical="center"/>
    </xf>
    <xf numFmtId="167" fontId="17" fillId="2" borderId="26" xfId="0" applyNumberFormat="1" applyFont="1" applyFill="1" applyBorder="1" applyAlignment="1" applyProtection="1">
      <alignment horizontal="center" vertical="center"/>
      <protection locked="0"/>
    </xf>
    <xf numFmtId="0" fontId="15" fillId="2" borderId="26" xfId="2" applyFont="1" applyFill="1" applyBorder="1"/>
    <xf numFmtId="5" fontId="15" fillId="2" borderId="51" xfId="0" applyNumberFormat="1" applyFont="1" applyFill="1" applyBorder="1" applyAlignment="1">
      <alignment horizontal="center" vertical="center"/>
    </xf>
    <xf numFmtId="1" fontId="15" fillId="2" borderId="26" xfId="0" applyNumberFormat="1" applyFont="1" applyFill="1" applyBorder="1" applyAlignment="1">
      <alignment horizontal="left" vertical="center"/>
    </xf>
    <xf numFmtId="5" fontId="15" fillId="2" borderId="52" xfId="0" applyNumberFormat="1" applyFont="1" applyFill="1" applyBorder="1" applyAlignment="1">
      <alignment horizontal="center" vertical="center"/>
    </xf>
    <xf numFmtId="9" fontId="15" fillId="2" borderId="12" xfId="0" applyNumberFormat="1" applyFont="1" applyFill="1" applyBorder="1" applyAlignment="1">
      <alignment vertical="center"/>
    </xf>
    <xf numFmtId="9" fontId="15" fillId="2" borderId="1" xfId="0" applyNumberFormat="1" applyFont="1" applyFill="1" applyBorder="1" applyAlignment="1">
      <alignment vertical="center"/>
    </xf>
    <xf numFmtId="164" fontId="15" fillId="2" borderId="1" xfId="0" applyNumberFormat="1" applyFont="1" applyFill="1" applyBorder="1" applyAlignment="1">
      <alignment vertical="center"/>
    </xf>
    <xf numFmtId="164" fontId="15" fillId="2" borderId="1" xfId="0" applyNumberFormat="1" applyFont="1" applyFill="1" applyBorder="1" applyAlignment="1">
      <alignment horizontal="left" vertical="center"/>
    </xf>
    <xf numFmtId="167" fontId="17" fillId="2" borderId="1" xfId="0" applyNumberFormat="1" applyFont="1" applyFill="1" applyBorder="1" applyAlignment="1" applyProtection="1">
      <alignment horizontal="center" vertical="center"/>
      <protection locked="0"/>
    </xf>
    <xf numFmtId="1" fontId="15" fillId="2" borderId="53" xfId="0" applyNumberFormat="1" applyFont="1" applyFill="1" applyBorder="1" applyAlignment="1">
      <alignment horizontal="center" vertical="center"/>
    </xf>
    <xf numFmtId="164" fontId="3" fillId="2" borderId="0" xfId="0" applyNumberFormat="1" applyFont="1" applyFill="1"/>
    <xf numFmtId="164" fontId="3" fillId="2" borderId="0" xfId="0" applyNumberFormat="1" applyFont="1" applyFill="1" applyAlignment="1">
      <alignment horizontal="center"/>
    </xf>
    <xf numFmtId="3" fontId="3" fillId="2" borderId="0" xfId="1" applyNumberFormat="1" applyFont="1" applyFill="1" applyBorder="1" applyAlignment="1">
      <alignment horizontal="right"/>
    </xf>
    <xf numFmtId="164" fontId="15" fillId="2" borderId="0" xfId="0" applyNumberFormat="1" applyFont="1" applyFill="1"/>
    <xf numFmtId="164" fontId="22" fillId="2" borderId="0" xfId="0" applyNumberFormat="1" applyFont="1" applyFill="1"/>
    <xf numFmtId="164" fontId="15" fillId="2" borderId="0" xfId="0" applyNumberFormat="1" applyFont="1" applyFill="1" applyAlignment="1">
      <alignment horizontal="right"/>
    </xf>
    <xf numFmtId="0" fontId="19" fillId="2" borderId="0" xfId="2" applyFill="1"/>
    <xf numFmtId="164" fontId="3" fillId="2" borderId="0" xfId="0" applyNumberFormat="1" applyFont="1" applyFill="1" applyAlignment="1">
      <alignment horizontal="right"/>
    </xf>
    <xf numFmtId="9" fontId="14" fillId="2" borderId="5" xfId="0" applyNumberFormat="1" applyFont="1" applyFill="1" applyBorder="1"/>
    <xf numFmtId="0" fontId="23" fillId="2" borderId="0" xfId="0" applyFont="1" applyFill="1"/>
    <xf numFmtId="1" fontId="15" fillId="0" borderId="5" xfId="0" applyNumberFormat="1" applyFont="1" applyFill="1" applyBorder="1" applyAlignment="1">
      <alignment horizontal="center" vertical="center"/>
    </xf>
    <xf numFmtId="0" fontId="24" fillId="2" borderId="0" xfId="0" applyFont="1" applyFill="1"/>
    <xf numFmtId="0" fontId="25" fillId="2" borderId="0" xfId="0" applyFont="1" applyFill="1"/>
    <xf numFmtId="1" fontId="3" fillId="2" borderId="56" xfId="0" applyNumberFormat="1" applyFont="1" applyFill="1" applyBorder="1" applyAlignment="1">
      <alignment horizontal="center"/>
    </xf>
    <xf numFmtId="165" fontId="3" fillId="2" borderId="56" xfId="0" applyNumberFormat="1" applyFont="1" applyFill="1" applyBorder="1" applyAlignment="1">
      <alignment horizontal="center"/>
    </xf>
    <xf numFmtId="0" fontId="10" fillId="0" borderId="5" xfId="0" applyFont="1" applyBorder="1" applyAlignment="1">
      <alignment vertical="center" wrapText="1"/>
    </xf>
    <xf numFmtId="0" fontId="28" fillId="0" borderId="5" xfId="0" applyFont="1" applyBorder="1" applyAlignment="1">
      <alignment vertical="center" wrapText="1"/>
    </xf>
    <xf numFmtId="0" fontId="28" fillId="0" borderId="5" xfId="0" applyFont="1" applyBorder="1" applyAlignment="1">
      <alignment horizontal="center" vertical="center" wrapText="1"/>
    </xf>
    <xf numFmtId="0" fontId="27" fillId="0" borderId="5" xfId="0" applyFont="1" applyBorder="1" applyAlignment="1">
      <alignment vertical="top" wrapText="1"/>
    </xf>
    <xf numFmtId="165" fontId="27" fillId="0" borderId="5" xfId="3" applyNumberFormat="1" applyFont="1" applyBorder="1" applyAlignment="1">
      <alignment vertical="top" wrapText="1"/>
    </xf>
    <xf numFmtId="165" fontId="28" fillId="0" borderId="5" xfId="3" applyNumberFormat="1" applyFont="1" applyBorder="1" applyAlignment="1">
      <alignment vertical="center" wrapText="1"/>
    </xf>
    <xf numFmtId="165" fontId="27" fillId="0" borderId="5" xfId="0" applyNumberFormat="1" applyFont="1" applyBorder="1" applyAlignment="1">
      <alignment vertical="top" wrapText="1"/>
    </xf>
    <xf numFmtId="1" fontId="3" fillId="2" borderId="54" xfId="0" applyNumberFormat="1" applyFont="1" applyFill="1" applyBorder="1" applyAlignment="1">
      <alignment horizontal="center"/>
    </xf>
    <xf numFmtId="0" fontId="3" fillId="2" borderId="54" xfId="0" applyFont="1" applyFill="1" applyBorder="1" applyAlignment="1">
      <alignment horizontal="center"/>
    </xf>
    <xf numFmtId="0" fontId="4" fillId="2" borderId="55" xfId="0" applyFont="1" applyFill="1" applyBorder="1"/>
    <xf numFmtId="1" fontId="21" fillId="2" borderId="1" xfId="0" applyNumberFormat="1" applyFont="1" applyFill="1" applyBorder="1" applyAlignment="1">
      <alignment horizontal="center" vertical="center"/>
    </xf>
    <xf numFmtId="5" fontId="21" fillId="2" borderId="54" xfId="0" applyNumberFormat="1" applyFont="1" applyFill="1" applyBorder="1" applyAlignment="1">
      <alignment horizontal="center" vertical="center"/>
    </xf>
    <xf numFmtId="0" fontId="28" fillId="0" borderId="8" xfId="0" applyFont="1" applyBorder="1" applyAlignment="1">
      <alignment vertical="center" wrapText="1"/>
    </xf>
    <xf numFmtId="165" fontId="28" fillId="0" borderId="8" xfId="0" applyNumberFormat="1" applyFont="1" applyBorder="1" applyAlignment="1">
      <alignment vertical="center" wrapText="1"/>
    </xf>
    <xf numFmtId="168" fontId="0" fillId="0" borderId="0" xfId="0" applyNumberFormat="1"/>
    <xf numFmtId="2" fontId="0" fillId="0" borderId="0" xfId="0" applyNumberFormat="1"/>
    <xf numFmtId="0" fontId="3" fillId="2" borderId="0" xfId="0" applyFont="1" applyFill="1" applyAlignment="1">
      <alignment horizontal="left" vertical="top" wrapText="1"/>
    </xf>
    <xf numFmtId="0" fontId="15" fillId="2" borderId="39"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protection locked="0"/>
    </xf>
    <xf numFmtId="168" fontId="4" fillId="2" borderId="0" xfId="0" applyNumberFormat="1" applyFont="1" applyFill="1"/>
    <xf numFmtId="0" fontId="4" fillId="0" borderId="9" xfId="0" applyFont="1" applyFill="1" applyBorder="1"/>
    <xf numFmtId="165" fontId="3" fillId="0" borderId="5" xfId="0" applyNumberFormat="1" applyFont="1" applyFill="1" applyBorder="1" applyAlignment="1">
      <alignment horizontal="center"/>
    </xf>
    <xf numFmtId="0" fontId="3" fillId="0" borderId="5" xfId="0" applyFont="1" applyFill="1" applyBorder="1" applyAlignment="1">
      <alignment horizontal="center"/>
    </xf>
    <xf numFmtId="1" fontId="3" fillId="0" borderId="5" xfId="0" applyNumberFormat="1" applyFont="1" applyFill="1" applyBorder="1" applyAlignment="1">
      <alignment horizontal="center"/>
    </xf>
    <xf numFmtId="1" fontId="3" fillId="0" borderId="6" xfId="0" applyNumberFormat="1" applyFont="1" applyFill="1" applyBorder="1" applyAlignment="1">
      <alignment horizontal="center" vertical="center"/>
    </xf>
    <xf numFmtId="2" fontId="3" fillId="0" borderId="5" xfId="0" applyNumberFormat="1" applyFont="1" applyFill="1" applyBorder="1" applyAlignment="1">
      <alignment horizontal="center"/>
    </xf>
    <xf numFmtId="165"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1" fontId="3" fillId="0" borderId="5" xfId="0" applyNumberFormat="1" applyFont="1" applyFill="1" applyBorder="1" applyAlignment="1">
      <alignment horizontal="center" vertical="center"/>
    </xf>
    <xf numFmtId="2" fontId="3" fillId="0" borderId="5" xfId="0" applyNumberFormat="1" applyFont="1" applyFill="1" applyBorder="1" applyAlignment="1">
      <alignment horizontal="center" vertical="center"/>
    </xf>
    <xf numFmtId="167" fontId="15" fillId="0" borderId="5" xfId="0" applyNumberFormat="1" applyFont="1" applyFill="1" applyBorder="1" applyAlignment="1" applyProtection="1">
      <alignment horizontal="center" vertical="center"/>
      <protection locked="0"/>
    </xf>
    <xf numFmtId="169" fontId="15" fillId="0" borderId="5" xfId="0" applyNumberFormat="1" applyFont="1" applyFill="1" applyBorder="1" applyAlignment="1" applyProtection="1">
      <alignment horizontal="center" vertical="center"/>
      <protection locked="0"/>
    </xf>
    <xf numFmtId="0" fontId="15" fillId="0" borderId="0" xfId="0" applyFont="1" applyFill="1"/>
    <xf numFmtId="0" fontId="31" fillId="0" borderId="0" xfId="0" applyFont="1" applyAlignment="1">
      <alignment vertical="center"/>
    </xf>
    <xf numFmtId="0" fontId="3" fillId="2" borderId="0" xfId="0" applyFont="1" applyFill="1" applyAlignment="1">
      <alignment horizontal="left" vertical="top"/>
    </xf>
    <xf numFmtId="5" fontId="15" fillId="2" borderId="63" xfId="0" applyNumberFormat="1" applyFont="1" applyFill="1" applyBorder="1" applyAlignment="1">
      <alignment horizontal="center" vertical="center"/>
    </xf>
    <xf numFmtId="0" fontId="15" fillId="2" borderId="38" xfId="0" applyFont="1" applyFill="1" applyBorder="1" applyAlignment="1" applyProtection="1">
      <alignment horizontal="center" vertical="center"/>
      <protection locked="0"/>
    </xf>
    <xf numFmtId="0" fontId="19" fillId="2" borderId="0" xfId="0" applyFont="1" applyFill="1" applyAlignment="1">
      <alignment horizontal="left" vertical="top"/>
    </xf>
    <xf numFmtId="1" fontId="4" fillId="2" borderId="0" xfId="0" applyNumberFormat="1" applyFont="1" applyFill="1"/>
    <xf numFmtId="0" fontId="3" fillId="2" borderId="20" xfId="0" applyFont="1" applyFill="1" applyBorder="1"/>
    <xf numFmtId="0" fontId="3" fillId="2" borderId="0" xfId="0" applyFont="1" applyFill="1" applyBorder="1"/>
    <xf numFmtId="0" fontId="3"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xf numFmtId="0" fontId="7" fillId="2" borderId="0" xfId="0" applyFont="1" applyFill="1" applyBorder="1"/>
    <xf numFmtId="164" fontId="38" fillId="2" borderId="0" xfId="0" applyNumberFormat="1" applyFont="1" applyFill="1" applyAlignment="1">
      <alignment horizontal="center" vertical="center"/>
    </xf>
    <xf numFmtId="3" fontId="38" fillId="2" borderId="0" xfId="0" applyNumberFormat="1" applyFont="1" applyFill="1" applyAlignment="1">
      <alignment horizontal="center" vertical="center"/>
    </xf>
    <xf numFmtId="5" fontId="38" fillId="2" borderId="0" xfId="0" applyNumberFormat="1" applyFont="1" applyFill="1" applyAlignment="1">
      <alignment horizontal="center" vertical="center"/>
    </xf>
    <xf numFmtId="164" fontId="38" fillId="2" borderId="0" xfId="0" applyNumberFormat="1" applyFont="1" applyFill="1" applyAlignment="1">
      <alignment horizontal="left" vertical="center"/>
    </xf>
    <xf numFmtId="165" fontId="38" fillId="2" borderId="0" xfId="0" applyNumberFormat="1" applyFont="1" applyFill="1" applyAlignment="1">
      <alignment horizontal="center" vertical="center"/>
    </xf>
    <xf numFmtId="165" fontId="38" fillId="0" borderId="0" xfId="0" applyNumberFormat="1" applyFont="1" applyFill="1" applyAlignment="1">
      <alignment horizontal="center" vertical="center"/>
    </xf>
    <xf numFmtId="1" fontId="3" fillId="2" borderId="0" xfId="0" applyNumberFormat="1" applyFont="1" applyFill="1"/>
    <xf numFmtId="0" fontId="14" fillId="2" borderId="0" xfId="0" applyFont="1" applyFill="1" applyBorder="1"/>
    <xf numFmtId="1" fontId="15" fillId="2" borderId="0" xfId="0" applyNumberFormat="1" applyFont="1" applyFill="1" applyBorder="1" applyAlignment="1">
      <alignment horizontal="center" vertical="center"/>
    </xf>
    <xf numFmtId="5" fontId="15" fillId="2" borderId="0" xfId="0" applyNumberFormat="1" applyFont="1" applyFill="1" applyBorder="1" applyAlignment="1">
      <alignment horizontal="center" vertical="center"/>
    </xf>
    <xf numFmtId="0" fontId="20" fillId="2" borderId="0" xfId="0" applyFont="1" applyFill="1" applyBorder="1"/>
    <xf numFmtId="1" fontId="21" fillId="2" borderId="0" xfId="0" applyNumberFormat="1" applyFont="1" applyFill="1" applyBorder="1" applyAlignment="1">
      <alignment horizontal="center" vertical="center"/>
    </xf>
    <xf numFmtId="5" fontId="21" fillId="2" borderId="0" xfId="0" applyNumberFormat="1" applyFont="1" applyFill="1" applyBorder="1" applyAlignment="1">
      <alignment horizontal="center" vertical="center"/>
    </xf>
    <xf numFmtId="164" fontId="2" fillId="2" borderId="1" xfId="0" applyNumberFormat="1" applyFont="1" applyFill="1" applyBorder="1" applyAlignment="1">
      <alignment horizontal="center" vertical="top" wrapText="1"/>
    </xf>
    <xf numFmtId="0" fontId="3" fillId="2" borderId="0" xfId="0" applyFont="1" applyFill="1" applyAlignment="1">
      <alignment horizontal="left" vertical="top" wrapText="1"/>
    </xf>
    <xf numFmtId="0" fontId="24" fillId="2" borderId="0" xfId="0" applyFont="1" applyFill="1" applyAlignment="1">
      <alignment horizontal="left" wrapText="1"/>
    </xf>
    <xf numFmtId="1" fontId="3" fillId="2" borderId="5" xfId="0" applyNumberFormat="1" applyFont="1" applyFill="1" applyBorder="1" applyAlignment="1">
      <alignment horizontal="center"/>
    </xf>
    <xf numFmtId="0" fontId="0" fillId="0" borderId="5" xfId="0" applyBorder="1" applyAlignment="1">
      <alignment horizontal="center"/>
    </xf>
    <xf numFmtId="1" fontId="0" fillId="0" borderId="5" xfId="0" applyNumberFormat="1" applyBorder="1" applyAlignment="1">
      <alignment horizontal="center"/>
    </xf>
    <xf numFmtId="1" fontId="3" fillId="0" borderId="57" xfId="0" applyNumberFormat="1" applyFont="1" applyFill="1" applyBorder="1" applyAlignment="1">
      <alignment horizontal="center"/>
    </xf>
    <xf numFmtId="0" fontId="0" fillId="0" borderId="37" xfId="0" applyFill="1" applyBorder="1" applyAlignment="1">
      <alignment horizontal="center"/>
    </xf>
    <xf numFmtId="0" fontId="0" fillId="0" borderId="49" xfId="0" applyFill="1" applyBorder="1" applyAlignment="1">
      <alignment horizontal="center"/>
    </xf>
    <xf numFmtId="164" fontId="14" fillId="2" borderId="5" xfId="0" applyNumberFormat="1" applyFont="1" applyFill="1" applyBorder="1" applyAlignment="1">
      <alignment horizontal="center"/>
    </xf>
    <xf numFmtId="164" fontId="13" fillId="2" borderId="0" xfId="0" applyNumberFormat="1" applyFont="1" applyFill="1" applyAlignment="1">
      <alignment horizontal="center" wrapText="1"/>
    </xf>
    <xf numFmtId="164" fontId="15" fillId="2" borderId="25" xfId="0" applyNumberFormat="1" applyFont="1" applyFill="1" applyBorder="1" applyAlignment="1">
      <alignment horizontal="center"/>
    </xf>
    <xf numFmtId="164" fontId="15" fillId="2" borderId="26" xfId="0" applyNumberFormat="1" applyFont="1" applyFill="1" applyBorder="1" applyAlignment="1">
      <alignment horizontal="center"/>
    </xf>
    <xf numFmtId="164" fontId="15" fillId="2" borderId="27" xfId="0" applyNumberFormat="1" applyFont="1" applyFill="1" applyBorder="1" applyAlignment="1">
      <alignment horizontal="center"/>
    </xf>
    <xf numFmtId="164" fontId="15" fillId="2" borderId="32" xfId="0" applyNumberFormat="1" applyFont="1" applyFill="1" applyBorder="1" applyAlignment="1">
      <alignment horizontal="left" vertical="center" wrapText="1"/>
    </xf>
    <xf numFmtId="164" fontId="15" fillId="2" borderId="32" xfId="0" applyNumberFormat="1" applyFont="1" applyFill="1" applyBorder="1" applyAlignment="1">
      <alignment vertical="center" wrapText="1"/>
    </xf>
    <xf numFmtId="164" fontId="15" fillId="2" borderId="33" xfId="0" applyNumberFormat="1" applyFont="1" applyFill="1" applyBorder="1" applyAlignment="1">
      <alignment vertical="center" wrapText="1"/>
    </xf>
    <xf numFmtId="0" fontId="15" fillId="2" borderId="39"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47" xfId="0" applyFont="1" applyFill="1" applyBorder="1" applyAlignment="1" applyProtection="1">
      <alignment horizontal="center" vertical="center"/>
      <protection locked="0"/>
    </xf>
    <xf numFmtId="0" fontId="15" fillId="2" borderId="48" xfId="0" applyFont="1" applyFill="1" applyBorder="1" applyAlignment="1" applyProtection="1">
      <alignment horizontal="center" vertical="center"/>
      <protection locked="0"/>
    </xf>
    <xf numFmtId="0" fontId="15" fillId="2" borderId="64" xfId="0" applyFont="1" applyFill="1" applyBorder="1" applyAlignment="1" applyProtection="1">
      <alignment horizontal="center" vertical="center"/>
      <protection locked="0"/>
    </xf>
    <xf numFmtId="1" fontId="21" fillId="2" borderId="58" xfId="0" applyNumberFormat="1" applyFont="1" applyFill="1" applyBorder="1" applyAlignment="1">
      <alignment horizontal="center" vertical="center"/>
    </xf>
    <xf numFmtId="0" fontId="26" fillId="0" borderId="59" xfId="0" applyFont="1" applyBorder="1" applyAlignment="1">
      <alignment horizontal="center" vertical="center"/>
    </xf>
    <xf numFmtId="164" fontId="15" fillId="2" borderId="60" xfId="0" applyNumberFormat="1" applyFont="1" applyFill="1" applyBorder="1" applyAlignment="1">
      <alignment horizontal="center" vertical="center" wrapText="1"/>
    </xf>
    <xf numFmtId="164" fontId="15" fillId="2" borderId="61" xfId="0" applyNumberFormat="1" applyFont="1" applyFill="1" applyBorder="1" applyAlignment="1">
      <alignment horizontal="center" vertical="center" wrapText="1"/>
    </xf>
    <xf numFmtId="164" fontId="15" fillId="2" borderId="62" xfId="0" applyNumberFormat="1" applyFont="1" applyFill="1" applyBorder="1" applyAlignment="1">
      <alignment horizontal="center" vertical="center" wrapText="1"/>
    </xf>
    <xf numFmtId="0" fontId="12" fillId="0" borderId="5" xfId="0" applyFont="1" applyBorder="1" applyAlignment="1">
      <alignment vertical="center" wrapText="1"/>
    </xf>
    <xf numFmtId="0" fontId="10" fillId="0" borderId="5" xfId="0" applyFont="1" applyBorder="1" applyAlignment="1">
      <alignment horizontal="center" vertical="center" wrapText="1"/>
    </xf>
    <xf numFmtId="0" fontId="28" fillId="0" borderId="48" xfId="0" applyFont="1" applyFill="1" applyBorder="1" applyAlignment="1">
      <alignment vertical="center" wrapText="1"/>
    </xf>
    <xf numFmtId="0" fontId="0" fillId="0" borderId="48" xfId="0" applyBorder="1" applyAlignment="1"/>
    <xf numFmtId="0" fontId="28" fillId="0" borderId="0" xfId="0" applyFont="1" applyFill="1" applyBorder="1" applyAlignment="1">
      <alignment vertical="center" wrapText="1"/>
    </xf>
    <xf numFmtId="0" fontId="0" fillId="0" borderId="0" xfId="0" applyBorder="1" applyAlignment="1"/>
    <xf numFmtId="0" fontId="9" fillId="3" borderId="0" xfId="0" applyFont="1" applyFill="1" applyAlignment="1">
      <alignment horizontal="left" vertical="top" wrapText="1"/>
    </xf>
  </cellXfs>
  <cellStyles count="4">
    <cellStyle name="Comma" xfId="1" builtinId="3"/>
    <cellStyle name="Currency" xfId="3" builtinId="4"/>
    <cellStyle name="Normal" xfId="0" builtinId="0"/>
    <cellStyle name="Normal_Sheet1" xfId="2" xr:uid="{AEEE52A5-68AD-4CFD-B558-9F8531A8C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D68F-A229-4EA9-8180-B7FF89226114}">
  <sheetPr>
    <pageSetUpPr fitToPage="1"/>
  </sheetPr>
  <dimension ref="B1:U59"/>
  <sheetViews>
    <sheetView tabSelected="1" topLeftCell="A32" workbookViewId="0">
      <selection activeCell="L26" sqref="L26"/>
    </sheetView>
  </sheetViews>
  <sheetFormatPr defaultColWidth="9.1796875" defaultRowHeight="10.5" x14ac:dyDescent="0.25"/>
  <cols>
    <col min="1" max="1" width="2.1796875" style="1" customWidth="1"/>
    <col min="2" max="2" width="39.453125" style="1" customWidth="1"/>
    <col min="3" max="3" width="9.26953125" style="1" bestFit="1" customWidth="1"/>
    <col min="4" max="4" width="9.26953125" style="1" hidden="1" customWidth="1"/>
    <col min="5" max="5" width="10.1796875" style="1" bestFit="1" customWidth="1"/>
    <col min="6" max="6" width="9.7265625" style="1" customWidth="1"/>
    <col min="7" max="7" width="10.1796875" style="1" bestFit="1" customWidth="1"/>
    <col min="8" max="8" width="7.81640625" style="1" bestFit="1" customWidth="1"/>
    <col min="9" max="9" width="8.81640625" style="1" bestFit="1" customWidth="1"/>
    <col min="10" max="10" width="9.7265625" style="1" bestFit="1" customWidth="1"/>
    <col min="11" max="11" width="8.81640625" style="1" hidden="1" customWidth="1"/>
    <col min="12" max="12" width="8.7265625" style="1" bestFit="1" customWidth="1"/>
    <col min="13" max="13" width="10.26953125" style="1" hidden="1" customWidth="1"/>
    <col min="14" max="14" width="8.81640625" style="1" hidden="1" customWidth="1"/>
    <col min="15" max="15" width="11.54296875" style="1" customWidth="1"/>
    <col min="16" max="16" width="77.81640625" style="13" hidden="1" customWidth="1"/>
    <col min="17" max="17" width="29.1796875" style="3" hidden="1" customWidth="1"/>
    <col min="18" max="18" width="6.7265625" style="1" customWidth="1"/>
    <col min="19" max="19" width="7.453125" style="1" customWidth="1"/>
    <col min="20" max="20" width="9.1796875" style="1" customWidth="1"/>
    <col min="21" max="16384" width="9.1796875" style="1"/>
  </cols>
  <sheetData>
    <row r="1" spans="2:21" x14ac:dyDescent="0.25">
      <c r="H1" s="1">
        <v>121.46</v>
      </c>
      <c r="I1" s="1">
        <v>60.23</v>
      </c>
      <c r="J1" s="1">
        <v>148.44999999999999</v>
      </c>
    </row>
    <row r="3" spans="2:21" ht="16" thickBot="1" x14ac:dyDescent="0.3">
      <c r="B3" s="184" t="s">
        <v>117</v>
      </c>
      <c r="C3" s="184"/>
      <c r="D3" s="184"/>
      <c r="E3" s="184"/>
      <c r="F3" s="184"/>
      <c r="G3" s="184"/>
      <c r="H3" s="184"/>
      <c r="I3" s="184"/>
      <c r="J3" s="184"/>
      <c r="K3" s="184"/>
      <c r="L3" s="184"/>
      <c r="M3" s="184"/>
      <c r="N3" s="184"/>
      <c r="P3" s="2" t="s">
        <v>157</v>
      </c>
    </row>
    <row r="4" spans="2:21" s="8" customFormat="1" ht="69.75" customHeight="1" x14ac:dyDescent="0.25">
      <c r="B4" s="4" t="s">
        <v>0</v>
      </c>
      <c r="C4" s="5" t="s">
        <v>1</v>
      </c>
      <c r="D4" s="5" t="s">
        <v>2</v>
      </c>
      <c r="E4" s="5" t="s">
        <v>3</v>
      </c>
      <c r="F4" s="5" t="s">
        <v>4</v>
      </c>
      <c r="G4" s="6" t="s">
        <v>5</v>
      </c>
      <c r="H4" s="7" t="s">
        <v>6</v>
      </c>
      <c r="I4" s="7" t="s">
        <v>7</v>
      </c>
      <c r="J4" s="7" t="s">
        <v>8</v>
      </c>
      <c r="K4" s="7" t="s">
        <v>9</v>
      </c>
      <c r="L4" s="5" t="s">
        <v>158</v>
      </c>
      <c r="M4" s="7" t="s">
        <v>10</v>
      </c>
      <c r="N4" s="7" t="s">
        <v>11</v>
      </c>
      <c r="P4" s="9" t="s">
        <v>12</v>
      </c>
    </row>
    <row r="5" spans="2:21" ht="10.5" customHeight="1" x14ac:dyDescent="0.25">
      <c r="B5" s="10" t="s">
        <v>13</v>
      </c>
      <c r="C5" s="11" t="s">
        <v>14</v>
      </c>
      <c r="D5" s="12"/>
      <c r="E5" s="12"/>
      <c r="F5" s="12"/>
      <c r="G5" s="12"/>
      <c r="H5" s="12"/>
      <c r="I5" s="12"/>
      <c r="J5" s="12"/>
      <c r="K5" s="12"/>
      <c r="L5" s="12"/>
      <c r="M5" s="12"/>
      <c r="N5" s="12"/>
    </row>
    <row r="6" spans="2:21" ht="10.5" customHeight="1" x14ac:dyDescent="0.25">
      <c r="B6" s="10" t="s">
        <v>15</v>
      </c>
      <c r="C6" s="11" t="s">
        <v>14</v>
      </c>
      <c r="D6" s="12"/>
      <c r="E6" s="12"/>
      <c r="F6" s="12"/>
      <c r="G6" s="12"/>
      <c r="H6" s="12"/>
      <c r="I6" s="12"/>
      <c r="J6" s="12"/>
      <c r="K6" s="12"/>
      <c r="L6" s="12"/>
      <c r="M6" s="12"/>
      <c r="N6" s="12"/>
    </row>
    <row r="7" spans="2:21" ht="10.5" customHeight="1" x14ac:dyDescent="0.25">
      <c r="B7" s="10" t="s">
        <v>16</v>
      </c>
      <c r="C7" s="11"/>
      <c r="D7" s="12"/>
      <c r="E7" s="12"/>
      <c r="F7" s="12"/>
      <c r="G7" s="12"/>
      <c r="H7" s="12"/>
      <c r="I7" s="12"/>
      <c r="J7" s="12"/>
      <c r="K7" s="12"/>
      <c r="L7" s="12"/>
      <c r="M7" s="12"/>
      <c r="N7" s="12"/>
    </row>
    <row r="8" spans="2:21" ht="12.5" x14ac:dyDescent="0.25">
      <c r="B8" s="14" t="s">
        <v>134</v>
      </c>
      <c r="C8" s="12">
        <v>15</v>
      </c>
      <c r="D8" s="147">
        <v>0</v>
      </c>
      <c r="E8" s="148">
        <v>1</v>
      </c>
      <c r="F8" s="148">
        <f>C8*E8</f>
        <v>15</v>
      </c>
      <c r="G8" s="148">
        <v>4</v>
      </c>
      <c r="H8" s="148">
        <f>G8*F8</f>
        <v>60</v>
      </c>
      <c r="I8" s="149">
        <f>H8*0.1</f>
        <v>6</v>
      </c>
      <c r="J8" s="149">
        <f>H8*0.05</f>
        <v>3</v>
      </c>
      <c r="K8" s="150">
        <f>SUM(H8:J8)</f>
        <v>69</v>
      </c>
      <c r="L8" s="147">
        <f>H8*$H$1+I8*$I$1+J8*$J$1</f>
        <v>8094.33</v>
      </c>
      <c r="M8" s="147">
        <f>D8*E8*G8</f>
        <v>0</v>
      </c>
      <c r="N8" s="148">
        <v>0</v>
      </c>
      <c r="P8" s="20" t="s">
        <v>112</v>
      </c>
    </row>
    <row r="9" spans="2:21" x14ac:dyDescent="0.25">
      <c r="B9" s="14" t="s">
        <v>18</v>
      </c>
      <c r="C9" s="12"/>
      <c r="D9" s="147"/>
      <c r="E9" s="148"/>
      <c r="F9" s="148"/>
      <c r="G9" s="148"/>
      <c r="H9" s="148"/>
      <c r="I9" s="149"/>
      <c r="J9" s="149"/>
      <c r="K9" s="149"/>
      <c r="L9" s="147"/>
      <c r="M9" s="147"/>
      <c r="N9" s="148"/>
    </row>
    <row r="10" spans="2:21" ht="12.5" x14ac:dyDescent="0.25">
      <c r="B10" s="17" t="s">
        <v>135</v>
      </c>
      <c r="C10" s="12"/>
      <c r="D10" s="147"/>
      <c r="E10" s="148"/>
      <c r="F10" s="148"/>
      <c r="G10" s="148"/>
      <c r="H10" s="148"/>
      <c r="I10" s="149"/>
      <c r="J10" s="149"/>
      <c r="K10" s="149"/>
      <c r="L10" s="147"/>
      <c r="M10" s="147"/>
      <c r="N10" s="148"/>
      <c r="U10" s="18"/>
    </row>
    <row r="11" spans="2:21" x14ac:dyDescent="0.25">
      <c r="B11" s="19" t="s">
        <v>19</v>
      </c>
      <c r="C11" s="12">
        <v>0</v>
      </c>
      <c r="D11" s="147">
        <v>86770</v>
      </c>
      <c r="E11" s="148">
        <v>1</v>
      </c>
      <c r="F11" s="148">
        <f>C11*E11</f>
        <v>0</v>
      </c>
      <c r="G11" s="148">
        <v>0</v>
      </c>
      <c r="H11" s="148">
        <f>G11*F11</f>
        <v>0</v>
      </c>
      <c r="I11" s="149">
        <f>H11*0.1</f>
        <v>0</v>
      </c>
      <c r="J11" s="149">
        <f>H11*0.05</f>
        <v>0</v>
      </c>
      <c r="K11" s="150">
        <f>SUM(H11:J11)</f>
        <v>0</v>
      </c>
      <c r="L11" s="147">
        <f t="shared" ref="L11:L15" si="0">H11*$H$1+I11*$I$1+J11*$J$1</f>
        <v>0</v>
      </c>
      <c r="M11" s="147">
        <f>D11*E11*G11</f>
        <v>0</v>
      </c>
      <c r="N11" s="148">
        <v>0</v>
      </c>
      <c r="P11" s="20" t="s">
        <v>113</v>
      </c>
      <c r="Q11" s="3" t="s">
        <v>20</v>
      </c>
      <c r="R11" s="167"/>
      <c r="S11" s="168"/>
      <c r="T11" s="169"/>
      <c r="U11" s="18"/>
    </row>
    <row r="12" spans="2:21" ht="12.5" x14ac:dyDescent="0.25">
      <c r="B12" s="19" t="s">
        <v>136</v>
      </c>
      <c r="C12" s="12">
        <v>0</v>
      </c>
      <c r="D12" s="147">
        <v>186860</v>
      </c>
      <c r="E12" s="148">
        <v>1</v>
      </c>
      <c r="F12" s="148">
        <f>C12*E12</f>
        <v>0</v>
      </c>
      <c r="G12" s="148">
        <v>4</v>
      </c>
      <c r="H12" s="148">
        <f>G12*F12</f>
        <v>0</v>
      </c>
      <c r="I12" s="149">
        <f>H12*0.1</f>
        <v>0</v>
      </c>
      <c r="J12" s="149">
        <f>H12*0.05</f>
        <v>0</v>
      </c>
      <c r="K12" s="150">
        <f>SUM(H12:J12)</f>
        <v>0</v>
      </c>
      <c r="L12" s="147">
        <f t="shared" si="0"/>
        <v>0</v>
      </c>
      <c r="M12" s="147">
        <f>D12*E12*G12</f>
        <v>747440</v>
      </c>
      <c r="N12" s="148">
        <v>0</v>
      </c>
      <c r="P12" s="13" t="s">
        <v>21</v>
      </c>
      <c r="Q12" s="3" t="s">
        <v>22</v>
      </c>
      <c r="R12" s="167"/>
      <c r="S12" s="168"/>
      <c r="T12" s="169"/>
      <c r="U12" s="18"/>
    </row>
    <row r="13" spans="2:21" ht="12.5" x14ac:dyDescent="0.25">
      <c r="B13" s="17" t="s">
        <v>138</v>
      </c>
      <c r="C13" s="12">
        <v>8</v>
      </c>
      <c r="D13" s="147">
        <v>0</v>
      </c>
      <c r="E13" s="148">
        <v>1</v>
      </c>
      <c r="F13" s="148">
        <f>C13*E13</f>
        <v>8</v>
      </c>
      <c r="G13" s="151">
        <v>1.33</v>
      </c>
      <c r="H13" s="148">
        <f t="shared" ref="H13" si="1">G13*F13</f>
        <v>10.64</v>
      </c>
      <c r="I13" s="149">
        <f t="shared" ref="I13" si="2">H13*0.1</f>
        <v>1.0640000000000001</v>
      </c>
      <c r="J13" s="149">
        <f t="shared" ref="J13" si="3">H13*0.05</f>
        <v>0.53200000000000003</v>
      </c>
      <c r="K13" s="150">
        <f>SUM(H13:J13)</f>
        <v>12.236000000000001</v>
      </c>
      <c r="L13" s="147">
        <f t="shared" si="0"/>
        <v>1435.3945200000001</v>
      </c>
      <c r="M13" s="147">
        <f>D13*E13*G13</f>
        <v>0</v>
      </c>
      <c r="N13" s="148">
        <v>0</v>
      </c>
      <c r="P13" s="20" t="s">
        <v>114</v>
      </c>
      <c r="Q13" s="3" t="s">
        <v>23</v>
      </c>
      <c r="R13" s="167"/>
      <c r="S13" s="168"/>
      <c r="T13" s="169"/>
    </row>
    <row r="14" spans="2:21" ht="12.5" x14ac:dyDescent="0.25">
      <c r="B14" s="19" t="s">
        <v>140</v>
      </c>
      <c r="C14" s="12">
        <v>0</v>
      </c>
      <c r="D14" s="147">
        <v>3264</v>
      </c>
      <c r="E14" s="148">
        <v>6.5</v>
      </c>
      <c r="F14" s="148">
        <f>C14*E14</f>
        <v>0</v>
      </c>
      <c r="G14" s="148">
        <v>1.33</v>
      </c>
      <c r="H14" s="148">
        <f>G14*F14</f>
        <v>0</v>
      </c>
      <c r="I14" s="149">
        <f>H14*0.1</f>
        <v>0</v>
      </c>
      <c r="J14" s="149">
        <f>H14*0.05</f>
        <v>0</v>
      </c>
      <c r="K14" s="150">
        <f>SUM(H14:J14)</f>
        <v>0</v>
      </c>
      <c r="L14" s="147">
        <f t="shared" si="0"/>
        <v>0</v>
      </c>
      <c r="M14" s="147">
        <f>D14*E14*G14</f>
        <v>28217.280000000002</v>
      </c>
      <c r="N14" s="148">
        <v>0</v>
      </c>
      <c r="P14" s="20" t="s">
        <v>114</v>
      </c>
      <c r="Q14" s="3" t="s">
        <v>23</v>
      </c>
      <c r="R14" s="167"/>
      <c r="S14" s="168"/>
      <c r="T14" s="169"/>
      <c r="U14" s="18"/>
    </row>
    <row r="15" spans="2:21" x14ac:dyDescent="0.25">
      <c r="B15" s="17" t="s">
        <v>24</v>
      </c>
      <c r="C15" s="12">
        <v>10</v>
      </c>
      <c r="D15" s="147">
        <v>6500</v>
      </c>
      <c r="E15" s="148">
        <v>3</v>
      </c>
      <c r="F15" s="148">
        <f>C15*E15</f>
        <v>30</v>
      </c>
      <c r="G15" s="148">
        <v>0</v>
      </c>
      <c r="H15" s="148">
        <f>G15*F15</f>
        <v>0</v>
      </c>
      <c r="I15" s="149">
        <f>H15*0.1</f>
        <v>0</v>
      </c>
      <c r="J15" s="149">
        <f>H15*0.05</f>
        <v>0</v>
      </c>
      <c r="K15" s="150">
        <f>SUM(H15:J15)</f>
        <v>0</v>
      </c>
      <c r="L15" s="147">
        <f t="shared" si="0"/>
        <v>0</v>
      </c>
      <c r="M15" s="147">
        <f>D15*E15*G15</f>
        <v>0</v>
      </c>
      <c r="N15" s="148">
        <v>0</v>
      </c>
      <c r="P15" s="13" t="s">
        <v>25</v>
      </c>
      <c r="Q15" s="3" t="s">
        <v>26</v>
      </c>
      <c r="R15" s="167"/>
      <c r="S15" s="168"/>
      <c r="T15" s="169"/>
      <c r="U15" s="18"/>
    </row>
    <row r="16" spans="2:21" x14ac:dyDescent="0.25">
      <c r="B16" s="14" t="s">
        <v>27</v>
      </c>
      <c r="C16" s="12" t="s">
        <v>28</v>
      </c>
      <c r="D16" s="147"/>
      <c r="E16" s="148"/>
      <c r="F16" s="148"/>
      <c r="G16" s="148"/>
      <c r="H16" s="148"/>
      <c r="I16" s="149"/>
      <c r="J16" s="149"/>
      <c r="K16" s="149"/>
      <c r="L16" s="147"/>
      <c r="M16" s="147"/>
      <c r="N16" s="148"/>
      <c r="R16" s="166"/>
      <c r="S16" s="166"/>
      <c r="T16" s="166"/>
    </row>
    <row r="17" spans="2:20" x14ac:dyDescent="0.25">
      <c r="B17" s="14" t="s">
        <v>29</v>
      </c>
      <c r="C17" s="12" t="s">
        <v>30</v>
      </c>
      <c r="D17" s="147"/>
      <c r="E17" s="148"/>
      <c r="F17" s="148"/>
      <c r="G17" s="148"/>
      <c r="H17" s="148"/>
      <c r="I17" s="149"/>
      <c r="J17" s="149"/>
      <c r="K17" s="149"/>
      <c r="L17" s="147"/>
      <c r="M17" s="147"/>
      <c r="N17" s="148"/>
      <c r="P17" s="145"/>
      <c r="R17" s="166"/>
      <c r="S17" s="166"/>
      <c r="T17" s="166"/>
    </row>
    <row r="18" spans="2:20" x14ac:dyDescent="0.25">
      <c r="B18" s="14" t="s">
        <v>31</v>
      </c>
      <c r="C18" s="12"/>
      <c r="D18" s="147"/>
      <c r="E18" s="148"/>
      <c r="F18" s="148"/>
      <c r="G18" s="148"/>
      <c r="H18" s="148"/>
      <c r="I18" s="149"/>
      <c r="J18" s="149"/>
      <c r="K18" s="149"/>
      <c r="L18" s="147"/>
      <c r="M18" s="147"/>
      <c r="N18" s="148"/>
      <c r="R18" s="166"/>
      <c r="S18" s="166"/>
      <c r="T18" s="166"/>
    </row>
    <row r="19" spans="2:20" x14ac:dyDescent="0.25">
      <c r="B19" s="21" t="s">
        <v>32</v>
      </c>
      <c r="C19" s="22">
        <v>15</v>
      </c>
      <c r="D19" s="152">
        <v>0</v>
      </c>
      <c r="E19" s="153">
        <v>1</v>
      </c>
      <c r="F19" s="153">
        <f t="shared" ref="F19:F24" si="4">C19*E19</f>
        <v>15</v>
      </c>
      <c r="G19" s="154">
        <v>0</v>
      </c>
      <c r="H19" s="153">
        <f t="shared" ref="H19:H24" si="5">G19*F19</f>
        <v>0</v>
      </c>
      <c r="I19" s="154">
        <f t="shared" ref="I19:I24" si="6">H19*0.1</f>
        <v>0</v>
      </c>
      <c r="J19" s="154">
        <f t="shared" ref="J19:J24" si="7">H19*0.05</f>
        <v>0</v>
      </c>
      <c r="K19" s="150">
        <f t="shared" ref="K19:K24" si="8">SUM(H19:J19)</f>
        <v>0</v>
      </c>
      <c r="L19" s="147">
        <f t="shared" ref="L19:L24" si="9">H19*$H$1+I19*$I$1+J19*$J$1</f>
        <v>0</v>
      </c>
      <c r="M19" s="152">
        <f t="shared" ref="M19:M24" si="10">D19*E19*G19</f>
        <v>0</v>
      </c>
      <c r="N19" s="153">
        <f t="shared" ref="N19:N24" si="11">G19*E19</f>
        <v>0</v>
      </c>
      <c r="P19" s="20" t="s">
        <v>113</v>
      </c>
      <c r="Q19" s="3" t="s">
        <v>20</v>
      </c>
      <c r="R19" s="167"/>
      <c r="S19" s="168"/>
      <c r="T19" s="169"/>
    </row>
    <row r="20" spans="2:20" x14ac:dyDescent="0.25">
      <c r="B20" s="21" t="s">
        <v>33</v>
      </c>
      <c r="C20" s="22">
        <v>2</v>
      </c>
      <c r="D20" s="152">
        <v>0</v>
      </c>
      <c r="E20" s="153">
        <v>1</v>
      </c>
      <c r="F20" s="153">
        <f t="shared" si="4"/>
        <v>2</v>
      </c>
      <c r="G20" s="155">
        <f>G13</f>
        <v>1.33</v>
      </c>
      <c r="H20" s="153">
        <f t="shared" si="5"/>
        <v>2.66</v>
      </c>
      <c r="I20" s="154">
        <f t="shared" si="6"/>
        <v>0.26600000000000001</v>
      </c>
      <c r="J20" s="154">
        <f t="shared" si="7"/>
        <v>0.13300000000000001</v>
      </c>
      <c r="K20" s="150">
        <f t="shared" si="8"/>
        <v>3.0590000000000002</v>
      </c>
      <c r="L20" s="147">
        <f t="shared" si="9"/>
        <v>358.84863000000001</v>
      </c>
      <c r="M20" s="152">
        <f t="shared" si="10"/>
        <v>0</v>
      </c>
      <c r="N20" s="153">
        <f t="shared" si="11"/>
        <v>1.33</v>
      </c>
      <c r="P20" s="20" t="s">
        <v>114</v>
      </c>
      <c r="Q20" s="3" t="s">
        <v>23</v>
      </c>
      <c r="R20" s="166"/>
      <c r="S20" s="166"/>
      <c r="T20" s="170"/>
    </row>
    <row r="21" spans="2:20" x14ac:dyDescent="0.25">
      <c r="B21" s="17" t="s">
        <v>34</v>
      </c>
      <c r="C21" s="12">
        <v>2</v>
      </c>
      <c r="D21" s="147">
        <v>0</v>
      </c>
      <c r="E21" s="148">
        <v>1</v>
      </c>
      <c r="F21" s="148">
        <f t="shared" si="4"/>
        <v>2</v>
      </c>
      <c r="G21" s="151">
        <f>G13</f>
        <v>1.33</v>
      </c>
      <c r="H21" s="148">
        <f t="shared" si="5"/>
        <v>2.66</v>
      </c>
      <c r="I21" s="149">
        <f t="shared" si="6"/>
        <v>0.26600000000000001</v>
      </c>
      <c r="J21" s="149">
        <f t="shared" si="7"/>
        <v>0.13300000000000001</v>
      </c>
      <c r="K21" s="150">
        <f t="shared" si="8"/>
        <v>3.0590000000000002</v>
      </c>
      <c r="L21" s="147">
        <f t="shared" si="9"/>
        <v>358.84863000000001</v>
      </c>
      <c r="M21" s="147">
        <f t="shared" si="10"/>
        <v>0</v>
      </c>
      <c r="N21" s="148">
        <f t="shared" si="11"/>
        <v>1.33</v>
      </c>
      <c r="P21" s="20" t="s">
        <v>114</v>
      </c>
      <c r="Q21" s="3" t="s">
        <v>23</v>
      </c>
    </row>
    <row r="22" spans="2:20" x14ac:dyDescent="0.25">
      <c r="B22" s="17" t="s">
        <v>35</v>
      </c>
      <c r="C22" s="12">
        <v>2</v>
      </c>
      <c r="D22" s="147">
        <v>0</v>
      </c>
      <c r="E22" s="148">
        <v>1</v>
      </c>
      <c r="F22" s="148">
        <f t="shared" si="4"/>
        <v>2</v>
      </c>
      <c r="G22" s="149">
        <f>G15</f>
        <v>0</v>
      </c>
      <c r="H22" s="148">
        <f t="shared" si="5"/>
        <v>0</v>
      </c>
      <c r="I22" s="149">
        <f t="shared" si="6"/>
        <v>0</v>
      </c>
      <c r="J22" s="149">
        <f t="shared" si="7"/>
        <v>0</v>
      </c>
      <c r="K22" s="150">
        <f t="shared" si="8"/>
        <v>0</v>
      </c>
      <c r="L22" s="147">
        <f t="shared" si="9"/>
        <v>0</v>
      </c>
      <c r="M22" s="147">
        <f t="shared" si="10"/>
        <v>0</v>
      </c>
      <c r="N22" s="148">
        <f t="shared" si="11"/>
        <v>0</v>
      </c>
      <c r="P22" s="13" t="s">
        <v>17</v>
      </c>
    </row>
    <row r="23" spans="2:20" x14ac:dyDescent="0.25">
      <c r="B23" s="21" t="s">
        <v>36</v>
      </c>
      <c r="C23" s="12">
        <v>4</v>
      </c>
      <c r="D23" s="147">
        <v>0</v>
      </c>
      <c r="E23" s="148">
        <v>1</v>
      </c>
      <c r="F23" s="148">
        <f t="shared" si="4"/>
        <v>4</v>
      </c>
      <c r="G23" s="148">
        <v>0</v>
      </c>
      <c r="H23" s="148">
        <f t="shared" si="5"/>
        <v>0</v>
      </c>
      <c r="I23" s="149">
        <f t="shared" si="6"/>
        <v>0</v>
      </c>
      <c r="J23" s="149">
        <f t="shared" si="7"/>
        <v>0</v>
      </c>
      <c r="K23" s="150">
        <f t="shared" si="8"/>
        <v>0</v>
      </c>
      <c r="L23" s="147">
        <f t="shared" si="9"/>
        <v>0</v>
      </c>
      <c r="M23" s="147">
        <f t="shared" si="10"/>
        <v>0</v>
      </c>
      <c r="N23" s="148">
        <f t="shared" si="11"/>
        <v>0</v>
      </c>
      <c r="P23" s="13" t="s">
        <v>17</v>
      </c>
      <c r="Q23" s="3" t="s">
        <v>37</v>
      </c>
    </row>
    <row r="24" spans="2:20" x14ac:dyDescent="0.25">
      <c r="B24" s="17" t="s">
        <v>38</v>
      </c>
      <c r="C24" s="12">
        <v>4</v>
      </c>
      <c r="D24" s="147">
        <v>0</v>
      </c>
      <c r="E24" s="148">
        <v>2</v>
      </c>
      <c r="F24" s="148">
        <f t="shared" si="4"/>
        <v>8</v>
      </c>
      <c r="G24" s="148">
        <v>4</v>
      </c>
      <c r="H24" s="148">
        <f t="shared" si="5"/>
        <v>32</v>
      </c>
      <c r="I24" s="149">
        <f t="shared" si="6"/>
        <v>3.2</v>
      </c>
      <c r="J24" s="149">
        <f t="shared" si="7"/>
        <v>1.6</v>
      </c>
      <c r="K24" s="150">
        <f t="shared" si="8"/>
        <v>36.800000000000004</v>
      </c>
      <c r="L24" s="147">
        <f t="shared" si="9"/>
        <v>4316.9759999999997</v>
      </c>
      <c r="M24" s="147">
        <f t="shared" si="10"/>
        <v>0</v>
      </c>
      <c r="N24" s="148">
        <f t="shared" si="11"/>
        <v>8</v>
      </c>
      <c r="P24" s="13" t="s">
        <v>21</v>
      </c>
      <c r="Q24" s="3" t="s">
        <v>39</v>
      </c>
    </row>
    <row r="25" spans="2:20" ht="14.5" x14ac:dyDescent="0.35">
      <c r="B25" s="23" t="s">
        <v>116</v>
      </c>
      <c r="C25" s="12"/>
      <c r="D25" s="147"/>
      <c r="E25" s="148"/>
      <c r="F25" s="148"/>
      <c r="G25" s="148"/>
      <c r="H25" s="190">
        <f>SUM(H8:J24)</f>
        <v>124.154</v>
      </c>
      <c r="I25" s="191"/>
      <c r="J25" s="192"/>
      <c r="K25" s="149">
        <f>SUM(K8:K24)</f>
        <v>124.154</v>
      </c>
      <c r="L25" s="147">
        <f>SUM(L8:L24)</f>
        <v>14564.397779999999</v>
      </c>
      <c r="M25" s="147">
        <f>SUM(M8:M24)-M11</f>
        <v>775657.28</v>
      </c>
      <c r="N25" s="148">
        <f>SUM(N8:N24)</f>
        <v>10.66</v>
      </c>
      <c r="O25" s="18"/>
    </row>
    <row r="26" spans="2:20" x14ac:dyDescent="0.25">
      <c r="B26" s="10" t="s">
        <v>40</v>
      </c>
      <c r="C26" s="12"/>
      <c r="D26" s="147"/>
      <c r="E26" s="148"/>
      <c r="F26" s="148"/>
      <c r="G26" s="148"/>
      <c r="H26" s="148"/>
      <c r="I26" s="149"/>
      <c r="J26" s="149"/>
      <c r="K26" s="149"/>
      <c r="L26" s="147"/>
      <c r="M26" s="147"/>
      <c r="N26" s="148"/>
    </row>
    <row r="27" spans="2:20" x14ac:dyDescent="0.25">
      <c r="B27" s="14" t="s">
        <v>41</v>
      </c>
      <c r="C27" s="12" t="s">
        <v>42</v>
      </c>
      <c r="D27" s="147"/>
      <c r="E27" s="148"/>
      <c r="F27" s="148"/>
      <c r="G27" s="148"/>
      <c r="H27" s="148"/>
      <c r="I27" s="149"/>
      <c r="J27" s="149"/>
      <c r="K27" s="149"/>
      <c r="L27" s="147"/>
      <c r="M27" s="147"/>
      <c r="N27" s="148"/>
    </row>
    <row r="28" spans="2:20" x14ac:dyDescent="0.25">
      <c r="B28" s="14" t="s">
        <v>43</v>
      </c>
      <c r="C28" s="11" t="s">
        <v>14</v>
      </c>
      <c r="D28" s="147"/>
      <c r="E28" s="148"/>
      <c r="F28" s="148"/>
      <c r="G28" s="148"/>
      <c r="H28" s="148"/>
      <c r="I28" s="149"/>
      <c r="J28" s="149"/>
      <c r="K28" s="149"/>
      <c r="L28" s="147"/>
      <c r="M28" s="147"/>
      <c r="N28" s="148"/>
    </row>
    <row r="29" spans="2:20" x14ac:dyDescent="0.25">
      <c r="B29" s="14" t="s">
        <v>44</v>
      </c>
      <c r="C29" s="11" t="s">
        <v>14</v>
      </c>
      <c r="D29" s="147"/>
      <c r="E29" s="148"/>
      <c r="F29" s="148"/>
      <c r="G29" s="148"/>
      <c r="H29" s="148"/>
      <c r="I29" s="149"/>
      <c r="J29" s="149"/>
      <c r="K29" s="149"/>
      <c r="L29" s="147"/>
      <c r="M29" s="147"/>
      <c r="N29" s="148"/>
    </row>
    <row r="30" spans="2:20" x14ac:dyDescent="0.25">
      <c r="B30" s="17" t="s">
        <v>45</v>
      </c>
      <c r="C30" s="12">
        <v>20</v>
      </c>
      <c r="D30" s="147">
        <v>0</v>
      </c>
      <c r="E30" s="148">
        <v>1</v>
      </c>
      <c r="F30" s="148">
        <f t="shared" ref="F30" si="12">C30*E30</f>
        <v>20</v>
      </c>
      <c r="G30" s="149">
        <v>0</v>
      </c>
      <c r="H30" s="148">
        <f t="shared" ref="H30" si="13">G30*F30</f>
        <v>0</v>
      </c>
      <c r="I30" s="149">
        <f t="shared" ref="I30" si="14">H30*0.1</f>
        <v>0</v>
      </c>
      <c r="J30" s="149">
        <f t="shared" ref="J30" si="15">H30*0.05</f>
        <v>0</v>
      </c>
      <c r="K30" s="150">
        <f>SUM(H30:J30)</f>
        <v>0</v>
      </c>
      <c r="L30" s="147">
        <f>H30*$H$1+I30*$I$1+J30*$J$1</f>
        <v>0</v>
      </c>
      <c r="M30" s="147">
        <f t="shared" ref="M30" si="16">D30*E30*G30</f>
        <v>0</v>
      </c>
      <c r="N30" s="148">
        <v>0</v>
      </c>
      <c r="P30" s="20" t="s">
        <v>113</v>
      </c>
      <c r="Q30" s="3" t="s">
        <v>46</v>
      </c>
    </row>
    <row r="31" spans="2:20" x14ac:dyDescent="0.25">
      <c r="B31" s="14" t="s">
        <v>47</v>
      </c>
      <c r="C31" s="12"/>
      <c r="D31" s="147"/>
      <c r="E31" s="148"/>
      <c r="F31" s="148"/>
      <c r="G31" s="148"/>
      <c r="H31" s="148"/>
      <c r="I31" s="149"/>
      <c r="J31" s="149"/>
      <c r="K31" s="149"/>
      <c r="L31" s="147"/>
      <c r="M31" s="147"/>
      <c r="N31" s="148"/>
    </row>
    <row r="32" spans="2:20" x14ac:dyDescent="0.25">
      <c r="B32" s="17" t="s">
        <v>48</v>
      </c>
      <c r="C32" s="12">
        <v>2</v>
      </c>
      <c r="D32" s="147">
        <v>0</v>
      </c>
      <c r="E32" s="148">
        <v>1</v>
      </c>
      <c r="F32" s="148">
        <f t="shared" ref="F32:F37" si="17">C32*E32</f>
        <v>2</v>
      </c>
      <c r="G32" s="151">
        <v>1.33</v>
      </c>
      <c r="H32" s="148">
        <f t="shared" ref="H32:H37" si="18">G32*F32</f>
        <v>2.66</v>
      </c>
      <c r="I32" s="149">
        <f t="shared" ref="I32:I37" si="19">H32*0.1</f>
        <v>0.26600000000000001</v>
      </c>
      <c r="J32" s="149">
        <f t="shared" ref="J32:J37" si="20">H32*0.05</f>
        <v>0.13300000000000001</v>
      </c>
      <c r="K32" s="150">
        <f>SUM(H32:J32)</f>
        <v>3.0590000000000002</v>
      </c>
      <c r="L32" s="147">
        <f t="shared" ref="L32:L34" si="21">H32*$H$1+I32*$I$1+J32*$J$1</f>
        <v>358.84863000000001</v>
      </c>
      <c r="M32" s="147">
        <f t="shared" ref="M32:M37" si="22">D32*E32*G32</f>
        <v>0</v>
      </c>
      <c r="N32" s="148">
        <v>0</v>
      </c>
      <c r="P32" s="20" t="s">
        <v>114</v>
      </c>
      <c r="Q32" s="3" t="s">
        <v>23</v>
      </c>
    </row>
    <row r="33" spans="2:19" x14ac:dyDescent="0.25">
      <c r="B33" s="17" t="s">
        <v>49</v>
      </c>
      <c r="C33" s="12">
        <v>0.5</v>
      </c>
      <c r="D33" s="147">
        <v>0</v>
      </c>
      <c r="E33" s="148">
        <v>350</v>
      </c>
      <c r="F33" s="148">
        <f t="shared" si="17"/>
        <v>175</v>
      </c>
      <c r="G33" s="148">
        <v>4</v>
      </c>
      <c r="H33" s="148">
        <f t="shared" si="18"/>
        <v>700</v>
      </c>
      <c r="I33" s="149">
        <f t="shared" si="19"/>
        <v>70</v>
      </c>
      <c r="J33" s="149">
        <f t="shared" si="20"/>
        <v>35</v>
      </c>
      <c r="K33" s="150">
        <f>SUM(H33:J33)</f>
        <v>805</v>
      </c>
      <c r="L33" s="147">
        <f t="shared" si="21"/>
        <v>94433.85</v>
      </c>
      <c r="M33" s="147">
        <f t="shared" si="22"/>
        <v>0</v>
      </c>
      <c r="N33" s="148">
        <v>0</v>
      </c>
      <c r="P33" s="13" t="s">
        <v>21</v>
      </c>
      <c r="Q33" s="3" t="s">
        <v>39</v>
      </c>
    </row>
    <row r="34" spans="2:19" x14ac:dyDescent="0.25">
      <c r="B34" s="17" t="s">
        <v>50</v>
      </c>
      <c r="C34" s="12">
        <v>4</v>
      </c>
      <c r="D34" s="147">
        <v>0</v>
      </c>
      <c r="E34" s="148">
        <v>12</v>
      </c>
      <c r="F34" s="148">
        <f t="shared" si="17"/>
        <v>48</v>
      </c>
      <c r="G34" s="148">
        <f>G33</f>
        <v>4</v>
      </c>
      <c r="H34" s="148">
        <f t="shared" si="18"/>
        <v>192</v>
      </c>
      <c r="I34" s="149">
        <f t="shared" si="19"/>
        <v>19.200000000000003</v>
      </c>
      <c r="J34" s="149">
        <f t="shared" si="20"/>
        <v>9.6000000000000014</v>
      </c>
      <c r="K34" s="150">
        <f>SUM(H34:J34)</f>
        <v>220.79999999999998</v>
      </c>
      <c r="L34" s="147">
        <f t="shared" si="21"/>
        <v>25901.856</v>
      </c>
      <c r="M34" s="147">
        <f t="shared" si="22"/>
        <v>0</v>
      </c>
      <c r="N34" s="148">
        <v>0</v>
      </c>
      <c r="P34" s="13" t="s">
        <v>21</v>
      </c>
      <c r="Q34" s="3" t="s">
        <v>39</v>
      </c>
    </row>
    <row r="35" spans="2:19" x14ac:dyDescent="0.25">
      <c r="B35" s="21" t="s">
        <v>51</v>
      </c>
      <c r="C35" s="11" t="s">
        <v>52</v>
      </c>
      <c r="D35" s="147"/>
      <c r="E35" s="148"/>
      <c r="F35" s="148"/>
      <c r="G35" s="148"/>
      <c r="H35" s="148"/>
      <c r="I35" s="149"/>
      <c r="J35" s="149"/>
      <c r="K35" s="149"/>
      <c r="L35" s="147"/>
      <c r="M35" s="147"/>
      <c r="N35" s="148"/>
    </row>
    <row r="36" spans="2:19" x14ac:dyDescent="0.25">
      <c r="B36" s="17" t="s">
        <v>53</v>
      </c>
      <c r="C36" s="148">
        <v>12</v>
      </c>
      <c r="D36" s="147">
        <v>0</v>
      </c>
      <c r="E36" s="148">
        <v>1</v>
      </c>
      <c r="F36" s="148">
        <f t="shared" si="17"/>
        <v>12</v>
      </c>
      <c r="G36" s="148">
        <f>G24</f>
        <v>4</v>
      </c>
      <c r="H36" s="148">
        <f t="shared" si="18"/>
        <v>48</v>
      </c>
      <c r="I36" s="149">
        <f t="shared" si="19"/>
        <v>4.8000000000000007</v>
      </c>
      <c r="J36" s="149">
        <f t="shared" si="20"/>
        <v>2.4000000000000004</v>
      </c>
      <c r="K36" s="150">
        <f>SUM(H36:J36)</f>
        <v>55.199999999999996</v>
      </c>
      <c r="L36" s="147">
        <f t="shared" ref="L36:L37" si="23">H36*$H$1+I36*$I$1+J36*$J$1</f>
        <v>6475.4639999999999</v>
      </c>
      <c r="M36" s="147">
        <f t="shared" si="22"/>
        <v>0</v>
      </c>
      <c r="N36" s="148">
        <v>0</v>
      </c>
      <c r="P36" s="13" t="s">
        <v>21</v>
      </c>
      <c r="Q36" s="3" t="s">
        <v>39</v>
      </c>
    </row>
    <row r="37" spans="2:19" x14ac:dyDescent="0.25">
      <c r="B37" s="17" t="s">
        <v>54</v>
      </c>
      <c r="C37" s="12">
        <v>20</v>
      </c>
      <c r="D37" s="147">
        <v>0</v>
      </c>
      <c r="E37" s="148">
        <v>1</v>
      </c>
      <c r="F37" s="148">
        <f t="shared" si="17"/>
        <v>20</v>
      </c>
      <c r="G37" s="148">
        <f>G24</f>
        <v>4</v>
      </c>
      <c r="H37" s="148">
        <f t="shared" si="18"/>
        <v>80</v>
      </c>
      <c r="I37" s="149">
        <f t="shared" si="19"/>
        <v>8</v>
      </c>
      <c r="J37" s="149">
        <f t="shared" si="20"/>
        <v>4</v>
      </c>
      <c r="K37" s="150">
        <f>SUM(H37:J37)</f>
        <v>92</v>
      </c>
      <c r="L37" s="147">
        <f t="shared" si="23"/>
        <v>10792.439999999999</v>
      </c>
      <c r="M37" s="147">
        <f t="shared" si="22"/>
        <v>0</v>
      </c>
      <c r="N37" s="148">
        <v>0</v>
      </c>
      <c r="P37" s="13" t="s">
        <v>21</v>
      </c>
      <c r="Q37" s="3" t="s">
        <v>39</v>
      </c>
    </row>
    <row r="38" spans="2:19" x14ac:dyDescent="0.25">
      <c r="B38" s="14" t="s">
        <v>55</v>
      </c>
      <c r="C38" s="12"/>
      <c r="D38" s="147"/>
      <c r="E38" s="148"/>
      <c r="F38" s="148"/>
      <c r="G38" s="148"/>
      <c r="H38" s="148"/>
      <c r="I38" s="149"/>
      <c r="J38" s="149"/>
      <c r="K38" s="149"/>
      <c r="L38" s="147"/>
      <c r="M38" s="147"/>
      <c r="N38" s="148"/>
    </row>
    <row r="39" spans="2:19" x14ac:dyDescent="0.25">
      <c r="B39" s="17" t="s">
        <v>56</v>
      </c>
      <c r="C39" s="12">
        <v>20</v>
      </c>
      <c r="D39" s="147">
        <v>0</v>
      </c>
      <c r="E39" s="148">
        <v>1</v>
      </c>
      <c r="F39" s="148">
        <f t="shared" ref="F39:F40" si="24">C39*E39</f>
        <v>20</v>
      </c>
      <c r="G39" s="148">
        <v>4</v>
      </c>
      <c r="H39" s="148">
        <f t="shared" ref="H39:H40" si="25">G39*F39</f>
        <v>80</v>
      </c>
      <c r="I39" s="149">
        <f t="shared" ref="I39:I40" si="26">H39*0.1</f>
        <v>8</v>
      </c>
      <c r="J39" s="149">
        <f t="shared" ref="J39:J40" si="27">H39*0.05</f>
        <v>4</v>
      </c>
      <c r="K39" s="150">
        <f>SUM(H39:J39)</f>
        <v>92</v>
      </c>
      <c r="L39" s="147">
        <f t="shared" ref="L39:L40" si="28">H39*$H$1+I39*$I$1+J39*$J$1</f>
        <v>10792.439999999999</v>
      </c>
      <c r="M39" s="147">
        <f t="shared" ref="M39:M40" si="29">D39*E39*G39</f>
        <v>0</v>
      </c>
      <c r="N39" s="148">
        <v>0</v>
      </c>
      <c r="P39" s="13" t="s">
        <v>21</v>
      </c>
      <c r="Q39" s="3" t="s">
        <v>39</v>
      </c>
    </row>
    <row r="40" spans="2:19" x14ac:dyDescent="0.25">
      <c r="B40" s="17" t="s">
        <v>57</v>
      </c>
      <c r="C40" s="12">
        <v>4</v>
      </c>
      <c r="D40" s="147">
        <v>0</v>
      </c>
      <c r="E40" s="148">
        <v>1</v>
      </c>
      <c r="F40" s="148">
        <f t="shared" si="24"/>
        <v>4</v>
      </c>
      <c r="G40" s="148">
        <v>4</v>
      </c>
      <c r="H40" s="148">
        <f t="shared" si="25"/>
        <v>16</v>
      </c>
      <c r="I40" s="149">
        <f t="shared" si="26"/>
        <v>1.6</v>
      </c>
      <c r="J40" s="149">
        <f t="shared" si="27"/>
        <v>0.8</v>
      </c>
      <c r="K40" s="150">
        <f>SUM(H40:J40)</f>
        <v>18.400000000000002</v>
      </c>
      <c r="L40" s="147">
        <f t="shared" si="28"/>
        <v>2158.4879999999998</v>
      </c>
      <c r="M40" s="147">
        <f t="shared" si="29"/>
        <v>0</v>
      </c>
      <c r="N40" s="148">
        <v>0</v>
      </c>
      <c r="P40" s="13" t="s">
        <v>21</v>
      </c>
      <c r="Q40" s="3" t="s">
        <v>39</v>
      </c>
    </row>
    <row r="41" spans="2:19" x14ac:dyDescent="0.25">
      <c r="B41" s="14" t="s">
        <v>58</v>
      </c>
      <c r="C41" s="12" t="s">
        <v>14</v>
      </c>
      <c r="D41" s="15"/>
      <c r="E41" s="12"/>
      <c r="F41" s="12"/>
      <c r="G41" s="12"/>
      <c r="H41" s="12"/>
      <c r="I41" s="16"/>
      <c r="J41" s="16"/>
      <c r="K41" s="16"/>
      <c r="L41" s="15"/>
      <c r="M41" s="15"/>
      <c r="N41" s="12"/>
    </row>
    <row r="42" spans="2:19" ht="14.5" x14ac:dyDescent="0.35">
      <c r="B42" s="24" t="s">
        <v>115</v>
      </c>
      <c r="C42" s="12"/>
      <c r="D42" s="12"/>
      <c r="E42" s="12"/>
      <c r="F42" s="12"/>
      <c r="G42" s="12"/>
      <c r="H42" s="187">
        <f>SUM(H26:J40)</f>
        <v>1286.4589999999998</v>
      </c>
      <c r="I42" s="188"/>
      <c r="J42" s="188"/>
      <c r="K42" s="25">
        <f>SUM(K32:K40)</f>
        <v>1286.4590000000001</v>
      </c>
      <c r="L42" s="15">
        <f>SUM(L30:L40)</f>
        <v>150913.38663000002</v>
      </c>
      <c r="M42" s="26">
        <f>SUM(M32:M37)</f>
        <v>0</v>
      </c>
      <c r="N42" s="25">
        <f>SUM(N32:N38)</f>
        <v>0</v>
      </c>
    </row>
    <row r="43" spans="2:19" ht="14.5" x14ac:dyDescent="0.35">
      <c r="B43" s="135" t="s">
        <v>155</v>
      </c>
      <c r="C43" s="12"/>
      <c r="D43" s="12"/>
      <c r="E43" s="12"/>
      <c r="F43" s="12"/>
      <c r="G43" s="12"/>
      <c r="H43" s="187">
        <f>ROUND(H25+H42,-1)</f>
        <v>1410</v>
      </c>
      <c r="I43" s="189"/>
      <c r="J43" s="189"/>
      <c r="K43" s="124"/>
      <c r="L43" s="15">
        <f>ROUND(L42+L25,-3)</f>
        <v>165000</v>
      </c>
      <c r="M43" s="125"/>
      <c r="N43" s="124"/>
      <c r="P43" s="164">
        <f>+H43/4</f>
        <v>352.5</v>
      </c>
      <c r="Q43" s="3" t="s">
        <v>154</v>
      </c>
      <c r="R43" s="177">
        <f>H43/24</f>
        <v>58.75</v>
      </c>
      <c r="S43" s="1" t="s">
        <v>159</v>
      </c>
    </row>
    <row r="44" spans="2:19" ht="13" thickBot="1" x14ac:dyDescent="0.3">
      <c r="B44" s="135" t="s">
        <v>149</v>
      </c>
      <c r="C44" s="12"/>
      <c r="D44" s="12"/>
      <c r="E44" s="12"/>
      <c r="F44" s="12"/>
      <c r="G44" s="12"/>
      <c r="H44" s="16"/>
      <c r="I44" s="16"/>
      <c r="J44" s="16"/>
      <c r="K44" s="124"/>
      <c r="L44" s="125">
        <f>ROUND('O&amp;M'!H10,-3)</f>
        <v>776000</v>
      </c>
      <c r="M44" s="125"/>
      <c r="N44" s="124"/>
    </row>
    <row r="45" spans="2:19" ht="13" thickBot="1" x14ac:dyDescent="0.3">
      <c r="B45" s="146" t="s">
        <v>148</v>
      </c>
      <c r="C45" s="134"/>
      <c r="D45" s="134"/>
      <c r="E45" s="134"/>
      <c r="F45" s="134"/>
      <c r="G45" s="134"/>
      <c r="H45" s="133"/>
      <c r="I45" s="133"/>
      <c r="J45" s="133"/>
      <c r="K45" s="28">
        <f>K42+K25</f>
        <v>1410.6130000000001</v>
      </c>
      <c r="L45" s="29">
        <f>L43+L44</f>
        <v>941000</v>
      </c>
      <c r="M45" s="29">
        <f>M42+M25</f>
        <v>775657.28</v>
      </c>
      <c r="N45" s="27">
        <f t="shared" ref="N45" si="30">N42+N25</f>
        <v>10.66</v>
      </c>
    </row>
    <row r="46" spans="2:19" hidden="1" x14ac:dyDescent="0.25">
      <c r="B46" s="165"/>
      <c r="G46" s="171"/>
      <c r="H46" s="171"/>
      <c r="I46" s="172"/>
      <c r="J46" s="172" t="s">
        <v>59</v>
      </c>
      <c r="K46" s="172" t="s">
        <v>60</v>
      </c>
      <c r="L46" s="173" t="s">
        <v>61</v>
      </c>
      <c r="M46" s="30" t="s">
        <v>62</v>
      </c>
    </row>
    <row r="47" spans="2:19" hidden="1" x14ac:dyDescent="0.25">
      <c r="B47" s="166"/>
      <c r="G47" s="174" t="s">
        <v>63</v>
      </c>
      <c r="H47" s="171"/>
      <c r="I47" s="172"/>
      <c r="J47" s="172">
        <f>H45+I45+J45</f>
        <v>0</v>
      </c>
      <c r="K47" s="175">
        <f>L45</f>
        <v>941000</v>
      </c>
      <c r="L47" s="175">
        <f>'O&amp;M'!H10</f>
        <v>776000</v>
      </c>
      <c r="M47" s="31">
        <f>L47+K47</f>
        <v>1717000</v>
      </c>
    </row>
    <row r="48" spans="2:19" hidden="1" x14ac:dyDescent="0.25">
      <c r="B48" s="166"/>
      <c r="G48" s="174" t="s">
        <v>64</v>
      </c>
      <c r="H48" s="171"/>
      <c r="I48" s="172"/>
      <c r="J48" s="172"/>
      <c r="K48" s="175"/>
      <c r="L48" s="176">
        <f>M11</f>
        <v>0</v>
      </c>
      <c r="M48" s="31"/>
    </row>
    <row r="49" spans="2:16" ht="8.25" customHeight="1" x14ac:dyDescent="0.25"/>
    <row r="50" spans="2:16" x14ac:dyDescent="0.25">
      <c r="B50" s="1" t="s">
        <v>156</v>
      </c>
      <c r="L50" s="18"/>
    </row>
    <row r="51" spans="2:16" ht="12.5" x14ac:dyDescent="0.25">
      <c r="B51" s="1" t="s">
        <v>133</v>
      </c>
      <c r="D51" s="120"/>
    </row>
    <row r="52" spans="2:16" ht="12.5" x14ac:dyDescent="0.25">
      <c r="B52" s="1" t="s">
        <v>160</v>
      </c>
      <c r="D52" s="120"/>
    </row>
    <row r="53" spans="2:16" ht="12.5" x14ac:dyDescent="0.25">
      <c r="B53" s="1" t="s">
        <v>141</v>
      </c>
    </row>
    <row r="54" spans="2:16" ht="12.5" x14ac:dyDescent="0.25">
      <c r="B54" s="1" t="s">
        <v>137</v>
      </c>
    </row>
    <row r="55" spans="2:16" x14ac:dyDescent="0.25">
      <c r="B55" s="185" t="s">
        <v>139</v>
      </c>
      <c r="C55" s="185"/>
      <c r="D55" s="185"/>
      <c r="E55" s="185"/>
      <c r="F55" s="185"/>
      <c r="G55" s="185"/>
      <c r="H55" s="185"/>
      <c r="I55" s="185"/>
      <c r="J55" s="185"/>
      <c r="K55" s="185"/>
      <c r="L55" s="185"/>
      <c r="M55" s="185"/>
      <c r="N55" s="185"/>
    </row>
    <row r="56" spans="2:16" ht="26.25" customHeight="1" x14ac:dyDescent="0.25">
      <c r="B56" s="185" t="s">
        <v>147</v>
      </c>
      <c r="C56" s="185"/>
      <c r="D56" s="185"/>
      <c r="E56" s="185"/>
      <c r="F56" s="185"/>
      <c r="G56" s="185"/>
      <c r="H56" s="185"/>
      <c r="I56" s="185"/>
      <c r="J56" s="185"/>
      <c r="K56" s="185"/>
      <c r="L56" s="185"/>
      <c r="M56" s="185"/>
      <c r="N56" s="185"/>
    </row>
    <row r="57" spans="2:16" ht="20.5" customHeight="1" x14ac:dyDescent="0.25">
      <c r="B57" s="160" t="s">
        <v>146</v>
      </c>
      <c r="C57" s="142"/>
      <c r="D57" s="142"/>
      <c r="E57" s="142"/>
      <c r="F57" s="142"/>
      <c r="G57" s="142"/>
      <c r="H57" s="142"/>
      <c r="I57" s="142"/>
      <c r="J57" s="142"/>
      <c r="K57" s="142"/>
      <c r="L57" s="142"/>
      <c r="M57" s="142"/>
      <c r="N57" s="142"/>
    </row>
    <row r="58" spans="2:16" s="122" customFormat="1" x14ac:dyDescent="0.25">
      <c r="P58" s="123"/>
    </row>
    <row r="59" spans="2:16" s="122" customFormat="1" ht="11.25" customHeight="1" x14ac:dyDescent="0.25">
      <c r="B59" s="186"/>
      <c r="C59" s="186"/>
      <c r="D59" s="186"/>
      <c r="E59" s="186"/>
      <c r="F59" s="186"/>
      <c r="G59" s="186"/>
      <c r="H59" s="186"/>
      <c r="I59" s="186"/>
      <c r="J59" s="186"/>
      <c r="K59" s="186"/>
      <c r="L59" s="186"/>
      <c r="M59" s="186"/>
      <c r="N59" s="186"/>
      <c r="P59" s="123"/>
    </row>
  </sheetData>
  <mergeCells count="7">
    <mergeCell ref="B3:N3"/>
    <mergeCell ref="B55:N55"/>
    <mergeCell ref="B56:N56"/>
    <mergeCell ref="B59:N59"/>
    <mergeCell ref="H42:J42"/>
    <mergeCell ref="H43:J43"/>
    <mergeCell ref="H25:J25"/>
  </mergeCells>
  <printOptions horizontalCentered="1"/>
  <pageMargins left="0.5" right="0.5" top="0.5" bottom="0.5" header="0.3" footer="0.3"/>
  <pageSetup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BCE2E-0F92-4F0B-9FD6-BF4334E54E17}">
  <dimension ref="B1:Y45"/>
  <sheetViews>
    <sheetView workbookViewId="0">
      <selection activeCell="C24" sqref="C24"/>
    </sheetView>
  </sheetViews>
  <sheetFormatPr defaultColWidth="9.1796875" defaultRowHeight="14" x14ac:dyDescent="0.3"/>
  <cols>
    <col min="1" max="1" width="4.1796875" style="39" customWidth="1"/>
    <col min="2" max="4" width="3.1796875" style="117" customWidth="1"/>
    <col min="5" max="5" width="40.26953125" style="117" customWidth="1"/>
    <col min="6" max="6" width="3.26953125" style="117" customWidth="1"/>
    <col min="7" max="9" width="11.26953125" style="117" customWidth="1"/>
    <col min="10" max="10" width="11.54296875" style="117" bestFit="1" customWidth="1"/>
    <col min="11" max="11" width="10.453125" style="117" bestFit="1" customWidth="1"/>
    <col min="12" max="12" width="10.1796875" style="117" bestFit="1" customWidth="1"/>
    <col min="13" max="13" width="8.453125" style="117" bestFit="1" customWidth="1"/>
    <col min="14" max="14" width="3.81640625" style="39" customWidth="1"/>
    <col min="15" max="16384" width="9.1796875" style="39"/>
  </cols>
  <sheetData>
    <row r="1" spans="2:18" x14ac:dyDescent="0.3">
      <c r="I1" s="117">
        <v>50.72</v>
      </c>
      <c r="J1" s="117">
        <v>68.37</v>
      </c>
      <c r="K1" s="117">
        <v>27.46</v>
      </c>
    </row>
    <row r="2" spans="2:18" ht="29.25" customHeight="1" thickBot="1" x14ac:dyDescent="0.35">
      <c r="B2" s="194" t="s">
        <v>118</v>
      </c>
      <c r="C2" s="194"/>
      <c r="D2" s="194"/>
      <c r="E2" s="194"/>
      <c r="F2" s="194"/>
      <c r="G2" s="194"/>
      <c r="H2" s="194"/>
      <c r="I2" s="194"/>
      <c r="J2" s="194"/>
      <c r="K2" s="194"/>
      <c r="L2" s="194"/>
      <c r="M2" s="194"/>
    </row>
    <row r="3" spans="2:18" x14ac:dyDescent="0.3">
      <c r="B3" s="40"/>
      <c r="C3" s="41"/>
      <c r="D3" s="41"/>
      <c r="E3" s="41"/>
      <c r="F3" s="41"/>
      <c r="G3" s="42" t="s">
        <v>73</v>
      </c>
      <c r="H3" s="43" t="s">
        <v>74</v>
      </c>
      <c r="I3" s="44" t="s">
        <v>75</v>
      </c>
      <c r="J3" s="44" t="s">
        <v>76</v>
      </c>
      <c r="K3" s="44" t="s">
        <v>77</v>
      </c>
      <c r="L3" s="45" t="s">
        <v>78</v>
      </c>
      <c r="M3" s="45" t="s">
        <v>79</v>
      </c>
    </row>
    <row r="4" spans="2:18" ht="47" thickBot="1" x14ac:dyDescent="0.35">
      <c r="B4" s="195" t="s">
        <v>0</v>
      </c>
      <c r="C4" s="196"/>
      <c r="D4" s="196"/>
      <c r="E4" s="196"/>
      <c r="F4" s="197"/>
      <c r="G4" s="46" t="s">
        <v>151</v>
      </c>
      <c r="H4" s="47" t="s">
        <v>80</v>
      </c>
      <c r="I4" s="48" t="s">
        <v>81</v>
      </c>
      <c r="J4" s="48" t="s">
        <v>82</v>
      </c>
      <c r="K4" s="48" t="s">
        <v>83</v>
      </c>
      <c r="L4" s="48" t="s">
        <v>84</v>
      </c>
      <c r="M4" s="48" t="s">
        <v>145</v>
      </c>
    </row>
    <row r="5" spans="2:18" ht="12" customHeight="1" thickTop="1" x14ac:dyDescent="0.3">
      <c r="B5" s="49" t="s">
        <v>85</v>
      </c>
      <c r="C5" s="50" t="s">
        <v>86</v>
      </c>
      <c r="D5" s="51"/>
      <c r="E5" s="51"/>
      <c r="F5" s="52"/>
      <c r="G5" s="209" t="s">
        <v>87</v>
      </c>
      <c r="H5" s="210"/>
      <c r="I5" s="210"/>
      <c r="J5" s="210"/>
      <c r="K5" s="210"/>
      <c r="L5" s="210"/>
      <c r="M5" s="211"/>
    </row>
    <row r="6" spans="2:18" ht="12" customHeight="1" x14ac:dyDescent="0.3">
      <c r="B6" s="53" t="s">
        <v>88</v>
      </c>
      <c r="C6" s="54" t="s">
        <v>150</v>
      </c>
      <c r="D6" s="54"/>
      <c r="E6" s="54"/>
      <c r="F6" s="55"/>
      <c r="G6" s="56">
        <v>0</v>
      </c>
      <c r="H6" s="57">
        <v>20</v>
      </c>
      <c r="I6" s="57">
        <f>(G6*H6)</f>
        <v>0</v>
      </c>
      <c r="J6" s="57">
        <f>I6*0.05</f>
        <v>0</v>
      </c>
      <c r="K6" s="57">
        <f>I6*0.1</f>
        <v>0</v>
      </c>
      <c r="L6" s="57">
        <f>SUM(I6:K6)</f>
        <v>0</v>
      </c>
      <c r="M6" s="161">
        <f>I6*I$1+J6*J$1+K6*K$1</f>
        <v>0</v>
      </c>
    </row>
    <row r="7" spans="2:18" ht="12" customHeight="1" x14ac:dyDescent="0.3">
      <c r="B7" s="59" t="s">
        <v>89</v>
      </c>
      <c r="C7" s="60" t="s">
        <v>90</v>
      </c>
      <c r="D7" s="60"/>
      <c r="E7" s="60"/>
      <c r="F7" s="61"/>
      <c r="G7" s="143"/>
      <c r="H7" s="144"/>
      <c r="I7" s="144"/>
      <c r="J7" s="144"/>
      <c r="K7" s="144"/>
      <c r="L7" s="144"/>
      <c r="M7" s="162"/>
    </row>
    <row r="8" spans="2:18" ht="12" customHeight="1" x14ac:dyDescent="0.3">
      <c r="B8" s="62">
        <v>0.08</v>
      </c>
      <c r="C8" s="63" t="s">
        <v>91</v>
      </c>
      <c r="D8" s="198" t="s">
        <v>92</v>
      </c>
      <c r="E8" s="199"/>
      <c r="F8" s="200"/>
      <c r="G8" s="64">
        <v>0</v>
      </c>
      <c r="H8" s="65">
        <v>16</v>
      </c>
      <c r="I8" s="66">
        <f>(G8*H8)</f>
        <v>0</v>
      </c>
      <c r="J8" s="66">
        <f>I8*0.05</f>
        <v>0</v>
      </c>
      <c r="K8" s="66">
        <f>I8*0.1</f>
        <v>0</v>
      </c>
      <c r="L8" s="57">
        <f>SUM(I8:K8)</f>
        <v>0</v>
      </c>
      <c r="M8" s="161">
        <f t="shared" ref="M8:M9" si="0">I8*I$1+J8*J$1+K8*K$1</f>
        <v>0</v>
      </c>
    </row>
    <row r="9" spans="2:18" ht="12" customHeight="1" x14ac:dyDescent="0.3">
      <c r="B9" s="67">
        <f>0.1*0.1</f>
        <v>1.0000000000000002E-2</v>
      </c>
      <c r="C9" s="68" t="s">
        <v>93</v>
      </c>
      <c r="D9" s="69" t="s">
        <v>144</v>
      </c>
      <c r="E9" s="69"/>
      <c r="F9" s="70"/>
      <c r="G9" s="71">
        <v>0</v>
      </c>
      <c r="H9" s="72">
        <v>24</v>
      </c>
      <c r="I9" s="73">
        <f>(G9*H9)</f>
        <v>0</v>
      </c>
      <c r="J9" s="73">
        <f>I9*0.05</f>
        <v>0</v>
      </c>
      <c r="K9" s="73">
        <f>I9*0.1</f>
        <v>0</v>
      </c>
      <c r="L9" s="57">
        <f>SUM(I9:K9)</f>
        <v>0</v>
      </c>
      <c r="M9" s="161">
        <f t="shared" si="0"/>
        <v>0</v>
      </c>
    </row>
    <row r="10" spans="2:18" ht="12" customHeight="1" x14ac:dyDescent="0.3">
      <c r="B10" s="67"/>
      <c r="C10" s="74" t="s">
        <v>94</v>
      </c>
      <c r="D10" s="50" t="s">
        <v>95</v>
      </c>
      <c r="E10" s="50"/>
      <c r="F10" s="75"/>
      <c r="G10" s="201" t="s">
        <v>87</v>
      </c>
      <c r="H10" s="202"/>
      <c r="I10" s="202"/>
      <c r="J10" s="202"/>
      <c r="K10" s="202"/>
      <c r="L10" s="202"/>
      <c r="M10" s="203"/>
    </row>
    <row r="11" spans="2:18" ht="12" customHeight="1" x14ac:dyDescent="0.3">
      <c r="B11" s="62"/>
      <c r="C11" s="76" t="s">
        <v>96</v>
      </c>
      <c r="D11" s="77" t="s">
        <v>97</v>
      </c>
      <c r="E11" s="77"/>
      <c r="F11" s="78"/>
      <c r="G11" s="204" t="s">
        <v>87</v>
      </c>
      <c r="H11" s="205"/>
      <c r="I11" s="205"/>
      <c r="J11" s="205"/>
      <c r="K11" s="205"/>
      <c r="L11" s="205"/>
      <c r="M11" s="206"/>
      <c r="P11" s="178"/>
      <c r="Q11" s="178"/>
      <c r="R11" s="178"/>
    </row>
    <row r="12" spans="2:18" ht="12" customHeight="1" x14ac:dyDescent="0.3">
      <c r="B12" s="79"/>
      <c r="C12" s="80" t="s">
        <v>98</v>
      </c>
      <c r="D12" s="60" t="s">
        <v>99</v>
      </c>
      <c r="E12" s="60"/>
      <c r="F12" s="81"/>
      <c r="G12" s="201"/>
      <c r="H12" s="202"/>
      <c r="I12" s="202"/>
      <c r="J12" s="202"/>
      <c r="K12" s="202"/>
      <c r="L12" s="202"/>
      <c r="M12" s="203"/>
      <c r="P12" s="178"/>
      <c r="Q12" s="178"/>
      <c r="R12" s="178"/>
    </row>
    <row r="13" spans="2:18" ht="12" customHeight="1" x14ac:dyDescent="0.3">
      <c r="B13" s="79"/>
      <c r="C13" s="80"/>
      <c r="D13" s="82" t="s">
        <v>85</v>
      </c>
      <c r="E13" s="60" t="s">
        <v>100</v>
      </c>
      <c r="F13" s="83"/>
      <c r="G13" s="156">
        <f>'Table 1'!G19</f>
        <v>0</v>
      </c>
      <c r="H13" s="85">
        <v>10</v>
      </c>
      <c r="I13" s="86">
        <f>(G13*H13)</f>
        <v>0</v>
      </c>
      <c r="J13" s="121">
        <f>I13*0.05</f>
        <v>0</v>
      </c>
      <c r="K13" s="86">
        <f>I13*0.1</f>
        <v>0</v>
      </c>
      <c r="L13" s="57">
        <f>SUM(I13:K13)</f>
        <v>0</v>
      </c>
      <c r="M13" s="58">
        <f t="shared" ref="M13:M17" si="1">I13*I$1+J13*J$1+K13*K$1</f>
        <v>0</v>
      </c>
      <c r="P13" s="179"/>
      <c r="Q13" s="180"/>
      <c r="R13" s="181"/>
    </row>
    <row r="14" spans="2:18" ht="12" customHeight="1" x14ac:dyDescent="0.3">
      <c r="B14" s="79"/>
      <c r="C14" s="80"/>
      <c r="D14" s="82" t="s">
        <v>88</v>
      </c>
      <c r="E14" s="60" t="s">
        <v>101</v>
      </c>
      <c r="F14" s="83"/>
      <c r="G14" s="157">
        <f>'Table 1'!G21</f>
        <v>1.33</v>
      </c>
      <c r="H14" s="85">
        <v>5</v>
      </c>
      <c r="I14" s="86">
        <f>(G14*H14)</f>
        <v>6.65</v>
      </c>
      <c r="J14" s="121">
        <f>I14*0.05</f>
        <v>0.33250000000000002</v>
      </c>
      <c r="K14" s="86">
        <f>I14*0.1</f>
        <v>0.66500000000000004</v>
      </c>
      <c r="L14" s="57">
        <f>SUM(I14:K14)</f>
        <v>7.6475</v>
      </c>
      <c r="M14" s="58">
        <f t="shared" si="1"/>
        <v>378.281925</v>
      </c>
      <c r="P14" s="179"/>
      <c r="Q14" s="180"/>
      <c r="R14" s="181"/>
    </row>
    <row r="15" spans="2:18" ht="12" customHeight="1" x14ac:dyDescent="0.3">
      <c r="B15" s="87"/>
      <c r="C15" s="88"/>
      <c r="D15" s="89" t="s">
        <v>89</v>
      </c>
      <c r="E15" s="90" t="s">
        <v>102</v>
      </c>
      <c r="F15" s="91"/>
      <c r="G15" s="84">
        <f>'Table 1'!G23</f>
        <v>0</v>
      </c>
      <c r="H15" s="85">
        <v>5</v>
      </c>
      <c r="I15" s="86">
        <f>(G15*H15)</f>
        <v>0</v>
      </c>
      <c r="J15" s="121">
        <f>I15*0.05</f>
        <v>0</v>
      </c>
      <c r="K15" s="86">
        <f>I15*0.1</f>
        <v>0</v>
      </c>
      <c r="L15" s="57">
        <f>SUM(I15:K15)</f>
        <v>0</v>
      </c>
      <c r="M15" s="58">
        <f t="shared" si="1"/>
        <v>0</v>
      </c>
      <c r="P15" s="182"/>
      <c r="Q15" s="183"/>
      <c r="R15" s="178"/>
    </row>
    <row r="16" spans="2:18" x14ac:dyDescent="0.3">
      <c r="B16" s="87"/>
      <c r="C16" s="88"/>
      <c r="D16" s="89" t="s">
        <v>103</v>
      </c>
      <c r="E16" s="92" t="s">
        <v>104</v>
      </c>
      <c r="F16" s="91"/>
      <c r="G16" s="84">
        <f>'Table 1'!G24</f>
        <v>4</v>
      </c>
      <c r="H16" s="85">
        <v>5</v>
      </c>
      <c r="I16" s="86">
        <f>(G16*H16)</f>
        <v>20</v>
      </c>
      <c r="J16" s="121">
        <f>I16*0.05</f>
        <v>1</v>
      </c>
      <c r="K16" s="86">
        <f>I16*0.1</f>
        <v>2</v>
      </c>
      <c r="L16" s="57">
        <f>SUM(I16:K16)</f>
        <v>23</v>
      </c>
      <c r="M16" s="58">
        <f t="shared" si="1"/>
        <v>1137.69</v>
      </c>
      <c r="P16" s="178"/>
      <c r="Q16" s="178"/>
      <c r="R16" s="178"/>
    </row>
    <row r="17" spans="2:13" ht="12" customHeight="1" x14ac:dyDescent="0.3">
      <c r="B17" s="93"/>
      <c r="C17" s="94" t="s">
        <v>105</v>
      </c>
      <c r="D17" s="90" t="s">
        <v>106</v>
      </c>
      <c r="E17" s="90"/>
      <c r="F17" s="95"/>
      <c r="G17" s="96">
        <v>1</v>
      </c>
      <c r="H17" s="86">
        <v>10</v>
      </c>
      <c r="I17" s="86">
        <f>(G17*H17)</f>
        <v>10</v>
      </c>
      <c r="J17" s="86">
        <f t="shared" ref="J17" si="2">I17*0.05</f>
        <v>0.5</v>
      </c>
      <c r="K17" s="86">
        <f t="shared" ref="K17" si="3">I17*0.1</f>
        <v>1</v>
      </c>
      <c r="L17" s="57">
        <f>SUM(I17:K17)</f>
        <v>11.5</v>
      </c>
      <c r="M17" s="58">
        <f t="shared" si="1"/>
        <v>568.84500000000003</v>
      </c>
    </row>
    <row r="18" spans="2:13" ht="12" customHeight="1" thickBot="1" x14ac:dyDescent="0.35">
      <c r="B18" s="97" t="s">
        <v>103</v>
      </c>
      <c r="C18" s="98" t="s">
        <v>107</v>
      </c>
      <c r="D18" s="99"/>
      <c r="E18" s="99"/>
      <c r="F18" s="99"/>
      <c r="G18" s="100"/>
      <c r="H18" s="101"/>
      <c r="I18" s="101"/>
      <c r="J18" s="102" t="str">
        <f>IF(G8=0,"$0",1*3.75*75+600)</f>
        <v>$0</v>
      </c>
      <c r="K18" s="103" t="s">
        <v>108</v>
      </c>
      <c r="L18" s="103"/>
      <c r="M18" s="104">
        <f>IF(ISTEXT(J18),0,G8*J18)</f>
        <v>0</v>
      </c>
    </row>
    <row r="19" spans="2:13" ht="14.25" customHeight="1" thickTop="1" thickBot="1" x14ac:dyDescent="0.35">
      <c r="B19" s="105"/>
      <c r="C19" s="106" t="s">
        <v>152</v>
      </c>
      <c r="D19" s="107"/>
      <c r="E19" s="107"/>
      <c r="F19" s="108"/>
      <c r="G19" s="109"/>
      <c r="H19" s="110"/>
      <c r="I19" s="207">
        <f>SUM(I6:K6,I8:K9,I13:K17)</f>
        <v>42.147500000000001</v>
      </c>
      <c r="J19" s="208"/>
      <c r="K19" s="208"/>
      <c r="L19" s="136"/>
      <c r="M19" s="137">
        <f>ROUND(SUM(M6:M18),-1)</f>
        <v>2080</v>
      </c>
    </row>
    <row r="20" spans="2:13" ht="12" customHeight="1" x14ac:dyDescent="0.3">
      <c r="B20" s="111"/>
      <c r="C20" s="111"/>
      <c r="D20" s="111"/>
      <c r="E20" s="111"/>
      <c r="F20" s="111"/>
      <c r="G20" s="111"/>
      <c r="H20" s="112"/>
      <c r="I20" s="113"/>
      <c r="J20" s="113"/>
      <c r="K20" s="113"/>
      <c r="L20" s="113"/>
      <c r="M20" s="113"/>
    </row>
    <row r="21" spans="2:13" ht="12" customHeight="1" x14ac:dyDescent="0.3">
      <c r="B21" s="114" t="s">
        <v>156</v>
      </c>
      <c r="C21" s="114"/>
      <c r="D21" s="111"/>
      <c r="E21" s="111"/>
      <c r="F21" s="115"/>
      <c r="G21" s="111"/>
      <c r="H21" s="112"/>
      <c r="I21" s="113"/>
      <c r="J21" s="113"/>
      <c r="K21" s="113"/>
      <c r="L21" s="113"/>
      <c r="M21" s="113"/>
    </row>
    <row r="22" spans="2:13" ht="12" customHeight="1" x14ac:dyDescent="0.3">
      <c r="B22" s="116"/>
      <c r="C22" s="158" t="s">
        <v>142</v>
      </c>
      <c r="D22" s="111"/>
      <c r="E22" s="111"/>
      <c r="F22" s="111"/>
      <c r="G22" s="111"/>
      <c r="H22" s="112"/>
      <c r="I22" s="113"/>
      <c r="J22" s="113"/>
      <c r="K22" s="113"/>
      <c r="L22" s="113"/>
      <c r="M22" s="113"/>
    </row>
    <row r="23" spans="2:13" ht="12" customHeight="1" x14ac:dyDescent="0.3">
      <c r="B23" s="116"/>
      <c r="C23" s="114" t="s">
        <v>143</v>
      </c>
      <c r="D23" s="111"/>
      <c r="E23" s="111"/>
      <c r="F23" s="111"/>
      <c r="G23" s="111"/>
      <c r="H23" s="112"/>
      <c r="I23" s="113"/>
      <c r="J23" s="113"/>
      <c r="K23" s="113"/>
      <c r="L23" s="113"/>
      <c r="M23" s="113"/>
    </row>
    <row r="24" spans="2:13" ht="20.25" customHeight="1" x14ac:dyDescent="0.3">
      <c r="B24" s="116"/>
      <c r="C24" s="159" t="s">
        <v>161</v>
      </c>
      <c r="D24" s="111"/>
      <c r="E24" s="111"/>
      <c r="F24" s="111"/>
      <c r="G24" s="111"/>
      <c r="H24" s="112"/>
      <c r="I24" s="113"/>
      <c r="J24" s="113"/>
      <c r="K24" s="113"/>
      <c r="L24" s="113"/>
      <c r="M24" s="113"/>
    </row>
    <row r="25" spans="2:13" ht="12" customHeight="1" x14ac:dyDescent="0.3">
      <c r="B25" s="116"/>
      <c r="C25" s="163" t="s">
        <v>153</v>
      </c>
      <c r="D25" s="111"/>
      <c r="E25" s="111"/>
      <c r="F25" s="111"/>
      <c r="G25" s="111"/>
      <c r="H25" s="112"/>
      <c r="I25" s="113"/>
      <c r="J25" s="113"/>
      <c r="K25" s="113"/>
      <c r="L25" s="113"/>
      <c r="M25" s="113"/>
    </row>
    <row r="26" spans="2:13" ht="12" customHeight="1" x14ac:dyDescent="0.3">
      <c r="B26" s="116"/>
      <c r="C26" s="114"/>
    </row>
    <row r="27" spans="2:13" x14ac:dyDescent="0.3">
      <c r="B27" s="118"/>
    </row>
    <row r="28" spans="2:13" x14ac:dyDescent="0.3">
      <c r="B28" s="118"/>
    </row>
    <row r="29" spans="2:13" x14ac:dyDescent="0.3">
      <c r="B29" s="118"/>
    </row>
    <row r="30" spans="2:13" x14ac:dyDescent="0.3">
      <c r="B30" s="118"/>
    </row>
    <row r="43" spans="22:25" x14ac:dyDescent="0.3">
      <c r="V43" s="193" t="s">
        <v>109</v>
      </c>
      <c r="W43" s="193"/>
      <c r="X43" s="193"/>
      <c r="Y43" s="119">
        <v>0.2</v>
      </c>
    </row>
    <row r="44" spans="22:25" x14ac:dyDescent="0.3">
      <c r="V44" s="193" t="s">
        <v>110</v>
      </c>
      <c r="W44" s="193"/>
      <c r="X44" s="193"/>
      <c r="Y44" s="119">
        <v>0.1</v>
      </c>
    </row>
    <row r="45" spans="22:25" x14ac:dyDescent="0.3">
      <c r="V45" s="193" t="s">
        <v>111</v>
      </c>
      <c r="W45" s="193"/>
      <c r="X45" s="193"/>
      <c r="Y45" s="119">
        <v>0.1</v>
      </c>
    </row>
  </sheetData>
  <mergeCells count="11">
    <mergeCell ref="V45:X45"/>
    <mergeCell ref="B2:M2"/>
    <mergeCell ref="B4:F4"/>
    <mergeCell ref="D8:F8"/>
    <mergeCell ref="G10:M10"/>
    <mergeCell ref="G11:M11"/>
    <mergeCell ref="G12:M12"/>
    <mergeCell ref="V43:X43"/>
    <mergeCell ref="V44:X44"/>
    <mergeCell ref="I19:K19"/>
    <mergeCell ref="G5:M5"/>
  </mergeCells>
  <printOptions horizontalCentered="1"/>
  <pageMargins left="0.7" right="0.7" top="0.75" bottom="0.75" header="0.3" footer="0.3"/>
  <pageSetup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7C3C-B093-4D1B-B9AC-957C3360072D}">
  <dimension ref="B2:K13"/>
  <sheetViews>
    <sheetView topLeftCell="A5" workbookViewId="0">
      <selection activeCell="B11" sqref="B11:H11"/>
    </sheetView>
  </sheetViews>
  <sheetFormatPr defaultRowHeight="14.5" x14ac:dyDescent="0.35"/>
  <cols>
    <col min="2" max="2" width="19.26953125" customWidth="1"/>
    <col min="3" max="3" width="14.1796875" customWidth="1"/>
    <col min="5" max="5" width="12.54296875" customWidth="1"/>
    <col min="6" max="6" width="14.453125" customWidth="1"/>
    <col min="8" max="8" width="18.54296875" customWidth="1"/>
    <col min="10" max="11" width="9.81640625" bestFit="1" customWidth="1"/>
  </cols>
  <sheetData>
    <row r="2" spans="2:11" ht="15.5" x14ac:dyDescent="0.35">
      <c r="B2" s="212"/>
      <c r="C2" s="212"/>
      <c r="D2" s="212"/>
      <c r="E2" s="212"/>
      <c r="F2" s="212"/>
      <c r="G2" s="212"/>
      <c r="H2" s="212"/>
    </row>
    <row r="3" spans="2:11" ht="15" x14ac:dyDescent="0.35">
      <c r="B3" s="213" t="s">
        <v>119</v>
      </c>
      <c r="C3" s="213"/>
      <c r="D3" s="213"/>
      <c r="E3" s="213"/>
      <c r="F3" s="213"/>
      <c r="G3" s="213"/>
      <c r="H3" s="213"/>
    </row>
    <row r="4" spans="2:11" ht="15" x14ac:dyDescent="0.35">
      <c r="B4" s="126"/>
      <c r="C4" s="127"/>
      <c r="D4" s="127"/>
      <c r="E4" s="127"/>
      <c r="F4" s="127"/>
      <c r="G4" s="127"/>
      <c r="H4" s="127"/>
    </row>
    <row r="5" spans="2:11" x14ac:dyDescent="0.35">
      <c r="B5" s="128" t="s">
        <v>73</v>
      </c>
      <c r="C5" s="128" t="s">
        <v>74</v>
      </c>
      <c r="D5" s="128" t="s">
        <v>75</v>
      </c>
      <c r="E5" s="128" t="s">
        <v>76</v>
      </c>
      <c r="F5" s="128" t="s">
        <v>77</v>
      </c>
      <c r="G5" s="128" t="s">
        <v>78</v>
      </c>
      <c r="H5" s="128" t="s">
        <v>79</v>
      </c>
    </row>
    <row r="6" spans="2:11" ht="52" x14ac:dyDescent="0.35">
      <c r="B6" s="127" t="s">
        <v>120</v>
      </c>
      <c r="C6" s="127" t="s">
        <v>121</v>
      </c>
      <c r="D6" s="127" t="s">
        <v>122</v>
      </c>
      <c r="E6" s="127" t="s">
        <v>123</v>
      </c>
      <c r="F6" s="127" t="s">
        <v>124</v>
      </c>
      <c r="G6" s="127" t="s">
        <v>125</v>
      </c>
      <c r="H6" s="127" t="s">
        <v>126</v>
      </c>
    </row>
    <row r="7" spans="2:11" ht="15.5" x14ac:dyDescent="0.35">
      <c r="B7" s="127" t="s">
        <v>127</v>
      </c>
      <c r="C7" s="130">
        <v>86770</v>
      </c>
      <c r="D7" s="129">
        <f>'Table 1'!G11</f>
        <v>0</v>
      </c>
      <c r="E7" s="132">
        <f>C7*D7</f>
        <v>0</v>
      </c>
      <c r="F7" s="130">
        <f>'Table 1'!D12</f>
        <v>186860</v>
      </c>
      <c r="G7" s="129">
        <f>'Table 1'!G12</f>
        <v>4</v>
      </c>
      <c r="H7" s="131">
        <f>F7*G7</f>
        <v>747440</v>
      </c>
    </row>
    <row r="8" spans="2:11" ht="15.5" x14ac:dyDescent="0.35">
      <c r="B8" s="127" t="s">
        <v>128</v>
      </c>
      <c r="C8" s="131">
        <v>0</v>
      </c>
      <c r="D8" s="127">
        <v>0</v>
      </c>
      <c r="E8" s="132">
        <f>C8*D8</f>
        <v>0</v>
      </c>
      <c r="F8" s="131">
        <f>'Table 1'!D14*'Table 1'!E14</f>
        <v>21216</v>
      </c>
      <c r="G8" s="129">
        <f>'Table 1'!G13</f>
        <v>1.33</v>
      </c>
      <c r="H8" s="131">
        <f>F8*G8</f>
        <v>28217.280000000002</v>
      </c>
      <c r="K8" s="141"/>
    </row>
    <row r="9" spans="2:11" ht="28.5" x14ac:dyDescent="0.35">
      <c r="B9" s="127" t="s">
        <v>129</v>
      </c>
      <c r="C9" s="131">
        <f>0</f>
        <v>0</v>
      </c>
      <c r="D9" s="127">
        <v>0</v>
      </c>
      <c r="E9" s="132">
        <f>C9*D9</f>
        <v>0</v>
      </c>
      <c r="F9" s="131">
        <f>'Table 1'!D15*'Table 1'!E15</f>
        <v>19500</v>
      </c>
      <c r="G9" s="127">
        <v>0</v>
      </c>
      <c r="H9" s="131">
        <f>F9*G9</f>
        <v>0</v>
      </c>
    </row>
    <row r="10" spans="2:11" x14ac:dyDescent="0.35">
      <c r="B10" s="138" t="s">
        <v>62</v>
      </c>
      <c r="C10" s="138"/>
      <c r="D10" s="138"/>
      <c r="E10" s="139">
        <f>SUM(E7:E9)</f>
        <v>0</v>
      </c>
      <c r="F10" s="138"/>
      <c r="G10" s="138"/>
      <c r="H10" s="139">
        <f>ROUND(SUM(H7:H9),-3)</f>
        <v>776000</v>
      </c>
    </row>
    <row r="11" spans="2:11" ht="24" customHeight="1" x14ac:dyDescent="0.35">
      <c r="B11" s="214" t="s">
        <v>131</v>
      </c>
      <c r="C11" s="215"/>
      <c r="D11" s="215"/>
      <c r="E11" s="215"/>
      <c r="F11" s="215"/>
      <c r="G11" s="215"/>
      <c r="H11" s="215"/>
    </row>
    <row r="12" spans="2:11" ht="25.5" customHeight="1" x14ac:dyDescent="0.35">
      <c r="B12" s="216" t="s">
        <v>132</v>
      </c>
      <c r="C12" s="217"/>
      <c r="D12" s="217"/>
      <c r="E12" s="217"/>
      <c r="F12" s="217"/>
      <c r="G12" s="217"/>
      <c r="H12" s="217"/>
    </row>
    <row r="13" spans="2:11" ht="18.649999999999999" customHeight="1" x14ac:dyDescent="0.35">
      <c r="B13" s="216" t="s">
        <v>130</v>
      </c>
      <c r="C13" s="217"/>
      <c r="D13" s="217"/>
      <c r="E13" s="217"/>
      <c r="F13" s="217"/>
      <c r="G13" s="217"/>
      <c r="H13" s="217"/>
      <c r="J13" s="140"/>
    </row>
  </sheetData>
  <mergeCells count="5">
    <mergeCell ref="B2:H2"/>
    <mergeCell ref="B3:H3"/>
    <mergeCell ref="B11:H11"/>
    <mergeCell ref="B12:H12"/>
    <mergeCell ref="B13:H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3F80E-FD3B-4813-8052-0366F6F07154}">
  <sheetPr>
    <tabColor theme="8"/>
  </sheetPr>
  <dimension ref="B3:H7"/>
  <sheetViews>
    <sheetView workbookViewId="0"/>
  </sheetViews>
  <sheetFormatPr defaultRowHeight="14.5" x14ac:dyDescent="0.35"/>
  <cols>
    <col min="2" max="4" width="30.81640625" customWidth="1"/>
  </cols>
  <sheetData>
    <row r="3" spans="2:8" ht="60" customHeight="1" x14ac:dyDescent="0.35">
      <c r="B3" s="218" t="s">
        <v>65</v>
      </c>
      <c r="C3" s="218"/>
      <c r="D3" s="218"/>
      <c r="E3" s="218"/>
      <c r="F3" s="218"/>
      <c r="G3" s="218"/>
      <c r="H3" s="8"/>
    </row>
    <row r="4" spans="2:8" x14ac:dyDescent="0.35">
      <c r="B4" s="3"/>
      <c r="C4" s="1"/>
      <c r="D4" s="1"/>
      <c r="E4" s="1"/>
      <c r="F4" s="1"/>
      <c r="G4" s="1"/>
      <c r="H4" s="1"/>
    </row>
    <row r="5" spans="2:8" ht="15" x14ac:dyDescent="0.35">
      <c r="B5" s="32" t="s">
        <v>66</v>
      </c>
      <c r="E5" s="1"/>
      <c r="F5" s="1"/>
      <c r="G5" s="1"/>
      <c r="H5" s="1"/>
    </row>
    <row r="6" spans="2:8" ht="15" thickBot="1" x14ac:dyDescent="0.4">
      <c r="B6" s="33" t="s">
        <v>67</v>
      </c>
      <c r="C6" s="34" t="s">
        <v>68</v>
      </c>
      <c r="D6" s="35" t="s">
        <v>69</v>
      </c>
      <c r="E6" s="1"/>
      <c r="F6" s="1"/>
      <c r="G6" s="1"/>
      <c r="H6" s="1"/>
    </row>
    <row r="7" spans="2:8" ht="62" x14ac:dyDescent="0.35">
      <c r="B7" s="36" t="s">
        <v>70</v>
      </c>
      <c r="C7" s="37" t="s">
        <v>71</v>
      </c>
      <c r="D7" s="38" t="s">
        <v>72</v>
      </c>
    </row>
  </sheetData>
  <mergeCells count="1">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2020-09-28T17:14:20+00:00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3" ma:contentTypeDescription="Create a new document." ma:contentTypeScope="" ma:versionID="c2543038e45b2f3413b5308dc5599e3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2918bd9feaf13603402fffd4945a7916"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D290F5-C555-44CA-810F-D34EAD2E1A27}">
  <ds:schemaRefs>
    <ds:schemaRef ds:uri="http://schemas.microsoft.com/office/2006/metadata/properties"/>
    <ds:schemaRef ds:uri="http://schemas.microsoft.com/office/infopath/2007/PartnerControls"/>
    <ds:schemaRef ds:uri="4ffa91fb-a0ff-4ac5-b2db-65c790d184a4"/>
    <ds:schemaRef ds:uri="http://schemas.microsoft.com/sharepoint/v3"/>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838F009B-086C-463E-92CD-B5AC6DC4D380}">
  <ds:schemaRefs>
    <ds:schemaRef ds:uri="http://schemas.microsoft.com/sharepoint/v3/contenttype/forms"/>
  </ds:schemaRefs>
</ds:datastoreItem>
</file>

<file path=customXml/itemProps3.xml><?xml version="1.0" encoding="utf-8"?>
<ds:datastoreItem xmlns:ds="http://schemas.openxmlformats.org/officeDocument/2006/customXml" ds:itemID="{D937223A-A912-4DE3-B7AD-81D1026B1A61}">
  <ds:schemaRefs>
    <ds:schemaRef ds:uri="Microsoft.SharePoint.Taxonomy.ContentTypeSync"/>
  </ds:schemaRefs>
</ds:datastoreItem>
</file>

<file path=customXml/itemProps4.xml><?xml version="1.0" encoding="utf-8"?>
<ds:datastoreItem xmlns:ds="http://schemas.openxmlformats.org/officeDocument/2006/customXml" ds:itemID="{5CC4717D-CDDC-48A7-979D-599505D56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Table 1</vt:lpstr>
      <vt:lpstr>Table 2</vt:lpstr>
      <vt:lpstr>O&amp;M</vt:lpstr>
      <vt:lpstr>Performance EvaluationRATA</vt:lpstr>
      <vt:lpstr>'Table 1'!_Toc489885102</vt:lpstr>
      <vt:lpstr>'Table 1'!ap40.13.63_12192.6</vt:lpstr>
      <vt:lpstr>'Table 1'!Print_Area</vt:lpstr>
      <vt:lpstr>'Table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Curtis</dc:creator>
  <cp:lastModifiedBy>Wrigley, William</cp:lastModifiedBy>
  <dcterms:created xsi:type="dcterms:W3CDTF">2020-07-01T15:11:39Z</dcterms:created>
  <dcterms:modified xsi:type="dcterms:W3CDTF">2020-10-16T14:57:05Z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y fmtid="{D5CDD505-2E9C-101B-9397-08002B2CF9AE}" pid="3" name="TaxKeyword">
    <vt:lpwstr/>
  </property>
</Properties>
</file>