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wwrigley\OneDrive - Environmental Protection Agency (EPA)\Desktop\temp\"/>
    </mc:Choice>
  </mc:AlternateContent>
  <xr:revisionPtr revIDLastSave="0" documentId="8_{FDDA8602-846F-4C8C-96E8-0282DE8568B9}" xr6:coauthVersionLast="45" xr6:coauthVersionMax="45" xr10:uidLastSave="{00000000-0000-0000-0000-000000000000}"/>
  <bookViews>
    <workbookView xWindow="-110" yWindow="-110" windowWidth="19420" windowHeight="10420" xr2:uid="{0065329F-F5C5-4385-A595-A7A71DDAC2E3}"/>
  </bookViews>
  <sheets>
    <sheet name="Table 1" sheetId="1" r:id="rId1"/>
    <sheet name="Table 2" sheetId="3" r:id="rId2"/>
    <sheet name="O&amp;M" sheetId="4" r:id="rId3"/>
    <sheet name="Performance EvaluationRATA" sheetId="2" state="hidden" r:id="rId4"/>
  </sheets>
  <definedNames>
    <definedName name="_Toc489885102" localSheetId="0">'Performance EvaluationRATA'!$B$5</definedName>
    <definedName name="ap40.13.63_12192.6" localSheetId="0">'Performance EvaluationRATA'!$B$6</definedName>
    <definedName name="_xlnm.Print_Area" localSheetId="0">'Table 1'!$B$3:$N$59</definedName>
    <definedName name="_xlnm.Print_Area" localSheetId="1">'Table 2'!$B$2:$M$26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5" i="1" l="1"/>
  <c r="L42" i="1"/>
  <c r="H10" i="4"/>
  <c r="L44" i="1" s="1"/>
  <c r="H9" i="4"/>
  <c r="H8" i="4"/>
  <c r="H7" i="4"/>
  <c r="I19" i="3"/>
  <c r="H43" i="1"/>
  <c r="R43" i="1" s="1"/>
  <c r="M19" i="3"/>
  <c r="H25" i="1"/>
  <c r="H42" i="1"/>
  <c r="K42" i="1"/>
  <c r="K45" i="1"/>
  <c r="L43" i="1" l="1"/>
  <c r="L45" i="1" s="1"/>
  <c r="P43" i="1"/>
  <c r="M14" i="1" l="1"/>
  <c r="F8" i="4" l="1"/>
  <c r="G7" i="4" l="1"/>
  <c r="G8" i="4" l="1"/>
  <c r="F9" i="4"/>
  <c r="C9" i="4"/>
  <c r="E9" i="4" s="1"/>
  <c r="E8" i="4"/>
  <c r="F7" i="4"/>
  <c r="D7" i="4"/>
  <c r="E7" i="4" l="1"/>
  <c r="E10" i="4" s="1"/>
  <c r="M13" i="1" l="1"/>
  <c r="J18" i="3" l="1"/>
  <c r="M18" i="3" s="1"/>
  <c r="I17" i="3"/>
  <c r="J17" i="3" s="1"/>
  <c r="G15" i="3"/>
  <c r="I15" i="3" s="1"/>
  <c r="I9" i="3"/>
  <c r="B9" i="3"/>
  <c r="I8" i="3"/>
  <c r="I6" i="3"/>
  <c r="N42" i="1"/>
  <c r="F40" i="1"/>
  <c r="M39" i="1"/>
  <c r="F39" i="1"/>
  <c r="F37" i="1"/>
  <c r="F36" i="1"/>
  <c r="F34" i="1"/>
  <c r="G34" i="1"/>
  <c r="F33" i="1"/>
  <c r="M32" i="1"/>
  <c r="F32" i="1"/>
  <c r="H32" i="1" s="1"/>
  <c r="M30" i="1"/>
  <c r="F30" i="1"/>
  <c r="H30" i="1" s="1"/>
  <c r="G16" i="3"/>
  <c r="I16" i="3" s="1"/>
  <c r="F24" i="1"/>
  <c r="N23" i="1"/>
  <c r="M23" i="1"/>
  <c r="F23" i="1"/>
  <c r="H23" i="1" s="1"/>
  <c r="G22" i="1"/>
  <c r="N22" i="1" s="1"/>
  <c r="F22" i="1"/>
  <c r="G21" i="1"/>
  <c r="F21" i="1"/>
  <c r="F20" i="1"/>
  <c r="F19" i="1"/>
  <c r="F15" i="1"/>
  <c r="H15" i="1" s="1"/>
  <c r="M15" i="1"/>
  <c r="F14" i="1"/>
  <c r="H14" i="1" s="1"/>
  <c r="F13" i="1"/>
  <c r="F12" i="1"/>
  <c r="F11" i="1"/>
  <c r="H11" i="1" s="1"/>
  <c r="M11" i="1"/>
  <c r="L48" i="1" s="1"/>
  <c r="M8" i="1"/>
  <c r="F8" i="1"/>
  <c r="H8" i="1" s="1"/>
  <c r="K8" i="3" l="1"/>
  <c r="J6" i="3"/>
  <c r="M6" i="3" s="1"/>
  <c r="K17" i="3"/>
  <c r="M17" i="3" s="1"/>
  <c r="L47" i="1"/>
  <c r="M12" i="1"/>
  <c r="H40" i="1"/>
  <c r="J40" i="1" s="1"/>
  <c r="I14" i="1"/>
  <c r="I32" i="1"/>
  <c r="M33" i="1"/>
  <c r="H12" i="1"/>
  <c r="I12" i="1" s="1"/>
  <c r="H39" i="1"/>
  <c r="N24" i="1"/>
  <c r="M40" i="1"/>
  <c r="M24" i="1"/>
  <c r="I23" i="1"/>
  <c r="J30" i="1"/>
  <c r="K16" i="3"/>
  <c r="J16" i="3"/>
  <c r="J15" i="3"/>
  <c r="K15" i="3"/>
  <c r="I8" i="1"/>
  <c r="J8" i="1"/>
  <c r="J32" i="1"/>
  <c r="G14" i="3"/>
  <c r="I14" i="3" s="1"/>
  <c r="M21" i="1"/>
  <c r="N21" i="1"/>
  <c r="H21" i="1"/>
  <c r="J9" i="3"/>
  <c r="K9" i="3"/>
  <c r="H22" i="1"/>
  <c r="J23" i="1"/>
  <c r="I30" i="1"/>
  <c r="L30" i="1" s="1"/>
  <c r="J11" i="1"/>
  <c r="I11" i="1"/>
  <c r="J14" i="1"/>
  <c r="I15" i="1"/>
  <c r="J15" i="1"/>
  <c r="G13" i="3"/>
  <c r="I13" i="3" s="1"/>
  <c r="M19" i="1"/>
  <c r="H19" i="1"/>
  <c r="N19" i="1"/>
  <c r="M34" i="1"/>
  <c r="H34" i="1"/>
  <c r="H13" i="1"/>
  <c r="G20" i="1"/>
  <c r="M22" i="1"/>
  <c r="H24" i="1"/>
  <c r="H33" i="1"/>
  <c r="K6" i="3"/>
  <c r="J8" i="3"/>
  <c r="G36" i="1"/>
  <c r="G37" i="1"/>
  <c r="L17" i="3" l="1"/>
  <c r="L8" i="3"/>
  <c r="L6" i="3"/>
  <c r="L9" i="3"/>
  <c r="M8" i="3"/>
  <c r="L32" i="1"/>
  <c r="L15" i="1"/>
  <c r="I40" i="1"/>
  <c r="L40" i="1" s="1"/>
  <c r="M9" i="3"/>
  <c r="M16" i="3"/>
  <c r="L14" i="1"/>
  <c r="L23" i="1"/>
  <c r="L8" i="1"/>
  <c r="L11" i="1"/>
  <c r="M15" i="3"/>
  <c r="J39" i="1"/>
  <c r="L15" i="3"/>
  <c r="K14" i="1"/>
  <c r="K8" i="1"/>
  <c r="I39" i="1"/>
  <c r="J12" i="1"/>
  <c r="K12" i="1" s="1"/>
  <c r="K30" i="1"/>
  <c r="L16" i="3"/>
  <c r="K15" i="1"/>
  <c r="K23" i="1"/>
  <c r="J33" i="1"/>
  <c r="I33" i="1"/>
  <c r="H37" i="1"/>
  <c r="M37" i="1"/>
  <c r="J24" i="1"/>
  <c r="I24" i="1"/>
  <c r="I19" i="1"/>
  <c r="J19" i="1"/>
  <c r="I21" i="1"/>
  <c r="J21" i="1"/>
  <c r="J34" i="1"/>
  <c r="I34" i="1"/>
  <c r="J13" i="1"/>
  <c r="I13" i="1"/>
  <c r="M36" i="1"/>
  <c r="H36" i="1"/>
  <c r="N20" i="1"/>
  <c r="N25" i="1" s="1"/>
  <c r="N45" i="1" s="1"/>
  <c r="M20" i="1"/>
  <c r="M25" i="1" s="1"/>
  <c r="H20" i="1"/>
  <c r="K13" i="3"/>
  <c r="J13" i="3"/>
  <c r="K11" i="1"/>
  <c r="I22" i="1"/>
  <c r="J22" i="1"/>
  <c r="J14" i="3"/>
  <c r="K14" i="3"/>
  <c r="K32" i="1"/>
  <c r="K40" i="1" l="1"/>
  <c r="L21" i="1"/>
  <c r="K39" i="1"/>
  <c r="L22" i="1"/>
  <c r="L34" i="1"/>
  <c r="M14" i="3"/>
  <c r="L13" i="1"/>
  <c r="M13" i="3"/>
  <c r="L24" i="1"/>
  <c r="K33" i="1"/>
  <c r="L39" i="1"/>
  <c r="L12" i="1"/>
  <c r="L33" i="1"/>
  <c r="K19" i="1"/>
  <c r="L19" i="1"/>
  <c r="K34" i="1"/>
  <c r="K22" i="1"/>
  <c r="M42" i="1"/>
  <c r="M45" i="1" s="1"/>
  <c r="K24" i="1"/>
  <c r="K21" i="1"/>
  <c r="L14" i="3"/>
  <c r="K13" i="1"/>
  <c r="I37" i="1"/>
  <c r="J37" i="1"/>
  <c r="J36" i="1"/>
  <c r="I36" i="1"/>
  <c r="J20" i="1"/>
  <c r="I20" i="1"/>
  <c r="L13" i="3"/>
  <c r="L36" i="1" l="1"/>
  <c r="L20" i="1"/>
  <c r="L37" i="1"/>
  <c r="K20" i="1"/>
  <c r="K25" i="1" s="1"/>
  <c r="K36" i="1"/>
  <c r="K37" i="1"/>
  <c r="J47" i="1" l="1"/>
  <c r="K47" i="1" l="1"/>
  <c r="M47" i="1" s="1"/>
</calcChain>
</file>

<file path=xl/sharedStrings.xml><?xml version="1.0" encoding="utf-8"?>
<sst xmlns="http://schemas.openxmlformats.org/spreadsheetml/2006/main" count="207" uniqueCount="162">
  <si>
    <t>Burden Item</t>
  </si>
  <si>
    <t>(A)
Respondent Hours per Occurrence (Technical hours)</t>
  </si>
  <si>
    <t>(B) 
Non-Labor Costs Per Occurrence</t>
  </si>
  <si>
    <t>(C) 
Number of Occurrences Per Respondent Per Year</t>
  </si>
  <si>
    <t>(D)
Technical Hours per Respondent Per Year
 (A X C)</t>
  </si>
  <si>
    <t>(E)
Number of Respondents Per Year</t>
  </si>
  <si>
    <t>(F)
Technical Hours per Year
(D X E)</t>
  </si>
  <si>
    <t>(G) 
Clerical Hours per Year
(F X 0.1)</t>
  </si>
  <si>
    <t>(H)
Management Hours per Year
(F X .05)</t>
  </si>
  <si>
    <t>(I)
Total Hours per Year
(F + G + H)</t>
  </si>
  <si>
    <t>(K)
Total Non-Labor Costs Per Year 
(B x C x E)</t>
  </si>
  <si>
    <t>(L)
Total Number of Responses per Year
(C X E)</t>
  </si>
  <si>
    <t>Performance evaluation/RATA note and background: we assumed 3 facilities would conduct in year 1 and 1 facility would conduct in year 3. Subsequent performance evaluations/RATA must be done at least once every 12 quarters. So you will need to build this into your renewal. See the "Performance Evaluation RATA" tab for applicable rule language</t>
  </si>
  <si>
    <t>1.  Applications</t>
  </si>
  <si>
    <t>NA</t>
  </si>
  <si>
    <t>2.  Surveys and Studies</t>
  </si>
  <si>
    <t>3.  Reporting Requirements</t>
  </si>
  <si>
    <t>no costs</t>
  </si>
  <si>
    <t>B.  Required Activities</t>
  </si>
  <si>
    <t>a.  Capital Cost</t>
  </si>
  <si>
    <t>yr 3 for AB Mauri</t>
  </si>
  <si>
    <t>keep</t>
  </si>
  <si>
    <t>yr 1 &amp; 2 for 3 facilities (AB Mauri in yr 3)</t>
  </si>
  <si>
    <t>yr 1 for 3 facilities (AB Mauri in yr 3)</t>
  </si>
  <si>
    <t>3.  Brew Ethanol Correlation</t>
  </si>
  <si>
    <t>none</t>
  </si>
  <si>
    <t>yr 1 &amp; 2 for AB Mauri</t>
  </si>
  <si>
    <t>C.  Create Information</t>
  </si>
  <si>
    <t>Inc. in 3B</t>
  </si>
  <si>
    <t>D.  Gather Information</t>
  </si>
  <si>
    <t>Inc. in 3E</t>
  </si>
  <si>
    <t>E.  Report Preparation</t>
  </si>
  <si>
    <t>1.  Develop Performance Evaluation Plan</t>
  </si>
  <si>
    <t>2.  Notification of Performance Evaluation</t>
  </si>
  <si>
    <t>3.  Performance Evaluation Report</t>
  </si>
  <si>
    <t>4.  Notification of Performance Test</t>
  </si>
  <si>
    <t>5.  Notification of Compliance Status</t>
  </si>
  <si>
    <t>yr 1 &amp; 2 for AB Mauri (while doing stack tests)</t>
  </si>
  <si>
    <t>6.  Semiannual Compliance Report</t>
  </si>
  <si>
    <t>all yrs</t>
  </si>
  <si>
    <t>4.  Recordkeeping Requirements</t>
  </si>
  <si>
    <t>A.  Read Instructions</t>
  </si>
  <si>
    <t>Inc. in 3.A</t>
  </si>
  <si>
    <t>B.  Implement Activities</t>
  </si>
  <si>
    <t>C.  Develop Record System</t>
  </si>
  <si>
    <t>1.  Compliance Calculation Tracking</t>
  </si>
  <si>
    <t>yr 1 for all facilities &amp; yr 3 for AB Mauri</t>
  </si>
  <si>
    <t>D.  Record information</t>
  </si>
  <si>
    <t>1.  Performance Evaluations</t>
  </si>
  <si>
    <t>2.  CEMS Measurements</t>
  </si>
  <si>
    <t>3.  Compliance Calculation</t>
  </si>
  <si>
    <t>4.  CEMS Calibration and Maintenance</t>
  </si>
  <si>
    <t>Inc. in 3.B.1.b</t>
  </si>
  <si>
    <t>5.  Store, File, and Maintain Records</t>
  </si>
  <si>
    <t>6.  Retrieve Records/Reports</t>
  </si>
  <si>
    <t>E.  Personnel Training</t>
  </si>
  <si>
    <t>1.  Acquisition, Installation, &amp; Training</t>
  </si>
  <si>
    <t>2.  CEMS Inspection and Monitoring</t>
  </si>
  <si>
    <t>F.  Time for Audits</t>
  </si>
  <si>
    <t>Total Hours</t>
  </si>
  <si>
    <t>Labor</t>
  </si>
  <si>
    <t>Non-Labor</t>
  </si>
  <si>
    <t>Total</t>
  </si>
  <si>
    <t>Summary of Respondent Burden</t>
  </si>
  <si>
    <t>Initial Capital and Startup</t>
  </si>
  <si>
    <t>CEMS RATA: 2163(b)(1) langugage -- (1) You must conduct a RATA at least once every 12 calendar quarters, in accordance with sections 8 and 11, as applicable, of Performance Specification 8.</t>
  </si>
  <si>
    <t xml:space="preserve">Table 5 to Subpart CCCC of Part 63—Requirements for Reports </t>
  </si>
  <si>
    <t xml:space="preserve">You must submit a </t>
  </si>
  <si>
    <t>The report must contain...</t>
  </si>
  <si>
    <t>You must submit the report...</t>
  </si>
  <si>
    <t>3. Performance evaluation report</t>
  </si>
  <si>
    <t>The results of the performance evaluation, including information from the performance evaluation plan at § 63.8(e)(3).</t>
  </si>
  <si>
    <t>At least once every twelve calendar quarters and according to the requirements in §§ 63.2163(f) and 63.2181(a)(1)(ii).</t>
  </si>
  <si>
    <t>(A)</t>
  </si>
  <si>
    <t>(B)</t>
  </si>
  <si>
    <t>(C)</t>
  </si>
  <si>
    <t>(D)</t>
  </si>
  <si>
    <t>(E)</t>
  </si>
  <si>
    <t>(F)</t>
  </si>
  <si>
    <t>(G)</t>
  </si>
  <si>
    <t>Technical Hours Per Occurrence</t>
  </si>
  <si>
    <t>Tech Hours Per Year
(C=A x B)</t>
  </si>
  <si>
    <t>Management Hours Per Year
(D = C x 0.05)</t>
  </si>
  <si>
    <t>Clerical Hours Per Year
(E = C x 0.1)</t>
  </si>
  <si>
    <t>Total Hours Per Year (C+D+E)</t>
  </si>
  <si>
    <t>1.</t>
  </si>
  <si>
    <t>Applications</t>
  </si>
  <si>
    <t>not applicable</t>
  </si>
  <si>
    <t>2.</t>
  </si>
  <si>
    <t>3.</t>
  </si>
  <si>
    <t>Required Activities</t>
  </si>
  <si>
    <t>A.</t>
  </si>
  <si>
    <t>Observe stack tests</t>
  </si>
  <si>
    <t>B.</t>
  </si>
  <si>
    <t>C.</t>
  </si>
  <si>
    <t>Create Information</t>
  </si>
  <si>
    <t>D.</t>
  </si>
  <si>
    <t>Gather Information</t>
  </si>
  <si>
    <t>E.</t>
  </si>
  <si>
    <t>Report Reviews</t>
  </si>
  <si>
    <t>Review performance evaluation plans</t>
  </si>
  <si>
    <t>Review performance evaluation reports</t>
  </si>
  <si>
    <t>Review performance test reports</t>
  </si>
  <si>
    <t>4.</t>
  </si>
  <si>
    <t>Review compliance reports</t>
  </si>
  <si>
    <t>F.</t>
  </si>
  <si>
    <t>Prepare annual summary report</t>
  </si>
  <si>
    <t xml:space="preserve">Travel expenses:  (1 person *  30 hours per year / 8 hours per day * $75 per diem) + ($600 per round trip) = </t>
  </si>
  <si>
    <t>per trip</t>
  </si>
  <si>
    <t>Percent of Stack Tests Observed</t>
  </si>
  <si>
    <t>Estimated Percent Retesting</t>
  </si>
  <si>
    <t>Estimated Percent Emission Exceedences</t>
  </si>
  <si>
    <t>Revise to "familiarization with…" and update for 4 facilities.</t>
  </si>
  <si>
    <t>Revise to 0 - no costs following initial implementation</t>
  </si>
  <si>
    <t>Revise to 1.33/yr - see "Performance evaluation/RATA note and background" note above, assumes 4 sources will complete over 12 quarters or 3 years for average of 1.33/year</t>
  </si>
  <si>
    <t>Subtotal for Recordkeeping Requirements</t>
  </si>
  <si>
    <t>Subtotal for Reporting Requirements</t>
  </si>
  <si>
    <t>Table 1 - Annual Respondent Burden and Cost – NESHAP for Manufacturing of Nutritional Yeast (40 CFR Part 63, CCCC) (Renewal)</t>
  </si>
  <si>
    <t>Table 2 - Average Annual EPA Burden and Cost – NESHAP for Manufacturing of Nutritional Yeast (40 CFR Part 63, CCCC) (Renewal)</t>
  </si>
  <si>
    <t>Capital/Startup vs. Operation and Maintenance (O&amp;M) Costs</t>
  </si>
  <si>
    <t>Continuous Monitoring Device</t>
  </si>
  <si>
    <t>Capital/Startup Cost for One Respondent</t>
  </si>
  <si>
    <t xml:space="preserve">Number of New Respondents </t>
  </si>
  <si>
    <t>Total Capital/Startup Cost, (B X C)</t>
  </si>
  <si>
    <t>Annual O&amp;M Costs for One Respondent</t>
  </si>
  <si>
    <t>Number of Respondents with O&amp;M</t>
  </si>
  <si>
    <t>Total O&amp;M, (E X F)</t>
  </si>
  <si>
    <r>
      <t>VOC CEMs</t>
    </r>
    <r>
      <rPr>
        <vertAlign val="superscript"/>
        <sz val="10"/>
        <color rgb="FF000000"/>
        <rFont val="Times New Roman"/>
        <family val="1"/>
      </rPr>
      <t>a</t>
    </r>
  </si>
  <si>
    <r>
      <t>CEMS RATA</t>
    </r>
    <r>
      <rPr>
        <vertAlign val="superscript"/>
        <sz val="10"/>
        <color rgb="FF000000"/>
        <rFont val="Times New Roman"/>
        <family val="1"/>
      </rPr>
      <t>b</t>
    </r>
  </si>
  <si>
    <r>
      <t>Brew Ethanol Correlation</t>
    </r>
    <r>
      <rPr>
        <vertAlign val="superscript"/>
        <sz val="10"/>
        <color rgb="FF000000"/>
        <rFont val="Times New Roman"/>
        <family val="1"/>
      </rPr>
      <t>c</t>
    </r>
  </si>
  <si>
    <t>c Assumes no facilities will conduct brew ethanol correlation.</t>
  </si>
  <si>
    <t>a Assumes all facilities have installed CEMS to comply with the rule. Annual costs include operation, maintenance, and repair of CEMS.</t>
  </si>
  <si>
    <t>b Assumes an annual O&amp;M cost of $3,624 to conduct RATA per CEMS and an average of 6.5 CEMs per facility. Assumes 4 respondents will complete over 12 quarters or 3 years for average of 1.33 respondents/year.</t>
  </si>
  <si>
    <r>
      <rPr>
        <vertAlign val="superscript"/>
        <sz val="8"/>
        <rFont val="Arial"/>
        <family val="2"/>
      </rPr>
      <t>a</t>
    </r>
    <r>
      <rPr>
        <sz val="8"/>
        <rFont val="Arial"/>
        <family val="2"/>
      </rPr>
      <t xml:space="preserve">  We have assumed that all of the respondents will familiarize with the regulatory requirements each year.</t>
    </r>
  </si>
  <si>
    <r>
      <t xml:space="preserve">A.  Familiarization with the regulatory requirements </t>
    </r>
    <r>
      <rPr>
        <vertAlign val="superscript"/>
        <sz val="8"/>
        <rFont val="Arial"/>
        <family val="2"/>
      </rPr>
      <t>a</t>
    </r>
  </si>
  <si>
    <r>
      <t xml:space="preserve">1.  VOC CEMS </t>
    </r>
    <r>
      <rPr>
        <vertAlign val="superscript"/>
        <sz val="8"/>
        <rFont val="Arial"/>
        <family val="2"/>
      </rPr>
      <t>c</t>
    </r>
  </si>
  <si>
    <r>
      <t>b.  Annualized Cost</t>
    </r>
    <r>
      <rPr>
        <vertAlign val="superscript"/>
        <sz val="8"/>
        <rFont val="Arial"/>
        <family val="2"/>
      </rPr>
      <t xml:space="preserve"> d</t>
    </r>
  </si>
  <si>
    <r>
      <rPr>
        <vertAlign val="superscript"/>
        <sz val="8"/>
        <rFont val="Arial"/>
        <family val="2"/>
      </rPr>
      <t>d</t>
    </r>
    <r>
      <rPr>
        <sz val="8"/>
        <rFont val="Arial"/>
        <family val="2"/>
      </rPr>
      <t xml:space="preserve"> Annualized cost equals the average of all facility annualized costs (based on number of fermenters). Includes operation, maintenance, and repairs of CEMS.</t>
    </r>
  </si>
  <si>
    <r>
      <t xml:space="preserve">2.  Performance evaluation </t>
    </r>
    <r>
      <rPr>
        <vertAlign val="superscript"/>
        <sz val="8"/>
        <rFont val="Arial"/>
        <family val="2"/>
      </rPr>
      <t>e</t>
    </r>
  </si>
  <si>
    <r>
      <rPr>
        <vertAlign val="superscript"/>
        <sz val="8"/>
        <rFont val="Arial"/>
        <family val="2"/>
      </rPr>
      <t>e</t>
    </r>
    <r>
      <rPr>
        <sz val="8"/>
        <rFont val="Arial"/>
        <family val="2"/>
      </rPr>
      <t xml:space="preserve"> Labor hours to conduct performance evaluation of CEMS. Assumes 4 respondents will complete over 12 quarters or 3 years for average of 1.33/year.</t>
    </r>
  </si>
  <si>
    <r>
      <t xml:space="preserve">a.  CEMS RATA </t>
    </r>
    <r>
      <rPr>
        <vertAlign val="superscript"/>
        <sz val="8"/>
        <rFont val="Arial"/>
        <family val="2"/>
      </rPr>
      <t>f</t>
    </r>
  </si>
  <si>
    <r>
      <rPr>
        <vertAlign val="superscript"/>
        <sz val="8"/>
        <rFont val="Arial"/>
        <family val="2"/>
      </rPr>
      <t>c</t>
    </r>
    <r>
      <rPr>
        <sz val="8"/>
        <rFont val="Arial"/>
        <family val="2"/>
      </rPr>
      <t xml:space="preserve"> All facilities must use VOC CEMS.</t>
    </r>
  </si>
  <si>
    <r>
      <rPr>
        <vertAlign val="superscript"/>
        <sz val="9"/>
        <rFont val="Arial"/>
        <family val="2"/>
      </rPr>
      <t xml:space="preserve">a </t>
    </r>
    <r>
      <rPr>
        <sz val="9"/>
        <rFont val="Arial"/>
        <family val="2"/>
      </rPr>
      <t>Number of occurrences is the number of states where affected sources will exist and each EPA Region (3 states + 3 EPA regions = 6 respondents).</t>
    </r>
  </si>
  <si>
    <r>
      <rPr>
        <vertAlign val="superscript"/>
        <sz val="9"/>
        <rFont val="Arial"/>
        <family val="2"/>
      </rPr>
      <t>b</t>
    </r>
    <r>
      <rPr>
        <sz val="9"/>
        <rFont val="Arial"/>
        <family val="2"/>
      </rPr>
      <t xml:space="preserve"> Assume 1 of the facilities will exceed emissions in year 2.</t>
    </r>
  </si>
  <si>
    <r>
      <t xml:space="preserve">Excess emissions -- Enforcement Activities </t>
    </r>
    <r>
      <rPr>
        <vertAlign val="superscript"/>
        <sz val="9"/>
        <rFont val="Arial"/>
        <family val="2"/>
      </rPr>
      <t>b</t>
    </r>
  </si>
  <si>
    <r>
      <t xml:space="preserve">Total Cost Per Year </t>
    </r>
    <r>
      <rPr>
        <vertAlign val="superscript"/>
        <sz val="9"/>
        <color theme="1"/>
        <rFont val="Arial"/>
        <family val="2"/>
      </rPr>
      <t>c</t>
    </r>
  </si>
  <si>
    <r>
      <rPr>
        <vertAlign val="superscript"/>
        <sz val="8"/>
        <rFont val="Arial"/>
        <family val="2"/>
      </rPr>
      <t xml:space="preserve">g </t>
    </r>
    <r>
      <rPr>
        <sz val="8"/>
        <rFont val="Arial"/>
        <family val="2"/>
      </rPr>
      <t xml:space="preserve"> Totals have been rounded to 3 significant figures. Figures may not add exactly due to rounding.</t>
    </r>
  </si>
  <si>
    <r>
      <rPr>
        <vertAlign val="superscript"/>
        <sz val="8"/>
        <rFont val="Arial"/>
        <family val="2"/>
      </rPr>
      <t xml:space="preserve">f </t>
    </r>
    <r>
      <rPr>
        <sz val="8"/>
        <rFont val="Arial"/>
        <family val="2"/>
      </rPr>
      <t>Line item for annual non-labor cost to conduct RATA. Number of occurrences per respondent equals the average number of CEMS (i.e., fermenters) per facility. Assumes 4 sources will complete over 12 quarters or 3 years for average of 1.33/year.</t>
    </r>
  </si>
  <si>
    <r>
      <t xml:space="preserve">GRAND TOTAL (rounded) </t>
    </r>
    <r>
      <rPr>
        <b/>
        <vertAlign val="superscript"/>
        <sz val="8"/>
        <rFont val="Arial"/>
        <family val="2"/>
      </rPr>
      <t>g</t>
    </r>
  </si>
  <si>
    <r>
      <t xml:space="preserve">TOTAL CAPITAL AND O&amp;M COST (rounded) </t>
    </r>
    <r>
      <rPr>
        <b/>
        <vertAlign val="superscript"/>
        <sz val="8"/>
        <rFont val="Arial"/>
        <family val="2"/>
      </rPr>
      <t>g</t>
    </r>
  </si>
  <si>
    <t>Familiarization with the regulatory requirements</t>
  </si>
  <si>
    <r>
      <t xml:space="preserve">Number of Occurrences Per Year </t>
    </r>
    <r>
      <rPr>
        <vertAlign val="superscript"/>
        <sz val="9"/>
        <color theme="1"/>
        <rFont val="Arial"/>
        <family val="2"/>
      </rPr>
      <t>a</t>
    </r>
  </si>
  <si>
    <r>
      <t>TOTAL (rounded)</t>
    </r>
    <r>
      <rPr>
        <vertAlign val="superscript"/>
        <sz val="9"/>
        <rFont val="Arial"/>
        <family val="2"/>
      </rPr>
      <t xml:space="preserve"> d</t>
    </r>
  </si>
  <si>
    <r>
      <rPr>
        <vertAlign val="superscript"/>
        <sz val="10"/>
        <rFont val="Arial"/>
        <family val="2"/>
      </rPr>
      <t xml:space="preserve">d </t>
    </r>
    <r>
      <rPr>
        <sz val="10"/>
        <rFont val="Arial"/>
        <family val="2"/>
      </rPr>
      <t xml:space="preserve"> Totals have been rounded to 3 significant figures. Figures may not add exactly due to rounding.</t>
    </r>
  </si>
  <si>
    <t>hours per response</t>
  </si>
  <si>
    <r>
      <t xml:space="preserve">TOTAL LABOR BURDEN AND COSTS (rounded) </t>
    </r>
    <r>
      <rPr>
        <b/>
        <vertAlign val="superscript"/>
        <sz val="8"/>
        <rFont val="Arial"/>
        <family val="2"/>
      </rPr>
      <t>g</t>
    </r>
  </si>
  <si>
    <t>Assumptions:</t>
  </si>
  <si>
    <t>renewal notes</t>
  </si>
  <si>
    <r>
      <t xml:space="preserve">(I)
Total Labor Costs Per Year </t>
    </r>
    <r>
      <rPr>
        <vertAlign val="superscript"/>
        <sz val="8"/>
        <rFont val="Arial"/>
        <family val="2"/>
      </rPr>
      <t>b</t>
    </r>
  </si>
  <si>
    <t>hrs/response</t>
  </si>
  <si>
    <r>
      <rPr>
        <vertAlign val="superscript"/>
        <sz val="8"/>
        <rFont val="Arial"/>
        <family val="2"/>
      </rPr>
      <t>b</t>
    </r>
    <r>
      <rPr>
        <vertAlign val="superscript"/>
        <sz val="8"/>
        <color theme="1"/>
        <rFont val="Arial"/>
        <family val="2"/>
      </rPr>
      <t xml:space="preserve"> </t>
    </r>
    <r>
      <rPr>
        <sz val="8"/>
        <color theme="1"/>
        <rFont val="Arial"/>
        <family val="2"/>
      </rPr>
      <t xml:space="preserve"> This ICR uses the following labor rates:  $148.45 per hour for Executive, Administrative, and Managerial labor; $121.46 per hour for Technical labor, and $60.23 per hour for Clerical labor.  These rates are from the United States Department of Labor, Bureau of Labor Statistics, March 2020, Table 2. Civilian Workers, by Occupational and Industry group.  The rates are from column 1, Total Compensation.  The rates have been increased by 110 percent to account for the benefit packages available to those employed by private industry.</t>
    </r>
  </si>
  <si>
    <r>
      <t>c</t>
    </r>
    <r>
      <rPr>
        <sz val="10"/>
        <color theme="1"/>
        <rFont val="Arial"/>
        <family val="2"/>
      </rPr>
      <t xml:space="preserve"> This cost is based on the following labor rates which incorporates a 1.6 benefits multiplication factor to account for government overhead expenses: $68.37 for Managerial (GS-13, Step 5, $42.73 x 1.6), $50.72 for Technical (GS-12, Step 1, $31.70 x 1.6), and $27.46 for Clerical (GS-6, Step 3, $17.16 x 1.6).  These rates are from the Office of Personnel Management (OPM) 2020 General Schedule which excludes locality rates of pay.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</si>
</sst>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4" formatCode="_(&quot;$&quot;* #,##0.00_);_(&quot;$&quot;* \(#,##0.00\);_(&quot;$&quot;* &quot;-&quot;??_);_(@_)"/>
    <numFmt numFmtId="43" formatCode="_(* #,##0.00_);_(* \(#,##0.00\);_(* &quot;-&quot;??_);_(@_)"/>
    <numFmt numFmtId="164" formatCode="General_)"/>
    <numFmt numFmtId="165" formatCode="&quot;$&quot;#,##0"/>
    <numFmt numFmtId="166" formatCode=";;;"/>
    <numFmt numFmtId="167" formatCode="0_)"/>
    <numFmt numFmtId="168" formatCode="&quot;$&quot;#,##0.00"/>
    <numFmt numFmtId="169" formatCode="0.00_)"/>
  </numFmts>
  <fonts count="39" x14ac:knownFonts="1">
    <font>
      <sz val="11"/>
      <color theme="1"/>
      <name val="Calibri"/>
      <family val="2"/>
      <scheme val="minor"/>
    </font>
    <font>
      <sz val="11"/>
      <color theme="1"/>
      <name val="Calibri"/>
      <family val="2"/>
      <scheme val="minor"/>
    </font>
    <font>
      <b/>
      <sz val="12"/>
      <name val="Arial"/>
      <family val="2"/>
    </font>
    <font>
      <sz val="8"/>
      <name val="Arial"/>
      <family val="2"/>
    </font>
    <font>
      <b/>
      <sz val="8"/>
      <name val="Arial"/>
      <family val="2"/>
    </font>
    <font>
      <sz val="8"/>
      <color rgb="FFC00000"/>
      <name val="Arial"/>
      <family val="2"/>
    </font>
    <font>
      <b/>
      <sz val="8"/>
      <color rgb="FF7030A0"/>
      <name val="Arial"/>
      <family val="2"/>
    </font>
    <font>
      <b/>
      <i/>
      <sz val="8"/>
      <color rgb="FF7030A0"/>
      <name val="Arial"/>
      <family val="2"/>
    </font>
    <font>
      <b/>
      <i/>
      <sz val="8"/>
      <name val="Arial"/>
      <family val="2"/>
    </font>
    <font>
      <b/>
      <sz val="10"/>
      <name val="Arial"/>
      <family val="2"/>
    </font>
    <font>
      <b/>
      <sz val="12"/>
      <color rgb="FF000000"/>
      <name val="Times New Roman"/>
      <family val="1"/>
    </font>
    <font>
      <b/>
      <sz val="10"/>
      <color rgb="FF000000"/>
      <name val="Times New Roman"/>
      <family val="1"/>
    </font>
    <font>
      <sz val="12"/>
      <color rgb="FF000000"/>
      <name val="Times New Roman"/>
      <family val="1"/>
    </font>
    <font>
      <b/>
      <sz val="11"/>
      <name val="Arial"/>
      <family val="2"/>
    </font>
    <font>
      <sz val="11"/>
      <color theme="1"/>
      <name val="Arial"/>
      <family val="2"/>
    </font>
    <font>
      <sz val="9"/>
      <name val="Arial"/>
      <family val="2"/>
    </font>
    <font>
      <sz val="9"/>
      <color theme="1"/>
      <name val="Arial"/>
      <family val="2"/>
    </font>
    <font>
      <sz val="9"/>
      <color indexed="12"/>
      <name val="Arial"/>
      <family val="2"/>
    </font>
    <font>
      <sz val="9"/>
      <color indexed="8"/>
      <name val="Arial"/>
      <family val="2"/>
    </font>
    <font>
      <sz val="10"/>
      <name val="Arial"/>
      <family val="2"/>
    </font>
    <font>
      <sz val="10"/>
      <color theme="1"/>
      <name val="Arial"/>
      <family val="2"/>
    </font>
    <font>
      <b/>
      <sz val="9"/>
      <name val="Arial"/>
      <family val="2"/>
    </font>
    <font>
      <sz val="8"/>
      <color indexed="10"/>
      <name val="Arial"/>
      <family val="2"/>
    </font>
    <font>
      <sz val="8"/>
      <color rgb="FF7030A0"/>
      <name val="Arial"/>
      <family val="2"/>
    </font>
    <font>
      <strike/>
      <sz val="8"/>
      <color rgb="FFFF0000"/>
      <name val="Arial"/>
      <family val="2"/>
    </font>
    <font>
      <b/>
      <strike/>
      <sz val="8"/>
      <color rgb="FFFF0000"/>
      <name val="Arial"/>
      <family val="2"/>
    </font>
    <font>
      <b/>
      <sz val="11"/>
      <color theme="1"/>
      <name val="Calibri"/>
      <family val="2"/>
      <scheme val="minor"/>
    </font>
    <font>
      <sz val="10"/>
      <color theme="1"/>
      <name val="Times New Roman"/>
      <family val="1"/>
    </font>
    <font>
      <sz val="10"/>
      <color rgb="FF000000"/>
      <name val="Times New Roman"/>
      <family val="1"/>
    </font>
    <font>
      <vertAlign val="superscript"/>
      <sz val="10"/>
      <color rgb="FF000000"/>
      <name val="Times New Roman"/>
      <family val="1"/>
    </font>
    <font>
      <vertAlign val="superscript"/>
      <sz val="8"/>
      <name val="Arial"/>
      <family val="2"/>
    </font>
    <font>
      <vertAlign val="superscript"/>
      <sz val="10"/>
      <color theme="1"/>
      <name val="Arial"/>
      <family val="2"/>
    </font>
    <font>
      <vertAlign val="superscript"/>
      <sz val="8"/>
      <color theme="1"/>
      <name val="Arial"/>
      <family val="2"/>
    </font>
    <font>
      <sz val="8"/>
      <color theme="1"/>
      <name val="Arial"/>
      <family val="2"/>
    </font>
    <font>
      <vertAlign val="superscript"/>
      <sz val="9"/>
      <name val="Arial"/>
      <family val="2"/>
    </font>
    <font>
      <vertAlign val="superscript"/>
      <sz val="9"/>
      <color theme="1"/>
      <name val="Arial"/>
      <family val="2"/>
    </font>
    <font>
      <b/>
      <vertAlign val="superscript"/>
      <sz val="8"/>
      <name val="Arial"/>
      <family val="2"/>
    </font>
    <font>
      <vertAlign val="superscript"/>
      <sz val="10"/>
      <name val="Arial"/>
      <family val="2"/>
    </font>
    <font>
      <sz val="8"/>
      <color theme="0"/>
      <name val="Arial"/>
      <family val="2"/>
    </font>
  </fonts>
  <fills count="4">
    <fill>
      <patternFill patternType="none"/>
    </fill>
    <fill>
      <patternFill patternType="gray125"/>
    </fill>
    <fill>
      <patternFill patternType="solid">
        <fgColor theme="0"/>
        <bgColor indexed="64"/>
      </patternFill>
    </fill>
    <fill>
      <patternFill patternType="solid">
        <fgColor theme="8"/>
        <bgColor indexed="64"/>
      </patternFill>
    </fill>
  </fills>
  <borders count="65">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right style="thin">
        <color rgb="FF000000"/>
      </right>
      <top/>
      <bottom style="thin">
        <color rgb="FF000000"/>
      </bottom>
      <diagonal/>
    </border>
    <border>
      <left style="medium">
        <color indexed="64"/>
      </left>
      <right/>
      <top style="medium">
        <color indexed="64"/>
      </top>
      <bottom/>
      <diagonal/>
    </border>
    <border>
      <left/>
      <right/>
      <top style="medium">
        <color indexed="64"/>
      </top>
      <bottom/>
      <diagonal/>
    </border>
    <border>
      <left style="thin">
        <color indexed="8"/>
      </left>
      <right/>
      <top style="medium">
        <color indexed="64"/>
      </top>
      <bottom/>
      <diagonal/>
    </border>
    <border>
      <left style="thin">
        <color indexed="8"/>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8"/>
      </right>
      <top/>
      <bottom style="double">
        <color indexed="64"/>
      </bottom>
      <diagonal/>
    </border>
    <border>
      <left style="thin">
        <color indexed="8"/>
      </left>
      <right/>
      <top/>
      <bottom style="double">
        <color indexed="64"/>
      </bottom>
      <diagonal/>
    </border>
    <border>
      <left style="thin">
        <color indexed="8"/>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right/>
      <top/>
      <bottom style="thin">
        <color indexed="64"/>
      </bottom>
      <diagonal/>
    </border>
    <border>
      <left style="thin">
        <color indexed="8"/>
      </left>
      <right style="thin">
        <color indexed="8"/>
      </right>
      <top/>
      <bottom style="thin">
        <color indexed="8"/>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bottom/>
      <diagonal/>
    </border>
    <border>
      <left/>
      <right style="thin">
        <color indexed="64"/>
      </right>
      <top/>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style="thin">
        <color indexed="8"/>
      </top>
      <bottom/>
      <diagonal/>
    </border>
    <border>
      <left/>
      <right/>
      <top style="thin">
        <color indexed="8"/>
      </top>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8"/>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8"/>
      </left>
      <right/>
      <top style="double">
        <color indexed="64"/>
      </top>
      <bottom style="medium">
        <color indexed="64"/>
      </bottom>
      <diagonal/>
    </border>
    <border>
      <left/>
      <right/>
      <top style="double">
        <color indexed="64"/>
      </top>
      <bottom style="medium">
        <color indexed="64"/>
      </bottom>
      <diagonal/>
    </border>
    <border>
      <left style="thin">
        <color indexed="8"/>
      </left>
      <right/>
      <top style="double">
        <color indexed="64"/>
      </top>
      <bottom style="thin">
        <color indexed="64"/>
      </bottom>
      <diagonal/>
    </border>
    <border>
      <left/>
      <right/>
      <top style="double">
        <color indexed="64"/>
      </top>
      <bottom style="thin">
        <color indexed="64"/>
      </bottom>
      <diagonal/>
    </border>
    <border>
      <left/>
      <right style="thin">
        <color indexed="8"/>
      </right>
      <top style="double">
        <color indexed="64"/>
      </top>
      <bottom style="thin">
        <color indexed="64"/>
      </bottom>
      <diagonal/>
    </border>
    <border>
      <left style="thin">
        <color indexed="64"/>
      </left>
      <right style="thin">
        <color indexed="8"/>
      </right>
      <top style="thin">
        <color indexed="64"/>
      </top>
      <bottom style="thin">
        <color indexed="64"/>
      </bottom>
      <diagonal/>
    </border>
    <border>
      <left/>
      <right style="thin">
        <color indexed="8"/>
      </right>
      <top style="thin">
        <color indexed="64"/>
      </top>
      <bottom/>
      <diagonal/>
    </border>
  </borders>
  <cellStyleXfs count="4">
    <xf numFmtId="0" fontId="0" fillId="0" borderId="0"/>
    <xf numFmtId="43" fontId="1" fillId="0" borderId="0" applyFont="0" applyFill="0" applyBorder="0" applyAlignment="0" applyProtection="0"/>
    <xf numFmtId="0" fontId="19" fillId="0" borderId="0"/>
    <xf numFmtId="44" fontId="1" fillId="0" borderId="0" applyFont="0" applyFill="0" applyBorder="0" applyAlignment="0" applyProtection="0"/>
  </cellStyleXfs>
  <cellXfs count="219">
    <xf numFmtId="0" fontId="0" fillId="0" borderId="0" xfId="0"/>
    <xf numFmtId="0" fontId="3" fillId="2" borderId="0" xfId="0" applyFont="1" applyFill="1"/>
    <xf numFmtId="0" fontId="4" fillId="3" borderId="0" xfId="0" applyFont="1" applyFill="1"/>
    <xf numFmtId="0" fontId="5" fillId="2" borderId="0" xfId="0" applyFont="1" applyFill="1"/>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1" fontId="3" fillId="2" borderId="3" xfId="0" applyNumberFormat="1" applyFont="1" applyFill="1" applyBorder="1" applyAlignment="1">
      <alignment horizontal="center" wrapText="1"/>
    </xf>
    <xf numFmtId="3" fontId="3" fillId="2" borderId="3" xfId="0" applyNumberFormat="1" applyFont="1" applyFill="1" applyBorder="1" applyAlignment="1">
      <alignment horizontal="center" wrapText="1"/>
    </xf>
    <xf numFmtId="0" fontId="3" fillId="2" borderId="0" xfId="0" applyFont="1" applyFill="1" applyAlignment="1">
      <alignment wrapText="1"/>
    </xf>
    <xf numFmtId="0" fontId="6" fillId="2" borderId="0" xfId="0" applyFont="1" applyFill="1" applyAlignment="1">
      <alignment wrapText="1"/>
    </xf>
    <xf numFmtId="0" fontId="3" fillId="2" borderId="4" xfId="0" applyFont="1" applyFill="1" applyBorder="1"/>
    <xf numFmtId="0" fontId="3" fillId="2" borderId="5" xfId="0" applyFont="1" applyFill="1" applyBorder="1" applyAlignment="1">
      <alignment horizontal="center" wrapText="1"/>
    </xf>
    <xf numFmtId="0" fontId="3" fillId="2" borderId="5" xfId="0" applyFont="1" applyFill="1" applyBorder="1" applyAlignment="1">
      <alignment horizontal="center"/>
    </xf>
    <xf numFmtId="0" fontId="4" fillId="2" borderId="0" xfId="0" applyFont="1" applyFill="1"/>
    <xf numFmtId="0" fontId="3" fillId="2" borderId="4" xfId="0" applyFont="1" applyFill="1" applyBorder="1" applyAlignment="1">
      <alignment horizontal="left" indent="2"/>
    </xf>
    <xf numFmtId="165" fontId="3" fillId="2" borderId="5" xfId="0" applyNumberFormat="1" applyFont="1" applyFill="1" applyBorder="1" applyAlignment="1">
      <alignment horizontal="center"/>
    </xf>
    <xf numFmtId="1" fontId="3" fillId="2" borderId="5" xfId="0" applyNumberFormat="1" applyFont="1" applyFill="1" applyBorder="1" applyAlignment="1">
      <alignment horizontal="center"/>
    </xf>
    <xf numFmtId="0" fontId="3" fillId="2" borderId="4" xfId="0" applyFont="1" applyFill="1" applyBorder="1" applyAlignment="1">
      <alignment horizontal="left" indent="4"/>
    </xf>
    <xf numFmtId="165" fontId="3" fillId="2" borderId="0" xfId="0" applyNumberFormat="1" applyFont="1" applyFill="1"/>
    <xf numFmtId="0" fontId="3" fillId="2" borderId="4" xfId="0" applyFont="1" applyFill="1" applyBorder="1" applyAlignment="1">
      <alignment horizontal="left" indent="6"/>
    </xf>
    <xf numFmtId="0" fontId="6" fillId="2" borderId="0" xfId="0" applyFont="1" applyFill="1"/>
    <xf numFmtId="0" fontId="3" fillId="2" borderId="4" xfId="0" applyFont="1" applyFill="1" applyBorder="1" applyAlignment="1">
      <alignment horizontal="left" wrapText="1" indent="4"/>
    </xf>
    <xf numFmtId="0" fontId="3" fillId="2" borderId="5" xfId="0" applyFont="1" applyFill="1" applyBorder="1" applyAlignment="1">
      <alignment horizontal="center" vertical="center"/>
    </xf>
    <xf numFmtId="0" fontId="8" fillId="2" borderId="4" xfId="0" applyFont="1" applyFill="1" applyBorder="1"/>
    <xf numFmtId="0" fontId="8" fillId="2" borderId="7" xfId="0" applyFont="1" applyFill="1" applyBorder="1"/>
    <xf numFmtId="1" fontId="3" fillId="2" borderId="8" xfId="0" applyNumberFormat="1" applyFont="1" applyFill="1" applyBorder="1" applyAlignment="1">
      <alignment horizontal="center"/>
    </xf>
    <xf numFmtId="165" fontId="3" fillId="2" borderId="8" xfId="0" applyNumberFormat="1" applyFont="1" applyFill="1" applyBorder="1" applyAlignment="1">
      <alignment horizontal="center"/>
    </xf>
    <xf numFmtId="0" fontId="3" fillId="2" borderId="10" xfId="0" applyFont="1" applyFill="1" applyBorder="1" applyAlignment="1">
      <alignment horizontal="center"/>
    </xf>
    <xf numFmtId="1" fontId="3" fillId="2" borderId="10" xfId="0" applyNumberFormat="1" applyFont="1" applyFill="1" applyBorder="1" applyAlignment="1">
      <alignment horizontal="center"/>
    </xf>
    <xf numFmtId="165" fontId="3" fillId="2" borderId="10" xfId="0" applyNumberFormat="1" applyFont="1" applyFill="1" applyBorder="1" applyAlignment="1">
      <alignment horizontal="center"/>
    </xf>
    <xf numFmtId="5" fontId="3" fillId="2" borderId="0" xfId="0" applyNumberFormat="1" applyFont="1" applyFill="1" applyAlignment="1">
      <alignment horizontal="center" vertical="center"/>
    </xf>
    <xf numFmtId="165" fontId="3" fillId="2" borderId="0" xfId="0" applyNumberFormat="1" applyFont="1" applyFill="1" applyAlignment="1">
      <alignment horizontal="center" vertical="center"/>
    </xf>
    <xf numFmtId="0" fontId="10" fillId="0" borderId="0" xfId="0" applyFont="1" applyAlignment="1">
      <alignment vertical="center"/>
    </xf>
    <xf numFmtId="0" fontId="11" fillId="0" borderId="13" xfId="0" applyFont="1" applyBorder="1" applyAlignment="1">
      <alignment vertical="center" wrapText="1"/>
    </xf>
    <xf numFmtId="0" fontId="11" fillId="0" borderId="14" xfId="0" applyFont="1" applyBorder="1" applyAlignment="1">
      <alignment vertical="center" wrapText="1"/>
    </xf>
    <xf numFmtId="0" fontId="11" fillId="0" borderId="15" xfId="0" applyFont="1" applyBorder="1" applyAlignment="1">
      <alignment vertical="center" wrapText="1"/>
    </xf>
    <xf numFmtId="0" fontId="12" fillId="0" borderId="16" xfId="0" applyFont="1" applyBorder="1" applyAlignment="1">
      <alignment vertical="center" wrapText="1"/>
    </xf>
    <xf numFmtId="0" fontId="12" fillId="0" borderId="17" xfId="0" applyFont="1" applyBorder="1" applyAlignment="1">
      <alignment vertical="center" wrapText="1"/>
    </xf>
    <xf numFmtId="0" fontId="12" fillId="3" borderId="18" xfId="0" applyFont="1" applyFill="1" applyBorder="1" applyAlignment="1">
      <alignment vertical="center" wrapText="1"/>
    </xf>
    <xf numFmtId="0" fontId="14" fillId="2" borderId="0" xfId="0" applyFont="1" applyFill="1"/>
    <xf numFmtId="164" fontId="15" fillId="2" borderId="19" xfId="0" applyNumberFormat="1" applyFont="1" applyFill="1" applyBorder="1" applyAlignment="1">
      <alignment horizontal="centerContinuous"/>
    </xf>
    <xf numFmtId="164" fontId="15" fillId="2" borderId="20" xfId="0" applyNumberFormat="1" applyFont="1" applyFill="1" applyBorder="1" applyAlignment="1">
      <alignment horizontal="centerContinuous"/>
    </xf>
    <xf numFmtId="164" fontId="16" fillId="2" borderId="21" xfId="0" applyNumberFormat="1" applyFont="1" applyFill="1" applyBorder="1" applyAlignment="1">
      <alignment horizontal="center" vertical="center"/>
    </xf>
    <xf numFmtId="164" fontId="16" fillId="2" borderId="22" xfId="0" applyNumberFormat="1" applyFont="1" applyFill="1" applyBorder="1" applyAlignment="1">
      <alignment horizontal="center" vertical="center"/>
    </xf>
    <xf numFmtId="164" fontId="16" fillId="2" borderId="23" xfId="0" applyNumberFormat="1" applyFont="1" applyFill="1" applyBorder="1" applyAlignment="1">
      <alignment horizontal="center" vertical="center"/>
    </xf>
    <xf numFmtId="164" fontId="16" fillId="2" borderId="24" xfId="0" applyNumberFormat="1" applyFont="1" applyFill="1" applyBorder="1" applyAlignment="1">
      <alignment horizontal="center" vertical="center"/>
    </xf>
    <xf numFmtId="164" fontId="16" fillId="2" borderId="28" xfId="0" applyNumberFormat="1" applyFont="1" applyFill="1" applyBorder="1" applyAlignment="1">
      <alignment horizontal="center" wrapText="1"/>
    </xf>
    <xf numFmtId="164" fontId="16" fillId="2" borderId="29" xfId="0" applyNumberFormat="1" applyFont="1" applyFill="1" applyBorder="1" applyAlignment="1">
      <alignment horizontal="center" wrapText="1"/>
    </xf>
    <xf numFmtId="164" fontId="16" fillId="2" borderId="30" xfId="0" applyNumberFormat="1" applyFont="1" applyFill="1" applyBorder="1" applyAlignment="1">
      <alignment horizontal="center" wrapText="1"/>
    </xf>
    <xf numFmtId="164" fontId="15" fillId="2" borderId="31" xfId="0" applyNumberFormat="1" applyFont="1" applyFill="1" applyBorder="1" applyAlignment="1">
      <alignment horizontal="center" vertical="center"/>
    </xf>
    <xf numFmtId="164" fontId="15" fillId="2" borderId="32" xfId="0" applyNumberFormat="1" applyFont="1" applyFill="1" applyBorder="1" applyAlignment="1">
      <alignment horizontal="left" vertical="center"/>
    </xf>
    <xf numFmtId="164" fontId="15" fillId="2" borderId="32" xfId="0" applyNumberFormat="1" applyFont="1" applyFill="1" applyBorder="1"/>
    <xf numFmtId="164" fontId="15" fillId="2" borderId="33" xfId="0" applyNumberFormat="1" applyFont="1" applyFill="1" applyBorder="1"/>
    <xf numFmtId="164" fontId="15" fillId="2" borderId="11" xfId="0" applyNumberFormat="1" applyFont="1" applyFill="1" applyBorder="1" applyAlignment="1">
      <alignment horizontal="center" vertical="center"/>
    </xf>
    <xf numFmtId="164" fontId="15" fillId="2" borderId="0" xfId="0" applyNumberFormat="1" applyFont="1" applyFill="1" applyAlignment="1">
      <alignment horizontal="left" vertical="center"/>
    </xf>
    <xf numFmtId="164" fontId="15" fillId="2" borderId="0" xfId="0" applyNumberFormat="1" applyFont="1" applyFill="1" applyAlignment="1">
      <alignment vertical="center"/>
    </xf>
    <xf numFmtId="37" fontId="15" fillId="2" borderId="35" xfId="0" applyNumberFormat="1" applyFont="1" applyFill="1" applyBorder="1" applyAlignment="1" applyProtection="1">
      <alignment horizontal="center" vertical="center"/>
      <protection locked="0"/>
    </xf>
    <xf numFmtId="1" fontId="15" fillId="2" borderId="6" xfId="0" applyNumberFormat="1" applyFont="1" applyFill="1" applyBorder="1" applyAlignment="1">
      <alignment horizontal="center" vertical="center"/>
    </xf>
    <xf numFmtId="5" fontId="15" fillId="2" borderId="5" xfId="0" applyNumberFormat="1" applyFont="1" applyFill="1" applyBorder="1" applyAlignment="1">
      <alignment horizontal="center" vertical="center"/>
    </xf>
    <xf numFmtId="164" fontId="15" fillId="2" borderId="36" xfId="0" applyNumberFormat="1" applyFont="1" applyFill="1" applyBorder="1" applyAlignment="1">
      <alignment horizontal="center" vertical="center"/>
    </xf>
    <xf numFmtId="164" fontId="15" fillId="2" borderId="37" xfId="0" applyNumberFormat="1" applyFont="1" applyFill="1" applyBorder="1" applyAlignment="1">
      <alignment horizontal="left" vertical="center"/>
    </xf>
    <xf numFmtId="164" fontId="15" fillId="2" borderId="38" xfId="0" applyNumberFormat="1" applyFont="1" applyFill="1" applyBorder="1" applyAlignment="1">
      <alignment vertical="center"/>
    </xf>
    <xf numFmtId="166" fontId="17" fillId="2" borderId="11" xfId="0" applyNumberFormat="1" applyFont="1" applyFill="1" applyBorder="1" applyAlignment="1" applyProtection="1">
      <alignment vertical="center"/>
      <protection locked="0"/>
    </xf>
    <xf numFmtId="164" fontId="15" fillId="2" borderId="0" xfId="0" applyNumberFormat="1" applyFont="1" applyFill="1" applyAlignment="1">
      <alignment horizontal="right" vertical="center"/>
    </xf>
    <xf numFmtId="167" fontId="15" fillId="2" borderId="40" xfId="0" applyNumberFormat="1" applyFont="1" applyFill="1" applyBorder="1" applyAlignment="1" applyProtection="1">
      <alignment horizontal="center" vertical="center"/>
      <protection locked="0"/>
    </xf>
    <xf numFmtId="164" fontId="15" fillId="2" borderId="41" xfId="0" applyNumberFormat="1" applyFont="1" applyFill="1" applyBorder="1" applyAlignment="1">
      <alignment horizontal="center" vertical="center"/>
    </xf>
    <xf numFmtId="1" fontId="15" fillId="2" borderId="41" xfId="0" applyNumberFormat="1" applyFont="1" applyFill="1" applyBorder="1" applyAlignment="1">
      <alignment horizontal="center" vertical="center"/>
    </xf>
    <xf numFmtId="166" fontId="17" fillId="2" borderId="42" xfId="0" applyNumberFormat="1" applyFont="1" applyFill="1" applyBorder="1" applyAlignment="1" applyProtection="1">
      <alignment vertical="center"/>
      <protection locked="0"/>
    </xf>
    <xf numFmtId="9" fontId="18" fillId="2" borderId="43" xfId="0" applyNumberFormat="1" applyFont="1" applyFill="1" applyBorder="1" applyAlignment="1" applyProtection="1">
      <alignment horizontal="right" vertical="center"/>
      <protection locked="0"/>
    </xf>
    <xf numFmtId="164" fontId="15" fillId="2" borderId="43" xfId="0" applyNumberFormat="1" applyFont="1" applyFill="1" applyBorder="1" applyAlignment="1">
      <alignment horizontal="left" vertical="center"/>
    </xf>
    <xf numFmtId="164" fontId="15" fillId="2" borderId="43" xfId="0" applyNumberFormat="1" applyFont="1" applyFill="1" applyBorder="1" applyAlignment="1">
      <alignment vertical="center"/>
    </xf>
    <xf numFmtId="167" fontId="15" fillId="2" borderId="44" xfId="0" applyNumberFormat="1" applyFont="1" applyFill="1" applyBorder="1" applyAlignment="1" applyProtection="1">
      <alignment horizontal="center" vertical="center"/>
      <protection locked="0"/>
    </xf>
    <xf numFmtId="164" fontId="15" fillId="2" borderId="45" xfId="0" applyNumberFormat="1" applyFont="1" applyFill="1" applyBorder="1" applyAlignment="1">
      <alignment horizontal="center" vertical="center"/>
    </xf>
    <xf numFmtId="1" fontId="15" fillId="2" borderId="45" xfId="0" applyNumberFormat="1" applyFont="1" applyFill="1" applyBorder="1" applyAlignment="1">
      <alignment horizontal="center" vertical="center"/>
    </xf>
    <xf numFmtId="9" fontId="15" fillId="2" borderId="32" xfId="0" applyNumberFormat="1" applyFont="1" applyFill="1" applyBorder="1" applyAlignment="1">
      <alignment horizontal="right" vertical="center"/>
    </xf>
    <xf numFmtId="164" fontId="15" fillId="2" borderId="32" xfId="0" applyNumberFormat="1" applyFont="1" applyFill="1" applyBorder="1" applyAlignment="1">
      <alignment vertical="center"/>
    </xf>
    <xf numFmtId="9" fontId="15" fillId="2" borderId="46" xfId="0" applyNumberFormat="1" applyFont="1" applyFill="1" applyBorder="1" applyAlignment="1">
      <alignment horizontal="right" vertical="center"/>
    </xf>
    <xf numFmtId="164" fontId="15" fillId="2" borderId="46" xfId="0" applyNumberFormat="1" applyFont="1" applyFill="1" applyBorder="1" applyAlignment="1">
      <alignment horizontal="left" vertical="center"/>
    </xf>
    <xf numFmtId="164" fontId="15" fillId="2" borderId="46" xfId="0" applyNumberFormat="1" applyFont="1" applyFill="1" applyBorder="1" applyAlignment="1">
      <alignment vertical="center"/>
    </xf>
    <xf numFmtId="166" fontId="17" fillId="2" borderId="36" xfId="0" applyNumberFormat="1" applyFont="1" applyFill="1" applyBorder="1" applyAlignment="1" applyProtection="1">
      <alignment vertical="center"/>
      <protection locked="0"/>
    </xf>
    <xf numFmtId="9" fontId="15" fillId="2" borderId="37" xfId="0" applyNumberFormat="1" applyFont="1" applyFill="1" applyBorder="1" applyAlignment="1">
      <alignment horizontal="right" vertical="center"/>
    </xf>
    <xf numFmtId="164" fontId="15" fillId="2" borderId="37" xfId="0" applyNumberFormat="1" applyFont="1" applyFill="1" applyBorder="1" applyAlignment="1">
      <alignment vertical="center"/>
    </xf>
    <xf numFmtId="49" fontId="15" fillId="2" borderId="37" xfId="2" applyNumberFormat="1" applyFont="1" applyFill="1" applyBorder="1" applyAlignment="1">
      <alignment horizontal="right" vertical="center"/>
    </xf>
    <xf numFmtId="164" fontId="15" fillId="2" borderId="49" xfId="0" applyNumberFormat="1" applyFont="1" applyFill="1" applyBorder="1" applyAlignment="1">
      <alignment horizontal="left" vertical="center"/>
    </xf>
    <xf numFmtId="167" fontId="15" fillId="2" borderId="5" xfId="0" applyNumberFormat="1" applyFont="1" applyFill="1" applyBorder="1" applyAlignment="1" applyProtection="1">
      <alignment horizontal="center" vertical="center"/>
      <protection locked="0"/>
    </xf>
    <xf numFmtId="164" fontId="15" fillId="2" borderId="5" xfId="0" applyNumberFormat="1" applyFont="1" applyFill="1" applyBorder="1" applyAlignment="1">
      <alignment horizontal="center" vertical="center"/>
    </xf>
    <xf numFmtId="1" fontId="15" fillId="2" borderId="5" xfId="0" applyNumberFormat="1" applyFont="1" applyFill="1" applyBorder="1" applyAlignment="1">
      <alignment horizontal="center" vertical="center"/>
    </xf>
    <xf numFmtId="166" fontId="17" fillId="2" borderId="50" xfId="0" applyNumberFormat="1" applyFont="1" applyFill="1" applyBorder="1" applyAlignment="1" applyProtection="1">
      <alignment vertical="center"/>
      <protection locked="0"/>
    </xf>
    <xf numFmtId="9" fontId="15" fillId="2" borderId="34" xfId="0" applyNumberFormat="1" applyFont="1" applyFill="1" applyBorder="1" applyAlignment="1">
      <alignment horizontal="right" vertical="center"/>
    </xf>
    <xf numFmtId="49" fontId="15" fillId="2" borderId="34" xfId="2" applyNumberFormat="1" applyFont="1" applyFill="1" applyBorder="1" applyAlignment="1">
      <alignment horizontal="right" vertical="center"/>
    </xf>
    <xf numFmtId="164" fontId="15" fillId="2" borderId="34" xfId="0" applyNumberFormat="1" applyFont="1" applyFill="1" applyBorder="1" applyAlignment="1">
      <alignment horizontal="left" vertical="center"/>
    </xf>
    <xf numFmtId="164" fontId="15" fillId="2" borderId="6" xfId="0" applyNumberFormat="1" applyFont="1" applyFill="1" applyBorder="1" applyAlignment="1">
      <alignment horizontal="left" vertical="center"/>
    </xf>
    <xf numFmtId="164" fontId="15" fillId="2" borderId="34" xfId="0" applyNumberFormat="1" applyFont="1" applyFill="1" applyBorder="1" applyAlignment="1">
      <alignment horizontal="left" vertical="center" wrapText="1"/>
    </xf>
    <xf numFmtId="164" fontId="15" fillId="2" borderId="50" xfId="0" applyNumberFormat="1" applyFont="1" applyFill="1" applyBorder="1" applyAlignment="1">
      <alignment horizontal="center" vertical="center"/>
    </xf>
    <xf numFmtId="164" fontId="15" fillId="2" borderId="34" xfId="0" applyNumberFormat="1" applyFont="1" applyFill="1" applyBorder="1" applyAlignment="1">
      <alignment horizontal="right" vertical="center"/>
    </xf>
    <xf numFmtId="164" fontId="15" fillId="2" borderId="6" xfId="0" applyNumberFormat="1" applyFont="1" applyFill="1" applyBorder="1" applyAlignment="1">
      <alignment vertical="center"/>
    </xf>
    <xf numFmtId="37" fontId="15" fillId="2" borderId="5" xfId="0" applyNumberFormat="1" applyFont="1" applyFill="1" applyBorder="1" applyAlignment="1" applyProtection="1">
      <alignment horizontal="center" vertical="center"/>
      <protection locked="0"/>
    </xf>
    <xf numFmtId="164" fontId="18" fillId="2" borderId="25" xfId="0" quotePrefix="1" applyNumberFormat="1" applyFont="1" applyFill="1" applyBorder="1" applyAlignment="1" applyProtection="1">
      <alignment horizontal="center" vertical="center"/>
      <protection locked="0"/>
    </xf>
    <xf numFmtId="9" fontId="15" fillId="2" borderId="26" xfId="0" applyNumberFormat="1" applyFont="1" applyFill="1" applyBorder="1" applyAlignment="1">
      <alignment horizontal="left" vertical="center"/>
    </xf>
    <xf numFmtId="164" fontId="15" fillId="2" borderId="26" xfId="0" applyNumberFormat="1" applyFont="1" applyFill="1" applyBorder="1" applyAlignment="1">
      <alignment vertical="center"/>
    </xf>
    <xf numFmtId="167" fontId="17" fillId="2" borderId="26" xfId="0" applyNumberFormat="1" applyFont="1" applyFill="1" applyBorder="1" applyAlignment="1" applyProtection="1">
      <alignment horizontal="center" vertical="center"/>
      <protection locked="0"/>
    </xf>
    <xf numFmtId="0" fontId="15" fillId="2" borderId="26" xfId="2" applyFont="1" applyFill="1" applyBorder="1"/>
    <xf numFmtId="5" fontId="15" fillId="2" borderId="51" xfId="0" applyNumberFormat="1" applyFont="1" applyFill="1" applyBorder="1" applyAlignment="1">
      <alignment horizontal="center" vertical="center"/>
    </xf>
    <xf numFmtId="1" fontId="15" fillId="2" borderId="26" xfId="0" applyNumberFormat="1" applyFont="1" applyFill="1" applyBorder="1" applyAlignment="1">
      <alignment horizontal="left" vertical="center"/>
    </xf>
    <xf numFmtId="5" fontId="15" fillId="2" borderId="52" xfId="0" applyNumberFormat="1" applyFont="1" applyFill="1" applyBorder="1" applyAlignment="1">
      <alignment horizontal="center" vertical="center"/>
    </xf>
    <xf numFmtId="9" fontId="15" fillId="2" borderId="12" xfId="0" applyNumberFormat="1" applyFont="1" applyFill="1" applyBorder="1" applyAlignment="1">
      <alignment vertical="center"/>
    </xf>
    <xf numFmtId="9" fontId="15" fillId="2" borderId="1" xfId="0" applyNumberFormat="1" applyFont="1" applyFill="1" applyBorder="1" applyAlignment="1">
      <alignment vertical="center"/>
    </xf>
    <xf numFmtId="164" fontId="15" fillId="2" borderId="1" xfId="0" applyNumberFormat="1" applyFont="1" applyFill="1" applyBorder="1" applyAlignment="1">
      <alignment vertical="center"/>
    </xf>
    <xf numFmtId="164" fontId="15" fillId="2" borderId="1" xfId="0" applyNumberFormat="1" applyFont="1" applyFill="1" applyBorder="1" applyAlignment="1">
      <alignment horizontal="left" vertical="center"/>
    </xf>
    <xf numFmtId="167" fontId="17" fillId="2" borderId="1" xfId="0" applyNumberFormat="1" applyFont="1" applyFill="1" applyBorder="1" applyAlignment="1" applyProtection="1">
      <alignment horizontal="center" vertical="center"/>
      <protection locked="0"/>
    </xf>
    <xf numFmtId="1" fontId="15" fillId="2" borderId="53" xfId="0" applyNumberFormat="1" applyFont="1" applyFill="1" applyBorder="1" applyAlignment="1">
      <alignment horizontal="center" vertical="center"/>
    </xf>
    <xf numFmtId="164" fontId="3" fillId="2" borderId="0" xfId="0" applyNumberFormat="1" applyFont="1" applyFill="1"/>
    <xf numFmtId="164" fontId="3" fillId="2" borderId="0" xfId="0" applyNumberFormat="1" applyFont="1" applyFill="1" applyAlignment="1">
      <alignment horizontal="center"/>
    </xf>
    <xf numFmtId="3" fontId="3" fillId="2" borderId="0" xfId="1" applyNumberFormat="1" applyFont="1" applyFill="1" applyBorder="1" applyAlignment="1">
      <alignment horizontal="right"/>
    </xf>
    <xf numFmtId="164" fontId="15" fillId="2" borderId="0" xfId="0" applyNumberFormat="1" applyFont="1" applyFill="1"/>
    <xf numFmtId="164" fontId="22" fillId="2" borderId="0" xfId="0" applyNumberFormat="1" applyFont="1" applyFill="1"/>
    <xf numFmtId="164" fontId="15" fillId="2" borderId="0" xfId="0" applyNumberFormat="1" applyFont="1" applyFill="1" applyAlignment="1">
      <alignment horizontal="right"/>
    </xf>
    <xf numFmtId="0" fontId="19" fillId="2" borderId="0" xfId="2" applyFill="1"/>
    <xf numFmtId="164" fontId="3" fillId="2" borderId="0" xfId="0" applyNumberFormat="1" applyFont="1" applyFill="1" applyAlignment="1">
      <alignment horizontal="right"/>
    </xf>
    <xf numFmtId="9" fontId="14" fillId="2" borderId="5" xfId="0" applyNumberFormat="1" applyFont="1" applyFill="1" applyBorder="1"/>
    <xf numFmtId="0" fontId="23" fillId="2" borderId="0" xfId="0" applyFont="1" applyFill="1"/>
    <xf numFmtId="1" fontId="15" fillId="0" borderId="5" xfId="0" applyNumberFormat="1" applyFont="1" applyFill="1" applyBorder="1" applyAlignment="1">
      <alignment horizontal="center" vertical="center"/>
    </xf>
    <xf numFmtId="0" fontId="24" fillId="2" borderId="0" xfId="0" applyFont="1" applyFill="1"/>
    <xf numFmtId="0" fontId="25" fillId="2" borderId="0" xfId="0" applyFont="1" applyFill="1"/>
    <xf numFmtId="1" fontId="3" fillId="2" borderId="56" xfId="0" applyNumberFormat="1" applyFont="1" applyFill="1" applyBorder="1" applyAlignment="1">
      <alignment horizontal="center"/>
    </xf>
    <xf numFmtId="165" fontId="3" fillId="2" borderId="56" xfId="0" applyNumberFormat="1" applyFont="1" applyFill="1" applyBorder="1" applyAlignment="1">
      <alignment horizontal="center"/>
    </xf>
    <xf numFmtId="0" fontId="10" fillId="0" borderId="5" xfId="0" applyFont="1" applyBorder="1" applyAlignment="1">
      <alignment vertical="center" wrapText="1"/>
    </xf>
    <xf numFmtId="0" fontId="28" fillId="0" borderId="5" xfId="0" applyFont="1" applyBorder="1" applyAlignment="1">
      <alignment vertical="center" wrapText="1"/>
    </xf>
    <xf numFmtId="0" fontId="28" fillId="0" borderId="5" xfId="0" applyFont="1" applyBorder="1" applyAlignment="1">
      <alignment horizontal="center" vertical="center" wrapText="1"/>
    </xf>
    <xf numFmtId="0" fontId="27" fillId="0" borderId="5" xfId="0" applyFont="1" applyBorder="1" applyAlignment="1">
      <alignment vertical="top" wrapText="1"/>
    </xf>
    <xf numFmtId="165" fontId="27" fillId="0" borderId="5" xfId="3" applyNumberFormat="1" applyFont="1" applyBorder="1" applyAlignment="1">
      <alignment vertical="top" wrapText="1"/>
    </xf>
    <xf numFmtId="165" fontId="28" fillId="0" borderId="5" xfId="3" applyNumberFormat="1" applyFont="1" applyBorder="1" applyAlignment="1">
      <alignment vertical="center" wrapText="1"/>
    </xf>
    <xf numFmtId="165" fontId="27" fillId="0" borderId="5" xfId="0" applyNumberFormat="1" applyFont="1" applyBorder="1" applyAlignment="1">
      <alignment vertical="top" wrapText="1"/>
    </xf>
    <xf numFmtId="1" fontId="3" fillId="2" borderId="54" xfId="0" applyNumberFormat="1" applyFont="1" applyFill="1" applyBorder="1" applyAlignment="1">
      <alignment horizontal="center"/>
    </xf>
    <xf numFmtId="0" fontId="3" fillId="2" borderId="54" xfId="0" applyFont="1" applyFill="1" applyBorder="1" applyAlignment="1">
      <alignment horizontal="center"/>
    </xf>
    <xf numFmtId="0" fontId="4" fillId="2" borderId="55" xfId="0" applyFont="1" applyFill="1" applyBorder="1"/>
    <xf numFmtId="1" fontId="21" fillId="2" borderId="1" xfId="0" applyNumberFormat="1" applyFont="1" applyFill="1" applyBorder="1" applyAlignment="1">
      <alignment horizontal="center" vertical="center"/>
    </xf>
    <xf numFmtId="5" fontId="21" fillId="2" borderId="54" xfId="0" applyNumberFormat="1" applyFont="1" applyFill="1" applyBorder="1" applyAlignment="1">
      <alignment horizontal="center" vertical="center"/>
    </xf>
    <xf numFmtId="0" fontId="28" fillId="0" borderId="8" xfId="0" applyFont="1" applyBorder="1" applyAlignment="1">
      <alignment vertical="center" wrapText="1"/>
    </xf>
    <xf numFmtId="165" fontId="28" fillId="0" borderId="8" xfId="0" applyNumberFormat="1" applyFont="1" applyBorder="1" applyAlignment="1">
      <alignment vertical="center" wrapText="1"/>
    </xf>
    <xf numFmtId="168" fontId="0" fillId="0" borderId="0" xfId="0" applyNumberFormat="1"/>
    <xf numFmtId="2" fontId="0" fillId="0" borderId="0" xfId="0" applyNumberFormat="1"/>
    <xf numFmtId="0" fontId="3" fillId="2" borderId="0" xfId="0" applyFont="1" applyFill="1" applyAlignment="1">
      <alignment horizontal="left" vertical="top" wrapText="1"/>
    </xf>
    <xf numFmtId="0" fontId="15" fillId="2" borderId="39" xfId="0" applyFont="1" applyFill="1" applyBorder="1" applyAlignment="1" applyProtection="1">
      <alignment horizontal="center" vertical="center"/>
      <protection locked="0"/>
    </xf>
    <xf numFmtId="0" fontId="15" fillId="2" borderId="37" xfId="0" applyFont="1" applyFill="1" applyBorder="1" applyAlignment="1" applyProtection="1">
      <alignment horizontal="center" vertical="center"/>
      <protection locked="0"/>
    </xf>
    <xf numFmtId="168" fontId="4" fillId="2" borderId="0" xfId="0" applyNumberFormat="1" applyFont="1" applyFill="1"/>
    <xf numFmtId="0" fontId="4" fillId="0" borderId="9" xfId="0" applyFont="1" applyFill="1" applyBorder="1"/>
    <xf numFmtId="165" fontId="3" fillId="0" borderId="5" xfId="0" applyNumberFormat="1" applyFont="1" applyFill="1" applyBorder="1" applyAlignment="1">
      <alignment horizontal="center"/>
    </xf>
    <xf numFmtId="0" fontId="3" fillId="0" borderId="5" xfId="0" applyFont="1" applyFill="1" applyBorder="1" applyAlignment="1">
      <alignment horizontal="center"/>
    </xf>
    <xf numFmtId="1" fontId="3" fillId="0" borderId="5" xfId="0" applyNumberFormat="1" applyFont="1" applyFill="1" applyBorder="1" applyAlignment="1">
      <alignment horizontal="center"/>
    </xf>
    <xf numFmtId="1" fontId="3" fillId="0" borderId="6" xfId="0" applyNumberFormat="1" applyFont="1" applyFill="1" applyBorder="1" applyAlignment="1">
      <alignment horizontal="center" vertical="center"/>
    </xf>
    <xf numFmtId="2" fontId="3" fillId="0" borderId="5" xfId="0" applyNumberFormat="1" applyFont="1" applyFill="1" applyBorder="1" applyAlignment="1">
      <alignment horizontal="center"/>
    </xf>
    <xf numFmtId="165" fontId="3" fillId="0" borderId="5" xfId="0" applyNumberFormat="1" applyFont="1" applyFill="1" applyBorder="1" applyAlignment="1">
      <alignment horizontal="center" vertical="center"/>
    </xf>
    <xf numFmtId="0" fontId="3" fillId="0" borderId="5" xfId="0" applyFont="1" applyFill="1" applyBorder="1" applyAlignment="1">
      <alignment horizontal="center" vertical="center"/>
    </xf>
    <xf numFmtId="1" fontId="3" fillId="0" borderId="5" xfId="0" applyNumberFormat="1" applyFont="1" applyFill="1" applyBorder="1" applyAlignment="1">
      <alignment horizontal="center" vertical="center"/>
    </xf>
    <xf numFmtId="2" fontId="3" fillId="0" borderId="5" xfId="0" applyNumberFormat="1" applyFont="1" applyFill="1" applyBorder="1" applyAlignment="1">
      <alignment horizontal="center" vertical="center"/>
    </xf>
    <xf numFmtId="167" fontId="15" fillId="0" borderId="5" xfId="0" applyNumberFormat="1" applyFont="1" applyFill="1" applyBorder="1" applyAlignment="1" applyProtection="1">
      <alignment horizontal="center" vertical="center"/>
      <protection locked="0"/>
    </xf>
    <xf numFmtId="169" fontId="15" fillId="0" borderId="5" xfId="0" applyNumberFormat="1" applyFont="1" applyFill="1" applyBorder="1" applyAlignment="1" applyProtection="1">
      <alignment horizontal="center" vertical="center"/>
      <protection locked="0"/>
    </xf>
    <xf numFmtId="0" fontId="15" fillId="0" borderId="0" xfId="0" applyFont="1" applyFill="1"/>
    <xf numFmtId="0" fontId="31" fillId="0" borderId="0" xfId="0" applyFont="1" applyAlignment="1">
      <alignment vertical="center"/>
    </xf>
    <xf numFmtId="0" fontId="3" fillId="2" borderId="0" xfId="0" applyFont="1" applyFill="1" applyAlignment="1">
      <alignment horizontal="left" vertical="top"/>
    </xf>
    <xf numFmtId="5" fontId="15" fillId="2" borderId="63" xfId="0" applyNumberFormat="1" applyFont="1" applyFill="1" applyBorder="1" applyAlignment="1">
      <alignment horizontal="center" vertical="center"/>
    </xf>
    <xf numFmtId="0" fontId="15" fillId="2" borderId="38" xfId="0" applyFont="1" applyFill="1" applyBorder="1" applyAlignment="1" applyProtection="1">
      <alignment horizontal="center" vertical="center"/>
      <protection locked="0"/>
    </xf>
    <xf numFmtId="0" fontId="19" fillId="2" borderId="0" xfId="0" applyFont="1" applyFill="1" applyAlignment="1">
      <alignment horizontal="left" vertical="top"/>
    </xf>
    <xf numFmtId="1" fontId="4" fillId="2" borderId="0" xfId="0" applyNumberFormat="1" applyFont="1" applyFill="1"/>
    <xf numFmtId="0" fontId="3" fillId="2" borderId="20" xfId="0" applyFont="1" applyFill="1" applyBorder="1"/>
    <xf numFmtId="0" fontId="3" fillId="2" borderId="0" xfId="0" applyFont="1" applyFill="1" applyBorder="1"/>
    <xf numFmtId="0" fontId="3" fillId="2" borderId="0" xfId="0" applyFont="1" applyFill="1" applyBorder="1" applyAlignment="1">
      <alignment horizontal="center"/>
    </xf>
    <xf numFmtId="165" fontId="3" fillId="2" borderId="0" xfId="0" applyNumberFormat="1" applyFont="1" applyFill="1" applyBorder="1" applyAlignment="1">
      <alignment horizontal="center"/>
    </xf>
    <xf numFmtId="0" fontId="4" fillId="2" borderId="0" xfId="0" applyFont="1" applyFill="1" applyBorder="1"/>
    <xf numFmtId="0" fontId="7" fillId="2" borderId="0" xfId="0" applyFont="1" applyFill="1" applyBorder="1"/>
    <xf numFmtId="164" fontId="38" fillId="2" borderId="0" xfId="0" applyNumberFormat="1" applyFont="1" applyFill="1" applyAlignment="1">
      <alignment horizontal="center" vertical="center"/>
    </xf>
    <xf numFmtId="3" fontId="38" fillId="2" borderId="0" xfId="0" applyNumberFormat="1" applyFont="1" applyFill="1" applyAlignment="1">
      <alignment horizontal="center" vertical="center"/>
    </xf>
    <xf numFmtId="5" fontId="38" fillId="2" borderId="0" xfId="0" applyNumberFormat="1" applyFont="1" applyFill="1" applyAlignment="1">
      <alignment horizontal="center" vertical="center"/>
    </xf>
    <xf numFmtId="164" fontId="38" fillId="2" borderId="0" xfId="0" applyNumberFormat="1" applyFont="1" applyFill="1" applyAlignment="1">
      <alignment horizontal="left" vertical="center"/>
    </xf>
    <xf numFmtId="165" fontId="38" fillId="2" borderId="0" xfId="0" applyNumberFormat="1" applyFont="1" applyFill="1" applyAlignment="1">
      <alignment horizontal="center" vertical="center"/>
    </xf>
    <xf numFmtId="165" fontId="38" fillId="0" borderId="0" xfId="0" applyNumberFormat="1" applyFont="1" applyFill="1" applyAlignment="1">
      <alignment horizontal="center" vertical="center"/>
    </xf>
    <xf numFmtId="1" fontId="3" fillId="2" borderId="0" xfId="0" applyNumberFormat="1" applyFont="1" applyFill="1"/>
    <xf numFmtId="0" fontId="14" fillId="2" borderId="0" xfId="0" applyFont="1" applyFill="1" applyBorder="1"/>
    <xf numFmtId="1" fontId="15" fillId="2" borderId="0" xfId="0" applyNumberFormat="1" applyFont="1" applyFill="1" applyBorder="1" applyAlignment="1">
      <alignment horizontal="center" vertical="center"/>
    </xf>
    <xf numFmtId="5" fontId="15" fillId="2" borderId="0" xfId="0" applyNumberFormat="1" applyFont="1" applyFill="1" applyBorder="1" applyAlignment="1">
      <alignment horizontal="center" vertical="center"/>
    </xf>
    <xf numFmtId="0" fontId="20" fillId="2" borderId="0" xfId="0" applyFont="1" applyFill="1" applyBorder="1"/>
    <xf numFmtId="1" fontId="21" fillId="2" borderId="0" xfId="0" applyNumberFormat="1" applyFont="1" applyFill="1" applyBorder="1" applyAlignment="1">
      <alignment horizontal="center" vertical="center"/>
    </xf>
    <xf numFmtId="5" fontId="21" fillId="2" borderId="0" xfId="0" applyNumberFormat="1" applyFont="1" applyFill="1" applyBorder="1" applyAlignment="1">
      <alignment horizontal="center" vertical="center"/>
    </xf>
    <xf numFmtId="164" fontId="2" fillId="2" borderId="1" xfId="0" applyNumberFormat="1" applyFont="1" applyFill="1" applyBorder="1" applyAlignment="1">
      <alignment horizontal="center" vertical="top" wrapText="1"/>
    </xf>
    <xf numFmtId="0" fontId="3" fillId="2" borderId="0" xfId="0" applyFont="1" applyFill="1" applyAlignment="1">
      <alignment horizontal="left" vertical="top" wrapText="1"/>
    </xf>
    <xf numFmtId="0" fontId="24" fillId="2" borderId="0" xfId="0" applyFont="1" applyFill="1" applyAlignment="1">
      <alignment horizontal="left" wrapText="1"/>
    </xf>
    <xf numFmtId="1" fontId="3" fillId="2" borderId="5" xfId="0" applyNumberFormat="1" applyFont="1" applyFill="1" applyBorder="1" applyAlignment="1">
      <alignment horizontal="center"/>
    </xf>
    <xf numFmtId="0" fontId="0" fillId="0" borderId="5" xfId="0" applyBorder="1" applyAlignment="1">
      <alignment horizontal="center"/>
    </xf>
    <xf numFmtId="1" fontId="0" fillId="0" borderId="5" xfId="0" applyNumberFormat="1" applyBorder="1" applyAlignment="1">
      <alignment horizontal="center"/>
    </xf>
    <xf numFmtId="1" fontId="3" fillId="0" borderId="57" xfId="0" applyNumberFormat="1" applyFont="1" applyFill="1" applyBorder="1" applyAlignment="1">
      <alignment horizontal="center"/>
    </xf>
    <xf numFmtId="0" fontId="0" fillId="0" borderId="37" xfId="0" applyFill="1" applyBorder="1" applyAlignment="1">
      <alignment horizontal="center"/>
    </xf>
    <xf numFmtId="0" fontId="0" fillId="0" borderId="49" xfId="0" applyFill="1" applyBorder="1" applyAlignment="1">
      <alignment horizontal="center"/>
    </xf>
    <xf numFmtId="164" fontId="14" fillId="2" borderId="5" xfId="0" applyNumberFormat="1" applyFont="1" applyFill="1" applyBorder="1" applyAlignment="1">
      <alignment horizontal="center"/>
    </xf>
    <xf numFmtId="164" fontId="13" fillId="2" borderId="0" xfId="0" applyNumberFormat="1" applyFont="1" applyFill="1" applyAlignment="1">
      <alignment horizontal="center" wrapText="1"/>
    </xf>
    <xf numFmtId="164" fontId="15" fillId="2" borderId="25" xfId="0" applyNumberFormat="1" applyFont="1" applyFill="1" applyBorder="1" applyAlignment="1">
      <alignment horizontal="center"/>
    </xf>
    <xf numFmtId="164" fontId="15" fillId="2" borderId="26" xfId="0" applyNumberFormat="1" applyFont="1" applyFill="1" applyBorder="1" applyAlignment="1">
      <alignment horizontal="center"/>
    </xf>
    <xf numFmtId="164" fontId="15" fillId="2" borderId="27" xfId="0" applyNumberFormat="1" applyFont="1" applyFill="1" applyBorder="1" applyAlignment="1">
      <alignment horizontal="center"/>
    </xf>
    <xf numFmtId="164" fontId="15" fillId="2" borderId="32" xfId="0" applyNumberFormat="1" applyFont="1" applyFill="1" applyBorder="1" applyAlignment="1">
      <alignment horizontal="left" vertical="center" wrapText="1"/>
    </xf>
    <xf numFmtId="164" fontId="15" fillId="2" borderId="32" xfId="0" applyNumberFormat="1" applyFont="1" applyFill="1" applyBorder="1" applyAlignment="1">
      <alignment vertical="center" wrapText="1"/>
    </xf>
    <xf numFmtId="164" fontId="15" fillId="2" borderId="33" xfId="0" applyNumberFormat="1" applyFont="1" applyFill="1" applyBorder="1" applyAlignment="1">
      <alignment vertical="center" wrapText="1"/>
    </xf>
    <xf numFmtId="0" fontId="15" fillId="2" borderId="39" xfId="0" applyFont="1" applyFill="1" applyBorder="1" applyAlignment="1" applyProtection="1">
      <alignment horizontal="center" vertical="center"/>
      <protection locked="0"/>
    </xf>
    <xf numFmtId="0" fontId="15" fillId="2" borderId="37" xfId="0" applyFont="1" applyFill="1" applyBorder="1" applyAlignment="1" applyProtection="1">
      <alignment horizontal="center" vertical="center"/>
      <protection locked="0"/>
    </xf>
    <xf numFmtId="0" fontId="15" fillId="2" borderId="38" xfId="0" applyFont="1" applyFill="1" applyBorder="1" applyAlignment="1" applyProtection="1">
      <alignment horizontal="center" vertical="center"/>
      <protection locked="0"/>
    </xf>
    <xf numFmtId="0" fontId="15" fillId="2" borderId="47" xfId="0" applyFont="1" applyFill="1" applyBorder="1" applyAlignment="1" applyProtection="1">
      <alignment horizontal="center" vertical="center"/>
      <protection locked="0"/>
    </xf>
    <xf numFmtId="0" fontId="15" fillId="2" borderId="48" xfId="0" applyFont="1" applyFill="1" applyBorder="1" applyAlignment="1" applyProtection="1">
      <alignment horizontal="center" vertical="center"/>
      <protection locked="0"/>
    </xf>
    <xf numFmtId="0" fontId="15" fillId="2" borderId="64" xfId="0" applyFont="1" applyFill="1" applyBorder="1" applyAlignment="1" applyProtection="1">
      <alignment horizontal="center" vertical="center"/>
      <protection locked="0"/>
    </xf>
    <xf numFmtId="1" fontId="21" fillId="2" borderId="58" xfId="0" applyNumberFormat="1" applyFont="1" applyFill="1" applyBorder="1" applyAlignment="1">
      <alignment horizontal="center" vertical="center"/>
    </xf>
    <xf numFmtId="0" fontId="26" fillId="0" borderId="59" xfId="0" applyFont="1" applyBorder="1" applyAlignment="1">
      <alignment horizontal="center" vertical="center"/>
    </xf>
    <xf numFmtId="164" fontId="15" fillId="2" borderId="60" xfId="0" applyNumberFormat="1" applyFont="1" applyFill="1" applyBorder="1" applyAlignment="1">
      <alignment horizontal="center" vertical="center" wrapText="1"/>
    </xf>
    <xf numFmtId="164" fontId="15" fillId="2" borderId="61" xfId="0" applyNumberFormat="1" applyFont="1" applyFill="1" applyBorder="1" applyAlignment="1">
      <alignment horizontal="center" vertical="center" wrapText="1"/>
    </xf>
    <xf numFmtId="164" fontId="15" fillId="2" borderId="62" xfId="0" applyNumberFormat="1" applyFont="1" applyFill="1" applyBorder="1" applyAlignment="1">
      <alignment horizontal="center" vertical="center" wrapText="1"/>
    </xf>
    <xf numFmtId="0" fontId="12" fillId="0" borderId="5" xfId="0" applyFont="1" applyBorder="1" applyAlignment="1">
      <alignment vertical="center" wrapText="1"/>
    </xf>
    <xf numFmtId="0" fontId="10" fillId="0" borderId="5" xfId="0" applyFont="1" applyBorder="1" applyAlignment="1">
      <alignment horizontal="center" vertical="center" wrapText="1"/>
    </xf>
    <xf numFmtId="0" fontId="28" fillId="0" borderId="48" xfId="0" applyFont="1" applyFill="1" applyBorder="1" applyAlignment="1">
      <alignment vertical="center" wrapText="1"/>
    </xf>
    <xf numFmtId="0" fontId="0" fillId="0" borderId="48" xfId="0" applyBorder="1" applyAlignment="1"/>
    <xf numFmtId="0" fontId="28" fillId="0" borderId="0" xfId="0" applyFont="1" applyFill="1" applyBorder="1" applyAlignment="1">
      <alignment vertical="center" wrapText="1"/>
    </xf>
    <xf numFmtId="0" fontId="0" fillId="0" borderId="0" xfId="0" applyBorder="1" applyAlignment="1"/>
    <xf numFmtId="0" fontId="9" fillId="3" borderId="0" xfId="0" applyFont="1" applyFill="1" applyAlignment="1">
      <alignment horizontal="left" vertical="top" wrapText="1"/>
    </xf>
  </cellXfs>
  <cellStyles count="4">
    <cellStyle name="Comma" xfId="1" builtinId="3"/>
    <cellStyle name="Currency" xfId="3" builtinId="4"/>
    <cellStyle name="Normal" xfId="0" builtinId="0"/>
    <cellStyle name="Normal_Sheet1" xfId="2" xr:uid="{AEEE52A5-68AD-4CFD-B558-9F8531A8C3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8D68F-A229-4EA9-8180-B7FF89226114}">
  <sheetPr>
    <pageSetUpPr fitToPage="1"/>
  </sheetPr>
  <dimension ref="B1:U59"/>
  <sheetViews>
    <sheetView tabSelected="1" topLeftCell="A32" workbookViewId="0">
      <selection activeCell="L26" sqref="L26"/>
    </sheetView>
  </sheetViews>
  <sheetFormatPr defaultColWidth="9.1796875" defaultRowHeight="10.5" x14ac:dyDescent="0.25"/>
  <cols>
    <col min="1" max="1" width="2.1796875" style="1" customWidth="1"/>
    <col min="2" max="2" width="39.453125" style="1" customWidth="1"/>
    <col min="3" max="3" width="9.26953125" style="1" bestFit="1" customWidth="1"/>
    <col min="4" max="4" width="9.26953125" style="1" hidden="1" customWidth="1"/>
    <col min="5" max="5" width="10.1796875" style="1" bestFit="1" customWidth="1"/>
    <col min="6" max="6" width="9.7265625" style="1" customWidth="1"/>
    <col min="7" max="7" width="10.1796875" style="1" bestFit="1" customWidth="1"/>
    <col min="8" max="8" width="7.81640625" style="1" bestFit="1" customWidth="1"/>
    <col min="9" max="9" width="8.81640625" style="1" bestFit="1" customWidth="1"/>
    <col min="10" max="10" width="9.7265625" style="1" bestFit="1" customWidth="1"/>
    <col min="11" max="11" width="8.81640625" style="1" hidden="1" customWidth="1"/>
    <col min="12" max="12" width="8.7265625" style="1" bestFit="1" customWidth="1"/>
    <col min="13" max="13" width="10.26953125" style="1" hidden="1" customWidth="1"/>
    <col min="14" max="14" width="8.81640625" style="1" hidden="1" customWidth="1"/>
    <col min="15" max="15" width="11.54296875" style="1" customWidth="1"/>
    <col min="16" max="16" width="77.81640625" style="13" hidden="1" customWidth="1"/>
    <col min="17" max="17" width="29.1796875" style="3" hidden="1" customWidth="1"/>
    <col min="18" max="18" width="6.7265625" style="1" customWidth="1"/>
    <col min="19" max="19" width="7.453125" style="1" customWidth="1"/>
    <col min="20" max="20" width="9.1796875" style="1" customWidth="1"/>
    <col min="21" max="16384" width="9.1796875" style="1"/>
  </cols>
  <sheetData>
    <row r="1" spans="2:21" x14ac:dyDescent="0.25">
      <c r="H1" s="1">
        <v>121.46</v>
      </c>
      <c r="I1" s="1">
        <v>60.23</v>
      </c>
      <c r="J1" s="1">
        <v>148.44999999999999</v>
      </c>
    </row>
    <row r="3" spans="2:21" ht="16" thickBot="1" x14ac:dyDescent="0.3">
      <c r="B3" s="184" t="s">
        <v>117</v>
      </c>
      <c r="C3" s="184"/>
      <c r="D3" s="184"/>
      <c r="E3" s="184"/>
      <c r="F3" s="184"/>
      <c r="G3" s="184"/>
      <c r="H3" s="184"/>
      <c r="I3" s="184"/>
      <c r="J3" s="184"/>
      <c r="K3" s="184"/>
      <c r="L3" s="184"/>
      <c r="M3" s="184"/>
      <c r="N3" s="184"/>
      <c r="P3" s="2" t="s">
        <v>157</v>
      </c>
    </row>
    <row r="4" spans="2:21" s="8" customFormat="1" ht="69.75" customHeight="1" x14ac:dyDescent="0.25">
      <c r="B4" s="4" t="s">
        <v>0</v>
      </c>
      <c r="C4" s="5" t="s">
        <v>1</v>
      </c>
      <c r="D4" s="5" t="s">
        <v>2</v>
      </c>
      <c r="E4" s="5" t="s">
        <v>3</v>
      </c>
      <c r="F4" s="5" t="s">
        <v>4</v>
      </c>
      <c r="G4" s="6" t="s">
        <v>5</v>
      </c>
      <c r="H4" s="7" t="s">
        <v>6</v>
      </c>
      <c r="I4" s="7" t="s">
        <v>7</v>
      </c>
      <c r="J4" s="7" t="s">
        <v>8</v>
      </c>
      <c r="K4" s="7" t="s">
        <v>9</v>
      </c>
      <c r="L4" s="5" t="s">
        <v>158</v>
      </c>
      <c r="M4" s="7" t="s">
        <v>10</v>
      </c>
      <c r="N4" s="7" t="s">
        <v>11</v>
      </c>
      <c r="P4" s="9" t="s">
        <v>12</v>
      </c>
    </row>
    <row r="5" spans="2:21" ht="10.5" customHeight="1" x14ac:dyDescent="0.25">
      <c r="B5" s="10" t="s">
        <v>13</v>
      </c>
      <c r="C5" s="11" t="s">
        <v>14</v>
      </c>
      <c r="D5" s="12"/>
      <c r="E5" s="12"/>
      <c r="F5" s="12"/>
      <c r="G5" s="12"/>
      <c r="H5" s="12"/>
      <c r="I5" s="12"/>
      <c r="J5" s="12"/>
      <c r="K5" s="12"/>
      <c r="L5" s="12"/>
      <c r="M5" s="12"/>
      <c r="N5" s="12"/>
    </row>
    <row r="6" spans="2:21" ht="10.5" customHeight="1" x14ac:dyDescent="0.25">
      <c r="B6" s="10" t="s">
        <v>15</v>
      </c>
      <c r="C6" s="11" t="s">
        <v>14</v>
      </c>
      <c r="D6" s="12"/>
      <c r="E6" s="12"/>
      <c r="F6" s="12"/>
      <c r="G6" s="12"/>
      <c r="H6" s="12"/>
      <c r="I6" s="12"/>
      <c r="J6" s="12"/>
      <c r="K6" s="12"/>
      <c r="L6" s="12"/>
      <c r="M6" s="12"/>
      <c r="N6" s="12"/>
    </row>
    <row r="7" spans="2:21" ht="10.5" customHeight="1" x14ac:dyDescent="0.25">
      <c r="B7" s="10" t="s">
        <v>16</v>
      </c>
      <c r="C7" s="11"/>
      <c r="D7" s="12"/>
      <c r="E7" s="12"/>
      <c r="F7" s="12"/>
      <c r="G7" s="12"/>
      <c r="H7" s="12"/>
      <c r="I7" s="12"/>
      <c r="J7" s="12"/>
      <c r="K7" s="12"/>
      <c r="L7" s="12"/>
      <c r="M7" s="12"/>
      <c r="N7" s="12"/>
    </row>
    <row r="8" spans="2:21" ht="12.5" x14ac:dyDescent="0.25">
      <c r="B8" s="14" t="s">
        <v>134</v>
      </c>
      <c r="C8" s="12">
        <v>15</v>
      </c>
      <c r="D8" s="147">
        <v>0</v>
      </c>
      <c r="E8" s="148">
        <v>1</v>
      </c>
      <c r="F8" s="148">
        <f>C8*E8</f>
        <v>15</v>
      </c>
      <c r="G8" s="148">
        <v>4</v>
      </c>
      <c r="H8" s="148">
        <f>G8*F8</f>
        <v>60</v>
      </c>
      <c r="I8" s="149">
        <f>H8*0.1</f>
        <v>6</v>
      </c>
      <c r="J8" s="149">
        <f>H8*0.05</f>
        <v>3</v>
      </c>
      <c r="K8" s="150">
        <f>SUM(H8:J8)</f>
        <v>69</v>
      </c>
      <c r="L8" s="147">
        <f>H8*$H$1+I8*$I$1+J8*$J$1</f>
        <v>8094.33</v>
      </c>
      <c r="M8" s="147">
        <f>D8*E8*G8</f>
        <v>0</v>
      </c>
      <c r="N8" s="148">
        <v>0</v>
      </c>
      <c r="P8" s="20" t="s">
        <v>112</v>
      </c>
    </row>
    <row r="9" spans="2:21" x14ac:dyDescent="0.25">
      <c r="B9" s="14" t="s">
        <v>18</v>
      </c>
      <c r="C9" s="12"/>
      <c r="D9" s="147"/>
      <c r="E9" s="148"/>
      <c r="F9" s="148"/>
      <c r="G9" s="148"/>
      <c r="H9" s="148"/>
      <c r="I9" s="149"/>
      <c r="J9" s="149"/>
      <c r="K9" s="149"/>
      <c r="L9" s="147"/>
      <c r="M9" s="147"/>
      <c r="N9" s="148"/>
    </row>
    <row r="10" spans="2:21" ht="12.5" x14ac:dyDescent="0.25">
      <c r="B10" s="17" t="s">
        <v>135</v>
      </c>
      <c r="C10" s="12"/>
      <c r="D10" s="147"/>
      <c r="E10" s="148"/>
      <c r="F10" s="148"/>
      <c r="G10" s="148"/>
      <c r="H10" s="148"/>
      <c r="I10" s="149"/>
      <c r="J10" s="149"/>
      <c r="K10" s="149"/>
      <c r="L10" s="147"/>
      <c r="M10" s="147"/>
      <c r="N10" s="148"/>
      <c r="U10" s="18"/>
    </row>
    <row r="11" spans="2:21" x14ac:dyDescent="0.25">
      <c r="B11" s="19" t="s">
        <v>19</v>
      </c>
      <c r="C11" s="12">
        <v>0</v>
      </c>
      <c r="D11" s="147">
        <v>86770</v>
      </c>
      <c r="E11" s="148">
        <v>1</v>
      </c>
      <c r="F11" s="148">
        <f>C11*E11</f>
        <v>0</v>
      </c>
      <c r="G11" s="148">
        <v>0</v>
      </c>
      <c r="H11" s="148">
        <f>G11*F11</f>
        <v>0</v>
      </c>
      <c r="I11" s="149">
        <f>H11*0.1</f>
        <v>0</v>
      </c>
      <c r="J11" s="149">
        <f>H11*0.05</f>
        <v>0</v>
      </c>
      <c r="K11" s="150">
        <f>SUM(H11:J11)</f>
        <v>0</v>
      </c>
      <c r="L11" s="147">
        <f t="shared" ref="L11:L15" si="0">H11*$H$1+I11*$I$1+J11*$J$1</f>
        <v>0</v>
      </c>
      <c r="M11" s="147">
        <f>D11*E11*G11</f>
        <v>0</v>
      </c>
      <c r="N11" s="148">
        <v>0</v>
      </c>
      <c r="P11" s="20" t="s">
        <v>113</v>
      </c>
      <c r="Q11" s="3" t="s">
        <v>20</v>
      </c>
      <c r="R11" s="167"/>
      <c r="S11" s="168"/>
      <c r="T11" s="169"/>
      <c r="U11" s="18"/>
    </row>
    <row r="12" spans="2:21" ht="12.5" x14ac:dyDescent="0.25">
      <c r="B12" s="19" t="s">
        <v>136</v>
      </c>
      <c r="C12" s="12">
        <v>0</v>
      </c>
      <c r="D12" s="147">
        <v>186860</v>
      </c>
      <c r="E12" s="148">
        <v>1</v>
      </c>
      <c r="F12" s="148">
        <f>C12*E12</f>
        <v>0</v>
      </c>
      <c r="G12" s="148">
        <v>4</v>
      </c>
      <c r="H12" s="148">
        <f>G12*F12</f>
        <v>0</v>
      </c>
      <c r="I12" s="149">
        <f>H12*0.1</f>
        <v>0</v>
      </c>
      <c r="J12" s="149">
        <f>H12*0.05</f>
        <v>0</v>
      </c>
      <c r="K12" s="150">
        <f>SUM(H12:J12)</f>
        <v>0</v>
      </c>
      <c r="L12" s="147">
        <f t="shared" si="0"/>
        <v>0</v>
      </c>
      <c r="M12" s="147">
        <f>D12*E12*G12</f>
        <v>747440</v>
      </c>
      <c r="N12" s="148">
        <v>0</v>
      </c>
      <c r="P12" s="13" t="s">
        <v>21</v>
      </c>
      <c r="Q12" s="3" t="s">
        <v>22</v>
      </c>
      <c r="R12" s="167"/>
      <c r="S12" s="168"/>
      <c r="T12" s="169"/>
      <c r="U12" s="18"/>
    </row>
    <row r="13" spans="2:21" ht="12.5" x14ac:dyDescent="0.25">
      <c r="B13" s="17" t="s">
        <v>138</v>
      </c>
      <c r="C13" s="12">
        <v>8</v>
      </c>
      <c r="D13" s="147">
        <v>0</v>
      </c>
      <c r="E13" s="148">
        <v>1</v>
      </c>
      <c r="F13" s="148">
        <f>C13*E13</f>
        <v>8</v>
      </c>
      <c r="G13" s="151">
        <v>1.33</v>
      </c>
      <c r="H13" s="148">
        <f t="shared" ref="H13" si="1">G13*F13</f>
        <v>10.64</v>
      </c>
      <c r="I13" s="149">
        <f t="shared" ref="I13" si="2">H13*0.1</f>
        <v>1.0640000000000001</v>
      </c>
      <c r="J13" s="149">
        <f t="shared" ref="J13" si="3">H13*0.05</f>
        <v>0.53200000000000003</v>
      </c>
      <c r="K13" s="150">
        <f>SUM(H13:J13)</f>
        <v>12.236000000000001</v>
      </c>
      <c r="L13" s="147">
        <f t="shared" si="0"/>
        <v>1435.3945200000001</v>
      </c>
      <c r="M13" s="147">
        <f>D13*E13*G13</f>
        <v>0</v>
      </c>
      <c r="N13" s="148">
        <v>0</v>
      </c>
      <c r="P13" s="20" t="s">
        <v>114</v>
      </c>
      <c r="Q13" s="3" t="s">
        <v>23</v>
      </c>
      <c r="R13" s="167"/>
      <c r="S13" s="168"/>
      <c r="T13" s="169"/>
    </row>
    <row r="14" spans="2:21" ht="12.5" x14ac:dyDescent="0.25">
      <c r="B14" s="19" t="s">
        <v>140</v>
      </c>
      <c r="C14" s="12">
        <v>0</v>
      </c>
      <c r="D14" s="147">
        <v>3264</v>
      </c>
      <c r="E14" s="148">
        <v>6.5</v>
      </c>
      <c r="F14" s="148">
        <f>C14*E14</f>
        <v>0</v>
      </c>
      <c r="G14" s="148">
        <v>1.33</v>
      </c>
      <c r="H14" s="148">
        <f>G14*F14</f>
        <v>0</v>
      </c>
      <c r="I14" s="149">
        <f>H14*0.1</f>
        <v>0</v>
      </c>
      <c r="J14" s="149">
        <f>H14*0.05</f>
        <v>0</v>
      </c>
      <c r="K14" s="150">
        <f>SUM(H14:J14)</f>
        <v>0</v>
      </c>
      <c r="L14" s="147">
        <f t="shared" si="0"/>
        <v>0</v>
      </c>
      <c r="M14" s="147">
        <f>D14*E14*G14</f>
        <v>28217.280000000002</v>
      </c>
      <c r="N14" s="148">
        <v>0</v>
      </c>
      <c r="P14" s="20" t="s">
        <v>114</v>
      </c>
      <c r="Q14" s="3" t="s">
        <v>23</v>
      </c>
      <c r="R14" s="167"/>
      <c r="S14" s="168"/>
      <c r="T14" s="169"/>
      <c r="U14" s="18"/>
    </row>
    <row r="15" spans="2:21" x14ac:dyDescent="0.25">
      <c r="B15" s="17" t="s">
        <v>24</v>
      </c>
      <c r="C15" s="12">
        <v>10</v>
      </c>
      <c r="D15" s="147">
        <v>6500</v>
      </c>
      <c r="E15" s="148">
        <v>3</v>
      </c>
      <c r="F15" s="148">
        <f>C15*E15</f>
        <v>30</v>
      </c>
      <c r="G15" s="148">
        <v>0</v>
      </c>
      <c r="H15" s="148">
        <f>G15*F15</f>
        <v>0</v>
      </c>
      <c r="I15" s="149">
        <f>H15*0.1</f>
        <v>0</v>
      </c>
      <c r="J15" s="149">
        <f>H15*0.05</f>
        <v>0</v>
      </c>
      <c r="K15" s="150">
        <f>SUM(H15:J15)</f>
        <v>0</v>
      </c>
      <c r="L15" s="147">
        <f t="shared" si="0"/>
        <v>0</v>
      </c>
      <c r="M15" s="147">
        <f>D15*E15*G15</f>
        <v>0</v>
      </c>
      <c r="N15" s="148">
        <v>0</v>
      </c>
      <c r="P15" s="13" t="s">
        <v>25</v>
      </c>
      <c r="Q15" s="3" t="s">
        <v>26</v>
      </c>
      <c r="R15" s="167"/>
      <c r="S15" s="168"/>
      <c r="T15" s="169"/>
      <c r="U15" s="18"/>
    </row>
    <row r="16" spans="2:21" x14ac:dyDescent="0.25">
      <c r="B16" s="14" t="s">
        <v>27</v>
      </c>
      <c r="C16" s="12" t="s">
        <v>28</v>
      </c>
      <c r="D16" s="147"/>
      <c r="E16" s="148"/>
      <c r="F16" s="148"/>
      <c r="G16" s="148"/>
      <c r="H16" s="148"/>
      <c r="I16" s="149"/>
      <c r="J16" s="149"/>
      <c r="K16" s="149"/>
      <c r="L16" s="147"/>
      <c r="M16" s="147"/>
      <c r="N16" s="148"/>
      <c r="R16" s="166"/>
      <c r="S16" s="166"/>
      <c r="T16" s="166"/>
    </row>
    <row r="17" spans="2:20" x14ac:dyDescent="0.25">
      <c r="B17" s="14" t="s">
        <v>29</v>
      </c>
      <c r="C17" s="12" t="s">
        <v>30</v>
      </c>
      <c r="D17" s="147"/>
      <c r="E17" s="148"/>
      <c r="F17" s="148"/>
      <c r="G17" s="148"/>
      <c r="H17" s="148"/>
      <c r="I17" s="149"/>
      <c r="J17" s="149"/>
      <c r="K17" s="149"/>
      <c r="L17" s="147"/>
      <c r="M17" s="147"/>
      <c r="N17" s="148"/>
      <c r="P17" s="145"/>
      <c r="R17" s="166"/>
      <c r="S17" s="166"/>
      <c r="T17" s="166"/>
    </row>
    <row r="18" spans="2:20" x14ac:dyDescent="0.25">
      <c r="B18" s="14" t="s">
        <v>31</v>
      </c>
      <c r="C18" s="12"/>
      <c r="D18" s="147"/>
      <c r="E18" s="148"/>
      <c r="F18" s="148"/>
      <c r="G18" s="148"/>
      <c r="H18" s="148"/>
      <c r="I18" s="149"/>
      <c r="J18" s="149"/>
      <c r="K18" s="149"/>
      <c r="L18" s="147"/>
      <c r="M18" s="147"/>
      <c r="N18" s="148"/>
      <c r="R18" s="166"/>
      <c r="S18" s="166"/>
      <c r="T18" s="166"/>
    </row>
    <row r="19" spans="2:20" x14ac:dyDescent="0.25">
      <c r="B19" s="21" t="s">
        <v>32</v>
      </c>
      <c r="C19" s="22">
        <v>15</v>
      </c>
      <c r="D19" s="152">
        <v>0</v>
      </c>
      <c r="E19" s="153">
        <v>1</v>
      </c>
      <c r="F19" s="153">
        <f t="shared" ref="F19:F24" si="4">C19*E19</f>
        <v>15</v>
      </c>
      <c r="G19" s="154">
        <v>0</v>
      </c>
      <c r="H19" s="153">
        <f t="shared" ref="H19:H24" si="5">G19*F19</f>
        <v>0</v>
      </c>
      <c r="I19" s="154">
        <f t="shared" ref="I19:I24" si="6">H19*0.1</f>
        <v>0</v>
      </c>
      <c r="J19" s="154">
        <f t="shared" ref="J19:J24" si="7">H19*0.05</f>
        <v>0</v>
      </c>
      <c r="K19" s="150">
        <f t="shared" ref="K19:K24" si="8">SUM(H19:J19)</f>
        <v>0</v>
      </c>
      <c r="L19" s="147">
        <f t="shared" ref="L19:L24" si="9">H19*$H$1+I19*$I$1+J19*$J$1</f>
        <v>0</v>
      </c>
      <c r="M19" s="152">
        <f t="shared" ref="M19:M24" si="10">D19*E19*G19</f>
        <v>0</v>
      </c>
      <c r="N19" s="153">
        <f t="shared" ref="N19:N24" si="11">G19*E19</f>
        <v>0</v>
      </c>
      <c r="P19" s="20" t="s">
        <v>113</v>
      </c>
      <c r="Q19" s="3" t="s">
        <v>20</v>
      </c>
      <c r="R19" s="167"/>
      <c r="S19" s="168"/>
      <c r="T19" s="169"/>
    </row>
    <row r="20" spans="2:20" x14ac:dyDescent="0.25">
      <c r="B20" s="21" t="s">
        <v>33</v>
      </c>
      <c r="C20" s="22">
        <v>2</v>
      </c>
      <c r="D20" s="152">
        <v>0</v>
      </c>
      <c r="E20" s="153">
        <v>1</v>
      </c>
      <c r="F20" s="153">
        <f t="shared" si="4"/>
        <v>2</v>
      </c>
      <c r="G20" s="155">
        <f>G13</f>
        <v>1.33</v>
      </c>
      <c r="H20" s="153">
        <f t="shared" si="5"/>
        <v>2.66</v>
      </c>
      <c r="I20" s="154">
        <f t="shared" si="6"/>
        <v>0.26600000000000001</v>
      </c>
      <c r="J20" s="154">
        <f t="shared" si="7"/>
        <v>0.13300000000000001</v>
      </c>
      <c r="K20" s="150">
        <f t="shared" si="8"/>
        <v>3.0590000000000002</v>
      </c>
      <c r="L20" s="147">
        <f t="shared" si="9"/>
        <v>358.84863000000001</v>
      </c>
      <c r="M20" s="152">
        <f t="shared" si="10"/>
        <v>0</v>
      </c>
      <c r="N20" s="153">
        <f t="shared" si="11"/>
        <v>1.33</v>
      </c>
      <c r="P20" s="20" t="s">
        <v>114</v>
      </c>
      <c r="Q20" s="3" t="s">
        <v>23</v>
      </c>
      <c r="R20" s="166"/>
      <c r="S20" s="166"/>
      <c r="T20" s="170"/>
    </row>
    <row r="21" spans="2:20" x14ac:dyDescent="0.25">
      <c r="B21" s="17" t="s">
        <v>34</v>
      </c>
      <c r="C21" s="12">
        <v>2</v>
      </c>
      <c r="D21" s="147">
        <v>0</v>
      </c>
      <c r="E21" s="148">
        <v>1</v>
      </c>
      <c r="F21" s="148">
        <f t="shared" si="4"/>
        <v>2</v>
      </c>
      <c r="G21" s="151">
        <f>G13</f>
        <v>1.33</v>
      </c>
      <c r="H21" s="148">
        <f t="shared" si="5"/>
        <v>2.66</v>
      </c>
      <c r="I21" s="149">
        <f t="shared" si="6"/>
        <v>0.26600000000000001</v>
      </c>
      <c r="J21" s="149">
        <f t="shared" si="7"/>
        <v>0.13300000000000001</v>
      </c>
      <c r="K21" s="150">
        <f t="shared" si="8"/>
        <v>3.0590000000000002</v>
      </c>
      <c r="L21" s="147">
        <f t="shared" si="9"/>
        <v>358.84863000000001</v>
      </c>
      <c r="M21" s="147">
        <f t="shared" si="10"/>
        <v>0</v>
      </c>
      <c r="N21" s="148">
        <f t="shared" si="11"/>
        <v>1.33</v>
      </c>
      <c r="P21" s="20" t="s">
        <v>114</v>
      </c>
      <c r="Q21" s="3" t="s">
        <v>23</v>
      </c>
    </row>
    <row r="22" spans="2:20" x14ac:dyDescent="0.25">
      <c r="B22" s="17" t="s">
        <v>35</v>
      </c>
      <c r="C22" s="12">
        <v>2</v>
      </c>
      <c r="D22" s="147">
        <v>0</v>
      </c>
      <c r="E22" s="148">
        <v>1</v>
      </c>
      <c r="F22" s="148">
        <f t="shared" si="4"/>
        <v>2</v>
      </c>
      <c r="G22" s="149">
        <f>G15</f>
        <v>0</v>
      </c>
      <c r="H22" s="148">
        <f t="shared" si="5"/>
        <v>0</v>
      </c>
      <c r="I22" s="149">
        <f t="shared" si="6"/>
        <v>0</v>
      </c>
      <c r="J22" s="149">
        <f t="shared" si="7"/>
        <v>0</v>
      </c>
      <c r="K22" s="150">
        <f t="shared" si="8"/>
        <v>0</v>
      </c>
      <c r="L22" s="147">
        <f t="shared" si="9"/>
        <v>0</v>
      </c>
      <c r="M22" s="147">
        <f t="shared" si="10"/>
        <v>0</v>
      </c>
      <c r="N22" s="148">
        <f t="shared" si="11"/>
        <v>0</v>
      </c>
      <c r="P22" s="13" t="s">
        <v>17</v>
      </c>
    </row>
    <row r="23" spans="2:20" x14ac:dyDescent="0.25">
      <c r="B23" s="21" t="s">
        <v>36</v>
      </c>
      <c r="C23" s="12">
        <v>4</v>
      </c>
      <c r="D23" s="147">
        <v>0</v>
      </c>
      <c r="E23" s="148">
        <v>1</v>
      </c>
      <c r="F23" s="148">
        <f t="shared" si="4"/>
        <v>4</v>
      </c>
      <c r="G23" s="148">
        <v>0</v>
      </c>
      <c r="H23" s="148">
        <f t="shared" si="5"/>
        <v>0</v>
      </c>
      <c r="I23" s="149">
        <f t="shared" si="6"/>
        <v>0</v>
      </c>
      <c r="J23" s="149">
        <f t="shared" si="7"/>
        <v>0</v>
      </c>
      <c r="K23" s="150">
        <f t="shared" si="8"/>
        <v>0</v>
      </c>
      <c r="L23" s="147">
        <f t="shared" si="9"/>
        <v>0</v>
      </c>
      <c r="M23" s="147">
        <f t="shared" si="10"/>
        <v>0</v>
      </c>
      <c r="N23" s="148">
        <f t="shared" si="11"/>
        <v>0</v>
      </c>
      <c r="P23" s="13" t="s">
        <v>17</v>
      </c>
      <c r="Q23" s="3" t="s">
        <v>37</v>
      </c>
    </row>
    <row r="24" spans="2:20" x14ac:dyDescent="0.25">
      <c r="B24" s="17" t="s">
        <v>38</v>
      </c>
      <c r="C24" s="12">
        <v>4</v>
      </c>
      <c r="D24" s="147">
        <v>0</v>
      </c>
      <c r="E24" s="148">
        <v>2</v>
      </c>
      <c r="F24" s="148">
        <f t="shared" si="4"/>
        <v>8</v>
      </c>
      <c r="G24" s="148">
        <v>4</v>
      </c>
      <c r="H24" s="148">
        <f t="shared" si="5"/>
        <v>32</v>
      </c>
      <c r="I24" s="149">
        <f t="shared" si="6"/>
        <v>3.2</v>
      </c>
      <c r="J24" s="149">
        <f t="shared" si="7"/>
        <v>1.6</v>
      </c>
      <c r="K24" s="150">
        <f t="shared" si="8"/>
        <v>36.800000000000004</v>
      </c>
      <c r="L24" s="147">
        <f t="shared" si="9"/>
        <v>4316.9759999999997</v>
      </c>
      <c r="M24" s="147">
        <f t="shared" si="10"/>
        <v>0</v>
      </c>
      <c r="N24" s="148">
        <f t="shared" si="11"/>
        <v>8</v>
      </c>
      <c r="P24" s="13" t="s">
        <v>21</v>
      </c>
      <c r="Q24" s="3" t="s">
        <v>39</v>
      </c>
    </row>
    <row r="25" spans="2:20" ht="14.5" x14ac:dyDescent="0.35">
      <c r="B25" s="23" t="s">
        <v>116</v>
      </c>
      <c r="C25" s="12"/>
      <c r="D25" s="147"/>
      <c r="E25" s="148"/>
      <c r="F25" s="148"/>
      <c r="G25" s="148"/>
      <c r="H25" s="190">
        <f>SUM(H8:J24)</f>
        <v>124.154</v>
      </c>
      <c r="I25" s="191"/>
      <c r="J25" s="192"/>
      <c r="K25" s="149">
        <f>SUM(K8:K24)</f>
        <v>124.154</v>
      </c>
      <c r="L25" s="147">
        <f>SUM(L8:L24)</f>
        <v>14564.397779999999</v>
      </c>
      <c r="M25" s="147">
        <f>SUM(M8:M24)-M11</f>
        <v>775657.28</v>
      </c>
      <c r="N25" s="148">
        <f>SUM(N8:N24)</f>
        <v>10.66</v>
      </c>
      <c r="O25" s="18"/>
    </row>
    <row r="26" spans="2:20" x14ac:dyDescent="0.25">
      <c r="B26" s="10" t="s">
        <v>40</v>
      </c>
      <c r="C26" s="12"/>
      <c r="D26" s="147"/>
      <c r="E26" s="148"/>
      <c r="F26" s="148"/>
      <c r="G26" s="148"/>
      <c r="H26" s="148"/>
      <c r="I26" s="149"/>
      <c r="J26" s="149"/>
      <c r="K26" s="149"/>
      <c r="L26" s="147"/>
      <c r="M26" s="147"/>
      <c r="N26" s="148"/>
    </row>
    <row r="27" spans="2:20" x14ac:dyDescent="0.25">
      <c r="B27" s="14" t="s">
        <v>41</v>
      </c>
      <c r="C27" s="12" t="s">
        <v>42</v>
      </c>
      <c r="D27" s="147"/>
      <c r="E27" s="148"/>
      <c r="F27" s="148"/>
      <c r="G27" s="148"/>
      <c r="H27" s="148"/>
      <c r="I27" s="149"/>
      <c r="J27" s="149"/>
      <c r="K27" s="149"/>
      <c r="L27" s="147"/>
      <c r="M27" s="147"/>
      <c r="N27" s="148"/>
    </row>
    <row r="28" spans="2:20" x14ac:dyDescent="0.25">
      <c r="B28" s="14" t="s">
        <v>43</v>
      </c>
      <c r="C28" s="11" t="s">
        <v>14</v>
      </c>
      <c r="D28" s="147"/>
      <c r="E28" s="148"/>
      <c r="F28" s="148"/>
      <c r="G28" s="148"/>
      <c r="H28" s="148"/>
      <c r="I28" s="149"/>
      <c r="J28" s="149"/>
      <c r="K28" s="149"/>
      <c r="L28" s="147"/>
      <c r="M28" s="147"/>
      <c r="N28" s="148"/>
    </row>
    <row r="29" spans="2:20" x14ac:dyDescent="0.25">
      <c r="B29" s="14" t="s">
        <v>44</v>
      </c>
      <c r="C29" s="11" t="s">
        <v>14</v>
      </c>
      <c r="D29" s="147"/>
      <c r="E29" s="148"/>
      <c r="F29" s="148"/>
      <c r="G29" s="148"/>
      <c r="H29" s="148"/>
      <c r="I29" s="149"/>
      <c r="J29" s="149"/>
      <c r="K29" s="149"/>
      <c r="L29" s="147"/>
      <c r="M29" s="147"/>
      <c r="N29" s="148"/>
    </row>
    <row r="30" spans="2:20" x14ac:dyDescent="0.25">
      <c r="B30" s="17" t="s">
        <v>45</v>
      </c>
      <c r="C30" s="12">
        <v>20</v>
      </c>
      <c r="D30" s="147">
        <v>0</v>
      </c>
      <c r="E30" s="148">
        <v>1</v>
      </c>
      <c r="F30" s="148">
        <f t="shared" ref="F30" si="12">C30*E30</f>
        <v>20</v>
      </c>
      <c r="G30" s="149">
        <v>0</v>
      </c>
      <c r="H30" s="148">
        <f t="shared" ref="H30" si="13">G30*F30</f>
        <v>0</v>
      </c>
      <c r="I30" s="149">
        <f t="shared" ref="I30" si="14">H30*0.1</f>
        <v>0</v>
      </c>
      <c r="J30" s="149">
        <f t="shared" ref="J30" si="15">H30*0.05</f>
        <v>0</v>
      </c>
      <c r="K30" s="150">
        <f>SUM(H30:J30)</f>
        <v>0</v>
      </c>
      <c r="L30" s="147">
        <f>H30*$H$1+I30*$I$1+J30*$J$1</f>
        <v>0</v>
      </c>
      <c r="M30" s="147">
        <f t="shared" ref="M30" si="16">D30*E30*G30</f>
        <v>0</v>
      </c>
      <c r="N30" s="148">
        <v>0</v>
      </c>
      <c r="P30" s="20" t="s">
        <v>113</v>
      </c>
      <c r="Q30" s="3" t="s">
        <v>46</v>
      </c>
    </row>
    <row r="31" spans="2:20" x14ac:dyDescent="0.25">
      <c r="B31" s="14" t="s">
        <v>47</v>
      </c>
      <c r="C31" s="12"/>
      <c r="D31" s="147"/>
      <c r="E31" s="148"/>
      <c r="F31" s="148"/>
      <c r="G31" s="148"/>
      <c r="H31" s="148"/>
      <c r="I31" s="149"/>
      <c r="J31" s="149"/>
      <c r="K31" s="149"/>
      <c r="L31" s="147"/>
      <c r="M31" s="147"/>
      <c r="N31" s="148"/>
    </row>
    <row r="32" spans="2:20" x14ac:dyDescent="0.25">
      <c r="B32" s="17" t="s">
        <v>48</v>
      </c>
      <c r="C32" s="12">
        <v>2</v>
      </c>
      <c r="D32" s="147">
        <v>0</v>
      </c>
      <c r="E32" s="148">
        <v>1</v>
      </c>
      <c r="F32" s="148">
        <f t="shared" ref="F32:F37" si="17">C32*E32</f>
        <v>2</v>
      </c>
      <c r="G32" s="151">
        <v>1.33</v>
      </c>
      <c r="H32" s="148">
        <f t="shared" ref="H32:H37" si="18">G32*F32</f>
        <v>2.66</v>
      </c>
      <c r="I32" s="149">
        <f t="shared" ref="I32:I37" si="19">H32*0.1</f>
        <v>0.26600000000000001</v>
      </c>
      <c r="J32" s="149">
        <f t="shared" ref="J32:J37" si="20">H32*0.05</f>
        <v>0.13300000000000001</v>
      </c>
      <c r="K32" s="150">
        <f>SUM(H32:J32)</f>
        <v>3.0590000000000002</v>
      </c>
      <c r="L32" s="147">
        <f t="shared" ref="L32:L34" si="21">H32*$H$1+I32*$I$1+J32*$J$1</f>
        <v>358.84863000000001</v>
      </c>
      <c r="M32" s="147">
        <f t="shared" ref="M32:M37" si="22">D32*E32*G32</f>
        <v>0</v>
      </c>
      <c r="N32" s="148">
        <v>0</v>
      </c>
      <c r="P32" s="20" t="s">
        <v>114</v>
      </c>
      <c r="Q32" s="3" t="s">
        <v>23</v>
      </c>
    </row>
    <row r="33" spans="2:19" x14ac:dyDescent="0.25">
      <c r="B33" s="17" t="s">
        <v>49</v>
      </c>
      <c r="C33" s="12">
        <v>0.5</v>
      </c>
      <c r="D33" s="147">
        <v>0</v>
      </c>
      <c r="E33" s="148">
        <v>350</v>
      </c>
      <c r="F33" s="148">
        <f t="shared" si="17"/>
        <v>175</v>
      </c>
      <c r="G33" s="148">
        <v>4</v>
      </c>
      <c r="H33" s="148">
        <f t="shared" si="18"/>
        <v>700</v>
      </c>
      <c r="I33" s="149">
        <f t="shared" si="19"/>
        <v>70</v>
      </c>
      <c r="J33" s="149">
        <f t="shared" si="20"/>
        <v>35</v>
      </c>
      <c r="K33" s="150">
        <f>SUM(H33:J33)</f>
        <v>805</v>
      </c>
      <c r="L33" s="147">
        <f t="shared" si="21"/>
        <v>94433.85</v>
      </c>
      <c r="M33" s="147">
        <f t="shared" si="22"/>
        <v>0</v>
      </c>
      <c r="N33" s="148">
        <v>0</v>
      </c>
      <c r="P33" s="13" t="s">
        <v>21</v>
      </c>
      <c r="Q33" s="3" t="s">
        <v>39</v>
      </c>
    </row>
    <row r="34" spans="2:19" x14ac:dyDescent="0.25">
      <c r="B34" s="17" t="s">
        <v>50</v>
      </c>
      <c r="C34" s="12">
        <v>4</v>
      </c>
      <c r="D34" s="147">
        <v>0</v>
      </c>
      <c r="E34" s="148">
        <v>12</v>
      </c>
      <c r="F34" s="148">
        <f t="shared" si="17"/>
        <v>48</v>
      </c>
      <c r="G34" s="148">
        <f>G33</f>
        <v>4</v>
      </c>
      <c r="H34" s="148">
        <f t="shared" si="18"/>
        <v>192</v>
      </c>
      <c r="I34" s="149">
        <f t="shared" si="19"/>
        <v>19.200000000000003</v>
      </c>
      <c r="J34" s="149">
        <f t="shared" si="20"/>
        <v>9.6000000000000014</v>
      </c>
      <c r="K34" s="150">
        <f>SUM(H34:J34)</f>
        <v>220.79999999999998</v>
      </c>
      <c r="L34" s="147">
        <f t="shared" si="21"/>
        <v>25901.856</v>
      </c>
      <c r="M34" s="147">
        <f t="shared" si="22"/>
        <v>0</v>
      </c>
      <c r="N34" s="148">
        <v>0</v>
      </c>
      <c r="P34" s="13" t="s">
        <v>21</v>
      </c>
      <c r="Q34" s="3" t="s">
        <v>39</v>
      </c>
    </row>
    <row r="35" spans="2:19" x14ac:dyDescent="0.25">
      <c r="B35" s="21" t="s">
        <v>51</v>
      </c>
      <c r="C35" s="11" t="s">
        <v>52</v>
      </c>
      <c r="D35" s="147"/>
      <c r="E35" s="148"/>
      <c r="F35" s="148"/>
      <c r="G35" s="148"/>
      <c r="H35" s="148"/>
      <c r="I35" s="149"/>
      <c r="J35" s="149"/>
      <c r="K35" s="149"/>
      <c r="L35" s="147"/>
      <c r="M35" s="147"/>
      <c r="N35" s="148"/>
    </row>
    <row r="36" spans="2:19" x14ac:dyDescent="0.25">
      <c r="B36" s="17" t="s">
        <v>53</v>
      </c>
      <c r="C36" s="148">
        <v>12</v>
      </c>
      <c r="D36" s="147">
        <v>0</v>
      </c>
      <c r="E36" s="148">
        <v>1</v>
      </c>
      <c r="F36" s="148">
        <f t="shared" si="17"/>
        <v>12</v>
      </c>
      <c r="G36" s="148">
        <f>G24</f>
        <v>4</v>
      </c>
      <c r="H36" s="148">
        <f t="shared" si="18"/>
        <v>48</v>
      </c>
      <c r="I36" s="149">
        <f t="shared" si="19"/>
        <v>4.8000000000000007</v>
      </c>
      <c r="J36" s="149">
        <f t="shared" si="20"/>
        <v>2.4000000000000004</v>
      </c>
      <c r="K36" s="150">
        <f>SUM(H36:J36)</f>
        <v>55.199999999999996</v>
      </c>
      <c r="L36" s="147">
        <f t="shared" ref="L36:L37" si="23">H36*$H$1+I36*$I$1+J36*$J$1</f>
        <v>6475.4639999999999</v>
      </c>
      <c r="M36" s="147">
        <f t="shared" si="22"/>
        <v>0</v>
      </c>
      <c r="N36" s="148">
        <v>0</v>
      </c>
      <c r="P36" s="13" t="s">
        <v>21</v>
      </c>
      <c r="Q36" s="3" t="s">
        <v>39</v>
      </c>
    </row>
    <row r="37" spans="2:19" x14ac:dyDescent="0.25">
      <c r="B37" s="17" t="s">
        <v>54</v>
      </c>
      <c r="C37" s="12">
        <v>20</v>
      </c>
      <c r="D37" s="147">
        <v>0</v>
      </c>
      <c r="E37" s="148">
        <v>1</v>
      </c>
      <c r="F37" s="148">
        <f t="shared" si="17"/>
        <v>20</v>
      </c>
      <c r="G37" s="148">
        <f>G24</f>
        <v>4</v>
      </c>
      <c r="H37" s="148">
        <f t="shared" si="18"/>
        <v>80</v>
      </c>
      <c r="I37" s="149">
        <f t="shared" si="19"/>
        <v>8</v>
      </c>
      <c r="J37" s="149">
        <f t="shared" si="20"/>
        <v>4</v>
      </c>
      <c r="K37" s="150">
        <f>SUM(H37:J37)</f>
        <v>92</v>
      </c>
      <c r="L37" s="147">
        <f t="shared" si="23"/>
        <v>10792.439999999999</v>
      </c>
      <c r="M37" s="147">
        <f t="shared" si="22"/>
        <v>0</v>
      </c>
      <c r="N37" s="148">
        <v>0</v>
      </c>
      <c r="P37" s="13" t="s">
        <v>21</v>
      </c>
      <c r="Q37" s="3" t="s">
        <v>39</v>
      </c>
    </row>
    <row r="38" spans="2:19" x14ac:dyDescent="0.25">
      <c r="B38" s="14" t="s">
        <v>55</v>
      </c>
      <c r="C38" s="12"/>
      <c r="D38" s="147"/>
      <c r="E38" s="148"/>
      <c r="F38" s="148"/>
      <c r="G38" s="148"/>
      <c r="H38" s="148"/>
      <c r="I38" s="149"/>
      <c r="J38" s="149"/>
      <c r="K38" s="149"/>
      <c r="L38" s="147"/>
      <c r="M38" s="147"/>
      <c r="N38" s="148"/>
    </row>
    <row r="39" spans="2:19" x14ac:dyDescent="0.25">
      <c r="B39" s="17" t="s">
        <v>56</v>
      </c>
      <c r="C39" s="12">
        <v>20</v>
      </c>
      <c r="D39" s="147">
        <v>0</v>
      </c>
      <c r="E39" s="148">
        <v>1</v>
      </c>
      <c r="F39" s="148">
        <f t="shared" ref="F39:F40" si="24">C39*E39</f>
        <v>20</v>
      </c>
      <c r="G39" s="148">
        <v>4</v>
      </c>
      <c r="H39" s="148">
        <f t="shared" ref="H39:H40" si="25">G39*F39</f>
        <v>80</v>
      </c>
      <c r="I39" s="149">
        <f t="shared" ref="I39:I40" si="26">H39*0.1</f>
        <v>8</v>
      </c>
      <c r="J39" s="149">
        <f t="shared" ref="J39:J40" si="27">H39*0.05</f>
        <v>4</v>
      </c>
      <c r="K39" s="150">
        <f>SUM(H39:J39)</f>
        <v>92</v>
      </c>
      <c r="L39" s="147">
        <f t="shared" ref="L39:L40" si="28">H39*$H$1+I39*$I$1+J39*$J$1</f>
        <v>10792.439999999999</v>
      </c>
      <c r="M39" s="147">
        <f t="shared" ref="M39:M40" si="29">D39*E39*G39</f>
        <v>0</v>
      </c>
      <c r="N39" s="148">
        <v>0</v>
      </c>
      <c r="P39" s="13" t="s">
        <v>21</v>
      </c>
      <c r="Q39" s="3" t="s">
        <v>39</v>
      </c>
    </row>
    <row r="40" spans="2:19" x14ac:dyDescent="0.25">
      <c r="B40" s="17" t="s">
        <v>57</v>
      </c>
      <c r="C40" s="12">
        <v>4</v>
      </c>
      <c r="D40" s="147">
        <v>0</v>
      </c>
      <c r="E40" s="148">
        <v>1</v>
      </c>
      <c r="F40" s="148">
        <f t="shared" si="24"/>
        <v>4</v>
      </c>
      <c r="G40" s="148">
        <v>4</v>
      </c>
      <c r="H40" s="148">
        <f t="shared" si="25"/>
        <v>16</v>
      </c>
      <c r="I40" s="149">
        <f t="shared" si="26"/>
        <v>1.6</v>
      </c>
      <c r="J40" s="149">
        <f t="shared" si="27"/>
        <v>0.8</v>
      </c>
      <c r="K40" s="150">
        <f>SUM(H40:J40)</f>
        <v>18.400000000000002</v>
      </c>
      <c r="L40" s="147">
        <f t="shared" si="28"/>
        <v>2158.4879999999998</v>
      </c>
      <c r="M40" s="147">
        <f t="shared" si="29"/>
        <v>0</v>
      </c>
      <c r="N40" s="148">
        <v>0</v>
      </c>
      <c r="P40" s="13" t="s">
        <v>21</v>
      </c>
      <c r="Q40" s="3" t="s">
        <v>39</v>
      </c>
    </row>
    <row r="41" spans="2:19" x14ac:dyDescent="0.25">
      <c r="B41" s="14" t="s">
        <v>58</v>
      </c>
      <c r="C41" s="12" t="s">
        <v>14</v>
      </c>
      <c r="D41" s="15"/>
      <c r="E41" s="12"/>
      <c r="F41" s="12"/>
      <c r="G41" s="12"/>
      <c r="H41" s="12"/>
      <c r="I41" s="16"/>
      <c r="J41" s="16"/>
      <c r="K41" s="16"/>
      <c r="L41" s="15"/>
      <c r="M41" s="15"/>
      <c r="N41" s="12"/>
    </row>
    <row r="42" spans="2:19" ht="14.5" x14ac:dyDescent="0.35">
      <c r="B42" s="24" t="s">
        <v>115</v>
      </c>
      <c r="C42" s="12"/>
      <c r="D42" s="12"/>
      <c r="E42" s="12"/>
      <c r="F42" s="12"/>
      <c r="G42" s="12"/>
      <c r="H42" s="187">
        <f>SUM(H26:J40)</f>
        <v>1286.4589999999998</v>
      </c>
      <c r="I42" s="188"/>
      <c r="J42" s="188"/>
      <c r="K42" s="25">
        <f>SUM(K32:K40)</f>
        <v>1286.4590000000001</v>
      </c>
      <c r="L42" s="15">
        <f>SUM(L30:L40)</f>
        <v>150913.38663000002</v>
      </c>
      <c r="M42" s="26">
        <f>SUM(M32:M37)</f>
        <v>0</v>
      </c>
      <c r="N42" s="25">
        <f>SUM(N32:N38)</f>
        <v>0</v>
      </c>
    </row>
    <row r="43" spans="2:19" ht="14.5" x14ac:dyDescent="0.35">
      <c r="B43" s="135" t="s">
        <v>155</v>
      </c>
      <c r="C43" s="12"/>
      <c r="D43" s="12"/>
      <c r="E43" s="12"/>
      <c r="F43" s="12"/>
      <c r="G43" s="12"/>
      <c r="H43" s="187">
        <f>ROUND(H25+H42,-1)</f>
        <v>1410</v>
      </c>
      <c r="I43" s="189"/>
      <c r="J43" s="189"/>
      <c r="K43" s="124"/>
      <c r="L43" s="15">
        <f>ROUND(L42+L25,-3)</f>
        <v>165000</v>
      </c>
      <c r="M43" s="125"/>
      <c r="N43" s="124"/>
      <c r="P43" s="164">
        <f>+H43/4</f>
        <v>352.5</v>
      </c>
      <c r="Q43" s="3" t="s">
        <v>154</v>
      </c>
      <c r="R43" s="177">
        <f>H43/24</f>
        <v>58.75</v>
      </c>
      <c r="S43" s="1" t="s">
        <v>159</v>
      </c>
    </row>
    <row r="44" spans="2:19" ht="13" thickBot="1" x14ac:dyDescent="0.3">
      <c r="B44" s="135" t="s">
        <v>149</v>
      </c>
      <c r="C44" s="12"/>
      <c r="D44" s="12"/>
      <c r="E44" s="12"/>
      <c r="F44" s="12"/>
      <c r="G44" s="12"/>
      <c r="H44" s="16"/>
      <c r="I44" s="16"/>
      <c r="J44" s="16"/>
      <c r="K44" s="124"/>
      <c r="L44" s="125">
        <f>ROUND('O&amp;M'!H10,-3)</f>
        <v>776000</v>
      </c>
      <c r="M44" s="125"/>
      <c r="N44" s="124"/>
    </row>
    <row r="45" spans="2:19" ht="13" thickBot="1" x14ac:dyDescent="0.3">
      <c r="B45" s="146" t="s">
        <v>148</v>
      </c>
      <c r="C45" s="134"/>
      <c r="D45" s="134"/>
      <c r="E45" s="134"/>
      <c r="F45" s="134"/>
      <c r="G45" s="134"/>
      <c r="H45" s="133"/>
      <c r="I45" s="133"/>
      <c r="J45" s="133"/>
      <c r="K45" s="28">
        <f>K42+K25</f>
        <v>1410.6130000000001</v>
      </c>
      <c r="L45" s="29">
        <f>L43+L44</f>
        <v>941000</v>
      </c>
      <c r="M45" s="29">
        <f>M42+M25</f>
        <v>775657.28</v>
      </c>
      <c r="N45" s="27">
        <f t="shared" ref="N45" si="30">N42+N25</f>
        <v>10.66</v>
      </c>
    </row>
    <row r="46" spans="2:19" hidden="1" x14ac:dyDescent="0.25">
      <c r="B46" s="165"/>
      <c r="G46" s="171"/>
      <c r="H46" s="171"/>
      <c r="I46" s="172"/>
      <c r="J46" s="172" t="s">
        <v>59</v>
      </c>
      <c r="K46" s="172" t="s">
        <v>60</v>
      </c>
      <c r="L46" s="173" t="s">
        <v>61</v>
      </c>
      <c r="M46" s="30" t="s">
        <v>62</v>
      </c>
    </row>
    <row r="47" spans="2:19" hidden="1" x14ac:dyDescent="0.25">
      <c r="B47" s="166"/>
      <c r="G47" s="174" t="s">
        <v>63</v>
      </c>
      <c r="H47" s="171"/>
      <c r="I47" s="172"/>
      <c r="J47" s="172">
        <f>H45+I45+J45</f>
        <v>0</v>
      </c>
      <c r="K47" s="175">
        <f>L45</f>
        <v>941000</v>
      </c>
      <c r="L47" s="175">
        <f>'O&amp;M'!H10</f>
        <v>776000</v>
      </c>
      <c r="M47" s="31">
        <f>L47+K47</f>
        <v>1717000</v>
      </c>
    </row>
    <row r="48" spans="2:19" hidden="1" x14ac:dyDescent="0.25">
      <c r="B48" s="166"/>
      <c r="G48" s="174" t="s">
        <v>64</v>
      </c>
      <c r="H48" s="171"/>
      <c r="I48" s="172"/>
      <c r="J48" s="172"/>
      <c r="K48" s="175"/>
      <c r="L48" s="176">
        <f>M11</f>
        <v>0</v>
      </c>
      <c r="M48" s="31"/>
    </row>
    <row r="49" spans="2:16" ht="8.25" customHeight="1" x14ac:dyDescent="0.25"/>
    <row r="50" spans="2:16" x14ac:dyDescent="0.25">
      <c r="B50" s="1" t="s">
        <v>156</v>
      </c>
      <c r="L50" s="18"/>
    </row>
    <row r="51" spans="2:16" ht="12.5" x14ac:dyDescent="0.25">
      <c r="B51" s="1" t="s">
        <v>133</v>
      </c>
      <c r="D51" s="120"/>
    </row>
    <row r="52" spans="2:16" ht="12.5" x14ac:dyDescent="0.25">
      <c r="B52" s="1" t="s">
        <v>160</v>
      </c>
      <c r="D52" s="120"/>
    </row>
    <row r="53" spans="2:16" ht="12.5" x14ac:dyDescent="0.25">
      <c r="B53" s="1" t="s">
        <v>141</v>
      </c>
    </row>
    <row r="54" spans="2:16" ht="12.5" x14ac:dyDescent="0.25">
      <c r="B54" s="1" t="s">
        <v>137</v>
      </c>
    </row>
    <row r="55" spans="2:16" x14ac:dyDescent="0.25">
      <c r="B55" s="185" t="s">
        <v>139</v>
      </c>
      <c r="C55" s="185"/>
      <c r="D55" s="185"/>
      <c r="E55" s="185"/>
      <c r="F55" s="185"/>
      <c r="G55" s="185"/>
      <c r="H55" s="185"/>
      <c r="I55" s="185"/>
      <c r="J55" s="185"/>
      <c r="K55" s="185"/>
      <c r="L55" s="185"/>
      <c r="M55" s="185"/>
      <c r="N55" s="185"/>
    </row>
    <row r="56" spans="2:16" ht="26.25" customHeight="1" x14ac:dyDescent="0.25">
      <c r="B56" s="185" t="s">
        <v>147</v>
      </c>
      <c r="C56" s="185"/>
      <c r="D56" s="185"/>
      <c r="E56" s="185"/>
      <c r="F56" s="185"/>
      <c r="G56" s="185"/>
      <c r="H56" s="185"/>
      <c r="I56" s="185"/>
      <c r="J56" s="185"/>
      <c r="K56" s="185"/>
      <c r="L56" s="185"/>
      <c r="M56" s="185"/>
      <c r="N56" s="185"/>
    </row>
    <row r="57" spans="2:16" ht="20.5" customHeight="1" x14ac:dyDescent="0.25">
      <c r="B57" s="160" t="s">
        <v>146</v>
      </c>
      <c r="C57" s="142"/>
      <c r="D57" s="142"/>
      <c r="E57" s="142"/>
      <c r="F57" s="142"/>
      <c r="G57" s="142"/>
      <c r="H57" s="142"/>
      <c r="I57" s="142"/>
      <c r="J57" s="142"/>
      <c r="K57" s="142"/>
      <c r="L57" s="142"/>
      <c r="M57" s="142"/>
      <c r="N57" s="142"/>
    </row>
    <row r="58" spans="2:16" s="122" customFormat="1" x14ac:dyDescent="0.25">
      <c r="P58" s="123"/>
    </row>
    <row r="59" spans="2:16" s="122" customFormat="1" ht="11.25" customHeight="1" x14ac:dyDescent="0.25">
      <c r="B59" s="186"/>
      <c r="C59" s="186"/>
      <c r="D59" s="186"/>
      <c r="E59" s="186"/>
      <c r="F59" s="186"/>
      <c r="G59" s="186"/>
      <c r="H59" s="186"/>
      <c r="I59" s="186"/>
      <c r="J59" s="186"/>
      <c r="K59" s="186"/>
      <c r="L59" s="186"/>
      <c r="M59" s="186"/>
      <c r="N59" s="186"/>
      <c r="P59" s="123"/>
    </row>
  </sheetData>
  <mergeCells count="7">
    <mergeCell ref="B3:N3"/>
    <mergeCell ref="B55:N55"/>
    <mergeCell ref="B56:N56"/>
    <mergeCell ref="B59:N59"/>
    <mergeCell ref="H42:J42"/>
    <mergeCell ref="H43:J43"/>
    <mergeCell ref="H25:J25"/>
  </mergeCells>
  <printOptions horizontalCentered="1"/>
  <pageMargins left="0.5" right="0.5" top="0.5" bottom="0.5" header="0.3" footer="0.3"/>
  <pageSetup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BCE2E-0F92-4F0B-9FD6-BF4334E54E17}">
  <dimension ref="B1:Y45"/>
  <sheetViews>
    <sheetView workbookViewId="0">
      <selection activeCell="C24" sqref="C24"/>
    </sheetView>
  </sheetViews>
  <sheetFormatPr defaultColWidth="9.1796875" defaultRowHeight="14" x14ac:dyDescent="0.3"/>
  <cols>
    <col min="1" max="1" width="4.1796875" style="39" customWidth="1"/>
    <col min="2" max="4" width="3.1796875" style="117" customWidth="1"/>
    <col min="5" max="5" width="40.26953125" style="117" customWidth="1"/>
    <col min="6" max="6" width="3.26953125" style="117" customWidth="1"/>
    <col min="7" max="9" width="11.26953125" style="117" customWidth="1"/>
    <col min="10" max="10" width="11.54296875" style="117" bestFit="1" customWidth="1"/>
    <col min="11" max="11" width="10.453125" style="117" bestFit="1" customWidth="1"/>
    <col min="12" max="12" width="10.1796875" style="117" bestFit="1" customWidth="1"/>
    <col min="13" max="13" width="8.453125" style="117" bestFit="1" customWidth="1"/>
    <col min="14" max="14" width="3.81640625" style="39" customWidth="1"/>
    <col min="15" max="16384" width="9.1796875" style="39"/>
  </cols>
  <sheetData>
    <row r="1" spans="2:18" x14ac:dyDescent="0.3">
      <c r="I1" s="117">
        <v>50.72</v>
      </c>
      <c r="J1" s="117">
        <v>68.37</v>
      </c>
      <c r="K1" s="117">
        <v>27.46</v>
      </c>
    </row>
    <row r="2" spans="2:18" ht="29.25" customHeight="1" thickBot="1" x14ac:dyDescent="0.35">
      <c r="B2" s="194" t="s">
        <v>118</v>
      </c>
      <c r="C2" s="194"/>
      <c r="D2" s="194"/>
      <c r="E2" s="194"/>
      <c r="F2" s="194"/>
      <c r="G2" s="194"/>
      <c r="H2" s="194"/>
      <c r="I2" s="194"/>
      <c r="J2" s="194"/>
      <c r="K2" s="194"/>
      <c r="L2" s="194"/>
      <c r="M2" s="194"/>
    </row>
    <row r="3" spans="2:18" x14ac:dyDescent="0.3">
      <c r="B3" s="40"/>
      <c r="C3" s="41"/>
      <c r="D3" s="41"/>
      <c r="E3" s="41"/>
      <c r="F3" s="41"/>
      <c r="G3" s="42" t="s">
        <v>73</v>
      </c>
      <c r="H3" s="43" t="s">
        <v>74</v>
      </c>
      <c r="I3" s="44" t="s">
        <v>75</v>
      </c>
      <c r="J3" s="44" t="s">
        <v>76</v>
      </c>
      <c r="K3" s="44" t="s">
        <v>77</v>
      </c>
      <c r="L3" s="45" t="s">
        <v>78</v>
      </c>
      <c r="M3" s="45" t="s">
        <v>79</v>
      </c>
    </row>
    <row r="4" spans="2:18" ht="47" thickBot="1" x14ac:dyDescent="0.35">
      <c r="B4" s="195" t="s">
        <v>0</v>
      </c>
      <c r="C4" s="196"/>
      <c r="D4" s="196"/>
      <c r="E4" s="196"/>
      <c r="F4" s="197"/>
      <c r="G4" s="46" t="s">
        <v>151</v>
      </c>
      <c r="H4" s="47" t="s">
        <v>80</v>
      </c>
      <c r="I4" s="48" t="s">
        <v>81</v>
      </c>
      <c r="J4" s="48" t="s">
        <v>82</v>
      </c>
      <c r="K4" s="48" t="s">
        <v>83</v>
      </c>
      <c r="L4" s="48" t="s">
        <v>84</v>
      </c>
      <c r="M4" s="48" t="s">
        <v>145</v>
      </c>
    </row>
    <row r="5" spans="2:18" ht="12" customHeight="1" thickTop="1" x14ac:dyDescent="0.3">
      <c r="B5" s="49" t="s">
        <v>85</v>
      </c>
      <c r="C5" s="50" t="s">
        <v>86</v>
      </c>
      <c r="D5" s="51"/>
      <c r="E5" s="51"/>
      <c r="F5" s="52"/>
      <c r="G5" s="209" t="s">
        <v>87</v>
      </c>
      <c r="H5" s="210"/>
      <c r="I5" s="210"/>
      <c r="J5" s="210"/>
      <c r="K5" s="210"/>
      <c r="L5" s="210"/>
      <c r="M5" s="211"/>
    </row>
    <row r="6" spans="2:18" ht="12" customHeight="1" x14ac:dyDescent="0.3">
      <c r="B6" s="53" t="s">
        <v>88</v>
      </c>
      <c r="C6" s="54" t="s">
        <v>150</v>
      </c>
      <c r="D6" s="54"/>
      <c r="E6" s="54"/>
      <c r="F6" s="55"/>
      <c r="G6" s="56">
        <v>0</v>
      </c>
      <c r="H6" s="57">
        <v>20</v>
      </c>
      <c r="I6" s="57">
        <f>(G6*H6)</f>
        <v>0</v>
      </c>
      <c r="J6" s="57">
        <f>I6*0.05</f>
        <v>0</v>
      </c>
      <c r="K6" s="57">
        <f>I6*0.1</f>
        <v>0</v>
      </c>
      <c r="L6" s="57">
        <f>SUM(I6:K6)</f>
        <v>0</v>
      </c>
      <c r="M6" s="161">
        <f>I6*I$1+J6*J$1+K6*K$1</f>
        <v>0</v>
      </c>
    </row>
    <row r="7" spans="2:18" ht="12" customHeight="1" x14ac:dyDescent="0.3">
      <c r="B7" s="59" t="s">
        <v>89</v>
      </c>
      <c r="C7" s="60" t="s">
        <v>90</v>
      </c>
      <c r="D7" s="60"/>
      <c r="E7" s="60"/>
      <c r="F7" s="61"/>
      <c r="G7" s="143"/>
      <c r="H7" s="144"/>
      <c r="I7" s="144"/>
      <c r="J7" s="144"/>
      <c r="K7" s="144"/>
      <c r="L7" s="144"/>
      <c r="M7" s="162"/>
    </row>
    <row r="8" spans="2:18" ht="12" customHeight="1" x14ac:dyDescent="0.3">
      <c r="B8" s="62">
        <v>0.08</v>
      </c>
      <c r="C8" s="63" t="s">
        <v>91</v>
      </c>
      <c r="D8" s="198" t="s">
        <v>92</v>
      </c>
      <c r="E8" s="199"/>
      <c r="F8" s="200"/>
      <c r="G8" s="64">
        <v>0</v>
      </c>
      <c r="H8" s="65">
        <v>16</v>
      </c>
      <c r="I8" s="66">
        <f>(G8*H8)</f>
        <v>0</v>
      </c>
      <c r="J8" s="66">
        <f>I8*0.05</f>
        <v>0</v>
      </c>
      <c r="K8" s="66">
        <f>I8*0.1</f>
        <v>0</v>
      </c>
      <c r="L8" s="57">
        <f>SUM(I8:K8)</f>
        <v>0</v>
      </c>
      <c r="M8" s="161">
        <f t="shared" ref="M8:M9" si="0">I8*I$1+J8*J$1+K8*K$1</f>
        <v>0</v>
      </c>
    </row>
    <row r="9" spans="2:18" ht="12" customHeight="1" x14ac:dyDescent="0.3">
      <c r="B9" s="67">
        <f>0.1*0.1</f>
        <v>1.0000000000000002E-2</v>
      </c>
      <c r="C9" s="68" t="s">
        <v>93</v>
      </c>
      <c r="D9" s="69" t="s">
        <v>144</v>
      </c>
      <c r="E9" s="69"/>
      <c r="F9" s="70"/>
      <c r="G9" s="71">
        <v>0</v>
      </c>
      <c r="H9" s="72">
        <v>24</v>
      </c>
      <c r="I9" s="73">
        <f>(G9*H9)</f>
        <v>0</v>
      </c>
      <c r="J9" s="73">
        <f>I9*0.05</f>
        <v>0</v>
      </c>
      <c r="K9" s="73">
        <f>I9*0.1</f>
        <v>0</v>
      </c>
      <c r="L9" s="57">
        <f>SUM(I9:K9)</f>
        <v>0</v>
      </c>
      <c r="M9" s="161">
        <f t="shared" si="0"/>
        <v>0</v>
      </c>
    </row>
    <row r="10" spans="2:18" ht="12" customHeight="1" x14ac:dyDescent="0.3">
      <c r="B10" s="67"/>
      <c r="C10" s="74" t="s">
        <v>94</v>
      </c>
      <c r="D10" s="50" t="s">
        <v>95</v>
      </c>
      <c r="E10" s="50"/>
      <c r="F10" s="75"/>
      <c r="G10" s="201" t="s">
        <v>87</v>
      </c>
      <c r="H10" s="202"/>
      <c r="I10" s="202"/>
      <c r="J10" s="202"/>
      <c r="K10" s="202"/>
      <c r="L10" s="202"/>
      <c r="M10" s="203"/>
    </row>
    <row r="11" spans="2:18" ht="12" customHeight="1" x14ac:dyDescent="0.3">
      <c r="B11" s="62"/>
      <c r="C11" s="76" t="s">
        <v>96</v>
      </c>
      <c r="D11" s="77" t="s">
        <v>97</v>
      </c>
      <c r="E11" s="77"/>
      <c r="F11" s="78"/>
      <c r="G11" s="204" t="s">
        <v>87</v>
      </c>
      <c r="H11" s="205"/>
      <c r="I11" s="205"/>
      <c r="J11" s="205"/>
      <c r="K11" s="205"/>
      <c r="L11" s="205"/>
      <c r="M11" s="206"/>
      <c r="P11" s="178"/>
      <c r="Q11" s="178"/>
      <c r="R11" s="178"/>
    </row>
    <row r="12" spans="2:18" ht="12" customHeight="1" x14ac:dyDescent="0.3">
      <c r="B12" s="79"/>
      <c r="C12" s="80" t="s">
        <v>98</v>
      </c>
      <c r="D12" s="60" t="s">
        <v>99</v>
      </c>
      <c r="E12" s="60"/>
      <c r="F12" s="81"/>
      <c r="G12" s="201"/>
      <c r="H12" s="202"/>
      <c r="I12" s="202"/>
      <c r="J12" s="202"/>
      <c r="K12" s="202"/>
      <c r="L12" s="202"/>
      <c r="M12" s="203"/>
      <c r="P12" s="178"/>
      <c r="Q12" s="178"/>
      <c r="R12" s="178"/>
    </row>
    <row r="13" spans="2:18" ht="12" customHeight="1" x14ac:dyDescent="0.3">
      <c r="B13" s="79"/>
      <c r="C13" s="80"/>
      <c r="D13" s="82" t="s">
        <v>85</v>
      </c>
      <c r="E13" s="60" t="s">
        <v>100</v>
      </c>
      <c r="F13" s="83"/>
      <c r="G13" s="156">
        <f>'Table 1'!G19</f>
        <v>0</v>
      </c>
      <c r="H13" s="85">
        <v>10</v>
      </c>
      <c r="I13" s="86">
        <f>(G13*H13)</f>
        <v>0</v>
      </c>
      <c r="J13" s="121">
        <f>I13*0.05</f>
        <v>0</v>
      </c>
      <c r="K13" s="86">
        <f>I13*0.1</f>
        <v>0</v>
      </c>
      <c r="L13" s="57">
        <f>SUM(I13:K13)</f>
        <v>0</v>
      </c>
      <c r="M13" s="58">
        <f t="shared" ref="M13:M17" si="1">I13*I$1+J13*J$1+K13*K$1</f>
        <v>0</v>
      </c>
      <c r="P13" s="179"/>
      <c r="Q13" s="180"/>
      <c r="R13" s="181"/>
    </row>
    <row r="14" spans="2:18" ht="12" customHeight="1" x14ac:dyDescent="0.3">
      <c r="B14" s="79"/>
      <c r="C14" s="80"/>
      <c r="D14" s="82" t="s">
        <v>88</v>
      </c>
      <c r="E14" s="60" t="s">
        <v>101</v>
      </c>
      <c r="F14" s="83"/>
      <c r="G14" s="157">
        <f>'Table 1'!G21</f>
        <v>1.33</v>
      </c>
      <c r="H14" s="85">
        <v>5</v>
      </c>
      <c r="I14" s="86">
        <f>(G14*H14)</f>
        <v>6.65</v>
      </c>
      <c r="J14" s="121">
        <f>I14*0.05</f>
        <v>0.33250000000000002</v>
      </c>
      <c r="K14" s="86">
        <f>I14*0.1</f>
        <v>0.66500000000000004</v>
      </c>
      <c r="L14" s="57">
        <f>SUM(I14:K14)</f>
        <v>7.6475</v>
      </c>
      <c r="M14" s="58">
        <f t="shared" si="1"/>
        <v>378.281925</v>
      </c>
      <c r="P14" s="179"/>
      <c r="Q14" s="180"/>
      <c r="R14" s="181"/>
    </row>
    <row r="15" spans="2:18" ht="12" customHeight="1" x14ac:dyDescent="0.3">
      <c r="B15" s="87"/>
      <c r="C15" s="88"/>
      <c r="D15" s="89" t="s">
        <v>89</v>
      </c>
      <c r="E15" s="90" t="s">
        <v>102</v>
      </c>
      <c r="F15" s="91"/>
      <c r="G15" s="84">
        <f>'Table 1'!G23</f>
        <v>0</v>
      </c>
      <c r="H15" s="85">
        <v>5</v>
      </c>
      <c r="I15" s="86">
        <f>(G15*H15)</f>
        <v>0</v>
      </c>
      <c r="J15" s="121">
        <f>I15*0.05</f>
        <v>0</v>
      </c>
      <c r="K15" s="86">
        <f>I15*0.1</f>
        <v>0</v>
      </c>
      <c r="L15" s="57">
        <f>SUM(I15:K15)</f>
        <v>0</v>
      </c>
      <c r="M15" s="58">
        <f t="shared" si="1"/>
        <v>0</v>
      </c>
      <c r="P15" s="182"/>
      <c r="Q15" s="183"/>
      <c r="R15" s="178"/>
    </row>
    <row r="16" spans="2:18" x14ac:dyDescent="0.3">
      <c r="B16" s="87"/>
      <c r="C16" s="88"/>
      <c r="D16" s="89" t="s">
        <v>103</v>
      </c>
      <c r="E16" s="92" t="s">
        <v>104</v>
      </c>
      <c r="F16" s="91"/>
      <c r="G16" s="84">
        <f>'Table 1'!G24</f>
        <v>4</v>
      </c>
      <c r="H16" s="85">
        <v>5</v>
      </c>
      <c r="I16" s="86">
        <f>(G16*H16)</f>
        <v>20</v>
      </c>
      <c r="J16" s="121">
        <f>I16*0.05</f>
        <v>1</v>
      </c>
      <c r="K16" s="86">
        <f>I16*0.1</f>
        <v>2</v>
      </c>
      <c r="L16" s="57">
        <f>SUM(I16:K16)</f>
        <v>23</v>
      </c>
      <c r="M16" s="58">
        <f t="shared" si="1"/>
        <v>1137.69</v>
      </c>
      <c r="P16" s="178"/>
      <c r="Q16" s="178"/>
      <c r="R16" s="178"/>
    </row>
    <row r="17" spans="2:13" ht="12" customHeight="1" x14ac:dyDescent="0.3">
      <c r="B17" s="93"/>
      <c r="C17" s="94" t="s">
        <v>105</v>
      </c>
      <c r="D17" s="90" t="s">
        <v>106</v>
      </c>
      <c r="E17" s="90"/>
      <c r="F17" s="95"/>
      <c r="G17" s="96">
        <v>1</v>
      </c>
      <c r="H17" s="86">
        <v>10</v>
      </c>
      <c r="I17" s="86">
        <f>(G17*H17)</f>
        <v>10</v>
      </c>
      <c r="J17" s="86">
        <f t="shared" ref="J17" si="2">I17*0.05</f>
        <v>0.5</v>
      </c>
      <c r="K17" s="86">
        <f t="shared" ref="K17" si="3">I17*0.1</f>
        <v>1</v>
      </c>
      <c r="L17" s="57">
        <f>SUM(I17:K17)</f>
        <v>11.5</v>
      </c>
      <c r="M17" s="58">
        <f t="shared" si="1"/>
        <v>568.84500000000003</v>
      </c>
    </row>
    <row r="18" spans="2:13" ht="12" customHeight="1" thickBot="1" x14ac:dyDescent="0.35">
      <c r="B18" s="97" t="s">
        <v>103</v>
      </c>
      <c r="C18" s="98" t="s">
        <v>107</v>
      </c>
      <c r="D18" s="99"/>
      <c r="E18" s="99"/>
      <c r="F18" s="99"/>
      <c r="G18" s="100"/>
      <c r="H18" s="101"/>
      <c r="I18" s="101"/>
      <c r="J18" s="102" t="str">
        <f>IF(G8=0,"$0",1*3.75*75+600)</f>
        <v>$0</v>
      </c>
      <c r="K18" s="103" t="s">
        <v>108</v>
      </c>
      <c r="L18" s="103"/>
      <c r="M18" s="104">
        <f>IF(ISTEXT(J18),0,G8*J18)</f>
        <v>0</v>
      </c>
    </row>
    <row r="19" spans="2:13" ht="14.25" customHeight="1" thickTop="1" thickBot="1" x14ac:dyDescent="0.35">
      <c r="B19" s="105"/>
      <c r="C19" s="106" t="s">
        <v>152</v>
      </c>
      <c r="D19" s="107"/>
      <c r="E19" s="107"/>
      <c r="F19" s="108"/>
      <c r="G19" s="109"/>
      <c r="H19" s="110"/>
      <c r="I19" s="207">
        <f>SUM(I6:K6,I8:K9,I13:K17)</f>
        <v>42.147500000000001</v>
      </c>
      <c r="J19" s="208"/>
      <c r="K19" s="208"/>
      <c r="L19" s="136"/>
      <c r="M19" s="137">
        <f>ROUND(SUM(M6:M18),-1)</f>
        <v>2080</v>
      </c>
    </row>
    <row r="20" spans="2:13" ht="12" customHeight="1" x14ac:dyDescent="0.3">
      <c r="B20" s="111"/>
      <c r="C20" s="111"/>
      <c r="D20" s="111"/>
      <c r="E20" s="111"/>
      <c r="F20" s="111"/>
      <c r="G20" s="111"/>
      <c r="H20" s="112"/>
      <c r="I20" s="113"/>
      <c r="J20" s="113"/>
      <c r="K20" s="113"/>
      <c r="L20" s="113"/>
      <c r="M20" s="113"/>
    </row>
    <row r="21" spans="2:13" ht="12" customHeight="1" x14ac:dyDescent="0.3">
      <c r="B21" s="114" t="s">
        <v>156</v>
      </c>
      <c r="C21" s="114"/>
      <c r="D21" s="111"/>
      <c r="E21" s="111"/>
      <c r="F21" s="115"/>
      <c r="G21" s="111"/>
      <c r="H21" s="112"/>
      <c r="I21" s="113"/>
      <c r="J21" s="113"/>
      <c r="K21" s="113"/>
      <c r="L21" s="113"/>
      <c r="M21" s="113"/>
    </row>
    <row r="22" spans="2:13" ht="12" customHeight="1" x14ac:dyDescent="0.3">
      <c r="B22" s="116"/>
      <c r="C22" s="158" t="s">
        <v>142</v>
      </c>
      <c r="D22" s="111"/>
      <c r="E22" s="111"/>
      <c r="F22" s="111"/>
      <c r="G22" s="111"/>
      <c r="H22" s="112"/>
      <c r="I22" s="113"/>
      <c r="J22" s="113"/>
      <c r="K22" s="113"/>
      <c r="L22" s="113"/>
      <c r="M22" s="113"/>
    </row>
    <row r="23" spans="2:13" ht="12" customHeight="1" x14ac:dyDescent="0.3">
      <c r="B23" s="116"/>
      <c r="C23" s="114" t="s">
        <v>143</v>
      </c>
      <c r="D23" s="111"/>
      <c r="E23" s="111"/>
      <c r="F23" s="111"/>
      <c r="G23" s="111"/>
      <c r="H23" s="112"/>
      <c r="I23" s="113"/>
      <c r="J23" s="113"/>
      <c r="K23" s="113"/>
      <c r="L23" s="113"/>
      <c r="M23" s="113"/>
    </row>
    <row r="24" spans="2:13" ht="20.25" customHeight="1" x14ac:dyDescent="0.3">
      <c r="B24" s="116"/>
      <c r="C24" s="159" t="s">
        <v>161</v>
      </c>
      <c r="D24" s="111"/>
      <c r="E24" s="111"/>
      <c r="F24" s="111"/>
      <c r="G24" s="111"/>
      <c r="H24" s="112"/>
      <c r="I24" s="113"/>
      <c r="J24" s="113"/>
      <c r="K24" s="113"/>
      <c r="L24" s="113"/>
      <c r="M24" s="113"/>
    </row>
    <row r="25" spans="2:13" ht="12" customHeight="1" x14ac:dyDescent="0.3">
      <c r="B25" s="116"/>
      <c r="C25" s="163" t="s">
        <v>153</v>
      </c>
      <c r="D25" s="111"/>
      <c r="E25" s="111"/>
      <c r="F25" s="111"/>
      <c r="G25" s="111"/>
      <c r="H25" s="112"/>
      <c r="I25" s="113"/>
      <c r="J25" s="113"/>
      <c r="K25" s="113"/>
      <c r="L25" s="113"/>
      <c r="M25" s="113"/>
    </row>
    <row r="26" spans="2:13" ht="12" customHeight="1" x14ac:dyDescent="0.3">
      <c r="B26" s="116"/>
      <c r="C26" s="114"/>
    </row>
    <row r="27" spans="2:13" x14ac:dyDescent="0.3">
      <c r="B27" s="118"/>
    </row>
    <row r="28" spans="2:13" x14ac:dyDescent="0.3">
      <c r="B28" s="118"/>
    </row>
    <row r="29" spans="2:13" x14ac:dyDescent="0.3">
      <c r="B29" s="118"/>
    </row>
    <row r="30" spans="2:13" x14ac:dyDescent="0.3">
      <c r="B30" s="118"/>
    </row>
    <row r="43" spans="22:25" x14ac:dyDescent="0.3">
      <c r="V43" s="193" t="s">
        <v>109</v>
      </c>
      <c r="W43" s="193"/>
      <c r="X43" s="193"/>
      <c r="Y43" s="119">
        <v>0.2</v>
      </c>
    </row>
    <row r="44" spans="22:25" x14ac:dyDescent="0.3">
      <c r="V44" s="193" t="s">
        <v>110</v>
      </c>
      <c r="W44" s="193"/>
      <c r="X44" s="193"/>
      <c r="Y44" s="119">
        <v>0.1</v>
      </c>
    </row>
    <row r="45" spans="22:25" x14ac:dyDescent="0.3">
      <c r="V45" s="193" t="s">
        <v>111</v>
      </c>
      <c r="W45" s="193"/>
      <c r="X45" s="193"/>
      <c r="Y45" s="119">
        <v>0.1</v>
      </c>
    </row>
  </sheetData>
  <mergeCells count="11">
    <mergeCell ref="V45:X45"/>
    <mergeCell ref="B2:M2"/>
    <mergeCell ref="B4:F4"/>
    <mergeCell ref="D8:F8"/>
    <mergeCell ref="G10:M10"/>
    <mergeCell ref="G11:M11"/>
    <mergeCell ref="G12:M12"/>
    <mergeCell ref="V43:X43"/>
    <mergeCell ref="V44:X44"/>
    <mergeCell ref="I19:K19"/>
    <mergeCell ref="G5:M5"/>
  </mergeCells>
  <printOptions horizontalCentered="1"/>
  <pageMargins left="0.7" right="0.7" top="0.75" bottom="0.75" header="0.3" footer="0.3"/>
  <pageSetup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07C3C-B093-4D1B-B9AC-957C3360072D}">
  <dimension ref="B2:K13"/>
  <sheetViews>
    <sheetView topLeftCell="A5" workbookViewId="0">
      <selection activeCell="B11" sqref="B11:H11"/>
    </sheetView>
  </sheetViews>
  <sheetFormatPr defaultRowHeight="14.5" x14ac:dyDescent="0.35"/>
  <cols>
    <col min="2" max="2" width="19.26953125" customWidth="1"/>
    <col min="3" max="3" width="14.1796875" customWidth="1"/>
    <col min="5" max="5" width="12.54296875" customWidth="1"/>
    <col min="6" max="6" width="14.453125" customWidth="1"/>
    <col min="8" max="8" width="18.54296875" customWidth="1"/>
    <col min="10" max="11" width="9.81640625" bestFit="1" customWidth="1"/>
  </cols>
  <sheetData>
    <row r="2" spans="2:11" ht="15.5" x14ac:dyDescent="0.35">
      <c r="B2" s="212"/>
      <c r="C2" s="212"/>
      <c r="D2" s="212"/>
      <c r="E2" s="212"/>
      <c r="F2" s="212"/>
      <c r="G2" s="212"/>
      <c r="H2" s="212"/>
    </row>
    <row r="3" spans="2:11" ht="15" x14ac:dyDescent="0.35">
      <c r="B3" s="213" t="s">
        <v>119</v>
      </c>
      <c r="C3" s="213"/>
      <c r="D3" s="213"/>
      <c r="E3" s="213"/>
      <c r="F3" s="213"/>
      <c r="G3" s="213"/>
      <c r="H3" s="213"/>
    </row>
    <row r="4" spans="2:11" ht="15" x14ac:dyDescent="0.35">
      <c r="B4" s="126"/>
      <c r="C4" s="127"/>
      <c r="D4" s="127"/>
      <c r="E4" s="127"/>
      <c r="F4" s="127"/>
      <c r="G4" s="127"/>
      <c r="H4" s="127"/>
    </row>
    <row r="5" spans="2:11" x14ac:dyDescent="0.35">
      <c r="B5" s="128" t="s">
        <v>73</v>
      </c>
      <c r="C5" s="128" t="s">
        <v>74</v>
      </c>
      <c r="D5" s="128" t="s">
        <v>75</v>
      </c>
      <c r="E5" s="128" t="s">
        <v>76</v>
      </c>
      <c r="F5" s="128" t="s">
        <v>77</v>
      </c>
      <c r="G5" s="128" t="s">
        <v>78</v>
      </c>
      <c r="H5" s="128" t="s">
        <v>79</v>
      </c>
    </row>
    <row r="6" spans="2:11" ht="52" x14ac:dyDescent="0.35">
      <c r="B6" s="127" t="s">
        <v>120</v>
      </c>
      <c r="C6" s="127" t="s">
        <v>121</v>
      </c>
      <c r="D6" s="127" t="s">
        <v>122</v>
      </c>
      <c r="E6" s="127" t="s">
        <v>123</v>
      </c>
      <c r="F6" s="127" t="s">
        <v>124</v>
      </c>
      <c r="G6" s="127" t="s">
        <v>125</v>
      </c>
      <c r="H6" s="127" t="s">
        <v>126</v>
      </c>
    </row>
    <row r="7" spans="2:11" ht="15.5" x14ac:dyDescent="0.35">
      <c r="B7" s="127" t="s">
        <v>127</v>
      </c>
      <c r="C7" s="130">
        <v>86770</v>
      </c>
      <c r="D7" s="129">
        <f>'Table 1'!G11</f>
        <v>0</v>
      </c>
      <c r="E7" s="132">
        <f>C7*D7</f>
        <v>0</v>
      </c>
      <c r="F7" s="130">
        <f>'Table 1'!D12</f>
        <v>186860</v>
      </c>
      <c r="G7" s="129">
        <f>'Table 1'!G12</f>
        <v>4</v>
      </c>
      <c r="H7" s="131">
        <f>F7*G7</f>
        <v>747440</v>
      </c>
    </row>
    <row r="8" spans="2:11" ht="15.5" x14ac:dyDescent="0.35">
      <c r="B8" s="127" t="s">
        <v>128</v>
      </c>
      <c r="C8" s="131">
        <v>0</v>
      </c>
      <c r="D8" s="127">
        <v>0</v>
      </c>
      <c r="E8" s="132">
        <f>C8*D8</f>
        <v>0</v>
      </c>
      <c r="F8" s="131">
        <f>'Table 1'!D14*'Table 1'!E14</f>
        <v>21216</v>
      </c>
      <c r="G8" s="129">
        <f>'Table 1'!G13</f>
        <v>1.33</v>
      </c>
      <c r="H8" s="131">
        <f>F8*G8</f>
        <v>28217.280000000002</v>
      </c>
      <c r="K8" s="141"/>
    </row>
    <row r="9" spans="2:11" ht="28.5" x14ac:dyDescent="0.35">
      <c r="B9" s="127" t="s">
        <v>129</v>
      </c>
      <c r="C9" s="131">
        <f>0</f>
        <v>0</v>
      </c>
      <c r="D9" s="127">
        <v>0</v>
      </c>
      <c r="E9" s="132">
        <f>C9*D9</f>
        <v>0</v>
      </c>
      <c r="F9" s="131">
        <f>'Table 1'!D15*'Table 1'!E15</f>
        <v>19500</v>
      </c>
      <c r="G9" s="127">
        <v>0</v>
      </c>
      <c r="H9" s="131">
        <f>F9*G9</f>
        <v>0</v>
      </c>
    </row>
    <row r="10" spans="2:11" x14ac:dyDescent="0.35">
      <c r="B10" s="138" t="s">
        <v>62</v>
      </c>
      <c r="C10" s="138"/>
      <c r="D10" s="138"/>
      <c r="E10" s="139">
        <f>SUM(E7:E9)</f>
        <v>0</v>
      </c>
      <c r="F10" s="138"/>
      <c r="G10" s="138"/>
      <c r="H10" s="139">
        <f>ROUND(SUM(H7:H9),-3)</f>
        <v>776000</v>
      </c>
    </row>
    <row r="11" spans="2:11" ht="24" customHeight="1" x14ac:dyDescent="0.35">
      <c r="B11" s="214" t="s">
        <v>131</v>
      </c>
      <c r="C11" s="215"/>
      <c r="D11" s="215"/>
      <c r="E11" s="215"/>
      <c r="F11" s="215"/>
      <c r="G11" s="215"/>
      <c r="H11" s="215"/>
    </row>
    <row r="12" spans="2:11" ht="25.5" customHeight="1" x14ac:dyDescent="0.35">
      <c r="B12" s="216" t="s">
        <v>132</v>
      </c>
      <c r="C12" s="217"/>
      <c r="D12" s="217"/>
      <c r="E12" s="217"/>
      <c r="F12" s="217"/>
      <c r="G12" s="217"/>
      <c r="H12" s="217"/>
    </row>
    <row r="13" spans="2:11" ht="18.649999999999999" customHeight="1" x14ac:dyDescent="0.35">
      <c r="B13" s="216" t="s">
        <v>130</v>
      </c>
      <c r="C13" s="217"/>
      <c r="D13" s="217"/>
      <c r="E13" s="217"/>
      <c r="F13" s="217"/>
      <c r="G13" s="217"/>
      <c r="H13" s="217"/>
      <c r="J13" s="140"/>
    </row>
  </sheetData>
  <mergeCells count="5">
    <mergeCell ref="B2:H2"/>
    <mergeCell ref="B3:H3"/>
    <mergeCell ref="B11:H11"/>
    <mergeCell ref="B12:H12"/>
    <mergeCell ref="B13:H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3F80E-FD3B-4813-8052-0366F6F07154}">
  <sheetPr>
    <tabColor theme="8"/>
  </sheetPr>
  <dimension ref="B3:H7"/>
  <sheetViews>
    <sheetView workbookViewId="0"/>
  </sheetViews>
  <sheetFormatPr defaultRowHeight="14.5" x14ac:dyDescent="0.35"/>
  <cols>
    <col min="2" max="4" width="30.81640625" customWidth="1"/>
  </cols>
  <sheetData>
    <row r="3" spans="2:8" ht="60" customHeight="1" x14ac:dyDescent="0.35">
      <c r="B3" s="218" t="s">
        <v>65</v>
      </c>
      <c r="C3" s="218"/>
      <c r="D3" s="218"/>
      <c r="E3" s="218"/>
      <c r="F3" s="218"/>
      <c r="G3" s="218"/>
      <c r="H3" s="8"/>
    </row>
    <row r="4" spans="2:8" x14ac:dyDescent="0.35">
      <c r="B4" s="3"/>
      <c r="C4" s="1"/>
      <c r="D4" s="1"/>
      <c r="E4" s="1"/>
      <c r="F4" s="1"/>
      <c r="G4" s="1"/>
      <c r="H4" s="1"/>
    </row>
    <row r="5" spans="2:8" ht="15" x14ac:dyDescent="0.35">
      <c r="B5" s="32" t="s">
        <v>66</v>
      </c>
      <c r="E5" s="1"/>
      <c r="F5" s="1"/>
      <c r="G5" s="1"/>
      <c r="H5" s="1"/>
    </row>
    <row r="6" spans="2:8" ht="15" thickBot="1" x14ac:dyDescent="0.4">
      <c r="B6" s="33" t="s">
        <v>67</v>
      </c>
      <c r="C6" s="34" t="s">
        <v>68</v>
      </c>
      <c r="D6" s="35" t="s">
        <v>69</v>
      </c>
      <c r="E6" s="1"/>
      <c r="F6" s="1"/>
      <c r="G6" s="1"/>
      <c r="H6" s="1"/>
    </row>
    <row r="7" spans="2:8" ht="62" x14ac:dyDescent="0.35">
      <c r="B7" s="36" t="s">
        <v>70</v>
      </c>
      <c r="C7" s="37" t="s">
        <v>71</v>
      </c>
      <c r="D7" s="38" t="s">
        <v>72</v>
      </c>
    </row>
  </sheetData>
  <mergeCells count="1">
    <mergeCell ref="B3:G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cord xmlns="4ffa91fb-a0ff-4ac5-b2db-65c790d184a4">Shared</Record>
    <Language xmlns="http://schemas.microsoft.com/sharepoint/v3">English</Language>
    <Document_x0020_Creation_x0020_Date xmlns="4ffa91fb-a0ff-4ac5-b2db-65c790d184a4">2020-09-28T17:14:20+00:00</Document_x0020_Creation_x0020_Date>
    <_Source xmlns="http://schemas.microsoft.com/sharepoint/v3/fields" xsi:nil="tru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ights xmlns="4ffa91fb-a0ff-4ac5-b2db-65c790d184a4" xsi:nil="tru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29f62856-1543-49d4-a736-4569d363f533"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0C3ED254CA8ACF42BC38E4C4654F1101" ma:contentTypeVersion="13" ma:contentTypeDescription="Create a new document." ma:contentTypeScope="" ma:versionID="c2543038e45b2f3413b5308dc5599e3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009a9333-2372-43c0-8c88-7482d0d1b77f" xmlns:ns6="99989e20-99e8-4e27-8e8c-531f68e85093" targetNamespace="http://schemas.microsoft.com/office/2006/metadata/properties" ma:root="true" ma:fieldsID="2918bd9feaf13603402fffd4945a7916" ns1:_="" ns2:_="" ns3:_="" ns4:_="" ns5:_="" ns6:_="">
    <xsd:import namespace="http://schemas.microsoft.com/sharepoint/v3"/>
    <xsd:import namespace="4ffa91fb-a0ff-4ac5-b2db-65c790d184a4"/>
    <xsd:import namespace="http://schemas.microsoft.com/sharepoint.v3"/>
    <xsd:import namespace="http://schemas.microsoft.com/sharepoint/v3/fields"/>
    <xsd:import namespace="009a9333-2372-43c0-8c88-7482d0d1b77f"/>
    <xsd:import namespace="99989e20-99e8-4e27-8e8c-531f68e85093"/>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MediaServiceMetadata" minOccurs="0"/>
                <xsd:element ref="ns5:MediaServiceFastMetadata" minOccurs="0"/>
                <xsd:element ref="ns6:SharedWithUsers" minOccurs="0"/>
                <xsd:element ref="ns6:SharedWithDetails" minOccurs="0"/>
                <xsd:element ref="ns5:MediaServiceAutoTags" minOccurs="0"/>
                <xsd:element ref="ns5:MediaServiceOCR" minOccurs="0"/>
                <xsd:element ref="ns5:MediaServiceGenerationTime" minOccurs="0"/>
                <xsd:element ref="ns5:MediaServiceEventHashCode" minOccurs="0"/>
                <xsd:element ref="ns5: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ma:readOnly="false">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085d09f8-e969-4227-9941-00d9df14e2cd}" ma:internalName="TaxCatchAllLabel" ma:readOnly="true" ma:showField="CatchAllDataLabel" ma:web="99989e20-99e8-4e27-8e8c-531f68e85093">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085d09f8-e969-4227-9941-00d9df14e2cd}" ma:internalName="TaxCatchAll" ma:showField="CatchAllData" ma:web="99989e20-99e8-4e27-8e8c-531f68e85093">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9a9333-2372-43c0-8c88-7482d0d1b77f" elementFormDefault="qualified">
    <xsd:import namespace="http://schemas.microsoft.com/office/2006/documentManagement/types"/>
    <xsd:import namespace="http://schemas.microsoft.com/office/infopath/2007/PartnerControls"/>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AutoTags" ma:index="33" nillable="true" ma:displayName="Tags" ma:internalName="MediaServiceAutoTags" ma:readOnly="true">
      <xsd:simpleType>
        <xsd:restriction base="dms:Text"/>
      </xsd:simpleType>
    </xsd:element>
    <xsd:element name="MediaServiceOCR" ma:index="34" nillable="true" ma:displayName="Extracted Text" ma:internalName="MediaServiceOCR" ma:readOnly="true">
      <xsd:simpleType>
        <xsd:restriction base="dms:Note">
          <xsd:maxLength value="255"/>
        </xsd:restriction>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DateTaken" ma:index="3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989e20-99e8-4e27-8e8c-531f68e85093"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D290F5-C555-44CA-810F-D34EAD2E1A27}">
  <ds:schemaRefs>
    <ds:schemaRef ds:uri="http://schemas.microsoft.com/office/2006/metadata/properties"/>
    <ds:schemaRef ds:uri="http://schemas.microsoft.com/office/infopath/2007/PartnerControls"/>
    <ds:schemaRef ds:uri="4ffa91fb-a0ff-4ac5-b2db-65c790d184a4"/>
    <ds:schemaRef ds:uri="http://schemas.microsoft.com/sharepoint/v3"/>
    <ds:schemaRef ds:uri="http://schemas.microsoft.com/sharepoint/v3/fields"/>
    <ds:schemaRef ds:uri="http://schemas.microsoft.com/sharepoint.v3"/>
  </ds:schemaRefs>
</ds:datastoreItem>
</file>

<file path=customXml/itemProps2.xml><?xml version="1.0" encoding="utf-8"?>
<ds:datastoreItem xmlns:ds="http://schemas.openxmlformats.org/officeDocument/2006/customXml" ds:itemID="{838F009B-086C-463E-92CD-B5AC6DC4D380}">
  <ds:schemaRefs>
    <ds:schemaRef ds:uri="http://schemas.microsoft.com/sharepoint/v3/contenttype/forms"/>
  </ds:schemaRefs>
</ds:datastoreItem>
</file>

<file path=customXml/itemProps3.xml><?xml version="1.0" encoding="utf-8"?>
<ds:datastoreItem xmlns:ds="http://schemas.openxmlformats.org/officeDocument/2006/customXml" ds:itemID="{D937223A-A912-4DE3-B7AD-81D1026B1A61}">
  <ds:schemaRefs>
    <ds:schemaRef ds:uri="Microsoft.SharePoint.Taxonomy.ContentTypeSync"/>
  </ds:schemaRefs>
</ds:datastoreItem>
</file>

<file path=customXml/itemProps4.xml><?xml version="1.0" encoding="utf-8"?>
<ds:datastoreItem xmlns:ds="http://schemas.openxmlformats.org/officeDocument/2006/customXml" ds:itemID="{5CC4717D-CDDC-48A7-979D-599505D565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009a9333-2372-43c0-8c88-7482d0d1b77f"/>
    <ds:schemaRef ds:uri="99989e20-99e8-4e27-8e8c-531f68e850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Table 1</vt:lpstr>
      <vt:lpstr>Table 2</vt:lpstr>
      <vt:lpstr>O&amp;M</vt:lpstr>
      <vt:lpstr>Performance EvaluationRATA</vt:lpstr>
      <vt:lpstr>'Table 1'!_Toc489885102</vt:lpstr>
      <vt:lpstr>'Table 1'!ap40.13.63_12192.6</vt:lpstr>
      <vt:lpstr>'Table 1'!Print_Area</vt:lpstr>
      <vt:lpstr>'Table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 Curtis</dc:creator>
  <cp:lastModifiedBy>Wrigley, William</cp:lastModifiedBy>
  <dcterms:created xsi:type="dcterms:W3CDTF">2020-07-01T15:11:39Z</dcterms:created>
  <dcterms:modified xsi:type="dcterms:W3CDTF">2020-10-16T14:57:05Z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0x0101000C3ED254CA8ACF42BC38E4C4654F1101</vt:lpwstr>
  </property>
  <property fmtid="{D5CDD505-2E9C-101B-9397-08002B2CF9AE}" pid="3" name="TaxKeyword">
    <vt:lpwstr/>
  </property>
</Properties>
</file>