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hidePivotFieldList="1" defaultThemeVersion="124226"/>
  <mc:AlternateContent xmlns:mc="http://schemas.openxmlformats.org/markup-compatibility/2006">
    <mc:Choice Requires="x15">
      <x15ac:absPath xmlns:x15ac="http://schemas.microsoft.com/office/spreadsheetml/2010/11/ac" url="C:\Users\Dsalahud\Desktop\"/>
    </mc:Choice>
  </mc:AlternateContent>
  <xr:revisionPtr revIDLastSave="0" documentId="8_{6B035777-10ED-407B-9353-0CEA1E98B17F}" xr6:coauthVersionLast="45" xr6:coauthVersionMax="45" xr10:uidLastSave="{00000000-0000-0000-0000-000000000000}"/>
  <bookViews>
    <workbookView xWindow="-110" yWindow="-110" windowWidth="19420" windowHeight="10420" tabRatio="573" xr2:uid="{00000000-000D-0000-FFFF-FFFF00000000}"/>
  </bookViews>
  <sheets>
    <sheet name="Industry" sheetId="97" r:id="rId1"/>
    <sheet name="Agency" sheetId="99" r:id="rId2"/>
    <sheet name="Record&amp;Reporting Burden Only" sheetId="100" state="hidden" r:id="rId3"/>
    <sheet name="Process Vent - T&amp;M Costs" sheetId="81" state="hidden" r:id="rId4"/>
    <sheet name="Resin T&amp;M Costs" sheetId="82" state="hidden" r:id="rId5"/>
    <sheet name="Wastewater T&amp;M Costs" sheetId="83" state="hidden" r:id="rId6"/>
    <sheet name="EquipmentLeaks - T&amp;M Costs" sheetId="93" state="hidden" r:id="rId7"/>
    <sheet name="Hourly Rates" sheetId="18" state="hidden" r:id="rId8"/>
    <sheet name="CAP&amp;O&amp;M" sheetId="101" r:id="rId9"/>
  </sheets>
  <definedNames>
    <definedName name="_Regression_Int" localSheetId="0" hidden="1">1</definedName>
    <definedName name="June_2003_HMIWI_Inventory" localSheetId="7">#REF!</definedName>
    <definedName name="_xlnm.Print_Area" localSheetId="1">Agency!$A$1:$H$14</definedName>
    <definedName name="_xlnm.Print_Area" localSheetId="7">'Hourly Rates'!$A$7:$J$16</definedName>
    <definedName name="_xlnm.Print_Area" localSheetId="0">Industry!$A$1:$M$27</definedName>
    <definedName name="_xlnm.Print_Area" localSheetId="2">'Record&amp;Reporting Burden Only'!$A$1:$K$37</definedName>
    <definedName name="_xlnm.Print_Titles" localSheetId="7">'Hourly Rates'!#REF!</definedName>
    <definedName name="_xlnm.Print_Titles" localSheetId="0">Industry!$2:$3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97" l="1"/>
  <c r="E3" i="101" l="1"/>
  <c r="G4" i="101" l="1"/>
  <c r="D4" i="101"/>
  <c r="G3" i="101"/>
  <c r="D3" i="101"/>
  <c r="B10" i="97"/>
  <c r="B7" i="97"/>
  <c r="D5" i="101" l="1"/>
  <c r="G5" i="101"/>
  <c r="I26" i="97" s="1"/>
  <c r="B12" i="99" l="1"/>
  <c r="D12" i="99" s="1"/>
  <c r="D5" i="99" l="1"/>
  <c r="F12" i="99" l="1"/>
  <c r="D8" i="99"/>
  <c r="D7" i="99"/>
  <c r="F7" i="99" s="1"/>
  <c r="F5" i="99"/>
  <c r="F8" i="99" l="1"/>
  <c r="C29" i="83"/>
  <c r="E8" i="18" l="1"/>
  <c r="I13" i="99" l="1"/>
  <c r="H12" i="99"/>
  <c r="H8" i="99"/>
  <c r="H7" i="99"/>
  <c r="D21" i="97"/>
  <c r="F21" i="97" s="1"/>
  <c r="F14" i="97"/>
  <c r="H14" i="97" s="1"/>
  <c r="D11" i="97"/>
  <c r="F11" i="97" s="1"/>
  <c r="D10" i="97"/>
  <c r="F10" i="97" s="1"/>
  <c r="F8" i="97"/>
  <c r="H8" i="97" s="1"/>
  <c r="D7" i="97"/>
  <c r="F7" i="97" s="1"/>
  <c r="D6" i="97"/>
  <c r="F6" i="97" s="1"/>
  <c r="H5" i="97"/>
  <c r="D5" i="97"/>
  <c r="I4" i="97"/>
  <c r="D4" i="97"/>
  <c r="H7" i="97" l="1"/>
  <c r="G7" i="97"/>
  <c r="H10" i="97"/>
  <c r="G8" i="97"/>
  <c r="G14" i="97"/>
  <c r="G12" i="99"/>
  <c r="I12" i="99" s="1"/>
  <c r="G5" i="99"/>
  <c r="G7" i="99"/>
  <c r="I7" i="99" s="1"/>
  <c r="G8" i="99"/>
  <c r="H5" i="99"/>
  <c r="G6" i="97"/>
  <c r="H6" i="97"/>
  <c r="G11" i="97"/>
  <c r="H11" i="97"/>
  <c r="I5" i="97"/>
  <c r="G10" i="97"/>
  <c r="H21" i="97"/>
  <c r="G21" i="97"/>
  <c r="G24" i="97" l="1"/>
  <c r="I6" i="97"/>
  <c r="I8" i="99"/>
  <c r="I5" i="99"/>
  <c r="I7" i="97"/>
  <c r="I10" i="97"/>
  <c r="I21" i="97"/>
  <c r="I11" i="97"/>
  <c r="I24" i="97" l="1"/>
  <c r="G14" i="99"/>
  <c r="G15" i="97"/>
  <c r="G25" i="97" s="1"/>
  <c r="I14" i="99"/>
  <c r="B26" i="83"/>
  <c r="C26" i="83" s="1"/>
  <c r="B25" i="83"/>
  <c r="C25" i="83" s="1"/>
  <c r="B24" i="83"/>
  <c r="C24" i="83" s="1"/>
  <c r="B23" i="83"/>
  <c r="C23" i="83" s="1"/>
  <c r="B22" i="83"/>
  <c r="B20" i="83"/>
  <c r="C20" i="83" s="1"/>
  <c r="B18" i="83"/>
  <c r="C18" i="83" s="1"/>
  <c r="B16" i="83"/>
  <c r="C16" i="83" s="1"/>
  <c r="B12" i="83"/>
  <c r="C12" i="83" s="1"/>
  <c r="D4" i="83"/>
  <c r="E12" i="82"/>
  <c r="D4" i="82"/>
  <c r="E19" i="82" s="1"/>
  <c r="I15" i="97" l="1"/>
  <c r="I25" i="97" s="1"/>
  <c r="I27" i="97" s="1"/>
  <c r="E8" i="82"/>
  <c r="E10" i="82" s="1"/>
  <c r="C37" i="82" s="1"/>
  <c r="B27" i="83"/>
  <c r="C19" i="83" s="1"/>
  <c r="C22" i="83"/>
  <c r="C39" i="82"/>
  <c r="C31" i="82"/>
  <c r="E14" i="82"/>
  <c r="C42" i="82"/>
  <c r="C36" i="82"/>
  <c r="C34" i="82"/>
  <c r="C27" i="82"/>
  <c r="C25" i="82"/>
  <c r="E42" i="82"/>
  <c r="F42" i="82" s="1"/>
  <c r="E40" i="82"/>
  <c r="F40" i="82" s="1"/>
  <c r="E38" i="82"/>
  <c r="F38" i="82" s="1"/>
  <c r="E36" i="82"/>
  <c r="F36" i="82" s="1"/>
  <c r="E34" i="82"/>
  <c r="F34" i="82" s="1"/>
  <c r="E32" i="82"/>
  <c r="F32" i="82" s="1"/>
  <c r="E30" i="82"/>
  <c r="F30" i="82" s="1"/>
  <c r="E27" i="82"/>
  <c r="F27" i="82" s="1"/>
  <c r="E25" i="82"/>
  <c r="F25" i="82" s="1"/>
  <c r="E41" i="82"/>
  <c r="F41" i="82" s="1"/>
  <c r="E39" i="82"/>
  <c r="F39" i="82" s="1"/>
  <c r="E37" i="82"/>
  <c r="F37" i="82" s="1"/>
  <c r="E35" i="82"/>
  <c r="F35" i="82" s="1"/>
  <c r="E33" i="82"/>
  <c r="F33" i="82" s="1"/>
  <c r="E31" i="82"/>
  <c r="F31" i="82" s="1"/>
  <c r="E29" i="82"/>
  <c r="F29" i="82" s="1"/>
  <c r="E28" i="82"/>
  <c r="F28" i="82" s="1"/>
  <c r="E26" i="82"/>
  <c r="F26" i="82" s="1"/>
  <c r="C30" i="82" l="1"/>
  <c r="C38" i="82"/>
  <c r="C26" i="82"/>
  <c r="C33" i="82"/>
  <c r="C41" i="82"/>
  <c r="C32" i="82"/>
  <c r="C40" i="82"/>
  <c r="C28" i="82"/>
  <c r="C35" i="82"/>
  <c r="C29" i="82"/>
  <c r="C15" i="83"/>
  <c r="C13" i="83"/>
  <c r="C21" i="83"/>
  <c r="C17" i="83"/>
  <c r="C14" i="83"/>
  <c r="D18" i="81" l="1"/>
  <c r="G15" i="81" s="1"/>
  <c r="F15" i="81"/>
  <c r="D14" i="81"/>
  <c r="D13" i="81"/>
  <c r="G13" i="81" s="1"/>
  <c r="D12" i="81"/>
  <c r="G11" i="81"/>
  <c r="F11" i="81"/>
  <c r="D23" i="81" l="1"/>
  <c r="G14" i="81"/>
  <c r="H15" i="81"/>
  <c r="G12" i="81"/>
  <c r="H12" i="81" s="1"/>
  <c r="H11" i="81"/>
  <c r="F13" i="81"/>
  <c r="H13" i="81" s="1"/>
  <c r="H22" i="81" s="1"/>
  <c r="F14" i="81"/>
  <c r="H14" i="81" s="1"/>
  <c r="H21" i="81" s="1"/>
  <c r="H23" i="81" s="1"/>
  <c r="E25" i="18" l="1"/>
  <c r="E24" i="18"/>
  <c r="E23" i="18"/>
  <c r="D37" i="18"/>
  <c r="D36" i="18"/>
  <c r="D35" i="18"/>
  <c r="E26" i="18" l="1"/>
  <c r="F20" i="100"/>
  <c r="F36" i="100"/>
  <c r="F19" i="100"/>
  <c r="E22" i="100"/>
  <c r="E18" i="100"/>
  <c r="F17" i="100" l="1"/>
  <c r="E36" i="100"/>
  <c r="F35" i="100"/>
  <c r="F37" i="100" s="1"/>
  <c r="E35" i="100"/>
  <c r="G19" i="100"/>
  <c r="G18" i="100"/>
  <c r="G17" i="100"/>
  <c r="G22" i="100"/>
  <c r="F22" i="100"/>
  <c r="F18" i="100"/>
  <c r="F21" i="100"/>
  <c r="G16" i="100"/>
  <c r="G20" i="100"/>
  <c r="F16" i="100"/>
  <c r="G21" i="100"/>
  <c r="E21" i="100"/>
  <c r="E20" i="100"/>
  <c r="E17" i="100"/>
  <c r="E16" i="100"/>
  <c r="E19" i="100"/>
  <c r="E37" i="100" l="1"/>
  <c r="C18" i="100"/>
  <c r="C16" i="100"/>
  <c r="C36" i="100"/>
  <c r="D35" i="100"/>
  <c r="D36" i="100"/>
  <c r="F23" i="100"/>
  <c r="G23" i="100"/>
  <c r="C20" i="100"/>
  <c r="C22" i="100"/>
  <c r="C21" i="100"/>
  <c r="E23" i="100"/>
  <c r="C17" i="100"/>
  <c r="D37" i="100" l="1"/>
  <c r="C19" i="100" l="1"/>
  <c r="C23" i="100" s="1"/>
  <c r="C35" i="100"/>
  <c r="C37" i="100" s="1"/>
</calcChain>
</file>

<file path=xl/sharedStrings.xml><?xml version="1.0" encoding="utf-8"?>
<sst xmlns="http://schemas.openxmlformats.org/spreadsheetml/2006/main" count="392" uniqueCount="285">
  <si>
    <t>EPA</t>
  </si>
  <si>
    <t>Clerical</t>
  </si>
  <si>
    <t>Burden Item</t>
  </si>
  <si>
    <t>not applicable</t>
  </si>
  <si>
    <t>c</t>
  </si>
  <si>
    <t xml:space="preserve"> </t>
  </si>
  <si>
    <t>f</t>
  </si>
  <si>
    <t>per trip</t>
  </si>
  <si>
    <t>Technical</t>
  </si>
  <si>
    <t>Total</t>
  </si>
  <si>
    <t>e</t>
  </si>
  <si>
    <t>d</t>
  </si>
  <si>
    <t>a</t>
  </si>
  <si>
    <t>b</t>
  </si>
  <si>
    <t>Parameters/Costs</t>
  </si>
  <si>
    <t>Equation</t>
  </si>
  <si>
    <t>A. Parameters</t>
  </si>
  <si>
    <t>Notes:</t>
  </si>
  <si>
    <t>Sources:</t>
  </si>
  <si>
    <t>Values</t>
  </si>
  <si>
    <t>B. Testing Costs, $</t>
  </si>
  <si>
    <t>Note:</t>
  </si>
  <si>
    <t>2.  Required activities</t>
  </si>
  <si>
    <t xml:space="preserve">    a.  Perf. spec. tests (certif.) for CMS</t>
  </si>
  <si>
    <t>2.  Person-hours per occurrence for CMS performance specification costs are based on the performance specification costs to certify CMS ($700) divided by the composite hourly</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</si>
  <si>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</si>
  <si>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</si>
  <si>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Hourly Mean Wage</t>
  </si>
  <si>
    <t>With  Fringe &amp; Overhead</t>
  </si>
  <si>
    <t>Average</t>
  </si>
  <si>
    <t>from http://www.opm.gov/oca/10tables/</t>
  </si>
  <si>
    <t>Source: http://www.opm.gov/oca/10tables/pdf/gs_h.pdf</t>
  </si>
  <si>
    <t>Labor Type</t>
  </si>
  <si>
    <t>a,d</t>
  </si>
  <si>
    <t>labor rate ($66.41/hr).</t>
  </si>
  <si>
    <t>(GS- 13, step 5) - Mgmt.</t>
  </si>
  <si>
    <t>(GS- 12, step 1) - Tech.</t>
  </si>
  <si>
    <t>(GS-6, step 3) - Cler.</t>
  </si>
  <si>
    <t>Sector and SOC Code*</t>
  </si>
  <si>
    <r>
      <t>Hourly mean wage</t>
    </r>
    <r>
      <rPr>
        <sz val="8"/>
        <rFont val="Arial"/>
        <family val="2"/>
      </rPr>
      <t xml:space="preserve"> (From OES tables)</t>
    </r>
  </si>
  <si>
    <r>
      <t>Loaded Rate</t>
    </r>
    <r>
      <rPr>
        <sz val="8"/>
        <rFont val="Arial"/>
        <family val="2"/>
      </rPr>
      <t xml:space="preserve"> (Rate + 110%rate)</t>
    </r>
  </si>
  <si>
    <t>Mgmt.</t>
  </si>
  <si>
    <t>Tech.</t>
  </si>
  <si>
    <t>Cler.</t>
  </si>
  <si>
    <t xml:space="preserve">      Composite labor rate</t>
  </si>
  <si>
    <t xml:space="preserve">      Contractor</t>
  </si>
  <si>
    <t>http://www.bls.gov/oes/current/naics4_999300.htm</t>
  </si>
  <si>
    <t>Incl. in 3.B</t>
  </si>
  <si>
    <t>Incl. in 3.E</t>
  </si>
  <si>
    <t>Incl. in 3.A</t>
  </si>
  <si>
    <t>Managerial</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</si>
  <si>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</si>
  <si>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</si>
  <si>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</si>
  <si>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</si>
  <si>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</si>
  <si>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</si>
  <si>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</si>
  <si>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</si>
  <si>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</si>
  <si>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</si>
  <si>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</si>
  <si>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</si>
  <si>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1. Initial testing costs to be annualized over 20 years at 7% interest.</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</si>
  <si>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</si>
  <si>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</si>
  <si>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</si>
  <si>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</si>
  <si>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</si>
  <si>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Resin Sampling and Monitoring</t>
  </si>
  <si>
    <t xml:space="preserve">Initial Compliance </t>
  </si>
  <si>
    <t>Total Compliance Cost</t>
  </si>
  <si>
    <t>Annual Cost of Initial Compliance</t>
  </si>
  <si>
    <t>Monitoring</t>
  </si>
  <si>
    <t>Company</t>
  </si>
  <si>
    <t>Location</t>
  </si>
  <si>
    <t>TAC of Resin Testing</t>
  </si>
  <si>
    <t>*National Environmental Methods Index Website https://www.nemi.gov/apex/f?p=237:38:951365369293524::::P38_METHOD_ID:7041</t>
  </si>
  <si>
    <t>Wastewater Sampling and Monitoring</t>
  </si>
  <si>
    <t>E. Personnel Training</t>
  </si>
  <si>
    <t>F. Time for Audits</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</si>
  <si>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</si>
  <si>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</si>
  <si>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</si>
  <si>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</si>
  <si>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</si>
  <si>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</si>
  <si>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</si>
  <si>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</si>
  <si>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</si>
  <si>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</si>
  <si>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</si>
  <si>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</si>
  <si>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</si>
  <si>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</si>
  <si>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</si>
  <si>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</si>
  <si>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</si>
  <si>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g</t>
  </si>
  <si>
    <t>Formosa - Baton Rouge</t>
  </si>
  <si>
    <t>Formosa - Delaware City</t>
  </si>
  <si>
    <t>Formosa - Point Comfort</t>
  </si>
  <si>
    <t>Georgia Gulf - Aberdeen</t>
  </si>
  <si>
    <t>Georgia Gulf - Plaquemine</t>
  </si>
  <si>
    <t>OxyVinyls - Pasadena</t>
  </si>
  <si>
    <t>OxyVinyls - Pedricktown</t>
  </si>
  <si>
    <t>PolyOne - Henry</t>
  </si>
  <si>
    <t>Shintech - Addis</t>
  </si>
  <si>
    <t>Shintech - Freeport</t>
  </si>
  <si>
    <t>Shintech - Plaquemine</t>
  </si>
  <si>
    <t>Dow - Midland</t>
  </si>
  <si>
    <t>Westlake - Calvert City</t>
  </si>
  <si>
    <t>Westlake - Geismar</t>
  </si>
  <si>
    <t>40CFR61 V</t>
  </si>
  <si>
    <t>40CFR63 UU</t>
  </si>
  <si>
    <t>LDAR Cost increase for V to UU</t>
  </si>
  <si>
    <t>5. Method 18 (assumed cost is equal to Method SW 846 0031)</t>
  </si>
  <si>
    <t>PolyOne - Pedricktown</t>
  </si>
  <si>
    <t>Low</t>
  </si>
  <si>
    <t>High</t>
  </si>
  <si>
    <t>Cost of US EPA Method 8260B [1]</t>
  </si>
  <si>
    <t>`= (3 inlet tests*Avg Cost*2 Strippers)*CRF</t>
  </si>
  <si>
    <t>Initial Compliance Costs</t>
  </si>
  <si>
    <t>Annualized Initial Compliance Costs</t>
  </si>
  <si>
    <t>Dispersion</t>
  </si>
  <si>
    <t>Suspension</t>
  </si>
  <si>
    <t>Copolymer (VDCO-S)</t>
  </si>
  <si>
    <t>Copolymer (VACO-D)</t>
  </si>
  <si>
    <t>Suspension Blending</t>
  </si>
  <si>
    <t>1. National Environmental Methods Index Website https://www.nemi.gov/apex/f?p=237:38:951365369293524::::P38_METHOD_ID:7041</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</si>
  <si>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</si>
  <si>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</si>
  <si>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</si>
  <si>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</si>
  <si>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</si>
  <si>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</si>
  <si>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</si>
  <si>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</si>
  <si>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Count of Wastewater StreamID_STD</t>
  </si>
  <si>
    <t>FacilityName</t>
  </si>
  <si>
    <t>Formosa Plastics Corporation Baton Rouge</t>
  </si>
  <si>
    <t>Georgia Gulf Chemicals Aberdeen Facility</t>
  </si>
  <si>
    <t>Lake Charles Polymer Plant</t>
  </si>
  <si>
    <t>OxyVinyls Deer Park</t>
  </si>
  <si>
    <t>OxyVinyls Pasadena</t>
  </si>
  <si>
    <t>PolyOne Henry</t>
  </si>
  <si>
    <t>Shintech Addis</t>
  </si>
  <si>
    <t>Shintech Freeport</t>
  </si>
  <si>
    <t>Shintech Plaquemine</t>
  </si>
  <si>
    <t>Union Carbide Texas City</t>
  </si>
  <si>
    <t>Westlake Calvert City</t>
  </si>
  <si>
    <t>Westlake Geismar</t>
  </si>
  <si>
    <t>Grand Total</t>
  </si>
  <si>
    <t>h</t>
  </si>
  <si>
    <t>n/a</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</si>
  <si>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</si>
  <si>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</si>
  <si>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</si>
  <si>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</si>
  <si>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</si>
  <si>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</si>
  <si>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</si>
  <si>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</si>
  <si>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</si>
  <si>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</si>
  <si>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</si>
  <si>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</si>
  <si>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</si>
  <si>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</si>
  <si>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</si>
  <si>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</si>
  <si>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</si>
  <si>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</si>
  <si>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</si>
  <si>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</si>
  <si>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</si>
  <si>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</si>
  <si>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</si>
  <si>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</si>
  <si>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</si>
  <si>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</si>
  <si>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</si>
  <si>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</si>
  <si>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</si>
  <si>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</si>
  <si>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</si>
  <si>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</si>
  <si>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</si>
  <si>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WastewaterTesting and Sampling Cost Estimate</t>
  </si>
  <si>
    <t>Hourly Rate Determinations</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</si>
  <si>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</si>
  <si>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</si>
  <si>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</si>
  <si>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</si>
  <si>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</si>
  <si>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</si>
  <si>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</si>
  <si>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</si>
  <si>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</si>
  <si>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t>Facilities going from V to UU</t>
  </si>
  <si>
    <t>Incremental BTF Costs for Facilities going from V to UU</t>
  </si>
  <si>
    <t>Equipment Leaks BTF Costs Calculation on a Facility Basis</t>
  </si>
  <si>
    <t>MACT</t>
  </si>
  <si>
    <t>ATTACHMENT E: RECORDKEEPING AND REPORTING COST ALGORITHM</t>
  </si>
  <si>
    <t xml:space="preserve">15 WW Strippers + Sum of Uncontrolled Streams = </t>
  </si>
  <si>
    <t>Increase: Update labor rates</t>
  </si>
  <si>
    <t>Capital/Startup vs. Operation and Maintenance (O&amp;M) Costs</t>
  </si>
  <si>
    <t>Subtotal for Recordkeeping Requirements</t>
  </si>
  <si>
    <t>Updated labor rates</t>
  </si>
  <si>
    <t>2020:</t>
  </si>
  <si>
    <r>
      <t xml:space="preserve">Subtotal for Reporting Requirements </t>
    </r>
    <r>
      <rPr>
        <b/>
        <i/>
        <vertAlign val="superscript"/>
        <sz val="9"/>
        <rFont val="Calibri"/>
        <family val="2"/>
        <scheme val="minor"/>
      </rPr>
      <t>l</t>
    </r>
  </si>
  <si>
    <t>1. Applications</t>
  </si>
  <si>
    <t>2. Surveys and Studies</t>
  </si>
  <si>
    <t>3. Reporting Requirements</t>
  </si>
  <si>
    <t>B. Required Activities</t>
  </si>
  <si>
    <t>C. Create Information</t>
  </si>
  <si>
    <t>D. Gather Information</t>
  </si>
  <si>
    <t>E. Report Preparation</t>
  </si>
  <si>
    <t>4. Recordkeeping Requirements</t>
  </si>
  <si>
    <t>A. Familiarization with Regulatory Requirements</t>
  </si>
  <si>
    <t>B. Implement Activities</t>
  </si>
  <si>
    <t>C. Develop Record System</t>
  </si>
  <si>
    <t>D. Record Information</t>
  </si>
  <si>
    <r>
      <rPr>
        <vertAlign val="superscript"/>
        <sz val="9"/>
        <rFont val="Calibri"/>
        <family val="2"/>
        <scheme val="minor"/>
      </rPr>
      <t>b</t>
    </r>
    <r>
      <rPr>
        <sz val="9"/>
        <rFont val="Calibri"/>
        <family val="2"/>
        <scheme val="minor"/>
      </rPr>
      <t xml:space="preserve"> Labor rates are $148.45 for managerial, $121.46 for technical, and $60.23 for clerical. These rates from the United States Department of Labor, Bureau of Labor Statistics, September June 2018,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</si>
  <si>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9"/>
        <rFont val="Calibri"/>
        <family val="2"/>
        <scheme val="minor"/>
      </rPr>
      <t>c</t>
    </r>
    <r>
      <rPr>
        <sz val="9"/>
        <rFont val="Calibri"/>
        <family val="2"/>
        <scheme val="minor"/>
      </rPr>
      <t xml:space="preserve"> One-time only costs.</t>
    </r>
  </si>
  <si>
    <r>
      <rPr>
        <vertAlign val="superscript"/>
        <sz val="9"/>
        <rFont val="Calibri"/>
        <family val="2"/>
        <scheme val="minor"/>
      </rPr>
      <t>d</t>
    </r>
    <r>
      <rPr>
        <sz val="9"/>
        <rFont val="Calibri"/>
        <family val="2"/>
        <scheme val="minor"/>
      </rPr>
      <t xml:space="preserve"> Cost incurred by a facility regardless of the number of affected units at the plant.</t>
    </r>
  </si>
  <si>
    <t>(A)
Respondent Hours per Occurrence (Technical Hours)</t>
  </si>
  <si>
    <t>(B)
Number of Occurrences per Respondent per Year</t>
  </si>
  <si>
    <t>(C)
Hours per Respondent per Year
(C = A x B)</t>
  </si>
  <si>
    <t>(E)
Technical Hours per Year
(E = C x D)</t>
  </si>
  <si>
    <t>(F)
Management Hours per Year
(F = E x 0.05)</t>
  </si>
  <si>
    <t>(G)
Clerical Hours per Year
(G = E x 0.1)</t>
  </si>
  <si>
    <r>
      <t xml:space="preserve">(D)
Number of Respondents per Year </t>
    </r>
    <r>
      <rPr>
        <vertAlign val="superscript"/>
        <sz val="9"/>
        <color theme="1"/>
        <rFont val="Calibri"/>
        <family val="2"/>
        <scheme val="minor"/>
      </rPr>
      <t>a</t>
    </r>
  </si>
  <si>
    <r>
      <t xml:space="preserve">(H)
Total Labor Costs per Year </t>
    </r>
    <r>
      <rPr>
        <vertAlign val="superscript"/>
        <sz val="9"/>
        <color theme="1"/>
        <rFont val="Calibri"/>
        <family val="2"/>
        <scheme val="minor"/>
      </rPr>
      <t>b</t>
    </r>
  </si>
  <si>
    <r>
      <t xml:space="preserve">TOTAL LABOR BURDEN AND COSTS (rounded) </t>
    </r>
    <r>
      <rPr>
        <b/>
        <vertAlign val="superscript"/>
        <sz val="9"/>
        <rFont val="Calibri"/>
        <family val="2"/>
        <scheme val="minor"/>
      </rPr>
      <t>r</t>
    </r>
  </si>
  <si>
    <r>
      <t xml:space="preserve">TOTAL CAPITAL AND O&amp;M COST (rounded) </t>
    </r>
    <r>
      <rPr>
        <b/>
        <vertAlign val="superscript"/>
        <sz val="9"/>
        <rFont val="Calibri"/>
        <family val="2"/>
        <scheme val="minor"/>
      </rPr>
      <t>r</t>
    </r>
  </si>
  <si>
    <r>
      <t xml:space="preserve">GRAND TOTAL (rounded) </t>
    </r>
    <r>
      <rPr>
        <b/>
        <vertAlign val="superscript"/>
        <sz val="9"/>
        <rFont val="Calibri"/>
        <family val="2"/>
        <scheme val="minor"/>
      </rPr>
      <t>r</t>
    </r>
  </si>
  <si>
    <t>3. Required Activities</t>
  </si>
  <si>
    <t>E. Report Reviews</t>
  </si>
  <si>
    <t xml:space="preserve">4. Travel expenses:  (1 person *  30 hours per year / 8 hours per day * $75 per diem) + ($600 per round trip) = </t>
  </si>
  <si>
    <r>
      <rPr>
        <vertAlign val="superscript"/>
        <sz val="9"/>
        <rFont val="Calibri"/>
        <family val="2"/>
        <scheme val="minor"/>
      </rPr>
      <t>b</t>
    </r>
    <r>
      <rPr>
        <sz val="9"/>
        <rFont val="Calibri"/>
        <family val="2"/>
        <scheme val="minor"/>
      </rPr>
      <t xml:space="preserve"> Labor rates are $68.37 for managerial (GS-13, Step 5, $42.73 + 60%), $50.72 for technical (GS-12, Step 1, $31.70 + 60%), and $27.46 for clerical (GS-6, Step 3, $17.16 + 60%). These rates from the Office of Personnel Management (OPM), 2018 General Schedule, which excludes locality rates of pay. The rates have been increased by 60 percent to account for the benefit packages available to government employees.</t>
    </r>
  </si>
  <si>
    <t>(A)
EPA Person-Hours per Occurrence</t>
  </si>
  <si>
    <t>(B)
Number of Occurrences per Plant per Year</t>
  </si>
  <si>
    <t>(C)
EPA Person-Hours per Plant per Year
(C = A x B)</t>
  </si>
  <si>
    <t>(E)
Technical Person-Hours per Year
(E = C x D)</t>
  </si>
  <si>
    <t>(F)
Management Person-Hours per Year
(F = E x 0.05)</t>
  </si>
  <si>
    <t>(G)
Clerical Person-Hours per Year
(G = E x 0.1)</t>
  </si>
  <si>
    <r>
      <t xml:space="preserve">(H)
EPA Total Cost per Year </t>
    </r>
    <r>
      <rPr>
        <vertAlign val="superscript"/>
        <sz val="9"/>
        <color theme="1"/>
        <rFont val="Calibri"/>
        <family val="2"/>
        <scheme val="minor"/>
      </rPr>
      <t>b</t>
    </r>
  </si>
  <si>
    <t>Annual EPA Burden and Cost (40 CFR Part 63 Subpart DDDDDD)</t>
  </si>
  <si>
    <t>Annual Respondent Burden and Cost (40 CFR Part 63 Subpart DDDDDD)</t>
  </si>
  <si>
    <t>Capital/Startup/O&amp;M Item</t>
  </si>
  <si>
    <t>(A)
Capital/Startup Cost for One Respondent</t>
  </si>
  <si>
    <t xml:space="preserve">(B)
Number of New Respondents </t>
  </si>
  <si>
    <t>(C)
Total Capital/Startup Cost
(C = A x B)</t>
  </si>
  <si>
    <t>(D)
Annual O&amp;M Costs for One Respondent</t>
  </si>
  <si>
    <t>(E)
Number of Respondents  with O&amp;M</t>
  </si>
  <si>
    <t>(F)
Total O&amp;M
(F = D x E)</t>
  </si>
  <si>
    <r>
      <rPr>
        <vertAlign val="superscript"/>
        <sz val="9"/>
        <rFont val="Calibri"/>
        <family val="2"/>
        <scheme val="minor"/>
      </rPr>
      <t>a</t>
    </r>
    <r>
      <rPr>
        <sz val="9"/>
        <rFont val="Calibri"/>
        <family val="2"/>
        <scheme val="minor"/>
      </rPr>
      <t xml:space="preserve"> Assumes that, over the next three years, approximately 3 respondents per year will be subject to the standard, and no additional respondents per year will become subject to the standard. </t>
    </r>
  </si>
  <si>
    <t>1) Records of Wastewater Requirements</t>
  </si>
  <si>
    <t>Note: Totals have been rounded to 3 significant figures. Figures may not add exactly due to rounding.</t>
  </si>
  <si>
    <t>O&amp;M costs shown as negative to reflect savings from no longer performing TOHAP wastewater testing.</t>
  </si>
  <si>
    <t>Labor hours and costs shown as negative to reflect savings from no longer performing TOHAP wastewater testing.</t>
  </si>
  <si>
    <r>
      <rPr>
        <vertAlign val="superscript"/>
        <sz val="9"/>
        <rFont val="Calibri"/>
        <family val="2"/>
        <scheme val="minor"/>
      </rPr>
      <t>f</t>
    </r>
    <r>
      <rPr>
        <sz val="9"/>
        <rFont val="Calibri"/>
        <family val="2"/>
        <scheme val="minor"/>
      </rPr>
      <t xml:space="preserve"> Totals have been rounded to 3 significant figures.  Figures may not add exactly due to rounding.</t>
    </r>
  </si>
  <si>
    <r>
      <rPr>
        <vertAlign val="superscript"/>
        <sz val="9"/>
        <rFont val="Calibri"/>
        <family val="2"/>
        <scheme val="minor"/>
      </rPr>
      <t>g</t>
    </r>
    <r>
      <rPr>
        <sz val="9"/>
        <rFont val="Calibri"/>
        <family val="2"/>
        <scheme val="minor"/>
      </rPr>
      <t xml:space="preserve"> The proposed rule revisions do not impact reporting requirements and thus no burden or burden reduction is shown for report preparation.</t>
    </r>
  </si>
  <si>
    <t>1) Periodic Performance Test, Sampling, and Report</t>
  </si>
  <si>
    <r>
      <t xml:space="preserve">A. Familiarization with Regulatory Requirements </t>
    </r>
    <r>
      <rPr>
        <vertAlign val="superscript"/>
        <sz val="9"/>
        <rFont val="Calibri"/>
        <family val="2"/>
        <scheme val="minor"/>
      </rPr>
      <t>c,d</t>
    </r>
  </si>
  <si>
    <r>
      <t xml:space="preserve">not applicable </t>
    </r>
    <r>
      <rPr>
        <vertAlign val="superscript"/>
        <sz val="9"/>
        <rFont val="Calibri"/>
        <family val="2"/>
        <scheme val="minor"/>
      </rPr>
      <t>g</t>
    </r>
  </si>
  <si>
    <r>
      <rPr>
        <vertAlign val="superscript"/>
        <sz val="9"/>
        <rFont val="Calibri"/>
        <family val="2"/>
        <scheme val="minor"/>
      </rPr>
      <t>c</t>
    </r>
    <r>
      <rPr>
        <sz val="9"/>
        <rFont val="Calibri"/>
        <family val="2"/>
        <scheme val="minor"/>
      </rPr>
      <t xml:space="preserve"> The proposed rule revisions do not impact reporting requirements and thus no burden or burden reduction is shown for report preparation.</t>
    </r>
  </si>
  <si>
    <r>
      <rPr>
        <vertAlign val="superscript"/>
        <sz val="9"/>
        <rFont val="Calibri"/>
        <family val="2"/>
        <scheme val="minor"/>
      </rPr>
      <t>d</t>
    </r>
    <r>
      <rPr>
        <sz val="9"/>
        <rFont val="Calibri"/>
        <family val="2"/>
        <scheme val="minor"/>
      </rPr>
      <t xml:space="preserve"> Using four hours per state (8 states) to write annual summary report.</t>
    </r>
  </si>
  <si>
    <r>
      <rPr>
        <vertAlign val="superscript"/>
        <sz val="9"/>
        <rFont val="Calibri"/>
        <family val="2"/>
        <scheme val="minor"/>
      </rPr>
      <t>e</t>
    </r>
    <r>
      <rPr>
        <sz val="9"/>
        <rFont val="Calibri"/>
        <family val="2"/>
        <scheme val="minor"/>
      </rPr>
      <t xml:space="preserve"> Totals have been rounded to 3 significant figures. Figures may not add exactly due to rounding.</t>
    </r>
  </si>
  <si>
    <r>
      <rPr>
        <vertAlign val="superscript"/>
        <sz val="9"/>
        <rFont val="Calibri"/>
        <family val="2"/>
        <scheme val="minor"/>
      </rPr>
      <t>a</t>
    </r>
    <r>
      <rPr>
        <sz val="9"/>
        <rFont val="Calibri"/>
        <family val="2"/>
        <scheme val="minor"/>
      </rPr>
      <t xml:space="preserve"> Total Number of occurrences is the number of states and EPA Regions with affected sources (3 states + 2 EPA regions = 5 respondents). Assumed 8 hours per state and region to read and understand the rule requirements.</t>
    </r>
  </si>
  <si>
    <r>
      <t xml:space="preserve">2. Familiarization with Rule Requirements </t>
    </r>
    <r>
      <rPr>
        <vertAlign val="superscript"/>
        <sz val="9"/>
        <rFont val="Calibri"/>
        <family val="2"/>
        <scheme val="minor"/>
      </rPr>
      <t>a</t>
    </r>
  </si>
  <si>
    <t>A. Observe initial performance tests</t>
  </si>
  <si>
    <t>B. Excess emissions -- Enforcement Activities</t>
  </si>
  <si>
    <r>
      <t xml:space="preserve">F. Prepare annual summary report </t>
    </r>
    <r>
      <rPr>
        <vertAlign val="superscript"/>
        <sz val="9"/>
        <rFont val="Calibri"/>
        <family val="2"/>
        <scheme val="minor"/>
      </rPr>
      <t>d</t>
    </r>
  </si>
  <si>
    <r>
      <t xml:space="preserve">TOTAL ANNUAL BURDEN AND COST (rounded) </t>
    </r>
    <r>
      <rPr>
        <b/>
        <vertAlign val="superscript"/>
        <sz val="9"/>
        <rFont val="Calibri"/>
        <family val="2"/>
        <scheme val="minor"/>
      </rPr>
      <t>e</t>
    </r>
  </si>
  <si>
    <t>(D)
Plants per Year</t>
  </si>
  <si>
    <r>
      <t xml:space="preserve">not applicable </t>
    </r>
    <r>
      <rPr>
        <vertAlign val="superscript"/>
        <sz val="9"/>
        <rFont val="Calibri"/>
        <family val="2"/>
        <scheme val="minor"/>
      </rPr>
      <t>c</t>
    </r>
  </si>
  <si>
    <r>
      <t>a) Stripped Wastewater: TOHAP</t>
    </r>
    <r>
      <rPr>
        <vertAlign val="superscript"/>
        <sz val="9"/>
        <rFont val="Calibri"/>
        <family val="2"/>
        <scheme val="minor"/>
      </rPr>
      <t xml:space="preserve"> e</t>
    </r>
  </si>
  <si>
    <r>
      <t xml:space="preserve">b) Uncontrolled Wastewater: TOHAP </t>
    </r>
    <r>
      <rPr>
        <vertAlign val="superscript"/>
        <sz val="8"/>
        <rFont val="Arial"/>
        <family val="2"/>
      </rPr>
      <t>e</t>
    </r>
  </si>
  <si>
    <r>
      <rPr>
        <vertAlign val="superscript"/>
        <sz val="9"/>
        <rFont val="Calibri"/>
        <family val="2"/>
        <scheme val="minor"/>
      </rPr>
      <t>e</t>
    </r>
    <r>
      <rPr>
        <sz val="9"/>
        <rFont val="Calibri"/>
        <family val="2"/>
        <scheme val="minor"/>
      </rPr>
      <t xml:space="preserve"> TOHAP Wastewater testing is estimated to take 4 hours per sample for 2 samples per facility. There is 1 wastewater stream per facility for area sources that is sampled monthly.  There 1 uncontrolled wastewater stream per source that is sampled annually.  See Capital/O&amp;M costs for TOHAP samples.</t>
    </r>
  </si>
  <si>
    <r>
      <t xml:space="preserve">Stripped Wastewater: TOHAP testing </t>
    </r>
    <r>
      <rPr>
        <vertAlign val="superscript"/>
        <sz val="9"/>
        <color rgb="FF000000"/>
        <rFont val="Calibri"/>
        <family val="2"/>
        <scheme val="minor"/>
      </rPr>
      <t>1</t>
    </r>
  </si>
  <si>
    <r>
      <t xml:space="preserve">Uncontrolled Wastewater: TOHAP testing </t>
    </r>
    <r>
      <rPr>
        <vertAlign val="superscript"/>
        <sz val="9"/>
        <color rgb="FF000000"/>
        <rFont val="Calibri"/>
        <family val="2"/>
        <scheme val="minor"/>
      </rPr>
      <t>2</t>
    </r>
  </si>
  <si>
    <r>
      <t xml:space="preserve">1 </t>
    </r>
    <r>
      <rPr>
        <sz val="9"/>
        <color rgb="FF000000"/>
        <rFont val="Calibri"/>
        <family val="2"/>
        <scheme val="minor"/>
      </rPr>
      <t>Average cost for TOHAP testing is $538.72 per area source, and 1 test per area source per month.</t>
    </r>
  </si>
  <si>
    <r>
      <rPr>
        <vertAlign val="superscript"/>
        <sz val="9"/>
        <rFont val="Calibri"/>
        <family val="2"/>
        <scheme val="minor"/>
      </rPr>
      <t>2</t>
    </r>
    <r>
      <rPr>
        <sz val="9"/>
        <rFont val="Calibri"/>
        <family val="2"/>
        <scheme val="minor"/>
      </rPr>
      <t xml:space="preserve"> TOHAP testing on uncontrolled streams is performed annually. There is 1 uncontrolled stream per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</si>
</sst>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s>
  <fonts count="58" x14ac:knownFonts="1">
    <font>
      <sz val="8"/>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Helv"/>
    </font>
    <font>
      <sz val="8"/>
      <name val="Courier"/>
      <family val="3"/>
    </font>
    <font>
      <sz val="10"/>
      <color indexed="8"/>
      <name val="Arial"/>
      <family val="2"/>
    </font>
    <font>
      <sz val="8"/>
      <name val="Arial"/>
      <family val="2"/>
    </font>
    <font>
      <b/>
      <sz val="10"/>
      <name val="Arial"/>
      <family val="2"/>
    </font>
    <font>
      <sz val="10"/>
      <name val="Arial"/>
      <family val="2"/>
    </font>
    <font>
      <sz val="10"/>
      <color indexed="8"/>
      <name val="Arial"/>
      <family val="2"/>
    </font>
    <font>
      <u/>
      <sz val="10"/>
      <name val="Arial"/>
      <family val="2"/>
    </font>
    <font>
      <u/>
      <sz val="10"/>
      <name val="Arial"/>
      <family val="2"/>
    </font>
    <font>
      <u/>
      <sz val="10"/>
      <color indexed="8"/>
      <name val="Arial"/>
      <family val="2"/>
    </font>
    <font>
      <b/>
      <u/>
      <sz val="10"/>
      <name val="Arial"/>
      <family val="2"/>
    </font>
    <font>
      <b/>
      <sz val="8"/>
      <name val="Arial"/>
      <family val="2"/>
    </font>
    <font>
      <sz val="8"/>
      <color indexed="8"/>
      <name val="Verdana"/>
      <family val="2"/>
    </font>
    <font>
      <sz val="8"/>
      <name val="Arial"/>
      <family val="2"/>
    </font>
    <font>
      <b/>
      <u/>
      <sz val="8"/>
      <name val="Arial"/>
      <family val="2"/>
    </font>
    <font>
      <sz val="8"/>
      <name val="Verdana"/>
      <family val="2"/>
    </font>
    <font>
      <b/>
      <sz val="9"/>
      <name val="Arial"/>
      <family val="2"/>
    </font>
    <font>
      <sz val="9"/>
      <name val="Arial"/>
      <family val="2"/>
    </font>
    <font>
      <sz val="9"/>
      <color indexed="8"/>
      <name val="Arial"/>
      <family val="2"/>
    </font>
    <font>
      <b/>
      <sz val="9"/>
      <color indexed="8"/>
      <name val="Arial"/>
      <family val="2"/>
    </font>
    <font>
      <u/>
      <sz val="8"/>
      <name val="Arial"/>
      <family val="2"/>
    </font>
    <font>
      <vertAlign val="superscript"/>
      <sz val="10"/>
      <name val="Arial"/>
      <family val="2"/>
    </font>
    <font>
      <sz val="11"/>
      <name val="Arial"/>
      <family val="2"/>
    </font>
    <font>
      <sz val="9"/>
      <color rgb="FFFF0000"/>
      <name val="Arial"/>
      <family val="2"/>
    </font>
    <font>
      <sz val="8"/>
      <name val="Times New Roman"/>
      <family val="1"/>
    </font>
    <font>
      <sz val="10"/>
      <color rgb="FF0070C0"/>
      <name val="Arial"/>
      <family val="2"/>
    </font>
    <font>
      <b/>
      <sz val="11"/>
      <color theme="1"/>
      <name val="Calibri"/>
      <family val="2"/>
      <scheme val="minor"/>
    </font>
    <font>
      <b/>
      <u val="double"/>
      <sz val="16"/>
      <name val="Helv"/>
    </font>
    <font>
      <u val="double"/>
      <sz val="16"/>
      <name val="Helv"/>
    </font>
    <font>
      <b/>
      <u val="double"/>
      <sz val="16"/>
      <name val="Arial"/>
      <family val="2"/>
    </font>
    <font>
      <b/>
      <sz val="10"/>
      <name val="Times New Roman"/>
      <family val="1"/>
    </font>
    <font>
      <b/>
      <vertAlign val="superscript"/>
      <sz val="10"/>
      <name val="Times New Roman"/>
      <family val="1"/>
    </font>
    <font>
      <sz val="9"/>
      <color rgb="FF000000"/>
      <name val="Calibri"/>
      <family val="2"/>
      <scheme val="minor"/>
    </font>
    <font>
      <sz val="9"/>
      <name val="Calibri"/>
      <family val="2"/>
      <scheme val="minor"/>
    </font>
    <font>
      <b/>
      <sz val="9"/>
      <color rgb="FF000000"/>
      <name val="Calibri"/>
      <family val="2"/>
      <scheme val="minor"/>
    </font>
    <font>
      <vertAlign val="superscript"/>
      <sz val="9"/>
      <color rgb="FF000000"/>
      <name val="Calibri"/>
      <family val="2"/>
      <scheme val="minor"/>
    </font>
    <font>
      <strike/>
      <sz val="9"/>
      <name val="Calibri"/>
      <family val="2"/>
      <scheme val="minor"/>
    </font>
    <font>
      <sz val="9"/>
      <color rgb="FFFF0000"/>
      <name val="Calibri"/>
      <family val="2"/>
      <scheme val="minor"/>
    </font>
    <font>
      <vertAlign val="superscript"/>
      <sz val="9"/>
      <name val="Calibri"/>
      <family val="2"/>
      <scheme val="minor"/>
    </font>
    <font>
      <b/>
      <sz val="12"/>
      <color rgb="FF000000"/>
      <name val="Calibri"/>
      <family val="2"/>
      <scheme val="minor"/>
    </font>
    <font>
      <b/>
      <sz val="12"/>
      <name val="Calibri"/>
      <family val="2"/>
      <scheme val="minor"/>
    </font>
    <font>
      <b/>
      <sz val="9"/>
      <name val="Calibri"/>
      <family val="2"/>
      <scheme val="minor"/>
    </font>
    <font>
      <b/>
      <vertAlign val="superscript"/>
      <sz val="9"/>
      <name val="Calibri"/>
      <family val="2"/>
      <scheme val="minor"/>
    </font>
    <font>
      <sz val="9"/>
      <color indexed="12"/>
      <name val="Calibri"/>
      <family val="2"/>
      <scheme val="minor"/>
    </font>
    <font>
      <b/>
      <sz val="9"/>
      <color rgb="FFFF0000"/>
      <name val="Calibri"/>
      <family val="2"/>
      <scheme val="minor"/>
    </font>
    <font>
      <sz val="9"/>
      <color theme="1"/>
      <name val="Calibri"/>
      <family val="2"/>
      <scheme val="minor"/>
    </font>
    <font>
      <b/>
      <i/>
      <sz val="9"/>
      <name val="Calibri"/>
      <family val="2"/>
      <scheme val="minor"/>
    </font>
    <font>
      <b/>
      <i/>
      <vertAlign val="superscript"/>
      <sz val="9"/>
      <name val="Calibri"/>
      <family val="2"/>
      <scheme val="minor"/>
    </font>
    <font>
      <vertAlign val="superscript"/>
      <sz val="9"/>
      <color theme="1"/>
      <name val="Calibri"/>
      <family val="2"/>
      <scheme val="minor"/>
    </font>
    <font>
      <vertAlign val="superscript"/>
      <sz val="8"/>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bottom style="thin">
        <color auto="1"/>
      </bottom>
      <diagonal/>
    </border>
    <border>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4">
    <xf numFmtId="164"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9" fillId="0" borderId="0"/>
    <xf numFmtId="0" fontId="7" fillId="0" borderId="0"/>
    <xf numFmtId="0" fontId="7" fillId="0" borderId="0"/>
    <xf numFmtId="0" fontId="10" fillId="0" borderId="0"/>
    <xf numFmtId="164" fontId="8" fillId="0" borderId="0"/>
    <xf numFmtId="0" fontId="7" fillId="0" borderId="0"/>
    <xf numFmtId="0" fontId="6" fillId="0" borderId="0"/>
    <xf numFmtId="0" fontId="3" fillId="0" borderId="0"/>
    <xf numFmtId="0" fontId="2" fillId="0" borderId="0"/>
    <xf numFmtId="0" fontId="1" fillId="0" borderId="0"/>
  </cellStyleXfs>
  <cellXfs count="320">
    <xf numFmtId="164" fontId="0" fillId="0" borderId="0" xfId="0"/>
    <xf numFmtId="0" fontId="13" fillId="0" borderId="0" xfId="4" applyFont="1" applyBorder="1"/>
    <xf numFmtId="0" fontId="14" fillId="0" borderId="5" xfId="4" applyFont="1" applyFill="1" applyBorder="1" applyAlignment="1" applyProtection="1">
      <alignment vertical="top" wrapText="1"/>
    </xf>
    <xf numFmtId="3" fontId="14" fillId="0" borderId="3" xfId="4" applyNumberFormat="1" applyFont="1" applyFill="1" applyBorder="1" applyAlignment="1" applyProtection="1">
      <alignment horizontal="right" vertical="top"/>
    </xf>
    <xf numFmtId="0" fontId="13" fillId="0" borderId="6" xfId="4" applyFont="1" applyBorder="1" applyAlignment="1">
      <alignment vertical="top"/>
    </xf>
    <xf numFmtId="0" fontId="14" fillId="0" borderId="0" xfId="4" applyFont="1" applyFill="1" applyBorder="1" applyAlignment="1" applyProtection="1"/>
    <xf numFmtId="0" fontId="14" fillId="0" borderId="0" xfId="5" applyFont="1" applyFill="1" applyAlignment="1" applyProtection="1"/>
    <xf numFmtId="0" fontId="17" fillId="0" borderId="0" xfId="7" applyFont="1" applyFill="1" applyBorder="1" applyAlignment="1">
      <alignment vertical="top"/>
    </xf>
    <xf numFmtId="0" fontId="13" fillId="0" borderId="0" xfId="5" quotePrefix="1" applyFont="1" applyFill="1" applyBorder="1"/>
    <xf numFmtId="0" fontId="13" fillId="0" borderId="0" xfId="5" applyFont="1" applyFill="1" applyBorder="1"/>
    <xf numFmtId="0" fontId="16" fillId="0" borderId="0" xfId="5" applyFont="1" applyBorder="1"/>
    <xf numFmtId="1" fontId="13" fillId="0" borderId="0" xfId="4" applyNumberFormat="1" applyFont="1" applyBorder="1"/>
    <xf numFmtId="0" fontId="13" fillId="0" borderId="0" xfId="4" applyFont="1" applyFill="1" applyBorder="1"/>
    <xf numFmtId="0" fontId="13" fillId="0" borderId="0" xfId="4" applyFont="1" applyFill="1" applyBorder="1" applyAlignment="1">
      <alignment wrapText="1"/>
    </xf>
    <xf numFmtId="164" fontId="8" fillId="0" borderId="0" xfId="8"/>
    <xf numFmtId="164" fontId="8" fillId="0" borderId="0" xfId="8" applyFill="1"/>
    <xf numFmtId="164" fontId="19" fillId="0" borderId="0" xfId="8" applyFont="1" applyFill="1" applyBorder="1" applyAlignment="1">
      <alignment horizontal="left" vertical="center" wrapText="1"/>
    </xf>
    <xf numFmtId="164" fontId="19" fillId="0" borderId="0" xfId="8" applyFont="1" applyFill="1" applyBorder="1" applyAlignment="1">
      <alignment horizontal="center" vertical="center" wrapText="1"/>
    </xf>
    <xf numFmtId="164" fontId="11" fillId="0" borderId="0" xfId="8" applyFont="1" applyFill="1" applyBorder="1" applyAlignment="1">
      <alignment wrapText="1"/>
    </xf>
    <xf numFmtId="169" fontId="11" fillId="0" borderId="0" xfId="8" applyNumberFormat="1" applyFont="1" applyFill="1" applyBorder="1"/>
    <xf numFmtId="169" fontId="20" fillId="0" borderId="0" xfId="8" applyNumberFormat="1" applyFont="1" applyFill="1" applyBorder="1" applyAlignment="1">
      <alignment horizontal="right" wrapText="1"/>
    </xf>
    <xf numFmtId="164" fontId="13" fillId="0" borderId="0" xfId="8" applyFont="1" applyFill="1" applyBorder="1" applyAlignment="1">
      <alignment horizontal="left" vertical="center" wrapText="1"/>
    </xf>
    <xf numFmtId="0" fontId="16" fillId="0" borderId="0" xfId="4" applyFont="1" applyBorder="1"/>
    <xf numFmtId="169" fontId="20" fillId="3" borderId="3" xfId="8" applyNumberFormat="1" applyFont="1" applyFill="1" applyBorder="1" applyAlignment="1">
      <alignment horizontal="right" wrapText="1"/>
    </xf>
    <xf numFmtId="169" fontId="13" fillId="3" borderId="9" xfId="4" applyNumberFormat="1" applyFont="1" applyFill="1" applyBorder="1"/>
    <xf numFmtId="169" fontId="13" fillId="3" borderId="3" xfId="4" applyNumberFormat="1" applyFont="1" applyFill="1" applyBorder="1"/>
    <xf numFmtId="0" fontId="7" fillId="0" borderId="0" xfId="3"/>
    <xf numFmtId="164" fontId="18" fillId="0" borderId="4" xfId="8" applyFont="1" applyFill="1" applyBorder="1" applyAlignment="1">
      <alignment horizontal="center" vertical="center" wrapText="1"/>
    </xf>
    <xf numFmtId="164" fontId="22" fillId="0" borderId="3" xfId="8" applyFont="1" applyFill="1" applyBorder="1" applyAlignment="1">
      <alignment horizontal="center" vertical="center" wrapText="1"/>
    </xf>
    <xf numFmtId="164" fontId="19" fillId="0" borderId="3" xfId="8" applyFont="1" applyFill="1" applyBorder="1" applyAlignment="1">
      <alignment horizontal="left" vertical="center" wrapText="1" indent="2"/>
    </xf>
    <xf numFmtId="164" fontId="21" fillId="0" borderId="3" xfId="8" applyFont="1" applyFill="1" applyBorder="1" applyAlignment="1">
      <alignment horizontal="center" vertical="center" wrapText="1"/>
    </xf>
    <xf numFmtId="169" fontId="23" fillId="0" borderId="3" xfId="8" applyNumberFormat="1" applyFont="1" applyFill="1" applyBorder="1" applyAlignment="1">
      <alignment horizontal="right" wrapText="1"/>
    </xf>
    <xf numFmtId="164" fontId="19" fillId="0" borderId="3" xfId="8" applyFont="1" applyFill="1" applyBorder="1" applyAlignment="1">
      <alignment horizontal="left" vertical="center" wrapText="1"/>
    </xf>
    <xf numFmtId="164" fontId="19" fillId="0" borderId="3" xfId="8" applyFont="1" applyFill="1" applyBorder="1" applyAlignment="1">
      <alignment horizontal="center" vertical="center" wrapText="1"/>
    </xf>
    <xf numFmtId="164" fontId="11" fillId="0" borderId="3" xfId="8" applyFont="1" applyFill="1" applyBorder="1" applyAlignment="1">
      <alignment wrapText="1"/>
    </xf>
    <xf numFmtId="0" fontId="12" fillId="0" borderId="0" xfId="5" applyFont="1" applyFill="1" applyBorder="1"/>
    <xf numFmtId="0" fontId="7" fillId="0" borderId="19" xfId="5" applyFill="1" applyBorder="1" applyAlignment="1">
      <alignment wrapText="1"/>
    </xf>
    <xf numFmtId="0" fontId="12" fillId="0" borderId="7" xfId="5" applyFont="1" applyFill="1" applyBorder="1" applyAlignment="1">
      <alignment wrapText="1"/>
    </xf>
    <xf numFmtId="0" fontId="12" fillId="0" borderId="20" xfId="5" applyFont="1" applyFill="1" applyBorder="1" applyAlignment="1">
      <alignment wrapText="1"/>
    </xf>
    <xf numFmtId="0" fontId="13" fillId="0" borderId="9" xfId="5" applyFont="1" applyFill="1" applyBorder="1"/>
    <xf numFmtId="0" fontId="13" fillId="0" borderId="3" xfId="4" applyFont="1" applyFill="1" applyBorder="1"/>
    <xf numFmtId="0" fontId="13" fillId="0" borderId="3" xfId="5" applyFont="1" applyFill="1" applyBorder="1"/>
    <xf numFmtId="0" fontId="7" fillId="0" borderId="0" xfId="0" applyNumberFormat="1" applyFont="1"/>
    <xf numFmtId="0" fontId="0" fillId="0" borderId="0" xfId="0" applyNumberFormat="1"/>
    <xf numFmtId="0" fontId="12" fillId="0" borderId="0" xfId="0" applyNumberFormat="1" applyFont="1"/>
    <xf numFmtId="0" fontId="12" fillId="2" borderId="3" xfId="0" applyNumberFormat="1" applyFont="1" applyFill="1" applyBorder="1"/>
    <xf numFmtId="0" fontId="12" fillId="2" borderId="3" xfId="0" applyNumberFormat="1" applyFont="1" applyFill="1" applyBorder="1" applyAlignment="1">
      <alignment horizontal="center"/>
    </xf>
    <xf numFmtId="0" fontId="24" fillId="0" borderId="3" xfId="0" applyNumberFormat="1" applyFont="1" applyBorder="1"/>
    <xf numFmtId="0" fontId="24" fillId="0" borderId="3" xfId="0" applyNumberFormat="1" applyFont="1" applyBorder="1" applyAlignment="1">
      <alignment horizontal="center"/>
    </xf>
    <xf numFmtId="0" fontId="0" fillId="0" borderId="3" xfId="0" applyNumberFormat="1" applyBorder="1"/>
    <xf numFmtId="0" fontId="25" fillId="0" borderId="3" xfId="0" applyNumberFormat="1" applyFont="1" applyFill="1" applyBorder="1"/>
    <xf numFmtId="0" fontId="25" fillId="0" borderId="3" xfId="0" applyNumberFormat="1" applyFont="1" applyBorder="1"/>
    <xf numFmtId="0" fontId="26" fillId="0" borderId="3" xfId="0" applyNumberFormat="1" applyFont="1" applyFill="1" applyBorder="1" applyAlignment="1">
      <alignment vertical="top" wrapText="1"/>
    </xf>
    <xf numFmtId="0" fontId="26" fillId="0" borderId="3" xfId="0" applyNumberFormat="1" applyFont="1" applyFill="1" applyBorder="1" applyAlignment="1">
      <alignment horizontal="left" vertical="top" wrapText="1" indent="1"/>
    </xf>
    <xf numFmtId="44" fontId="25" fillId="0" borderId="3" xfId="2" applyFont="1" applyBorder="1"/>
    <xf numFmtId="44" fontId="0" fillId="0" borderId="3" xfId="0" applyNumberFormat="1" applyBorder="1"/>
    <xf numFmtId="171" fontId="0" fillId="0" borderId="3" xfId="0" applyNumberFormat="1" applyBorder="1"/>
    <xf numFmtId="167" fontId="25" fillId="0" borderId="3" xfId="0" quotePrefix="1" applyNumberFormat="1" applyFont="1" applyBorder="1"/>
    <xf numFmtId="167" fontId="25" fillId="0" borderId="3" xfId="0" applyNumberFormat="1" applyFont="1" applyBorder="1"/>
    <xf numFmtId="170" fontId="0" fillId="0" borderId="3" xfId="0" applyNumberFormat="1" applyBorder="1"/>
    <xf numFmtId="172" fontId="0" fillId="0" borderId="3" xfId="0" applyNumberFormat="1" applyBorder="1"/>
    <xf numFmtId="49" fontId="25" fillId="0" borderId="3" xfId="0" applyNumberFormat="1" applyFont="1" applyBorder="1"/>
    <xf numFmtId="168" fontId="26" fillId="0" borderId="3" xfId="0" quotePrefix="1" applyNumberFormat="1" applyFont="1" applyFill="1" applyBorder="1" applyAlignment="1" applyProtection="1">
      <alignment vertical="top" wrapText="1"/>
    </xf>
    <xf numFmtId="168" fontId="27" fillId="0" borderId="3" xfId="0" quotePrefix="1" applyNumberFormat="1" applyFont="1" applyFill="1" applyBorder="1" applyAlignment="1" applyProtection="1">
      <alignment vertical="top" wrapText="1"/>
    </xf>
    <xf numFmtId="172" fontId="12" fillId="0" borderId="3" xfId="0" applyNumberFormat="1" applyFont="1" applyBorder="1"/>
    <xf numFmtId="0" fontId="25" fillId="0" borderId="0" xfId="0" applyNumberFormat="1" applyFont="1"/>
    <xf numFmtId="44" fontId="0" fillId="0" borderId="0" xfId="2" applyFont="1"/>
    <xf numFmtId="0" fontId="28" fillId="0" borderId="0" xfId="0" applyNumberFormat="1" applyFont="1"/>
    <xf numFmtId="0" fontId="11" fillId="0" borderId="0" xfId="0" applyNumberFormat="1" applyFont="1"/>
    <xf numFmtId="0" fontId="15" fillId="0" borderId="0" xfId="0" applyNumberFormat="1" applyFont="1"/>
    <xf numFmtId="167" fontId="0" fillId="0" borderId="0" xfId="0" applyNumberFormat="1"/>
    <xf numFmtId="0" fontId="0" fillId="0" borderId="0" xfId="0" applyNumberFormat="1" applyFill="1" applyBorder="1" applyAlignment="1">
      <alignment vertical="top"/>
    </xf>
    <xf numFmtId="172" fontId="12" fillId="5" borderId="3" xfId="0" applyNumberFormat="1" applyFont="1" applyFill="1" applyBorder="1"/>
    <xf numFmtId="164" fontId="30" fillId="0" borderId="0" xfId="0" applyFont="1" applyFill="1"/>
    <xf numFmtId="167" fontId="25" fillId="0" borderId="3" xfId="0" applyNumberFormat="1" applyFont="1" applyFill="1" applyBorder="1"/>
    <xf numFmtId="0" fontId="0" fillId="0" borderId="3" xfId="0" applyNumberFormat="1" applyFill="1" applyBorder="1"/>
    <xf numFmtId="170" fontId="0" fillId="0" borderId="3" xfId="0" applyNumberFormat="1" applyFill="1" applyBorder="1"/>
    <xf numFmtId="172" fontId="0" fillId="0" borderId="3" xfId="0" applyNumberFormat="1" applyFill="1" applyBorder="1"/>
    <xf numFmtId="0" fontId="7" fillId="0" borderId="0" xfId="3" applyFill="1"/>
    <xf numFmtId="0" fontId="31" fillId="0" borderId="3" xfId="0" applyNumberFormat="1" applyFont="1" applyFill="1" applyBorder="1"/>
    <xf numFmtId="0" fontId="32" fillId="0" borderId="0" xfId="0" applyNumberFormat="1" applyFont="1" applyFill="1" applyBorder="1" applyAlignment="1">
      <alignment horizontal="left" vertical="center"/>
    </xf>
    <xf numFmtId="43" fontId="0" fillId="0" borderId="0" xfId="1" applyFont="1" applyProtection="1"/>
    <xf numFmtId="0" fontId="12" fillId="0" borderId="0" xfId="9" applyFont="1"/>
    <xf numFmtId="0" fontId="7" fillId="0" borderId="0" xfId="9"/>
    <xf numFmtId="0" fontId="7" fillId="0" borderId="0" xfId="9" applyAlignment="1">
      <alignment horizontal="right"/>
    </xf>
    <xf numFmtId="6" fontId="7" fillId="0" borderId="0" xfId="9" applyNumberFormat="1"/>
    <xf numFmtId="0" fontId="7" fillId="0" borderId="0" xfId="9" applyFont="1"/>
    <xf numFmtId="8" fontId="7" fillId="0" borderId="0" xfId="9" applyNumberFormat="1"/>
    <xf numFmtId="0" fontId="12" fillId="0" borderId="2" xfId="9" applyFont="1" applyBorder="1"/>
    <xf numFmtId="0" fontId="7" fillId="0" borderId="2" xfId="9" applyBorder="1"/>
    <xf numFmtId="8" fontId="7" fillId="0" borderId="2" xfId="9" applyNumberFormat="1" applyBorder="1"/>
    <xf numFmtId="0" fontId="24" fillId="0" borderId="0" xfId="9" applyFont="1"/>
    <xf numFmtId="0" fontId="25" fillId="0" borderId="0" xfId="9" applyFont="1"/>
    <xf numFmtId="168" fontId="26" fillId="0" borderId="0" xfId="9" quotePrefix="1" applyNumberFormat="1" applyFont="1" applyFill="1" applyBorder="1" applyAlignment="1" applyProtection="1">
      <alignment vertical="top" wrapText="1"/>
    </xf>
    <xf numFmtId="0" fontId="7" fillId="0" borderId="2" xfId="9" applyFont="1" applyBorder="1"/>
    <xf numFmtId="8" fontId="12" fillId="0" borderId="2" xfId="9" applyNumberFormat="1" applyFont="1" applyBorder="1"/>
    <xf numFmtId="0" fontId="12" fillId="2" borderId="3" xfId="9" applyFont="1" applyFill="1" applyBorder="1" applyAlignment="1">
      <alignment vertical="center" wrapText="1"/>
    </xf>
    <xf numFmtId="0" fontId="7" fillId="0" borderId="3" xfId="9" applyBorder="1"/>
    <xf numFmtId="8" fontId="7" fillId="0" borderId="3" xfId="9" applyNumberFormat="1" applyBorder="1"/>
    <xf numFmtId="8" fontId="33" fillId="0" borderId="3" xfId="9" applyNumberFormat="1" applyFont="1" applyBorder="1"/>
    <xf numFmtId="6" fontId="0" fillId="0" borderId="0" xfId="0" applyNumberFormat="1"/>
    <xf numFmtId="0" fontId="0" fillId="0" borderId="0" xfId="0" applyNumberFormat="1" applyAlignment="1">
      <alignment vertical="top"/>
    </xf>
    <xf numFmtId="6" fontId="0" fillId="0" borderId="3" xfId="0" applyNumberFormat="1" applyBorder="1"/>
    <xf numFmtId="6" fontId="7" fillId="0" borderId="3" xfId="0" applyNumberFormat="1" applyFont="1" applyBorder="1"/>
    <xf numFmtId="0" fontId="7" fillId="0" borderId="3" xfId="0" applyNumberFormat="1" applyFont="1" applyBorder="1"/>
    <xf numFmtId="6" fontId="7" fillId="0" borderId="0" xfId="0" applyNumberFormat="1" applyFont="1" applyBorder="1"/>
    <xf numFmtId="2" fontId="0" fillId="0" borderId="0" xfId="0" applyNumberFormat="1" applyBorder="1"/>
    <xf numFmtId="0" fontId="7" fillId="0" borderId="3" xfId="0" applyNumberFormat="1" applyFont="1" applyBorder="1" applyAlignment="1">
      <alignment wrapText="1"/>
    </xf>
    <xf numFmtId="0" fontId="0" fillId="0" borderId="3" xfId="0" applyNumberFormat="1" applyBorder="1" applyAlignment="1">
      <alignment wrapText="1"/>
    </xf>
    <xf numFmtId="0" fontId="0" fillId="0" borderId="17" xfId="0" applyNumberFormat="1" applyBorder="1"/>
    <xf numFmtId="0" fontId="0" fillId="0" borderId="16" xfId="0" applyNumberFormat="1" applyBorder="1"/>
    <xf numFmtId="0" fontId="0" fillId="0" borderId="12" xfId="0" applyNumberFormat="1" applyBorder="1"/>
    <xf numFmtId="0" fontId="0" fillId="0" borderId="13" xfId="0" applyNumberFormat="1" applyBorder="1"/>
    <xf numFmtId="0" fontId="0" fillId="0" borderId="14" xfId="0" applyNumberFormat="1" applyBorder="1"/>
    <xf numFmtId="0" fontId="0" fillId="0" borderId="15" xfId="0" applyNumberFormat="1" applyBorder="1"/>
    <xf numFmtId="0" fontId="0" fillId="0" borderId="17" xfId="0" pivotButton="1" applyNumberFormat="1" applyBorder="1"/>
    <xf numFmtId="167" fontId="27" fillId="0" borderId="3" xfId="2" quotePrefix="1" applyNumberFormat="1" applyFont="1" applyFill="1" applyBorder="1" applyAlignment="1" applyProtection="1">
      <alignment vertical="top" wrapText="1"/>
    </xf>
    <xf numFmtId="174" fontId="30" fillId="0" borderId="0" xfId="0" applyNumberFormat="1" applyFont="1" applyFill="1" applyAlignment="1">
      <alignment horizontal="left"/>
    </xf>
    <xf numFmtId="0" fontId="6" fillId="0" borderId="0" xfId="10"/>
    <xf numFmtId="7" fontId="6" fillId="0" borderId="0" xfId="10" applyNumberFormat="1"/>
    <xf numFmtId="0" fontId="6" fillId="0" borderId="3" xfId="10" applyBorder="1" applyAlignment="1">
      <alignment horizontal="center" vertical="center"/>
    </xf>
    <xf numFmtId="0" fontId="6" fillId="0" borderId="3" xfId="10" applyBorder="1"/>
    <xf numFmtId="5" fontId="6" fillId="0" borderId="3" xfId="10" applyNumberFormat="1" applyBorder="1"/>
    <xf numFmtId="7" fontId="6" fillId="0" borderId="3" xfId="10" applyNumberFormat="1" applyBorder="1"/>
    <xf numFmtId="0" fontId="34" fillId="0" borderId="3" xfId="10" applyFont="1" applyBorder="1"/>
    <xf numFmtId="5" fontId="34" fillId="0" borderId="3" xfId="10" applyNumberFormat="1" applyFont="1" applyBorder="1"/>
    <xf numFmtId="7" fontId="34" fillId="0" borderId="3" xfId="10" applyNumberFormat="1" applyFont="1" applyBorder="1"/>
    <xf numFmtId="0" fontId="34" fillId="0" borderId="0" xfId="10" applyFont="1"/>
    <xf numFmtId="0" fontId="32" fillId="0" borderId="3" xfId="0" applyNumberFormat="1" applyFont="1" applyBorder="1" applyAlignment="1">
      <alignment horizontal="left" vertical="center"/>
    </xf>
    <xf numFmtId="173" fontId="32" fillId="0" borderId="3" xfId="1" applyNumberFormat="1" applyFont="1" applyBorder="1" applyAlignment="1">
      <alignment horizontal="left" vertical="center"/>
    </xf>
    <xf numFmtId="173" fontId="32" fillId="0" borderId="3" xfId="1" applyNumberFormat="1" applyFont="1" applyBorder="1"/>
    <xf numFmtId="0" fontId="32" fillId="0" borderId="3" xfId="0" applyNumberFormat="1" applyFont="1" applyFill="1" applyBorder="1" applyAlignment="1">
      <alignment horizontal="left" vertical="center"/>
    </xf>
    <xf numFmtId="0" fontId="35" fillId="0" borderId="0" xfId="0" applyNumberFormat="1" applyFont="1"/>
    <xf numFmtId="0" fontId="36" fillId="0" borderId="0" xfId="0" applyNumberFormat="1" applyFont="1"/>
    <xf numFmtId="0" fontId="37" fillId="0" borderId="0" xfId="0" applyNumberFormat="1" applyFont="1"/>
    <xf numFmtId="0" fontId="37" fillId="0" borderId="0" xfId="9" applyFont="1"/>
    <xf numFmtId="164" fontId="35" fillId="0" borderId="0" xfId="0" applyFont="1"/>
    <xf numFmtId="0" fontId="37" fillId="0" borderId="0" xfId="4" applyFont="1" applyBorder="1"/>
    <xf numFmtId="0" fontId="38" fillId="6" borderId="3" xfId="0" quotePrefix="1" applyNumberFormat="1" applyFont="1" applyFill="1" applyBorder="1" applyAlignment="1">
      <alignment horizontal="center" vertical="center" wrapText="1"/>
    </xf>
    <xf numFmtId="0" fontId="38" fillId="6" borderId="3" xfId="0" applyNumberFormat="1" applyFont="1" applyFill="1" applyBorder="1" applyAlignment="1">
      <alignment horizontal="center" vertical="center" wrapText="1"/>
    </xf>
    <xf numFmtId="43" fontId="38" fillId="6" borderId="3" xfId="1" applyFont="1" applyFill="1" applyBorder="1" applyAlignment="1">
      <alignment horizontal="center" vertical="center" wrapText="1"/>
    </xf>
    <xf numFmtId="5" fontId="6" fillId="0" borderId="0" xfId="10" applyNumberFormat="1"/>
    <xf numFmtId="0" fontId="5" fillId="0" borderId="0" xfId="10" applyFont="1"/>
    <xf numFmtId="43" fontId="6" fillId="0" borderId="0" xfId="1" applyFont="1"/>
    <xf numFmtId="43" fontId="0" fillId="0" borderId="0" xfId="1" applyFont="1"/>
    <xf numFmtId="0" fontId="4" fillId="0" borderId="0" xfId="10" applyFont="1"/>
    <xf numFmtId="0" fontId="5" fillId="0" borderId="3" xfId="10" applyFont="1" applyBorder="1"/>
    <xf numFmtId="0" fontId="6" fillId="0" borderId="0" xfId="10" applyAlignment="1">
      <alignment horizontal="right"/>
    </xf>
    <xf numFmtId="14" fontId="30" fillId="0" borderId="0" xfId="0" applyNumberFormat="1" applyFont="1" applyFill="1" applyAlignment="1">
      <alignment horizontal="left"/>
    </xf>
    <xf numFmtId="0" fontId="12" fillId="0" borderId="3" xfId="0" applyNumberFormat="1" applyFont="1" applyBorder="1"/>
    <xf numFmtId="0" fontId="0" fillId="0" borderId="3" xfId="0" applyNumberFormat="1" applyBorder="1" applyAlignment="1">
      <alignment vertical="top"/>
    </xf>
    <xf numFmtId="0" fontId="4" fillId="0" borderId="3" xfId="10" applyFont="1" applyBorder="1"/>
    <xf numFmtId="7" fontId="4" fillId="0" borderId="3" xfId="10" applyNumberFormat="1" applyFont="1" applyBorder="1"/>
    <xf numFmtId="164" fontId="41" fillId="0" borderId="0" xfId="0" applyFont="1"/>
    <xf numFmtId="164" fontId="44" fillId="0" borderId="0" xfId="0" applyFont="1" applyFill="1"/>
    <xf numFmtId="164" fontId="41" fillId="0" borderId="0" xfId="0" applyFont="1" applyFill="1"/>
    <xf numFmtId="164" fontId="40" fillId="0" borderId="23" xfId="0" applyFont="1" applyBorder="1" applyAlignment="1">
      <alignment vertical="top" wrapText="1"/>
    </xf>
    <xf numFmtId="164" fontId="43" fillId="0" borderId="0" xfId="0" applyFont="1"/>
    <xf numFmtId="164" fontId="40" fillId="0" borderId="0" xfId="0" applyFont="1"/>
    <xf numFmtId="164" fontId="47" fillId="0" borderId="0" xfId="0" applyFont="1" applyBorder="1" applyAlignment="1">
      <alignment vertical="top"/>
    </xf>
    <xf numFmtId="0" fontId="41" fillId="0" borderId="0" xfId="6" applyFont="1"/>
    <xf numFmtId="1" fontId="41" fillId="0" borderId="3" xfId="0" applyNumberFormat="1" applyFont="1" applyBorder="1" applyAlignment="1" applyProtection="1">
      <alignment horizontal="center" vertical="center"/>
    </xf>
    <xf numFmtId="0" fontId="41" fillId="0" borderId="3" xfId="0" applyNumberFormat="1" applyFont="1" applyBorder="1" applyAlignment="1" applyProtection="1">
      <alignment horizontal="center" vertical="center"/>
    </xf>
    <xf numFmtId="1" fontId="41" fillId="0" borderId="3" xfId="0" applyNumberFormat="1" applyFont="1" applyFill="1" applyBorder="1" applyAlignment="1">
      <alignment horizontal="center" vertical="center"/>
    </xf>
    <xf numFmtId="0" fontId="41" fillId="0" borderId="0" xfId="6" applyFont="1" applyBorder="1"/>
    <xf numFmtId="1" fontId="41" fillId="0" borderId="3" xfId="0" applyNumberFormat="1" applyFont="1" applyFill="1" applyBorder="1" applyAlignment="1" applyProtection="1">
      <alignment horizontal="center" vertical="center"/>
    </xf>
    <xf numFmtId="0" fontId="41" fillId="0" borderId="3" xfId="0" applyNumberFormat="1" applyFont="1" applyFill="1" applyBorder="1" applyAlignment="1" applyProtection="1">
      <alignment horizontal="center" vertical="center"/>
    </xf>
    <xf numFmtId="164" fontId="41" fillId="0" borderId="3" xfId="0" applyFont="1" applyFill="1" applyBorder="1" applyAlignment="1">
      <alignment horizontal="center" vertical="center"/>
    </xf>
    <xf numFmtId="0" fontId="41" fillId="0" borderId="3" xfId="0" applyNumberFormat="1" applyFont="1" applyFill="1" applyBorder="1" applyAlignment="1">
      <alignment horizontal="center" vertical="center"/>
    </xf>
    <xf numFmtId="0" fontId="41" fillId="0" borderId="5" xfId="0" applyNumberFormat="1" applyFont="1" applyFill="1" applyBorder="1" applyAlignment="1" applyProtection="1">
      <alignment vertical="center"/>
      <protection locked="0"/>
    </xf>
    <xf numFmtId="165" fontId="41" fillId="0" borderId="3" xfId="0" applyNumberFormat="1" applyFont="1" applyFill="1" applyBorder="1" applyAlignment="1" applyProtection="1">
      <alignment horizontal="center" vertical="center"/>
      <protection locked="0"/>
    </xf>
    <xf numFmtId="1" fontId="41" fillId="0" borderId="21" xfId="0" applyNumberFormat="1" applyFont="1" applyFill="1" applyBorder="1" applyAlignment="1" applyProtection="1">
      <alignment horizontal="center" vertical="center"/>
    </xf>
    <xf numFmtId="0" fontId="41" fillId="0" borderId="12" xfId="0" applyNumberFormat="1" applyFont="1" applyFill="1" applyBorder="1" applyAlignment="1" applyProtection="1">
      <alignment horizontal="center" vertical="center"/>
    </xf>
    <xf numFmtId="1" fontId="41" fillId="0" borderId="1" xfId="0" applyNumberFormat="1" applyFont="1" applyFill="1" applyBorder="1" applyAlignment="1" applyProtection="1">
      <alignment horizontal="center" vertical="center"/>
    </xf>
    <xf numFmtId="0" fontId="41" fillId="0" borderId="0" xfId="6" applyFont="1" applyFill="1" applyBorder="1"/>
    <xf numFmtId="3" fontId="41" fillId="0" borderId="0" xfId="6" applyNumberFormat="1" applyFont="1" applyBorder="1"/>
    <xf numFmtId="164" fontId="42" fillId="0" borderId="0" xfId="0" applyFont="1" applyBorder="1" applyAlignment="1">
      <alignment vertical="top" wrapText="1"/>
    </xf>
    <xf numFmtId="46" fontId="45" fillId="0" borderId="0" xfId="0" quotePrefix="1" applyNumberFormat="1" applyFont="1" applyFill="1"/>
    <xf numFmtId="0" fontId="45" fillId="0" borderId="0" xfId="0" applyNumberFormat="1" applyFont="1" applyFill="1"/>
    <xf numFmtId="0" fontId="45" fillId="0" borderId="0" xfId="0" applyNumberFormat="1" applyFont="1"/>
    <xf numFmtId="164" fontId="49" fillId="0" borderId="0" xfId="0" applyFont="1" applyBorder="1" applyAlignment="1" applyProtection="1"/>
    <xf numFmtId="0" fontId="41" fillId="0" borderId="0" xfId="6" applyFont="1" applyAlignment="1">
      <alignment horizontal="centerContinuous"/>
    </xf>
    <xf numFmtId="166" fontId="41" fillId="0" borderId="3" xfId="0" applyNumberFormat="1" applyFont="1" applyFill="1" applyBorder="1" applyAlignment="1" applyProtection="1">
      <alignment horizontal="center" vertical="center"/>
      <protection locked="0"/>
    </xf>
    <xf numFmtId="164" fontId="48" fillId="0" borderId="0" xfId="0" applyFont="1" applyFill="1" applyAlignment="1" applyProtection="1"/>
    <xf numFmtId="164" fontId="41" fillId="0" borderId="0" xfId="0" applyFont="1" applyFill="1" applyAlignment="1">
      <alignment horizontal="center"/>
    </xf>
    <xf numFmtId="0" fontId="45" fillId="0" borderId="0" xfId="11" applyFont="1" applyFill="1"/>
    <xf numFmtId="0" fontId="52" fillId="0" borderId="0" xfId="11" applyFont="1" applyFill="1" applyBorder="1" applyAlignment="1">
      <alignment vertical="top"/>
    </xf>
    <xf numFmtId="164" fontId="49" fillId="0" borderId="0" xfId="0" applyFont="1" applyFill="1" applyAlignment="1" applyProtection="1"/>
    <xf numFmtId="164" fontId="41" fillId="0" borderId="0" xfId="0" applyFont="1" applyFill="1" applyProtection="1">
      <protection locked="0"/>
    </xf>
    <xf numFmtId="164" fontId="41" fillId="0" borderId="3" xfId="0" applyFont="1" applyFill="1" applyBorder="1" applyAlignment="1" applyProtection="1">
      <alignment horizontal="center" vertical="center"/>
      <protection locked="0"/>
    </xf>
    <xf numFmtId="165" fontId="41" fillId="0" borderId="3" xfId="0" applyNumberFormat="1" applyFont="1" applyFill="1" applyBorder="1" applyAlignment="1" applyProtection="1">
      <alignment horizontal="center" vertical="center"/>
    </xf>
    <xf numFmtId="0" fontId="41" fillId="0" borderId="3" xfId="0" applyNumberFormat="1" applyFont="1" applyFill="1" applyBorder="1" applyAlignment="1" applyProtection="1">
      <alignment horizontal="center" vertical="center"/>
      <protection locked="0"/>
    </xf>
    <xf numFmtId="164" fontId="41" fillId="0" borderId="3" xfId="0" applyFont="1" applyFill="1" applyBorder="1" applyAlignment="1" applyProtection="1">
      <alignment horizontal="center" vertical="center"/>
    </xf>
    <xf numFmtId="37" fontId="41" fillId="0" borderId="3" xfId="0" applyNumberFormat="1" applyFont="1" applyFill="1" applyBorder="1" applyAlignment="1" applyProtection="1">
      <alignment horizontal="center" vertical="center"/>
      <protection locked="0"/>
    </xf>
    <xf numFmtId="37" fontId="41" fillId="0" borderId="3" xfId="0" applyNumberFormat="1" applyFont="1" applyFill="1" applyBorder="1" applyAlignment="1" applyProtection="1">
      <alignment horizontal="center" vertical="center"/>
    </xf>
    <xf numFmtId="168" fontId="41" fillId="0" borderId="0" xfId="5" quotePrefix="1" applyNumberFormat="1" applyFont="1" applyFill="1" applyBorder="1" applyAlignment="1" applyProtection="1">
      <alignment vertical="top" wrapText="1"/>
    </xf>
    <xf numFmtId="44" fontId="41" fillId="0" borderId="0" xfId="2" applyFont="1" applyFill="1"/>
    <xf numFmtId="164" fontId="41" fillId="4" borderId="3" xfId="0" applyFont="1" applyFill="1" applyBorder="1" applyAlignment="1" applyProtection="1">
      <alignment horizontal="center" vertical="center"/>
      <protection locked="0"/>
    </xf>
    <xf numFmtId="164" fontId="53" fillId="7" borderId="3" xfId="0" applyFont="1" applyFill="1" applyBorder="1" applyAlignment="1">
      <alignment horizontal="center" vertical="center"/>
    </xf>
    <xf numFmtId="164" fontId="54" fillId="0" borderId="0" xfId="0" applyFont="1" applyFill="1" applyBorder="1"/>
    <xf numFmtId="164" fontId="54" fillId="0" borderId="0" xfId="0" applyFont="1" applyFill="1"/>
    <xf numFmtId="164" fontId="41" fillId="0" borderId="0" xfId="0" applyFont="1" applyFill="1" applyBorder="1"/>
    <xf numFmtId="3" fontId="41" fillId="0" borderId="0" xfId="0" applyNumberFormat="1" applyFont="1" applyFill="1" applyBorder="1" applyAlignment="1">
      <alignment horizontal="center" vertical="center"/>
    </xf>
    <xf numFmtId="164" fontId="49" fillId="0" borderId="6" xfId="0" applyFont="1" applyBorder="1"/>
    <xf numFmtId="164" fontId="49" fillId="0" borderId="5" xfId="0" applyFont="1" applyFill="1" applyBorder="1" applyAlignment="1">
      <alignment horizontal="center" vertical="center"/>
    </xf>
    <xf numFmtId="164" fontId="49" fillId="0" borderId="5" xfId="0" applyFont="1" applyFill="1" applyBorder="1" applyAlignment="1">
      <alignment horizontal="left" vertical="center"/>
    </xf>
    <xf numFmtId="3" fontId="49" fillId="0" borderId="5" xfId="0" applyNumberFormat="1" applyFont="1" applyFill="1" applyBorder="1" applyAlignment="1">
      <alignment horizontal="center" vertical="center"/>
    </xf>
    <xf numFmtId="164" fontId="41" fillId="0" borderId="0" xfId="0" applyFont="1" applyFill="1" applyBorder="1" applyAlignment="1">
      <alignment horizontal="center"/>
    </xf>
    <xf numFmtId="5" fontId="41" fillId="0" borderId="3" xfId="0" applyNumberFormat="1" applyFont="1" applyBorder="1" applyAlignment="1">
      <alignment horizontal="right" vertical="center"/>
    </xf>
    <xf numFmtId="5" fontId="41" fillId="0" borderId="3" xfId="0" applyNumberFormat="1" applyFont="1" applyFill="1" applyBorder="1" applyAlignment="1">
      <alignment horizontal="right" vertical="center"/>
    </xf>
    <xf numFmtId="0" fontId="41" fillId="0" borderId="4" xfId="0" applyNumberFormat="1" applyFont="1" applyFill="1" applyBorder="1" applyAlignment="1" applyProtection="1">
      <alignment horizontal="right" vertical="center"/>
      <protection locked="0"/>
    </xf>
    <xf numFmtId="5" fontId="41" fillId="0" borderId="18" xfId="0" applyNumberFormat="1" applyFont="1" applyFill="1" applyBorder="1" applyAlignment="1">
      <alignment horizontal="right" vertical="center"/>
    </xf>
    <xf numFmtId="164" fontId="49" fillId="0" borderId="8" xfId="0" applyFont="1" applyBorder="1"/>
    <xf numFmtId="164" fontId="41" fillId="0" borderId="3" xfId="0" applyFont="1" applyBorder="1" applyAlignment="1">
      <alignment horizontal="left" vertical="center"/>
    </xf>
    <xf numFmtId="164" fontId="41" fillId="0" borderId="3" xfId="0" applyFont="1" applyBorder="1" applyAlignment="1">
      <alignment horizontal="left" vertical="center" indent="2"/>
    </xf>
    <xf numFmtId="9" fontId="41" fillId="0" borderId="3" xfId="0" applyNumberFormat="1" applyFont="1" applyBorder="1" applyAlignment="1">
      <alignment horizontal="left" vertical="center" indent="2"/>
    </xf>
    <xf numFmtId="164" fontId="49" fillId="0" borderId="25" xfId="0" applyFont="1" applyFill="1" applyBorder="1" applyAlignment="1">
      <alignment horizontal="center" vertical="center"/>
    </xf>
    <xf numFmtId="164" fontId="41" fillId="0" borderId="3" xfId="0" applyFont="1" applyBorder="1" applyAlignment="1">
      <alignment horizontal="center" vertical="top" wrapText="1"/>
    </xf>
    <xf numFmtId="0" fontId="41" fillId="0" borderId="3" xfId="0" applyNumberFormat="1" applyFont="1" applyFill="1" applyBorder="1" applyAlignment="1" applyProtection="1">
      <alignment vertical="center"/>
      <protection locked="0"/>
    </xf>
    <xf numFmtId="164" fontId="41" fillId="0" borderId="25" xfId="0" applyFont="1" applyBorder="1" applyAlignment="1">
      <alignment vertical="center"/>
    </xf>
    <xf numFmtId="1" fontId="41" fillId="0" borderId="4" xfId="0" applyNumberFormat="1" applyFont="1" applyBorder="1" applyAlignment="1" applyProtection="1">
      <alignment horizontal="center" vertical="center"/>
    </xf>
    <xf numFmtId="1" fontId="41" fillId="0" borderId="4" xfId="0" applyNumberFormat="1" applyFont="1" applyFill="1" applyBorder="1" applyAlignment="1" applyProtection="1">
      <alignment horizontal="center" vertical="center"/>
    </xf>
    <xf numFmtId="164" fontId="41" fillId="0" borderId="4" xfId="0" applyFont="1" applyFill="1" applyBorder="1" applyAlignment="1">
      <alignment horizontal="center" vertical="center"/>
    </xf>
    <xf numFmtId="9" fontId="41" fillId="0" borderId="0" xfId="0" applyNumberFormat="1" applyFont="1" applyAlignment="1">
      <alignment horizontal="left" vertical="center"/>
    </xf>
    <xf numFmtId="164" fontId="41" fillId="0" borderId="0" xfId="0" applyFont="1" applyAlignment="1">
      <alignment vertical="top"/>
    </xf>
    <xf numFmtId="164" fontId="41" fillId="0" borderId="21" xfId="0" applyFont="1" applyBorder="1" applyAlignment="1">
      <alignment horizontal="left" vertical="center"/>
    </xf>
    <xf numFmtId="0" fontId="41" fillId="0" borderId="25" xfId="0" applyNumberFormat="1" applyFont="1" applyBorder="1" applyAlignment="1">
      <alignment vertical="center"/>
    </xf>
    <xf numFmtId="164" fontId="41" fillId="0" borderId="26" xfId="0" applyFont="1" applyBorder="1" applyAlignment="1">
      <alignment vertical="center"/>
    </xf>
    <xf numFmtId="164" fontId="53" fillId="0" borderId="3" xfId="0" applyFont="1" applyBorder="1" applyAlignment="1">
      <alignment horizontal="center" vertical="top" wrapText="1"/>
    </xf>
    <xf numFmtId="166" fontId="51" fillId="0" borderId="10" xfId="0" applyNumberFormat="1" applyFont="1" applyFill="1" applyBorder="1" applyAlignment="1" applyProtection="1">
      <alignment horizontal="center" vertical="center"/>
      <protection locked="0"/>
    </xf>
    <xf numFmtId="164" fontId="41" fillId="0" borderId="10" xfId="0" applyFont="1" applyFill="1" applyBorder="1" applyAlignment="1">
      <alignment horizontal="center" vertical="center"/>
    </xf>
    <xf numFmtId="9" fontId="49" fillId="0" borderId="11" xfId="0" applyNumberFormat="1" applyFont="1" applyBorder="1" applyAlignment="1">
      <alignment vertical="center"/>
    </xf>
    <xf numFmtId="166" fontId="51" fillId="0" borderId="5" xfId="0" applyNumberFormat="1" applyFont="1" applyFill="1" applyBorder="1" applyAlignment="1" applyProtection="1">
      <alignment horizontal="center" vertical="center"/>
      <protection locked="0"/>
    </xf>
    <xf numFmtId="166" fontId="41" fillId="0" borderId="5" xfId="0" applyNumberFormat="1" applyFont="1" applyFill="1" applyBorder="1" applyAlignment="1" applyProtection="1">
      <alignment horizontal="center" vertical="center"/>
    </xf>
    <xf numFmtId="1" fontId="41" fillId="0" borderId="5" xfId="0" applyNumberFormat="1" applyFont="1" applyFill="1" applyBorder="1" applyAlignment="1" applyProtection="1">
      <alignment horizontal="center" vertical="center"/>
    </xf>
    <xf numFmtId="5" fontId="49" fillId="0" borderId="3" xfId="0" applyNumberFormat="1" applyFont="1" applyFill="1" applyBorder="1" applyAlignment="1">
      <alignment horizontal="right" vertical="center"/>
    </xf>
    <xf numFmtId="164" fontId="41" fillId="0" borderId="18" xfId="0" applyFont="1" applyBorder="1" applyAlignment="1">
      <alignment horizontal="left" vertical="center" indent="2"/>
    </xf>
    <xf numFmtId="164" fontId="41" fillId="0" borderId="18" xfId="0" applyFont="1" applyFill="1" applyBorder="1" applyAlignment="1">
      <alignment horizontal="center"/>
    </xf>
    <xf numFmtId="164" fontId="54" fillId="0" borderId="11" xfId="0" applyFont="1" applyBorder="1" applyAlignment="1">
      <alignment vertical="center"/>
    </xf>
    <xf numFmtId="164" fontId="54" fillId="0" borderId="5" xfId="0" applyFont="1" applyFill="1" applyBorder="1" applyAlignment="1">
      <alignment horizontal="center"/>
    </xf>
    <xf numFmtId="164" fontId="41" fillId="0" borderId="21" xfId="0" applyFont="1" applyBorder="1" applyAlignment="1">
      <alignment vertical="center"/>
    </xf>
    <xf numFmtId="164" fontId="41" fillId="0" borderId="21" xfId="0" applyFont="1" applyFill="1" applyBorder="1" applyAlignment="1" applyProtection="1">
      <alignment horizontal="center" vertical="center"/>
      <protection locked="0"/>
    </xf>
    <xf numFmtId="164" fontId="41" fillId="0" borderId="21" xfId="0" applyFont="1" applyFill="1" applyBorder="1" applyAlignment="1" applyProtection="1">
      <alignment horizontal="center" vertical="center"/>
    </xf>
    <xf numFmtId="166" fontId="41" fillId="0" borderId="21" xfId="0" applyNumberFormat="1" applyFont="1" applyFill="1" applyBorder="1" applyAlignment="1" applyProtection="1">
      <alignment horizontal="center" vertical="center"/>
      <protection locked="0"/>
    </xf>
    <xf numFmtId="164" fontId="54" fillId="0" borderId="5" xfId="0" applyFont="1" applyFill="1" applyBorder="1" applyAlignment="1" applyProtection="1">
      <alignment horizontal="center" vertical="center"/>
      <protection locked="0"/>
    </xf>
    <xf numFmtId="164" fontId="54" fillId="0" borderId="5" xfId="0" applyFont="1" applyFill="1" applyBorder="1" applyAlignment="1" applyProtection="1">
      <alignment horizontal="center" vertical="center"/>
    </xf>
    <xf numFmtId="167" fontId="42" fillId="0" borderId="24" xfId="0" applyNumberFormat="1" applyFont="1" applyBorder="1" applyAlignment="1">
      <alignment vertical="top" wrapText="1"/>
    </xf>
    <xf numFmtId="164" fontId="40" fillId="0" borderId="3" xfId="0" applyFont="1" applyBorder="1" applyAlignment="1">
      <alignment horizontal="center" vertical="center"/>
    </xf>
    <xf numFmtId="164" fontId="40" fillId="0" borderId="3" xfId="0" applyFont="1" applyBorder="1" applyAlignment="1">
      <alignment horizontal="center" vertical="top" wrapText="1"/>
    </xf>
    <xf numFmtId="164" fontId="41" fillId="0" borderId="0" xfId="0" applyFont="1" applyAlignment="1">
      <alignment vertical="top" wrapText="1"/>
    </xf>
    <xf numFmtId="164" fontId="41" fillId="0" borderId="0" xfId="0" applyFont="1" applyFill="1" applyAlignment="1">
      <alignment horizontal="center" vertical="top"/>
    </xf>
    <xf numFmtId="164" fontId="41" fillId="0" borderId="0" xfId="0" applyFont="1" applyFill="1" applyAlignment="1">
      <alignment vertical="top"/>
    </xf>
    <xf numFmtId="164" fontId="41" fillId="0" borderId="0" xfId="0" applyFont="1" applyFill="1" applyAlignment="1">
      <alignment horizontal="center" vertical="top" wrapText="1"/>
    </xf>
    <xf numFmtId="164" fontId="41" fillId="0" borderId="0" xfId="0" applyFont="1" applyFill="1" applyAlignment="1">
      <alignment vertical="top" wrapText="1"/>
    </xf>
    <xf numFmtId="0" fontId="41" fillId="0" borderId="0" xfId="6" applyFont="1" applyAlignment="1">
      <alignment wrapText="1"/>
    </xf>
    <xf numFmtId="165" fontId="41" fillId="0" borderId="3" xfId="0" applyNumberFormat="1" applyFont="1" applyFill="1" applyBorder="1" applyAlignment="1" applyProtection="1">
      <alignment vertical="center"/>
    </xf>
    <xf numFmtId="164" fontId="41" fillId="0" borderId="25" xfId="0" applyFont="1" applyBorder="1" applyAlignment="1">
      <alignment horizontal="center" vertical="center"/>
    </xf>
    <xf numFmtId="37" fontId="54" fillId="0" borderId="4" xfId="0" applyNumberFormat="1" applyFont="1" applyFill="1" applyBorder="1" applyAlignment="1" applyProtection="1">
      <alignment vertical="center"/>
    </xf>
    <xf numFmtId="37" fontId="41" fillId="0" borderId="21" xfId="0" applyNumberFormat="1" applyFont="1" applyFill="1" applyBorder="1" applyAlignment="1" applyProtection="1">
      <alignment horizontal="center" vertical="center"/>
    </xf>
    <xf numFmtId="164" fontId="54" fillId="0" borderId="11" xfId="0" applyFont="1" applyFill="1" applyBorder="1"/>
    <xf numFmtId="3" fontId="54" fillId="0" borderId="4" xfId="0" applyNumberFormat="1" applyFont="1" applyFill="1" applyBorder="1" applyAlignment="1"/>
    <xf numFmtId="3" fontId="49" fillId="0" borderId="4" xfId="0" applyNumberFormat="1" applyFont="1" applyFill="1" applyBorder="1" applyAlignment="1">
      <alignment vertical="center"/>
    </xf>
    <xf numFmtId="3" fontId="49" fillId="0" borderId="25" xfId="0" applyNumberFormat="1" applyFont="1" applyFill="1" applyBorder="1" applyAlignment="1">
      <alignment horizontal="center" vertical="center"/>
    </xf>
    <xf numFmtId="164" fontId="41" fillId="0" borderId="11" xfId="0" applyFont="1" applyFill="1" applyBorder="1"/>
    <xf numFmtId="5" fontId="41" fillId="0" borderId="30" xfId="0" applyNumberFormat="1" applyFont="1" applyFill="1" applyBorder="1" applyAlignment="1" applyProtection="1">
      <alignment horizontal="center" vertical="center"/>
    </xf>
    <xf numFmtId="1" fontId="41" fillId="0" borderId="29" xfId="0" applyNumberFormat="1" applyFont="1" applyFill="1" applyBorder="1" applyAlignment="1" applyProtection="1">
      <alignment horizontal="left" vertical="center"/>
    </xf>
    <xf numFmtId="0" fontId="41" fillId="0" borderId="11" xfId="6" applyFont="1" applyBorder="1"/>
    <xf numFmtId="1" fontId="49" fillId="0" borderId="5" xfId="0" applyNumberFormat="1" applyFont="1" applyFill="1" applyBorder="1" applyAlignment="1" applyProtection="1">
      <alignment vertical="center"/>
    </xf>
    <xf numFmtId="1" fontId="49" fillId="0" borderId="4" xfId="0" applyNumberFormat="1" applyFont="1" applyFill="1" applyBorder="1" applyAlignment="1" applyProtection="1">
      <alignment vertical="center"/>
    </xf>
    <xf numFmtId="164" fontId="42" fillId="0" borderId="28" xfId="0" applyFont="1" applyBorder="1" applyAlignment="1">
      <alignment vertical="top" wrapText="1"/>
    </xf>
    <xf numFmtId="164" fontId="11" fillId="0" borderId="3" xfId="0" applyFont="1" applyBorder="1" applyAlignment="1" applyProtection="1">
      <alignment horizontal="center" vertical="center"/>
      <protection locked="0"/>
    </xf>
    <xf numFmtId="164" fontId="11" fillId="0" borderId="3" xfId="0" applyFont="1" applyBorder="1" applyAlignment="1">
      <alignment horizontal="center" vertical="center"/>
    </xf>
    <xf numFmtId="164" fontId="11" fillId="4" borderId="3" xfId="0" applyFont="1" applyFill="1" applyBorder="1" applyAlignment="1" applyProtection="1">
      <alignment horizontal="center" vertical="center"/>
      <protection locked="0"/>
    </xf>
    <xf numFmtId="164" fontId="41" fillId="0" borderId="3" xfId="0" applyFont="1" applyBorder="1" applyAlignment="1" applyProtection="1">
      <alignment horizontal="center" vertical="center"/>
      <protection locked="0"/>
    </xf>
    <xf numFmtId="164" fontId="41" fillId="0" borderId="3" xfId="0" applyFont="1" applyBorder="1" applyAlignment="1">
      <alignment horizontal="center" vertical="center"/>
    </xf>
    <xf numFmtId="164" fontId="25" fillId="7" borderId="0" xfId="0" applyFont="1" applyFill="1"/>
    <xf numFmtId="164" fontId="40" fillId="0" borderId="0" xfId="0" applyFont="1" applyAlignment="1">
      <alignment vertical="top"/>
    </xf>
    <xf numFmtId="164" fontId="40" fillId="7" borderId="27" xfId="0" applyFont="1" applyFill="1" applyBorder="1" applyAlignment="1">
      <alignment horizontal="left" vertical="top" wrapText="1"/>
    </xf>
    <xf numFmtId="164" fontId="41" fillId="7" borderId="0" xfId="0" applyFont="1" applyFill="1"/>
    <xf numFmtId="164" fontId="43" fillId="7" borderId="0" xfId="0" applyFont="1" applyFill="1"/>
    <xf numFmtId="167" fontId="40" fillId="7" borderId="18" xfId="0" applyNumberFormat="1" applyFont="1" applyFill="1" applyBorder="1" applyAlignment="1">
      <alignment vertical="center" wrapText="1"/>
    </xf>
    <xf numFmtId="164" fontId="40" fillId="7" borderId="18" xfId="0" applyFont="1" applyFill="1" applyBorder="1" applyAlignment="1">
      <alignment horizontal="center" vertical="center" wrapText="1"/>
    </xf>
    <xf numFmtId="167" fontId="40" fillId="7" borderId="22" xfId="0" applyNumberFormat="1" applyFont="1" applyFill="1" applyBorder="1" applyAlignment="1">
      <alignment vertical="center" wrapText="1"/>
    </xf>
    <xf numFmtId="167" fontId="41" fillId="0" borderId="3" xfId="0" applyNumberFormat="1" applyFont="1" applyBorder="1" applyAlignment="1">
      <alignment horizontal="right" vertical="center"/>
    </xf>
    <xf numFmtId="167" fontId="54" fillId="0" borderId="3" xfId="0" applyNumberFormat="1" applyFont="1" applyBorder="1" applyAlignment="1">
      <alignment horizontal="right" vertical="center"/>
    </xf>
    <xf numFmtId="167" fontId="49" fillId="0" borderId="3" xfId="0" applyNumberFormat="1" applyFont="1" applyBorder="1" applyAlignment="1">
      <alignment horizontal="right" vertical="center"/>
    </xf>
    <xf numFmtId="3" fontId="41" fillId="0" borderId="3" xfId="0" applyNumberFormat="1" applyFont="1" applyFill="1" applyBorder="1" applyAlignment="1" applyProtection="1">
      <alignment horizontal="center" vertical="center"/>
    </xf>
    <xf numFmtId="3" fontId="54" fillId="0" borderId="5" xfId="0" applyNumberFormat="1" applyFont="1" applyFill="1" applyBorder="1" applyAlignment="1">
      <alignment horizontal="center"/>
    </xf>
    <xf numFmtId="3" fontId="54" fillId="0" borderId="5" xfId="0" applyNumberFormat="1" applyFont="1" applyFill="1" applyBorder="1" applyAlignment="1" applyProtection="1">
      <alignment horizontal="center" vertical="center"/>
    </xf>
    <xf numFmtId="164" fontId="41" fillId="0" borderId="0" xfId="0" applyFont="1" applyAlignment="1">
      <alignment horizontal="center"/>
    </xf>
    <xf numFmtId="164" fontId="41" fillId="7" borderId="3" xfId="0" applyFont="1" applyFill="1" applyBorder="1" applyAlignment="1" applyProtection="1">
      <alignment horizontal="center" vertical="center"/>
      <protection locked="0"/>
    </xf>
    <xf numFmtId="164" fontId="41" fillId="7" borderId="3" xfId="0" applyFont="1" applyFill="1" applyBorder="1" applyAlignment="1">
      <alignment horizontal="left" vertical="center" indent="6"/>
    </xf>
    <xf numFmtId="164" fontId="41" fillId="7" borderId="3" xfId="0" applyFont="1" applyFill="1" applyBorder="1" applyAlignment="1">
      <alignment horizontal="left" vertical="center" indent="4"/>
    </xf>
    <xf numFmtId="164" fontId="41" fillId="7" borderId="3" xfId="0" applyFont="1" applyFill="1" applyBorder="1" applyAlignment="1">
      <alignment horizontal="left" vertical="center" indent="2"/>
    </xf>
    <xf numFmtId="164" fontId="41" fillId="7" borderId="3" xfId="0" applyFont="1" applyFill="1" applyBorder="1" applyAlignment="1">
      <alignment horizontal="center" vertical="center"/>
    </xf>
    <xf numFmtId="164" fontId="41" fillId="0" borderId="11" xfId="0" applyFont="1" applyBorder="1" applyAlignment="1">
      <alignment horizontal="left" vertical="center" indent="2"/>
    </xf>
    <xf numFmtId="0" fontId="41" fillId="0" borderId="29" xfId="0" applyNumberFormat="1" applyFont="1" applyFill="1" applyBorder="1" applyAlignment="1" applyProtection="1">
      <alignment vertical="center"/>
      <protection locked="0"/>
    </xf>
    <xf numFmtId="0" fontId="41" fillId="0" borderId="31" xfId="0" applyNumberFormat="1" applyFont="1" applyFill="1" applyBorder="1" applyAlignment="1" applyProtection="1">
      <alignment horizontal="right" vertical="center"/>
      <protection locked="0"/>
    </xf>
    <xf numFmtId="164" fontId="41" fillId="0" borderId="26" xfId="0" applyFont="1" applyFill="1" applyBorder="1" applyAlignment="1">
      <alignment horizontal="center" vertical="center"/>
    </xf>
    <xf numFmtId="1" fontId="41" fillId="0" borderId="21" xfId="0" applyNumberFormat="1" applyFont="1" applyBorder="1" applyAlignment="1" applyProtection="1">
      <alignment horizontal="center" vertical="center"/>
    </xf>
    <xf numFmtId="5" fontId="41" fillId="0" borderId="21" xfId="0" applyNumberFormat="1" applyFont="1" applyBorder="1" applyAlignment="1">
      <alignment horizontal="right" vertical="center"/>
    </xf>
    <xf numFmtId="0" fontId="41" fillId="0" borderId="11" xfId="0" applyNumberFormat="1" applyFont="1" applyFill="1" applyBorder="1" applyAlignment="1" applyProtection="1">
      <alignment vertical="center"/>
      <protection locked="0"/>
    </xf>
    <xf numFmtId="0" fontId="41" fillId="0" borderId="5" xfId="0" applyNumberFormat="1" applyFont="1" applyFill="1" applyBorder="1" applyAlignment="1" applyProtection="1">
      <alignment horizontal="center" vertical="center"/>
    </xf>
    <xf numFmtId="164" fontId="41" fillId="0" borderId="5" xfId="0" applyFont="1" applyFill="1" applyBorder="1" applyAlignment="1">
      <alignment horizontal="center" vertical="center"/>
    </xf>
    <xf numFmtId="1" fontId="41" fillId="0" borderId="5" xfId="0" applyNumberFormat="1" applyFont="1" applyFill="1" applyBorder="1" applyAlignment="1">
      <alignment horizontal="center" vertical="center"/>
    </xf>
    <xf numFmtId="5" fontId="41" fillId="0" borderId="4" xfId="0" applyNumberFormat="1" applyFont="1" applyFill="1" applyBorder="1" applyAlignment="1">
      <alignment horizontal="right" vertical="center"/>
    </xf>
    <xf numFmtId="164" fontId="41" fillId="7" borderId="0" xfId="0" applyFont="1" applyFill="1" applyAlignment="1">
      <alignment horizontal="left" vertical="top" wrapText="1"/>
    </xf>
    <xf numFmtId="164" fontId="41" fillId="0" borderId="0" xfId="0" applyFont="1" applyAlignment="1">
      <alignment horizontal="left" vertical="top"/>
    </xf>
    <xf numFmtId="164" fontId="41" fillId="0" borderId="0" xfId="0" applyFont="1" applyAlignment="1">
      <alignment horizontal="left" vertical="top" wrapText="1"/>
    </xf>
    <xf numFmtId="164" fontId="41" fillId="0" borderId="0" xfId="0" applyFont="1" applyBorder="1" applyAlignment="1">
      <alignment horizontal="left" vertical="top"/>
    </xf>
    <xf numFmtId="164" fontId="41" fillId="7" borderId="29" xfId="0" applyFont="1" applyFill="1" applyBorder="1" applyAlignment="1">
      <alignment horizontal="left" vertical="top" wrapText="1"/>
    </xf>
    <xf numFmtId="164" fontId="41" fillId="0" borderId="0" xfId="0" applyFont="1" applyAlignment="1">
      <alignment horizontal="left"/>
    </xf>
    <xf numFmtId="0" fontId="6" fillId="0" borderId="3" xfId="10" applyBorder="1" applyAlignment="1">
      <alignment horizontal="center"/>
    </xf>
    <xf numFmtId="0" fontId="6" fillId="0" borderId="3" xfId="10" applyBorder="1" applyAlignment="1">
      <alignment horizontal="center" vertical="center" wrapText="1"/>
    </xf>
    <xf numFmtId="0" fontId="6" fillId="0" borderId="3" xfId="10" applyBorder="1" applyAlignment="1">
      <alignment horizontal="center" vertical="center"/>
    </xf>
    <xf numFmtId="0" fontId="11" fillId="0" borderId="0" xfId="0" applyNumberFormat="1" applyFont="1" applyAlignment="1">
      <alignment horizontal="left" wrapText="1"/>
    </xf>
    <xf numFmtId="0" fontId="28" fillId="0" borderId="0" xfId="0" applyNumberFormat="1" applyFont="1" applyAlignment="1">
      <alignment horizontal="left" wrapText="1"/>
    </xf>
    <xf numFmtId="0" fontId="7" fillId="0" borderId="0" xfId="9" applyAlignment="1">
      <alignment horizontal="left" vertical="top" wrapText="1"/>
    </xf>
    <xf numFmtId="0" fontId="12" fillId="0" borderId="3" xfId="0" applyNumberFormat="1" applyFont="1" applyBorder="1" applyAlignment="1">
      <alignment horizontal="center" vertical="center"/>
    </xf>
    <xf numFmtId="164" fontId="13" fillId="0" borderId="2" xfId="8" applyFont="1" applyFill="1" applyBorder="1" applyAlignment="1">
      <alignment horizontal="left" wrapText="1"/>
    </xf>
  </cellXfs>
  <cellStyles count="14">
    <cellStyle name="Comma" xfId="1" builtinId="3"/>
    <cellStyle name="Currency" xfId="2" builtinId="4"/>
    <cellStyle name="Normal" xfId="0" builtinId="0"/>
    <cellStyle name="Normal 2" xfId="9" xr:uid="{00000000-0005-0000-0000-000003000000}"/>
    <cellStyle name="Normal 3" xfId="10" xr:uid="{00000000-0005-0000-0000-000004000000}"/>
    <cellStyle name="Normal 3 2" xfId="12" xr:uid="{00000000-0005-0000-0000-000005000000}"/>
    <cellStyle name="Normal 4" xfId="11" xr:uid="{00000000-0005-0000-0000-000006000000}"/>
    <cellStyle name="Normal 5" xfId="13" xr:uid="{00000000-0005-0000-0000-000007000000}"/>
    <cellStyle name="Normal_Cost Analysis - Testing and Monitoring - 20101104 (QA 20101110)" xfId="3" xr:uid="{00000000-0005-0000-0000-000008000000}"/>
    <cellStyle name="Normal_HMIWI EG SS" xfId="4" xr:uid="{00000000-0005-0000-0000-000009000000}"/>
    <cellStyle name="Normal_ICR Cost Inputs" xfId="5" xr:uid="{00000000-0005-0000-0000-00000A000000}"/>
    <cellStyle name="Normal_Sheet1" xfId="6" xr:uid="{00000000-0005-0000-0000-00000B000000}"/>
    <cellStyle name="Normal_Sheet2" xfId="7" xr:uid="{00000000-0005-0000-0000-00000C000000}"/>
    <cellStyle name="Normal_SSI Burden Estimate BML 060710" xfId="8"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AA35"/>
  <sheetViews>
    <sheetView showGridLines="0" tabSelected="1" zoomScaleNormal="100" zoomScaleSheetLayoutView="85" workbookViewId="0">
      <pane ySplit="3" topLeftCell="A4" activePane="bottomLeft" state="frozenSplit"/>
      <selection activeCell="D2" sqref="D2"/>
      <selection pane="bottomLeft" activeCell="M29" sqref="L29:M29"/>
    </sheetView>
  </sheetViews>
  <sheetFormatPr defaultColWidth="9.77734375" defaultRowHeight="12" x14ac:dyDescent="0.3"/>
  <cols>
    <col min="1" max="1" width="52.44140625" style="155" customWidth="1"/>
    <col min="2" max="9" width="15.6640625" style="184" customWidth="1"/>
    <col min="10" max="10" width="14.109375" style="184" bestFit="1" customWidth="1"/>
    <col min="11" max="11" width="10.33203125" style="184" bestFit="1" customWidth="1"/>
    <col min="12" max="12" width="5.109375" style="184" bestFit="1" customWidth="1"/>
    <col min="13" max="13" width="10.6640625" style="184" customWidth="1"/>
    <col min="14" max="16384" width="9.77734375" style="155"/>
  </cols>
  <sheetData>
    <row r="1" spans="1:27" ht="14.5" customHeight="1" x14ac:dyDescent="0.3">
      <c r="F1" s="185">
        <v>121.46</v>
      </c>
      <c r="G1" s="185">
        <v>148.44999999999999</v>
      </c>
      <c r="H1" s="185">
        <v>60.23</v>
      </c>
      <c r="I1" s="186" t="s">
        <v>208</v>
      </c>
    </row>
    <row r="2" spans="1:27" ht="14.5" customHeight="1" x14ac:dyDescent="0.35">
      <c r="A2" s="183" t="s">
        <v>249</v>
      </c>
      <c r="B2" s="187"/>
      <c r="C2" s="187"/>
      <c r="D2" s="187"/>
      <c r="E2" s="187"/>
      <c r="F2" s="187"/>
      <c r="G2" s="187"/>
      <c r="H2" s="187"/>
      <c r="I2" s="187"/>
      <c r="J2" s="187"/>
      <c r="K2" s="187"/>
      <c r="L2" s="187"/>
      <c r="M2" s="187"/>
      <c r="O2" s="188"/>
      <c r="P2" s="188"/>
      <c r="Q2" s="188"/>
      <c r="R2" s="188"/>
      <c r="S2" s="188"/>
      <c r="T2" s="188"/>
      <c r="U2" s="188"/>
      <c r="V2" s="188"/>
      <c r="W2" s="188"/>
      <c r="X2" s="188"/>
      <c r="Y2" s="188"/>
      <c r="Z2" s="188"/>
      <c r="AA2" s="188"/>
    </row>
    <row r="3" spans="1:27" s="184" customFormat="1" ht="60" x14ac:dyDescent="0.3">
      <c r="A3" s="192" t="s">
        <v>2</v>
      </c>
      <c r="B3" s="217" t="s">
        <v>226</v>
      </c>
      <c r="C3" s="217" t="s">
        <v>227</v>
      </c>
      <c r="D3" s="217" t="s">
        <v>228</v>
      </c>
      <c r="E3" s="217" t="s">
        <v>232</v>
      </c>
      <c r="F3" s="217" t="s">
        <v>229</v>
      </c>
      <c r="G3" s="217" t="s">
        <v>230</v>
      </c>
      <c r="H3" s="217" t="s">
        <v>231</v>
      </c>
      <c r="I3" s="217" t="s">
        <v>233</v>
      </c>
    </row>
    <row r="4" spans="1:27" ht="15" customHeight="1" x14ac:dyDescent="0.3">
      <c r="A4" s="213" t="s">
        <v>211</v>
      </c>
      <c r="B4" s="256" t="s">
        <v>3</v>
      </c>
      <c r="C4" s="167"/>
      <c r="D4" s="190">
        <f>B4*$C4</f>
        <v>0</v>
      </c>
      <c r="E4" s="170">
        <v>55</v>
      </c>
      <c r="F4" s="167"/>
      <c r="G4" s="167"/>
      <c r="H4" s="167"/>
      <c r="I4" s="255">
        <f>F4*33+G4*49+H4*15</f>
        <v>0</v>
      </c>
      <c r="J4" s="155"/>
      <c r="K4" s="155"/>
      <c r="L4" s="155"/>
      <c r="M4" s="155"/>
    </row>
    <row r="5" spans="1:27" ht="15" customHeight="1" x14ac:dyDescent="0.3">
      <c r="A5" s="213" t="s">
        <v>212</v>
      </c>
      <c r="B5" s="256" t="s">
        <v>3</v>
      </c>
      <c r="C5" s="167"/>
      <c r="D5" s="190">
        <f>B5*$C5</f>
        <v>0</v>
      </c>
      <c r="E5" s="218"/>
      <c r="F5" s="218"/>
      <c r="G5" s="218"/>
      <c r="H5" s="190">
        <f t="shared" ref="H5:H8" si="0">F5*0.1</f>
        <v>0</v>
      </c>
      <c r="I5" s="255">
        <f>F5*33+G5*49+H5*15</f>
        <v>0</v>
      </c>
      <c r="J5" s="155"/>
      <c r="K5" s="155"/>
      <c r="L5" s="155"/>
      <c r="M5" s="155"/>
    </row>
    <row r="6" spans="1:27" ht="15" customHeight="1" x14ac:dyDescent="0.3">
      <c r="A6" s="213" t="s">
        <v>213</v>
      </c>
      <c r="B6" s="189"/>
      <c r="C6" s="167"/>
      <c r="D6" s="190">
        <f>B6*$C6</f>
        <v>0</v>
      </c>
      <c r="E6" s="191"/>
      <c r="F6" s="190">
        <f t="shared" ref="F6:F8" si="1">D6*E6</f>
        <v>0</v>
      </c>
      <c r="G6" s="190">
        <f t="shared" ref="G6:G8" si="2">F6*0.05</f>
        <v>0</v>
      </c>
      <c r="H6" s="190">
        <f t="shared" si="0"/>
        <v>0</v>
      </c>
      <c r="I6" s="255">
        <f>F6*33+G6*49+H6*15</f>
        <v>0</v>
      </c>
      <c r="J6" s="155"/>
      <c r="K6" s="155"/>
      <c r="L6" s="155"/>
      <c r="M6" s="155"/>
    </row>
    <row r="7" spans="1:27" ht="15" customHeight="1" x14ac:dyDescent="0.3">
      <c r="A7" s="293" t="s">
        <v>265</v>
      </c>
      <c r="B7" s="290">
        <f>ROUND((8*8)/3,0)</f>
        <v>21</v>
      </c>
      <c r="C7" s="192">
        <v>1</v>
      </c>
      <c r="D7" s="192">
        <f>B7*$C7</f>
        <v>21</v>
      </c>
      <c r="E7" s="193">
        <v>3</v>
      </c>
      <c r="F7" s="194">
        <f>D7*E7</f>
        <v>63</v>
      </c>
      <c r="G7" s="194">
        <f>F7*0.05</f>
        <v>3.1500000000000004</v>
      </c>
      <c r="H7" s="194">
        <f>F7*0.1</f>
        <v>6.3000000000000007</v>
      </c>
      <c r="I7" s="208">
        <f>F7*F$1+G7*G$1+H7*H$1</f>
        <v>8499.0465000000004</v>
      </c>
      <c r="J7" s="154"/>
      <c r="K7" s="154"/>
      <c r="L7" s="154"/>
      <c r="M7" s="155"/>
    </row>
    <row r="8" spans="1:27" ht="15" customHeight="1" x14ac:dyDescent="0.3">
      <c r="A8" s="214" t="s">
        <v>214</v>
      </c>
      <c r="B8" s="189"/>
      <c r="C8" s="167"/>
      <c r="D8" s="167"/>
      <c r="E8" s="193"/>
      <c r="F8" s="190">
        <f t="shared" si="1"/>
        <v>0</v>
      </c>
      <c r="G8" s="190">
        <f t="shared" si="2"/>
        <v>0</v>
      </c>
      <c r="H8" s="190">
        <f t="shared" si="0"/>
        <v>0</v>
      </c>
      <c r="I8" s="208"/>
      <c r="J8" s="155"/>
      <c r="K8" s="155"/>
      <c r="L8" s="155"/>
      <c r="M8" s="195"/>
    </row>
    <row r="9" spans="1:27" ht="15" customHeight="1" x14ac:dyDescent="0.3">
      <c r="A9" s="292" t="s">
        <v>264</v>
      </c>
      <c r="B9" s="189"/>
      <c r="C9" s="192"/>
      <c r="D9" s="192"/>
      <c r="E9" s="182"/>
      <c r="F9" s="194"/>
      <c r="G9" s="194"/>
      <c r="H9" s="194"/>
      <c r="I9" s="208"/>
      <c r="J9" s="155"/>
      <c r="K9" s="155"/>
      <c r="L9" s="155"/>
      <c r="M9" s="196"/>
    </row>
    <row r="10" spans="1:27" ht="15" customHeight="1" x14ac:dyDescent="0.3">
      <c r="A10" s="291" t="s">
        <v>278</v>
      </c>
      <c r="B10" s="270">
        <f>4*2*-1</f>
        <v>-8</v>
      </c>
      <c r="C10" s="271">
        <v>12</v>
      </c>
      <c r="D10" s="192">
        <f t="shared" ref="D10:D11" si="3">B10*$C10</f>
        <v>-96</v>
      </c>
      <c r="E10" s="198">
        <v>3</v>
      </c>
      <c r="F10" s="286">
        <f t="shared" ref="F10:F11" si="4">D10*E10</f>
        <v>-288</v>
      </c>
      <c r="G10" s="286">
        <f t="shared" ref="G10:G11" si="5">F10*0.05</f>
        <v>-14.4</v>
      </c>
      <c r="H10" s="286">
        <f t="shared" ref="H10:H11" si="6">F10*0.1</f>
        <v>-28.8</v>
      </c>
      <c r="I10" s="283">
        <f t="shared" ref="I10:I11" si="7">F10*F$1+G10*G$1+H10*H$1</f>
        <v>-38852.784</v>
      </c>
      <c r="J10" s="155"/>
      <c r="K10" s="155"/>
      <c r="L10" s="155"/>
      <c r="M10" s="196"/>
    </row>
    <row r="11" spans="1:27" ht="15" customHeight="1" x14ac:dyDescent="0.3">
      <c r="A11" s="291" t="s">
        <v>279</v>
      </c>
      <c r="B11" s="272">
        <f>1*2*4*-1</f>
        <v>-8</v>
      </c>
      <c r="C11" s="271">
        <v>1</v>
      </c>
      <c r="D11" s="192">
        <f t="shared" si="3"/>
        <v>-8</v>
      </c>
      <c r="E11" s="198">
        <v>3</v>
      </c>
      <c r="F11" s="286">
        <f t="shared" si="4"/>
        <v>-24</v>
      </c>
      <c r="G11" s="286">
        <f t="shared" si="5"/>
        <v>-1.2000000000000002</v>
      </c>
      <c r="H11" s="286">
        <f t="shared" si="6"/>
        <v>-2.4000000000000004</v>
      </c>
      <c r="I11" s="283">
        <f t="shared" si="7"/>
        <v>-3237.732</v>
      </c>
      <c r="J11" s="154"/>
      <c r="K11" s="154"/>
      <c r="L11" s="155"/>
      <c r="M11" s="196"/>
    </row>
    <row r="12" spans="1:27" ht="15" customHeight="1" x14ac:dyDescent="0.3">
      <c r="A12" s="214" t="s">
        <v>215</v>
      </c>
      <c r="B12" s="189" t="s">
        <v>47</v>
      </c>
      <c r="C12" s="167"/>
      <c r="D12" s="167"/>
      <c r="E12" s="198"/>
      <c r="F12" s="194"/>
      <c r="G12" s="194"/>
      <c r="H12" s="194"/>
      <c r="I12" s="208"/>
      <c r="J12" s="155"/>
      <c r="K12" s="155"/>
      <c r="L12" s="155"/>
      <c r="M12" s="155"/>
    </row>
    <row r="13" spans="1:27" ht="15" customHeight="1" x14ac:dyDescent="0.3">
      <c r="A13" s="214" t="s">
        <v>216</v>
      </c>
      <c r="B13" s="197" t="s">
        <v>48</v>
      </c>
      <c r="C13" s="192"/>
      <c r="D13" s="192"/>
      <c r="E13" s="198"/>
      <c r="F13" s="194"/>
      <c r="G13" s="194"/>
      <c r="H13" s="194"/>
      <c r="I13" s="208"/>
      <c r="J13" s="155"/>
      <c r="K13" s="155"/>
      <c r="L13" s="155"/>
      <c r="M13" s="155"/>
    </row>
    <row r="14" spans="1:27" ht="15" customHeight="1" x14ac:dyDescent="0.3">
      <c r="A14" s="214" t="s">
        <v>217</v>
      </c>
      <c r="B14" s="290" t="s">
        <v>266</v>
      </c>
      <c r="C14" s="167"/>
      <c r="D14" s="190"/>
      <c r="E14" s="198"/>
      <c r="F14" s="190">
        <f t="shared" ref="F14" si="8">D14*E14</f>
        <v>0</v>
      </c>
      <c r="G14" s="190">
        <f t="shared" ref="G14" si="9">F14*0.05</f>
        <v>0</v>
      </c>
      <c r="H14" s="190">
        <f t="shared" ref="H14" si="10">F14*0.1</f>
        <v>0</v>
      </c>
      <c r="I14" s="208"/>
      <c r="J14" s="155"/>
      <c r="K14" s="155"/>
      <c r="L14" s="155"/>
      <c r="M14" s="155"/>
    </row>
    <row r="15" spans="1:27" s="199" customFormat="1" ht="15" customHeight="1" x14ac:dyDescent="0.3">
      <c r="A15" s="238" t="s">
        <v>210</v>
      </c>
      <c r="B15" s="244"/>
      <c r="C15" s="245"/>
      <c r="D15" s="245"/>
      <c r="E15" s="245"/>
      <c r="F15" s="259"/>
      <c r="G15" s="288">
        <f>SUM(F4:H14)</f>
        <v>-286.34999999999997</v>
      </c>
      <c r="H15" s="257"/>
      <c r="I15" s="284">
        <f>SUM(I4:I14)</f>
        <v>-33591.469499999999</v>
      </c>
    </row>
    <row r="16" spans="1:27" ht="15" customHeight="1" x14ac:dyDescent="0.3">
      <c r="A16" s="240" t="s">
        <v>218</v>
      </c>
      <c r="B16" s="241" t="s">
        <v>5</v>
      </c>
      <c r="C16" s="242" t="s">
        <v>5</v>
      </c>
      <c r="D16" s="242" t="s">
        <v>5</v>
      </c>
      <c r="E16" s="243" t="s">
        <v>5</v>
      </c>
      <c r="F16" s="258" t="s">
        <v>5</v>
      </c>
      <c r="G16" s="258" t="s">
        <v>5</v>
      </c>
      <c r="H16" s="258" t="s">
        <v>5</v>
      </c>
      <c r="I16" s="208"/>
      <c r="J16" s="155"/>
      <c r="K16" s="155"/>
      <c r="L16" s="155"/>
      <c r="M16" s="155"/>
    </row>
    <row r="17" spans="1:13" ht="15" customHeight="1" x14ac:dyDescent="0.3">
      <c r="A17" s="215" t="s">
        <v>219</v>
      </c>
      <c r="B17" s="197" t="s">
        <v>49</v>
      </c>
      <c r="C17" s="192" t="s">
        <v>5</v>
      </c>
      <c r="D17" s="192" t="s">
        <v>5</v>
      </c>
      <c r="E17" s="182" t="s">
        <v>5</v>
      </c>
      <c r="F17" s="194" t="s">
        <v>5</v>
      </c>
      <c r="G17" s="194" t="s">
        <v>5</v>
      </c>
      <c r="H17" s="194" t="s">
        <v>5</v>
      </c>
      <c r="I17" s="208"/>
      <c r="J17" s="155"/>
      <c r="K17" s="155"/>
      <c r="L17" s="155"/>
      <c r="M17" s="155"/>
    </row>
    <row r="18" spans="1:13" ht="15" customHeight="1" x14ac:dyDescent="0.3">
      <c r="A18" s="215" t="s">
        <v>220</v>
      </c>
      <c r="B18" s="294" t="s">
        <v>3</v>
      </c>
      <c r="C18" s="167"/>
      <c r="D18" s="167"/>
      <c r="E18" s="182"/>
      <c r="F18" s="194"/>
      <c r="G18" s="194"/>
      <c r="H18" s="194"/>
      <c r="I18" s="208"/>
      <c r="J18" s="155"/>
      <c r="K18" s="155"/>
      <c r="L18" s="155"/>
      <c r="M18" s="155"/>
    </row>
    <row r="19" spans="1:13" ht="15" customHeight="1" x14ac:dyDescent="0.3">
      <c r="A19" s="215" t="s">
        <v>221</v>
      </c>
      <c r="B19" s="294" t="s">
        <v>3</v>
      </c>
      <c r="C19" s="167"/>
      <c r="D19" s="167"/>
      <c r="E19" s="182"/>
      <c r="F19" s="194"/>
      <c r="G19" s="194"/>
      <c r="H19" s="194"/>
      <c r="I19" s="208"/>
      <c r="J19" s="155"/>
      <c r="K19" s="155"/>
      <c r="L19" s="155"/>
      <c r="M19" s="155"/>
    </row>
    <row r="20" spans="1:13" ht="15" customHeight="1" x14ac:dyDescent="0.3">
      <c r="A20" s="215" t="s">
        <v>222</v>
      </c>
      <c r="B20" s="189"/>
      <c r="C20" s="167"/>
      <c r="D20" s="167"/>
      <c r="E20" s="182"/>
      <c r="F20" s="194"/>
      <c r="G20" s="194"/>
      <c r="H20" s="194"/>
      <c r="I20" s="208"/>
      <c r="J20" s="155"/>
      <c r="K20" s="155"/>
      <c r="L20" s="155"/>
      <c r="M20" s="155"/>
    </row>
    <row r="21" spans="1:13" ht="15" customHeight="1" x14ac:dyDescent="0.3">
      <c r="A21" s="292" t="s">
        <v>258</v>
      </c>
      <c r="B21" s="273">
        <v>-15</v>
      </c>
      <c r="C21" s="274">
        <v>1</v>
      </c>
      <c r="D21" s="192">
        <f t="shared" ref="D21" si="11">B21*$C21</f>
        <v>-15</v>
      </c>
      <c r="E21" s="182">
        <v>3</v>
      </c>
      <c r="F21" s="286">
        <f t="shared" ref="F21" si="12">D21*E21</f>
        <v>-45</v>
      </c>
      <c r="G21" s="286">
        <f t="shared" ref="G21" si="13">F21*0.05</f>
        <v>-2.25</v>
      </c>
      <c r="H21" s="286">
        <f t="shared" ref="H21" si="14">F21*0.1</f>
        <v>-4.5</v>
      </c>
      <c r="I21" s="283">
        <f t="shared" ref="I21" si="15">F21*F$1+G21*G$1+H21*H$1</f>
        <v>-6070.7474999999995</v>
      </c>
      <c r="J21" s="154"/>
      <c r="K21" s="154"/>
      <c r="L21" s="155"/>
      <c r="M21" s="155"/>
    </row>
    <row r="22" spans="1:13" ht="15" customHeight="1" x14ac:dyDescent="0.3">
      <c r="A22" s="215" t="s">
        <v>79</v>
      </c>
      <c r="B22" s="197" t="s">
        <v>47</v>
      </c>
      <c r="C22" s="192"/>
      <c r="D22" s="192"/>
      <c r="E22" s="192"/>
      <c r="F22" s="194"/>
      <c r="G22" s="194"/>
      <c r="H22" s="194" t="s">
        <v>5</v>
      </c>
      <c r="I22" s="208"/>
      <c r="J22" s="155"/>
      <c r="K22" s="155"/>
      <c r="L22" s="155"/>
      <c r="M22" s="155"/>
    </row>
    <row r="23" spans="1:13" ht="15" customHeight="1" x14ac:dyDescent="0.3">
      <c r="A23" s="236" t="s">
        <v>80</v>
      </c>
      <c r="B23" s="294" t="s">
        <v>3</v>
      </c>
      <c r="C23" s="237"/>
      <c r="D23" s="237"/>
      <c r="E23" s="237"/>
      <c r="F23" s="237"/>
      <c r="G23" s="237"/>
      <c r="H23" s="237"/>
      <c r="I23" s="208"/>
      <c r="J23" s="155"/>
      <c r="K23" s="155"/>
      <c r="L23" s="155"/>
      <c r="M23" s="155"/>
    </row>
    <row r="24" spans="1:13" s="200" customFormat="1" ht="15" customHeight="1" x14ac:dyDescent="0.3">
      <c r="A24" s="238" t="s">
        <v>207</v>
      </c>
      <c r="B24" s="239"/>
      <c r="C24" s="239"/>
      <c r="D24" s="239"/>
      <c r="E24" s="239"/>
      <c r="F24" s="259"/>
      <c r="G24" s="287">
        <f>SUM(F16:H23)</f>
        <v>-51.75</v>
      </c>
      <c r="H24" s="260"/>
      <c r="I24" s="284">
        <f>SUM(I16:I23)</f>
        <v>-6070.7474999999995</v>
      </c>
    </row>
    <row r="25" spans="1:13" s="201" customFormat="1" ht="15" customHeight="1" x14ac:dyDescent="0.3">
      <c r="A25" s="212" t="s">
        <v>234</v>
      </c>
      <c r="B25" s="216"/>
      <c r="C25" s="216"/>
      <c r="D25" s="216"/>
      <c r="E25" s="216"/>
      <c r="F25" s="263"/>
      <c r="G25" s="206">
        <f>ROUND(G24+G15,-1)</f>
        <v>-340</v>
      </c>
      <c r="H25" s="261"/>
      <c r="I25" s="285">
        <f>ROUND(I24+I15,-3)</f>
        <v>-40000</v>
      </c>
      <c r="K25" s="202"/>
      <c r="L25" s="202"/>
    </row>
    <row r="26" spans="1:13" s="201" customFormat="1" ht="15" customHeight="1" x14ac:dyDescent="0.3">
      <c r="A26" s="203" t="s">
        <v>235</v>
      </c>
      <c r="B26" s="204"/>
      <c r="C26" s="204"/>
      <c r="D26" s="205"/>
      <c r="E26" s="204"/>
      <c r="F26" s="262"/>
      <c r="G26" s="262"/>
      <c r="H26" s="262"/>
      <c r="I26" s="285">
        <f>ROUND('CAP&amp;O&amp;M'!G5,-3)</f>
        <v>-21000</v>
      </c>
      <c r="J26" s="207"/>
    </row>
    <row r="27" spans="1:13" s="201" customFormat="1" ht="15" customHeight="1" x14ac:dyDescent="0.3">
      <c r="A27" s="203" t="s">
        <v>236</v>
      </c>
      <c r="B27" s="204"/>
      <c r="C27" s="204"/>
      <c r="D27" s="205"/>
      <c r="E27" s="204"/>
      <c r="F27" s="206"/>
      <c r="G27" s="206"/>
      <c r="H27" s="206"/>
      <c r="I27" s="285">
        <f>ROUND(I25+I26,-3)</f>
        <v>-61000</v>
      </c>
      <c r="J27" s="207"/>
    </row>
    <row r="28" spans="1:13" s="278" customFormat="1" x14ac:dyDescent="0.3">
      <c r="A28" s="278" t="s">
        <v>261</v>
      </c>
    </row>
    <row r="29" spans="1:13" s="251" customFormat="1" ht="13.5" x14ac:dyDescent="0.25">
      <c r="A29" s="309" t="s">
        <v>257</v>
      </c>
      <c r="B29" s="309"/>
      <c r="C29" s="309"/>
      <c r="D29" s="309"/>
      <c r="E29" s="309"/>
      <c r="F29" s="309"/>
      <c r="G29" s="309"/>
      <c r="H29" s="309"/>
      <c r="I29" s="309"/>
      <c r="J29" s="224"/>
      <c r="K29" s="224"/>
      <c r="L29" s="250"/>
      <c r="M29" s="250"/>
    </row>
    <row r="30" spans="1:13" s="253" customFormat="1" ht="41.5" customHeight="1" x14ac:dyDescent="0.25">
      <c r="A30" s="308" t="s">
        <v>223</v>
      </c>
      <c r="B30" s="308"/>
      <c r="C30" s="308"/>
      <c r="D30" s="308"/>
      <c r="E30" s="308"/>
      <c r="F30" s="308"/>
      <c r="G30" s="308"/>
      <c r="H30" s="308"/>
      <c r="I30" s="308"/>
      <c r="J30" s="249"/>
      <c r="K30" s="249"/>
      <c r="L30" s="252"/>
      <c r="M30" s="252"/>
    </row>
    <row r="31" spans="1:13" s="251" customFormat="1" ht="13.5" x14ac:dyDescent="0.25">
      <c r="A31" s="307" t="s">
        <v>224</v>
      </c>
      <c r="B31" s="307"/>
      <c r="C31" s="307"/>
      <c r="D31" s="307"/>
      <c r="E31" s="307"/>
      <c r="F31" s="307"/>
      <c r="G31" s="307"/>
      <c r="H31" s="307"/>
      <c r="I31" s="307"/>
      <c r="J31" s="224"/>
      <c r="K31" s="224"/>
      <c r="L31" s="250"/>
      <c r="M31" s="250"/>
    </row>
    <row r="32" spans="1:13" s="251" customFormat="1" ht="13.5" x14ac:dyDescent="0.25">
      <c r="A32" s="307" t="s">
        <v>225</v>
      </c>
      <c r="B32" s="307"/>
      <c r="C32" s="307"/>
      <c r="D32" s="307"/>
      <c r="E32" s="307"/>
      <c r="F32" s="307"/>
      <c r="G32" s="307"/>
      <c r="H32" s="307"/>
      <c r="I32" s="307"/>
      <c r="J32" s="224"/>
      <c r="K32" s="224"/>
      <c r="L32" s="250"/>
      <c r="M32" s="250"/>
    </row>
    <row r="33" spans="1:9" ht="27" customHeight="1" x14ac:dyDescent="0.3">
      <c r="A33" s="306" t="s">
        <v>280</v>
      </c>
      <c r="B33" s="306"/>
      <c r="C33" s="306"/>
      <c r="D33" s="306"/>
      <c r="E33" s="306"/>
      <c r="F33" s="306"/>
      <c r="G33" s="306"/>
      <c r="H33" s="306"/>
      <c r="I33" s="306"/>
    </row>
    <row r="34" spans="1:9" ht="13.5" x14ac:dyDescent="0.3">
      <c r="A34" s="307" t="s">
        <v>262</v>
      </c>
      <c r="B34" s="307"/>
      <c r="C34" s="307"/>
      <c r="D34" s="307"/>
      <c r="E34" s="307"/>
      <c r="F34" s="307"/>
      <c r="G34" s="307"/>
      <c r="H34" s="307"/>
      <c r="I34" s="307"/>
    </row>
    <row r="35" spans="1:9" ht="13.5" x14ac:dyDescent="0.3">
      <c r="A35" s="153" t="s">
        <v>263</v>
      </c>
      <c r="B35" s="289"/>
      <c r="C35" s="289"/>
      <c r="D35" s="289"/>
      <c r="E35" s="289"/>
      <c r="F35" s="289"/>
      <c r="G35" s="289"/>
      <c r="H35" s="289"/>
      <c r="I35" s="289"/>
    </row>
  </sheetData>
  <mergeCells count="6">
    <mergeCell ref="A33:I33"/>
    <mergeCell ref="A34:I34"/>
    <mergeCell ref="A31:I31"/>
    <mergeCell ref="A30:I30"/>
    <mergeCell ref="A29:I29"/>
    <mergeCell ref="A32:I32"/>
  </mergeCells>
  <printOptions horizontalCentered="1" gridLinesSet="0"/>
  <pageMargins left="0.5" right="0.5" top="0.5" bottom="0.5" header="0.5" footer="0.19"/>
  <pageSetup scale="47" orientation="portrait" horizontalDpi="300" verticalDpi="300" r:id="rId1"/>
  <headerFooter alignWithMargins="0"/>
  <ignoredErrors>
    <ignoredError sqref="B8 B12:B13 B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showGridLines="0" topLeftCell="A2" zoomScaleNormal="100" zoomScaleSheetLayoutView="100" workbookViewId="0">
      <selection activeCell="A3" sqref="A3"/>
    </sheetView>
  </sheetViews>
  <sheetFormatPr defaultColWidth="9.109375" defaultRowHeight="12" x14ac:dyDescent="0.3"/>
  <cols>
    <col min="1" max="1" width="45" style="160" customWidth="1"/>
    <col min="2" max="9" width="15.6640625" style="160" customWidth="1"/>
    <col min="10" max="16384" width="9.109375" style="160"/>
  </cols>
  <sheetData>
    <row r="1" spans="1:11" hidden="1" x14ac:dyDescent="0.3">
      <c r="E1" s="177" t="s">
        <v>209</v>
      </c>
      <c r="F1" s="178">
        <v>50.72</v>
      </c>
      <c r="G1" s="178">
        <v>68.37</v>
      </c>
      <c r="H1" s="178">
        <v>27.46</v>
      </c>
      <c r="I1" s="179"/>
      <c r="J1" s="179" t="s">
        <v>205</v>
      </c>
    </row>
    <row r="2" spans="1:11" ht="15.5" x14ac:dyDescent="0.35">
      <c r="A2" s="183" t="s">
        <v>248</v>
      </c>
      <c r="B2" s="180"/>
      <c r="C2" s="180"/>
      <c r="D2" s="180"/>
      <c r="E2" s="180"/>
      <c r="F2" s="180"/>
      <c r="G2" s="180"/>
      <c r="H2" s="180"/>
      <c r="I2" s="181"/>
      <c r="J2" s="181"/>
    </row>
    <row r="3" spans="1:11" ht="60" x14ac:dyDescent="0.3">
      <c r="A3" s="192" t="s">
        <v>2</v>
      </c>
      <c r="B3" s="228" t="s">
        <v>241</v>
      </c>
      <c r="C3" s="228" t="s">
        <v>242</v>
      </c>
      <c r="D3" s="228" t="s">
        <v>243</v>
      </c>
      <c r="E3" s="228" t="s">
        <v>276</v>
      </c>
      <c r="F3" s="228" t="s">
        <v>244</v>
      </c>
      <c r="G3" s="228" t="s">
        <v>245</v>
      </c>
      <c r="H3" s="228" t="s">
        <v>246</v>
      </c>
      <c r="I3" s="228" t="s">
        <v>247</v>
      </c>
    </row>
    <row r="4" spans="1:11" ht="15.75" customHeight="1" x14ac:dyDescent="0.3">
      <c r="A4" s="225" t="s">
        <v>211</v>
      </c>
      <c r="B4" s="219" t="s">
        <v>3</v>
      </c>
      <c r="C4" s="226"/>
      <c r="D4" s="219"/>
      <c r="E4" s="219"/>
      <c r="F4" s="219"/>
      <c r="G4" s="219"/>
      <c r="H4" s="219"/>
      <c r="I4" s="227"/>
    </row>
    <row r="5" spans="1:11" s="164" customFormat="1" ht="15.75" customHeight="1" x14ac:dyDescent="0.3">
      <c r="A5" s="213" t="s">
        <v>271</v>
      </c>
      <c r="B5" s="220">
        <v>8</v>
      </c>
      <c r="C5" s="162">
        <v>1</v>
      </c>
      <c r="D5" s="161">
        <f>B5*C5</f>
        <v>8</v>
      </c>
      <c r="E5" s="165">
        <v>5</v>
      </c>
      <c r="F5" s="163">
        <f>(E5*D5)</f>
        <v>40</v>
      </c>
      <c r="G5" s="161">
        <f>F5*0.05</f>
        <v>2</v>
      </c>
      <c r="H5" s="161">
        <f>F5*0.1</f>
        <v>4</v>
      </c>
      <c r="I5" s="208">
        <f>(F5*F$1+G5*G$1+H5*H$1)</f>
        <v>2275.38</v>
      </c>
      <c r="K5" s="275"/>
    </row>
    <row r="6" spans="1:11" s="164" customFormat="1" ht="15.75" customHeight="1" x14ac:dyDescent="0.3">
      <c r="A6" s="213" t="s">
        <v>237</v>
      </c>
      <c r="B6" s="221"/>
      <c r="C6" s="166"/>
      <c r="D6" s="165"/>
      <c r="E6" s="165"/>
      <c r="F6" s="165"/>
      <c r="G6" s="165"/>
      <c r="H6" s="165"/>
      <c r="I6" s="209"/>
    </row>
    <row r="7" spans="1:11" ht="15.75" customHeight="1" x14ac:dyDescent="0.3">
      <c r="A7" s="214" t="s">
        <v>272</v>
      </c>
      <c r="B7" s="222">
        <v>48</v>
      </c>
      <c r="C7" s="166">
        <v>1</v>
      </c>
      <c r="D7" s="161">
        <f>B7*C7</f>
        <v>48</v>
      </c>
      <c r="E7" s="167">
        <v>0</v>
      </c>
      <c r="F7" s="163">
        <f>(E7*D7)</f>
        <v>0</v>
      </c>
      <c r="G7" s="165">
        <f>F7*0.05</f>
        <v>0</v>
      </c>
      <c r="H7" s="165">
        <f>F7*0.1</f>
        <v>0</v>
      </c>
      <c r="I7" s="208">
        <f>(F7*F$1+G7*G$1+H7*H$1)</f>
        <v>0</v>
      </c>
    </row>
    <row r="8" spans="1:11" ht="15.75" customHeight="1" x14ac:dyDescent="0.3">
      <c r="A8" s="214" t="s">
        <v>273</v>
      </c>
      <c r="B8" s="222">
        <v>24</v>
      </c>
      <c r="C8" s="168">
        <v>1</v>
      </c>
      <c r="D8" s="161">
        <f>B8*C8</f>
        <v>24</v>
      </c>
      <c r="E8" s="167">
        <v>0</v>
      </c>
      <c r="F8" s="163">
        <f>(E8*D8)</f>
        <v>0</v>
      </c>
      <c r="G8" s="163">
        <f>F8*0.05</f>
        <v>0</v>
      </c>
      <c r="H8" s="163">
        <f>F8*0.1</f>
        <v>0</v>
      </c>
      <c r="I8" s="208">
        <f>(F8*F$1+G8*G$1+H8*H$1)</f>
        <v>0</v>
      </c>
    </row>
    <row r="9" spans="1:11" ht="15.75" customHeight="1" x14ac:dyDescent="0.3">
      <c r="A9" s="214" t="s">
        <v>215</v>
      </c>
      <c r="B9" s="169" t="s">
        <v>3</v>
      </c>
      <c r="C9" s="169"/>
      <c r="D9" s="169"/>
      <c r="E9" s="169"/>
      <c r="F9" s="169"/>
      <c r="G9" s="169"/>
      <c r="H9" s="169"/>
      <c r="I9" s="210"/>
    </row>
    <row r="10" spans="1:11" ht="15.75" customHeight="1" x14ac:dyDescent="0.3">
      <c r="A10" s="214" t="s">
        <v>216</v>
      </c>
      <c r="B10" s="296" t="s">
        <v>3</v>
      </c>
      <c r="C10" s="296"/>
      <c r="D10" s="296"/>
      <c r="E10" s="296"/>
      <c r="F10" s="296"/>
      <c r="G10" s="296"/>
      <c r="H10" s="296"/>
      <c r="I10" s="297"/>
    </row>
    <row r="11" spans="1:11" ht="15.75" customHeight="1" x14ac:dyDescent="0.3">
      <c r="A11" s="295" t="s">
        <v>238</v>
      </c>
      <c r="B11" s="301" t="s">
        <v>277</v>
      </c>
      <c r="C11" s="302"/>
      <c r="D11" s="303"/>
      <c r="E11" s="303"/>
      <c r="F11" s="304"/>
      <c r="G11" s="304"/>
      <c r="H11" s="304"/>
      <c r="I11" s="305"/>
      <c r="K11" s="153"/>
    </row>
    <row r="12" spans="1:11" s="164" customFormat="1" ht="15.75" customHeight="1" x14ac:dyDescent="0.3">
      <c r="A12" s="214" t="s">
        <v>274</v>
      </c>
      <c r="B12" s="298">
        <f>8*3</f>
        <v>24</v>
      </c>
      <c r="C12" s="172">
        <v>1</v>
      </c>
      <c r="D12" s="299">
        <f>B12*C12</f>
        <v>24</v>
      </c>
      <c r="E12" s="171">
        <v>0</v>
      </c>
      <c r="F12" s="171">
        <f>D12*E12</f>
        <v>0</v>
      </c>
      <c r="G12" s="173">
        <f>F12*0.05</f>
        <v>0</v>
      </c>
      <c r="H12" s="173">
        <f>F12*0.1</f>
        <v>0</v>
      </c>
      <c r="I12" s="300">
        <f t="shared" ref="I12" si="0">(F12*F$1+G12*G$1+H12*H$1)</f>
        <v>0</v>
      </c>
    </row>
    <row r="13" spans="1:11" ht="15.75" customHeight="1" x14ac:dyDescent="0.3">
      <c r="A13" s="223" t="s">
        <v>239</v>
      </c>
      <c r="B13" s="229"/>
      <c r="C13" s="230"/>
      <c r="D13" s="174"/>
      <c r="E13" s="174"/>
      <c r="F13" s="174"/>
      <c r="G13" s="264" t="s">
        <v>154</v>
      </c>
      <c r="H13" s="265" t="s">
        <v>7</v>
      </c>
      <c r="I13" s="211">
        <f>IF(ISTEXT(G13),0,B7*G13)</f>
        <v>0</v>
      </c>
    </row>
    <row r="14" spans="1:11" s="164" customFormat="1" ht="15.75" customHeight="1" x14ac:dyDescent="0.3">
      <c r="A14" s="231" t="s">
        <v>275</v>
      </c>
      <c r="B14" s="232"/>
      <c r="C14" s="233"/>
      <c r="D14" s="234"/>
      <c r="E14" s="221"/>
      <c r="F14" s="266"/>
      <c r="G14" s="267">
        <f>SUM(F5:H12)</f>
        <v>46</v>
      </c>
      <c r="H14" s="268"/>
      <c r="I14" s="235">
        <f>ROUND(SUM(I5:I13),-2)</f>
        <v>2300</v>
      </c>
      <c r="J14" s="175"/>
    </row>
    <row r="15" spans="1:11" ht="26.25" customHeight="1" x14ac:dyDescent="0.3">
      <c r="A15" s="310" t="s">
        <v>270</v>
      </c>
      <c r="B15" s="310"/>
      <c r="C15" s="310"/>
      <c r="D15" s="310"/>
      <c r="E15" s="310"/>
      <c r="F15" s="310"/>
      <c r="G15" s="310"/>
      <c r="H15" s="310"/>
      <c r="I15" s="310"/>
    </row>
    <row r="16" spans="1:11" s="254" customFormat="1" ht="36" customHeight="1" x14ac:dyDescent="0.3">
      <c r="A16" s="308" t="s">
        <v>240</v>
      </c>
      <c r="B16" s="308"/>
      <c r="C16" s="308"/>
      <c r="D16" s="308"/>
      <c r="E16" s="308"/>
      <c r="F16" s="308"/>
      <c r="G16" s="308"/>
      <c r="H16" s="308"/>
      <c r="I16" s="308"/>
    </row>
    <row r="17" spans="1:9" ht="13.5" x14ac:dyDescent="0.3">
      <c r="A17" s="311" t="s">
        <v>267</v>
      </c>
      <c r="B17" s="311"/>
      <c r="C17" s="311"/>
      <c r="D17" s="311"/>
      <c r="E17" s="311"/>
      <c r="F17" s="311"/>
      <c r="G17" s="311"/>
      <c r="H17" s="311"/>
      <c r="I17" s="311"/>
    </row>
    <row r="18" spans="1:9" ht="13.5" x14ac:dyDescent="0.3">
      <c r="A18" s="311" t="s">
        <v>268</v>
      </c>
      <c r="B18" s="311"/>
      <c r="C18" s="311"/>
      <c r="D18" s="311"/>
      <c r="E18" s="311"/>
      <c r="F18" s="311"/>
      <c r="G18" s="311"/>
      <c r="H18" s="311"/>
      <c r="I18" s="311"/>
    </row>
    <row r="19" spans="1:9" ht="13.5" x14ac:dyDescent="0.3">
      <c r="A19" s="311" t="s">
        <v>269</v>
      </c>
      <c r="B19" s="311"/>
      <c r="C19" s="311"/>
      <c r="D19" s="311"/>
      <c r="E19" s="311"/>
      <c r="F19" s="311"/>
      <c r="G19" s="311"/>
      <c r="H19" s="311"/>
      <c r="I19" s="311"/>
    </row>
    <row r="20" spans="1:9" x14ac:dyDescent="0.3">
      <c r="A20" s="153"/>
      <c r="B20" s="153"/>
    </row>
    <row r="21" spans="1:9" x14ac:dyDescent="0.3">
      <c r="A21" s="153"/>
      <c r="B21" s="153"/>
    </row>
    <row r="22" spans="1:9" x14ac:dyDescent="0.3">
      <c r="A22" s="153"/>
      <c r="B22" s="153"/>
    </row>
    <row r="23" spans="1:9" x14ac:dyDescent="0.3">
      <c r="A23" s="153"/>
      <c r="B23" s="153"/>
    </row>
    <row r="24" spans="1:9" x14ac:dyDescent="0.3">
      <c r="A24" s="153"/>
      <c r="B24" s="153"/>
    </row>
    <row r="25" spans="1:9" x14ac:dyDescent="0.3">
      <c r="A25" s="153"/>
      <c r="B25" s="153"/>
    </row>
  </sheetData>
  <mergeCells count="5">
    <mergeCell ref="A15:I15"/>
    <mergeCell ref="A19:I19"/>
    <mergeCell ref="A18:I18"/>
    <mergeCell ref="A17:I17"/>
    <mergeCell ref="A16:I16"/>
  </mergeCells>
  <printOptions horizontalCentered="1"/>
  <pageMargins left="0.75" right="0.75" top="1" bottom="1" header="0.25" footer="0.25"/>
  <pageSetup scale="8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Q43"/>
  <sheetViews>
    <sheetView view="pageBreakPreview" zoomScaleNormal="100" zoomScaleSheetLayoutView="100" workbookViewId="0">
      <selection activeCell="J29" sqref="J29"/>
    </sheetView>
  </sheetViews>
  <sheetFormatPr defaultColWidth="9.33203125" defaultRowHeight="14.5" x14ac:dyDescent="0.35"/>
  <cols>
    <col min="1" max="1" width="9.33203125" style="118"/>
    <col min="2" max="2" width="25.77734375" style="118" bestFit="1" customWidth="1"/>
    <col min="3" max="3" width="16.33203125" style="118" bestFit="1" customWidth="1"/>
    <col min="4" max="4" width="29.77734375" style="118" customWidth="1"/>
    <col min="5" max="5" width="18.6640625" style="118" bestFit="1" customWidth="1"/>
    <col min="6" max="7" width="19.77734375" style="118" bestFit="1" customWidth="1"/>
    <col min="8" max="8" width="19.109375" style="118" customWidth="1"/>
    <col min="9" max="9" width="9.6640625" style="118" bestFit="1" customWidth="1"/>
    <col min="10" max="11" width="11.44140625" style="118" bestFit="1" customWidth="1"/>
    <col min="12" max="16384" width="9.33203125" style="118"/>
  </cols>
  <sheetData>
    <row r="1" spans="1:17" x14ac:dyDescent="0.35">
      <c r="B1" s="73" t="s">
        <v>203</v>
      </c>
    </row>
    <row r="2" spans="1:17" x14ac:dyDescent="0.35">
      <c r="B2" s="117">
        <v>40948</v>
      </c>
    </row>
    <row r="3" spans="1:17" x14ac:dyDescent="0.35">
      <c r="B3" s="148"/>
    </row>
    <row r="5" spans="1:17" x14ac:dyDescent="0.35">
      <c r="A5" s="127" t="s">
        <v>183</v>
      </c>
    </row>
    <row r="7" spans="1:17" x14ac:dyDescent="0.35">
      <c r="B7" s="118" t="s">
        <v>184</v>
      </c>
    </row>
    <row r="8" spans="1:17" x14ac:dyDescent="0.35">
      <c r="B8" s="118" t="s">
        <v>185</v>
      </c>
    </row>
    <row r="9" spans="1:17" x14ac:dyDescent="0.35">
      <c r="B9" s="118" t="s">
        <v>186</v>
      </c>
    </row>
    <row r="10" spans="1:17" x14ac:dyDescent="0.35">
      <c r="B10" s="118" t="s">
        <v>187</v>
      </c>
    </row>
    <row r="13" spans="1:17" x14ac:dyDescent="0.35">
      <c r="B13" s="312" t="s">
        <v>165</v>
      </c>
      <c r="C13" s="312"/>
      <c r="D13" s="312"/>
      <c r="E13" s="312"/>
      <c r="F13" s="312"/>
      <c r="G13" s="312"/>
      <c r="H13" s="312"/>
    </row>
    <row r="14" spans="1:17" x14ac:dyDescent="0.35">
      <c r="B14" s="313" t="s">
        <v>182</v>
      </c>
      <c r="C14" s="313" t="s">
        <v>166</v>
      </c>
      <c r="D14" s="313" t="s">
        <v>168</v>
      </c>
      <c r="E14" s="314" t="s">
        <v>167</v>
      </c>
      <c r="F14" s="314"/>
      <c r="G14" s="314"/>
      <c r="H14" s="313" t="s">
        <v>175</v>
      </c>
      <c r="K14"/>
      <c r="L14"/>
      <c r="M14"/>
      <c r="N14"/>
      <c r="O14"/>
      <c r="P14"/>
      <c r="Q14"/>
    </row>
    <row r="15" spans="1:17" x14ac:dyDescent="0.35">
      <c r="B15" s="313"/>
      <c r="C15" s="313"/>
      <c r="D15" s="313"/>
      <c r="E15" s="120" t="s">
        <v>164</v>
      </c>
      <c r="F15" s="120" t="s">
        <v>163</v>
      </c>
      <c r="G15" s="120" t="s">
        <v>162</v>
      </c>
      <c r="H15" s="313"/>
      <c r="J15" s="141"/>
      <c r="K15"/>
      <c r="L15"/>
      <c r="M15"/>
      <c r="N15"/>
      <c r="O15"/>
      <c r="P15"/>
      <c r="Q15"/>
    </row>
    <row r="16" spans="1:17" x14ac:dyDescent="0.35">
      <c r="B16" s="121" t="s">
        <v>161</v>
      </c>
      <c r="C16" s="122" t="e">
        <f>SUM(#REF!)/7+#REF!+SUM(#REF!)/7</f>
        <v>#REF!</v>
      </c>
      <c r="D16" s="151" t="s">
        <v>174</v>
      </c>
      <c r="E16" s="122" t="e">
        <f>#REF!+#REF!</f>
        <v>#REF!</v>
      </c>
      <c r="F16" s="123" t="e">
        <f>#REF!+SUM(#REF!)/7+#REF!</f>
        <v>#REF!</v>
      </c>
      <c r="G16" s="123" t="e">
        <f>Industry!$I$11+SUM(Industry!#REF!)/7+Industry!#REF!</f>
        <v>#REF!</v>
      </c>
      <c r="H16" s="121" t="s">
        <v>179</v>
      </c>
      <c r="J16" s="119"/>
      <c r="K16"/>
      <c r="L16"/>
      <c r="M16"/>
      <c r="N16"/>
      <c r="O16"/>
      <c r="P16"/>
      <c r="Q16"/>
    </row>
    <row r="17" spans="2:17" x14ac:dyDescent="0.35">
      <c r="B17" s="121" t="s">
        <v>160</v>
      </c>
      <c r="C17" s="122" t="e">
        <f>SUM(#REF!)/7+#REF!+#REF!+SUM(#REF!)/7</f>
        <v>#REF!</v>
      </c>
      <c r="D17" s="123" t="s">
        <v>173</v>
      </c>
      <c r="E17" s="122" t="e">
        <f>#REF!+#REF!</f>
        <v>#REF!</v>
      </c>
      <c r="F17" s="123" t="e">
        <f>#REF!+SUM(#REF!)/7+#REF!</f>
        <v>#REF!</v>
      </c>
      <c r="G17" s="123" t="e">
        <f>Industry!$I$10+SUM(Industry!#REF!)/7+Industry!$I$21</f>
        <v>#REF!</v>
      </c>
      <c r="H17" s="121" t="s">
        <v>179</v>
      </c>
      <c r="J17" s="141"/>
      <c r="K17"/>
      <c r="L17"/>
      <c r="M17"/>
      <c r="N17"/>
      <c r="O17"/>
      <c r="P17"/>
      <c r="Q17"/>
    </row>
    <row r="18" spans="2:17" x14ac:dyDescent="0.35">
      <c r="B18" s="121" t="s">
        <v>159</v>
      </c>
      <c r="C18" s="122" t="e">
        <f>SUM(#REF!)/7+#REF!+SUM(#REF!)/7</f>
        <v>#REF!</v>
      </c>
      <c r="D18" s="152" t="s">
        <v>174</v>
      </c>
      <c r="E18" s="122" t="e">
        <f>#REF!+#REF!+#REF!</f>
        <v>#REF!</v>
      </c>
      <c r="F18" s="123" t="e">
        <f>#REF!+#REF!+SUM(#REF!)/7+#REF!</f>
        <v>#REF!</v>
      </c>
      <c r="G18" s="123" t="e">
        <f>Industry!#REF!+Industry!#REF!+SUM(Industry!#REF!)/7+Industry!#REF!</f>
        <v>#REF!</v>
      </c>
      <c r="H18" s="121" t="s">
        <v>179</v>
      </c>
      <c r="K18"/>
      <c r="L18"/>
      <c r="M18"/>
      <c r="N18"/>
      <c r="O18"/>
      <c r="P18"/>
      <c r="Q18"/>
    </row>
    <row r="19" spans="2:17" x14ac:dyDescent="0.35">
      <c r="B19" s="121" t="s">
        <v>158</v>
      </c>
      <c r="C19" s="122" t="e">
        <f>SUM(#REF!)/7+#REF!+SUM(#REF!)/7</f>
        <v>#REF!</v>
      </c>
      <c r="D19" s="123" t="s">
        <v>174</v>
      </c>
      <c r="E19" s="122" t="e">
        <f>#REF!+#REF!+#REF!</f>
        <v>#REF!</v>
      </c>
      <c r="F19" s="123" t="e">
        <f>#REF!+#REF!+SUM(#REF!)/7+#REF!</f>
        <v>#REF!</v>
      </c>
      <c r="G19" s="123" t="e">
        <f>Industry!#REF!+Industry!#REF!+SUM(Industry!#REF!)/7+Industry!#REF!</f>
        <v>#REF!</v>
      </c>
      <c r="H19" s="121" t="s">
        <v>180</v>
      </c>
      <c r="K19"/>
      <c r="L19"/>
      <c r="M19"/>
      <c r="N19"/>
      <c r="O19"/>
      <c r="P19"/>
      <c r="Q19"/>
    </row>
    <row r="20" spans="2:17" x14ac:dyDescent="0.35">
      <c r="B20" s="121" t="s">
        <v>157</v>
      </c>
      <c r="C20" s="122" t="e">
        <f>SUM(#REF!)/7+SUM(#REF!)/7</f>
        <v>#REF!</v>
      </c>
      <c r="D20" s="123" t="s">
        <v>33</v>
      </c>
      <c r="E20" s="122" t="e">
        <f>#REF!</f>
        <v>#REF!</v>
      </c>
      <c r="F20" s="123" t="e">
        <f>SUM(#REF!)/7+#REF!</f>
        <v>#REF!</v>
      </c>
      <c r="G20" s="123" t="e">
        <f>SUM(Industry!#REF!)/7+Industry!#REF!</f>
        <v>#REF!</v>
      </c>
      <c r="H20" s="121" t="s">
        <v>179</v>
      </c>
      <c r="K20"/>
      <c r="L20"/>
      <c r="M20"/>
      <c r="N20"/>
      <c r="O20"/>
      <c r="P20"/>
      <c r="Q20"/>
    </row>
    <row r="21" spans="2:17" x14ac:dyDescent="0.35">
      <c r="B21" s="121" t="s">
        <v>156</v>
      </c>
      <c r="C21" s="122" t="e">
        <f>SUM(#REF!)/7+#REF!+SUM(#REF!)/7</f>
        <v>#REF!</v>
      </c>
      <c r="D21" s="123" t="s">
        <v>174</v>
      </c>
      <c r="E21" s="122" t="e">
        <f>#REF!+#REF!</f>
        <v>#REF!</v>
      </c>
      <c r="F21" s="123" t="e">
        <f>#REF!+SUM(#REF!)/7+#REF!</f>
        <v>#REF!</v>
      </c>
      <c r="G21" s="123" t="e">
        <f>Industry!#REF!+SUM(Industry!#REF!)/7+Industry!#REF!</f>
        <v>#REF!</v>
      </c>
      <c r="H21" s="121" t="s">
        <v>179</v>
      </c>
      <c r="I21" s="141"/>
      <c r="J21" s="143"/>
      <c r="K21" s="144"/>
      <c r="L21"/>
      <c r="M21"/>
      <c r="N21"/>
      <c r="O21"/>
      <c r="P21"/>
      <c r="Q21"/>
    </row>
    <row r="22" spans="2:17" x14ac:dyDescent="0.35">
      <c r="B22" s="121" t="s">
        <v>155</v>
      </c>
      <c r="C22" s="122" t="e">
        <f>SUM(#REF!)/7+SUM(#REF!)/7</f>
        <v>#REF!</v>
      </c>
      <c r="D22" s="123" t="s">
        <v>33</v>
      </c>
      <c r="E22" s="122" t="e">
        <f>#REF!</f>
        <v>#REF!</v>
      </c>
      <c r="F22" s="123" t="e">
        <f>SUM(#REF!)/7+#REF!</f>
        <v>#REF!</v>
      </c>
      <c r="G22" s="123" t="e">
        <f>SUM(Industry!#REF!)/7+Industry!#REF!</f>
        <v>#REF!</v>
      </c>
      <c r="H22" s="121" t="s">
        <v>179</v>
      </c>
      <c r="K22"/>
      <c r="L22"/>
      <c r="M22"/>
      <c r="N22"/>
      <c r="O22"/>
      <c r="P22"/>
      <c r="Q22"/>
    </row>
    <row r="23" spans="2:17" x14ac:dyDescent="0.35">
      <c r="B23" s="124" t="s">
        <v>9</v>
      </c>
      <c r="C23" s="125" t="e">
        <f>SUM(C16:C22)</f>
        <v>#REF!</v>
      </c>
      <c r="D23" s="126"/>
      <c r="E23" s="126" t="e">
        <f>SUM(E16:E22)</f>
        <v>#REF!</v>
      </c>
      <c r="F23" s="126" t="e">
        <f>SUM(F16:F22)</f>
        <v>#REF!</v>
      </c>
      <c r="G23" s="126" t="e">
        <f>SUM(G16:G22)</f>
        <v>#REF!</v>
      </c>
      <c r="H23" s="121"/>
      <c r="K23"/>
      <c r="L23"/>
      <c r="M23"/>
      <c r="N23"/>
      <c r="O23"/>
      <c r="P23"/>
      <c r="Q23"/>
    </row>
    <row r="24" spans="2:17" x14ac:dyDescent="0.35">
      <c r="B24" s="147" t="s">
        <v>12</v>
      </c>
      <c r="C24" s="119" t="s">
        <v>169</v>
      </c>
      <c r="K24"/>
      <c r="L24"/>
      <c r="M24"/>
      <c r="N24"/>
      <c r="O24"/>
      <c r="P24"/>
      <c r="Q24"/>
    </row>
    <row r="25" spans="2:17" x14ac:dyDescent="0.35">
      <c r="B25" s="147" t="s">
        <v>13</v>
      </c>
      <c r="C25" s="118" t="s">
        <v>170</v>
      </c>
      <c r="K25"/>
      <c r="L25"/>
      <c r="M25"/>
      <c r="N25"/>
      <c r="O25"/>
      <c r="P25"/>
      <c r="Q25"/>
    </row>
    <row r="26" spans="2:17" x14ac:dyDescent="0.35">
      <c r="B26" s="147" t="s">
        <v>4</v>
      </c>
      <c r="C26" s="118" t="s">
        <v>171</v>
      </c>
      <c r="K26"/>
      <c r="L26"/>
      <c r="M26"/>
      <c r="N26"/>
      <c r="O26"/>
      <c r="P26"/>
      <c r="Q26"/>
    </row>
    <row r="27" spans="2:17" x14ac:dyDescent="0.35">
      <c r="B27" s="147" t="s">
        <v>11</v>
      </c>
      <c r="C27" s="118" t="s">
        <v>172</v>
      </c>
      <c r="K27"/>
      <c r="L27"/>
      <c r="M27"/>
      <c r="N27"/>
      <c r="O27"/>
      <c r="P27"/>
      <c r="Q27"/>
    </row>
    <row r="28" spans="2:17" x14ac:dyDescent="0.35">
      <c r="B28" s="147" t="s">
        <v>10</v>
      </c>
      <c r="C28" s="118" t="s">
        <v>176</v>
      </c>
      <c r="K28"/>
      <c r="L28"/>
      <c r="M28"/>
      <c r="N28"/>
      <c r="O28"/>
      <c r="P28"/>
      <c r="Q28"/>
    </row>
    <row r="29" spans="2:17" x14ac:dyDescent="0.35">
      <c r="B29" s="147" t="s">
        <v>6</v>
      </c>
      <c r="C29" s="118" t="s">
        <v>181</v>
      </c>
      <c r="K29"/>
      <c r="L29"/>
      <c r="M29"/>
      <c r="N29"/>
      <c r="O29"/>
      <c r="P29"/>
      <c r="Q29"/>
    </row>
    <row r="30" spans="2:17" x14ac:dyDescent="0.35">
      <c r="B30" s="147" t="s">
        <v>98</v>
      </c>
      <c r="C30" s="118" t="s">
        <v>177</v>
      </c>
      <c r="K30"/>
      <c r="L30"/>
      <c r="M30"/>
      <c r="N30"/>
      <c r="O30"/>
      <c r="P30"/>
      <c r="Q30"/>
    </row>
    <row r="31" spans="2:17" x14ac:dyDescent="0.35">
      <c r="B31" s="147" t="s">
        <v>153</v>
      </c>
      <c r="C31" s="118" t="s">
        <v>178</v>
      </c>
      <c r="M31"/>
      <c r="N31"/>
      <c r="O31"/>
      <c r="P31"/>
      <c r="Q31"/>
    </row>
    <row r="34" spans="1:8" x14ac:dyDescent="0.35">
      <c r="B34" s="127" t="s">
        <v>201</v>
      </c>
      <c r="C34" s="141"/>
      <c r="D34" s="119"/>
    </row>
    <row r="35" spans="1:8" x14ac:dyDescent="0.35">
      <c r="A35" s="142"/>
      <c r="B35" s="121" t="s">
        <v>158</v>
      </c>
      <c r="C35" s="122" t="e">
        <f>(SUM(#REF!)/7)/15+#REF!/13+(SUM(#REF!)/7)/15</f>
        <v>#REF!</v>
      </c>
      <c r="D35" s="122" t="e">
        <f>#REF!/13+#REF!/15+#REF!/15</f>
        <v>#REF!</v>
      </c>
      <c r="E35" s="123" t="e">
        <f>#REF!/13+#REF!/15+(SUM(#REF!)/7)/15+#REF!/15</f>
        <v>#REF!</v>
      </c>
      <c r="F35" s="123" t="e">
        <f>Industry!#REF!/13+Industry!#REF!/15+(SUM(Industry!#REF!)/7)/15+Industry!#REF!/15</f>
        <v>#REF!</v>
      </c>
      <c r="G35" s="142" t="s">
        <v>199</v>
      </c>
      <c r="H35"/>
    </row>
    <row r="36" spans="1:8" x14ac:dyDescent="0.35">
      <c r="A36" s="142"/>
      <c r="B36" s="121" t="s">
        <v>158</v>
      </c>
      <c r="C36" s="122" t="e">
        <f>(SUM(#REF!)/7)/15+(SUM(#REF!)/7)/15</f>
        <v>#REF!</v>
      </c>
      <c r="D36" s="122" t="e">
        <f>#REF!/15+#REF!/15</f>
        <v>#REF!</v>
      </c>
      <c r="E36" s="123" t="e">
        <f>#REF!/15+(SUM(#REF!)/7)/15+#REF!/15</f>
        <v>#REF!</v>
      </c>
      <c r="F36" s="123" t="e">
        <f>Industry!#REF!/15+(SUM(Industry!#REF!)/7)/15+Industry!#REF!/15</f>
        <v>#REF!</v>
      </c>
      <c r="G36" s="145" t="s">
        <v>202</v>
      </c>
      <c r="H36"/>
    </row>
    <row r="37" spans="1:8" x14ac:dyDescent="0.35">
      <c r="A37" s="142"/>
      <c r="B37" s="146" t="s">
        <v>158</v>
      </c>
      <c r="C37" s="122" t="e">
        <f>C35-C36</f>
        <v>#REF!</v>
      </c>
      <c r="D37" s="122" t="e">
        <f>D35-D36</f>
        <v>#REF!</v>
      </c>
      <c r="E37" s="122" t="e">
        <f>E35-E36</f>
        <v>#REF!</v>
      </c>
      <c r="F37" s="122" t="e">
        <f>F35-F36</f>
        <v>#REF!</v>
      </c>
      <c r="G37" s="145" t="s">
        <v>200</v>
      </c>
      <c r="H37"/>
    </row>
    <row r="38" spans="1:8" x14ac:dyDescent="0.35">
      <c r="C38"/>
      <c r="D38"/>
      <c r="E38"/>
      <c r="F38"/>
      <c r="G38"/>
    </row>
    <row r="39" spans="1:8" x14ac:dyDescent="0.35">
      <c r="C39"/>
      <c r="D39"/>
      <c r="E39"/>
      <c r="F39"/>
      <c r="G39"/>
    </row>
    <row r="40" spans="1:8" x14ac:dyDescent="0.35">
      <c r="C40"/>
      <c r="D40"/>
      <c r="E40"/>
      <c r="F40"/>
      <c r="G40"/>
    </row>
    <row r="41" spans="1:8" x14ac:dyDescent="0.35">
      <c r="C41"/>
      <c r="D41"/>
      <c r="E41"/>
      <c r="F41"/>
      <c r="G41"/>
    </row>
    <row r="42" spans="1:8" x14ac:dyDescent="0.35">
      <c r="C42"/>
      <c r="D42"/>
      <c r="E42"/>
      <c r="F42"/>
      <c r="G42"/>
    </row>
    <row r="43" spans="1:8" x14ac:dyDescent="0.35">
      <c r="C43"/>
      <c r="D43"/>
      <c r="E43"/>
      <c r="F43"/>
      <c r="G43"/>
    </row>
  </sheetData>
  <mergeCells count="6">
    <mergeCell ref="B13:H13"/>
    <mergeCell ref="C14:C15"/>
    <mergeCell ref="E14:G14"/>
    <mergeCell ref="D14:D15"/>
    <mergeCell ref="H14:H15"/>
    <mergeCell ref="B14:B15"/>
  </mergeCells>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H61"/>
  <sheetViews>
    <sheetView topLeftCell="A16" zoomScaleNormal="100" workbookViewId="0">
      <selection activeCell="J29" sqref="J29"/>
    </sheetView>
  </sheetViews>
  <sheetFormatPr defaultColWidth="10.6640625" defaultRowHeight="12.5" x14ac:dyDescent="0.25"/>
  <cols>
    <col min="1" max="1" width="3.109375" style="43" customWidth="1"/>
    <col min="2" max="2" width="60.109375" style="43" bestFit="1" customWidth="1"/>
    <col min="3" max="3" width="39.77734375" style="43" customWidth="1"/>
    <col min="4" max="4" width="14.109375" style="43" customWidth="1"/>
    <col min="5" max="5" width="15.6640625" style="43" customWidth="1"/>
    <col min="6" max="6" width="26.44140625" style="43" customWidth="1"/>
    <col min="7" max="7" width="39.44140625" style="43" bestFit="1" customWidth="1"/>
    <col min="8" max="8" width="16.77734375" style="43" bestFit="1" customWidth="1"/>
    <col min="9" max="9" width="13" style="26" bestFit="1" customWidth="1"/>
    <col min="10" max="10" width="11.77734375" style="26" bestFit="1" customWidth="1"/>
    <col min="11" max="16384" width="10.6640625" style="26"/>
  </cols>
  <sheetData>
    <row r="1" spans="1:8" ht="20.5" x14ac:dyDescent="0.45">
      <c r="A1" s="134" t="s">
        <v>85</v>
      </c>
      <c r="B1" s="133"/>
    </row>
    <row r="2" spans="1:8" ht="13" x14ac:dyDescent="0.3">
      <c r="A2" s="45" t="s">
        <v>14</v>
      </c>
      <c r="B2" s="45"/>
      <c r="C2" s="46" t="s">
        <v>15</v>
      </c>
      <c r="D2" s="46" t="s">
        <v>19</v>
      </c>
      <c r="E2" s="46" t="s">
        <v>86</v>
      </c>
      <c r="F2" s="46" t="s">
        <v>87</v>
      </c>
      <c r="G2" s="46" t="s">
        <v>88</v>
      </c>
      <c r="H2" s="46" t="s">
        <v>89</v>
      </c>
    </row>
    <row r="3" spans="1:8" x14ac:dyDescent="0.25">
      <c r="A3" s="47"/>
      <c r="B3" s="47"/>
      <c r="C3" s="47"/>
      <c r="D3" s="48"/>
      <c r="E3" s="49"/>
      <c r="F3" s="49"/>
      <c r="G3" s="49"/>
      <c r="H3" s="49"/>
    </row>
    <row r="4" spans="1:8" x14ac:dyDescent="0.25">
      <c r="A4" s="50" t="s">
        <v>16</v>
      </c>
      <c r="B4" s="47"/>
      <c r="C4" s="47"/>
      <c r="D4" s="48"/>
      <c r="E4" s="49"/>
      <c r="F4" s="49"/>
      <c r="G4" s="49"/>
      <c r="H4" s="49"/>
    </row>
    <row r="5" spans="1:8" x14ac:dyDescent="0.25">
      <c r="A5" s="51"/>
      <c r="B5" s="51" t="s">
        <v>51</v>
      </c>
      <c r="C5" s="47"/>
      <c r="D5" s="48"/>
      <c r="E5" s="49"/>
      <c r="F5" s="49"/>
      <c r="G5" s="49"/>
      <c r="H5" s="49"/>
    </row>
    <row r="6" spans="1:8" x14ac:dyDescent="0.25">
      <c r="A6" s="51"/>
      <c r="B6" s="52" t="s">
        <v>52</v>
      </c>
      <c r="C6" s="52"/>
      <c r="D6" s="52">
        <v>539.1</v>
      </c>
      <c r="E6" s="49"/>
      <c r="F6" s="49"/>
      <c r="G6" s="49"/>
      <c r="H6" s="49"/>
    </row>
    <row r="7" spans="1:8" x14ac:dyDescent="0.25">
      <c r="A7" s="51"/>
      <c r="B7" s="53" t="s">
        <v>53</v>
      </c>
      <c r="C7" s="52"/>
      <c r="D7" s="52">
        <v>521.9</v>
      </c>
      <c r="E7" s="49"/>
      <c r="F7" s="49"/>
      <c r="G7" s="49"/>
      <c r="H7" s="49"/>
    </row>
    <row r="8" spans="1:8" x14ac:dyDescent="0.25">
      <c r="A8" s="47"/>
      <c r="B8" s="52" t="s">
        <v>54</v>
      </c>
      <c r="C8" s="52"/>
      <c r="D8" s="52">
        <v>358.2</v>
      </c>
      <c r="E8" s="49"/>
      <c r="F8" s="49"/>
      <c r="G8" s="49"/>
      <c r="H8" s="49"/>
    </row>
    <row r="9" spans="1:8" x14ac:dyDescent="0.25">
      <c r="A9" s="47"/>
      <c r="B9" s="47"/>
      <c r="C9" s="47"/>
      <c r="D9" s="48"/>
      <c r="E9" s="49"/>
      <c r="F9" s="49"/>
      <c r="G9" s="49"/>
      <c r="H9" s="49"/>
    </row>
    <row r="10" spans="1:8" x14ac:dyDescent="0.25">
      <c r="A10" s="51" t="s">
        <v>20</v>
      </c>
      <c r="B10" s="51"/>
      <c r="C10" s="51"/>
      <c r="D10" s="51"/>
      <c r="E10" s="49"/>
      <c r="F10" s="49"/>
      <c r="G10" s="49"/>
      <c r="H10" s="49"/>
    </row>
    <row r="11" spans="1:8" x14ac:dyDescent="0.25">
      <c r="A11" s="51"/>
      <c r="B11" s="51" t="s">
        <v>55</v>
      </c>
      <c r="C11" s="51" t="s">
        <v>56</v>
      </c>
      <c r="D11" s="54">
        <v>0</v>
      </c>
      <c r="E11" s="49">
        <v>1</v>
      </c>
      <c r="F11" s="55">
        <f>D11/E11</f>
        <v>0</v>
      </c>
      <c r="G11" s="56">
        <f>D11*$D$18</f>
        <v>0</v>
      </c>
      <c r="H11" s="56">
        <f>F11+G11</f>
        <v>0</v>
      </c>
    </row>
    <row r="12" spans="1:8" x14ac:dyDescent="0.25">
      <c r="A12" s="51"/>
      <c r="B12" s="51" t="s">
        <v>57</v>
      </c>
      <c r="C12" s="57" t="s">
        <v>58</v>
      </c>
      <c r="D12" s="58">
        <f>ROUND(5000*D6/D8,-3)</f>
        <v>8000</v>
      </c>
      <c r="E12" s="49">
        <v>1</v>
      </c>
      <c r="F12" s="59"/>
      <c r="G12" s="60">
        <f>D12*$D$18</f>
        <v>755.14340594604562</v>
      </c>
      <c r="H12" s="60">
        <f>F12+G12</f>
        <v>755.14340594604562</v>
      </c>
    </row>
    <row r="13" spans="1:8" x14ac:dyDescent="0.25">
      <c r="A13" s="51"/>
      <c r="B13" s="51" t="s">
        <v>59</v>
      </c>
      <c r="C13" s="57" t="s">
        <v>60</v>
      </c>
      <c r="D13" s="58">
        <f>ROUND(21000*D6/D8,-3)-5000</f>
        <v>27000</v>
      </c>
      <c r="E13" s="49">
        <v>1</v>
      </c>
      <c r="F13" s="59">
        <f>D13/E13</f>
        <v>27000</v>
      </c>
      <c r="G13" s="60">
        <f>D13*$D$18</f>
        <v>2548.6089950679038</v>
      </c>
      <c r="H13" s="60">
        <f>F13+G13</f>
        <v>29548.608995067905</v>
      </c>
    </row>
    <row r="14" spans="1:8" x14ac:dyDescent="0.25">
      <c r="A14" s="51"/>
      <c r="B14" s="51" t="s">
        <v>90</v>
      </c>
      <c r="C14" s="61" t="s">
        <v>91</v>
      </c>
      <c r="D14" s="58">
        <f>6000*D6/D7</f>
        <v>6197.7390304656064</v>
      </c>
      <c r="E14" s="49">
        <v>1</v>
      </c>
      <c r="F14" s="59">
        <f>D14/E14</f>
        <v>6197.7390304656064</v>
      </c>
      <c r="G14" s="60">
        <f>D14*$D$18</f>
        <v>585.02272007881754</v>
      </c>
      <c r="H14" s="60">
        <f>F14+G14</f>
        <v>6782.7617505444241</v>
      </c>
    </row>
    <row r="15" spans="1:8" x14ac:dyDescent="0.25">
      <c r="A15" s="51"/>
      <c r="B15" s="50" t="s">
        <v>116</v>
      </c>
      <c r="C15" s="57"/>
      <c r="D15" s="58">
        <v>10000</v>
      </c>
      <c r="E15" s="49">
        <v>1</v>
      </c>
      <c r="F15" s="59">
        <f>D15/E15</f>
        <v>10000</v>
      </c>
      <c r="G15" s="60">
        <f>D15*$D$18</f>
        <v>943.92925743255694</v>
      </c>
      <c r="H15" s="60">
        <f>F15+G15</f>
        <v>10943.929257432557</v>
      </c>
    </row>
    <row r="16" spans="1:8" s="78" customFormat="1" x14ac:dyDescent="0.25">
      <c r="A16" s="50"/>
      <c r="B16" s="79"/>
      <c r="C16" s="74"/>
      <c r="D16" s="74"/>
      <c r="E16" s="75"/>
      <c r="F16" s="76"/>
      <c r="G16" s="77"/>
      <c r="H16" s="77"/>
    </row>
    <row r="17" spans="1:8" x14ac:dyDescent="0.25">
      <c r="A17" s="49"/>
      <c r="B17" s="51"/>
      <c r="C17" s="51"/>
      <c r="D17" s="51"/>
      <c r="E17" s="49"/>
      <c r="F17" s="49"/>
      <c r="G17" s="49"/>
      <c r="H17" s="49"/>
    </row>
    <row r="18" spans="1:8" x14ac:dyDescent="0.25">
      <c r="A18" s="51" t="s">
        <v>92</v>
      </c>
      <c r="B18" s="51" t="s">
        <v>61</v>
      </c>
      <c r="C18" s="51" t="s">
        <v>62</v>
      </c>
      <c r="D18" s="62">
        <f>(0.07*(1+0.07)^20)/((1+0.07)^20-1)</f>
        <v>9.4392925743255696E-2</v>
      </c>
      <c r="E18" s="49"/>
      <c r="F18" s="49"/>
      <c r="G18" s="49"/>
      <c r="H18" s="49"/>
    </row>
    <row r="19" spans="1:8" x14ac:dyDescent="0.25">
      <c r="A19" s="51"/>
      <c r="B19" s="47"/>
      <c r="C19" s="51"/>
      <c r="D19" s="63"/>
      <c r="E19" s="49"/>
      <c r="F19" s="49"/>
      <c r="G19" s="49"/>
      <c r="H19" s="49"/>
    </row>
    <row r="20" spans="1:8" x14ac:dyDescent="0.25">
      <c r="A20" s="51" t="s">
        <v>93</v>
      </c>
      <c r="B20" s="47"/>
      <c r="C20" s="51"/>
      <c r="D20" s="63"/>
      <c r="E20" s="49"/>
      <c r="F20" s="49"/>
      <c r="G20" s="49"/>
      <c r="H20" s="49"/>
    </row>
    <row r="21" spans="1:8" ht="13" x14ac:dyDescent="0.3">
      <c r="A21" s="51"/>
      <c r="B21" s="51" t="s">
        <v>94</v>
      </c>
      <c r="C21" s="51"/>
      <c r="D21" s="63"/>
      <c r="E21" s="49"/>
      <c r="F21" s="49"/>
      <c r="G21" s="49"/>
      <c r="H21" s="64">
        <f>SUM(H11:H12,H14:H16)</f>
        <v>18481.834413923025</v>
      </c>
    </row>
    <row r="22" spans="1:8" ht="13" x14ac:dyDescent="0.3">
      <c r="A22" s="51"/>
      <c r="B22" s="51" t="s">
        <v>95</v>
      </c>
      <c r="C22" s="51"/>
      <c r="D22" s="63"/>
      <c r="E22" s="49"/>
      <c r="F22" s="49"/>
      <c r="G22" s="49"/>
      <c r="H22" s="64">
        <f>H13</f>
        <v>29548.608995067905</v>
      </c>
    </row>
    <row r="23" spans="1:8" ht="13" x14ac:dyDescent="0.3">
      <c r="A23" s="51"/>
      <c r="B23" s="47" t="s">
        <v>96</v>
      </c>
      <c r="C23" s="51"/>
      <c r="D23" s="116">
        <f>SUM(D12:D15)</f>
        <v>51197.739030465607</v>
      </c>
      <c r="E23" s="49"/>
      <c r="F23" s="49"/>
      <c r="G23" s="49"/>
      <c r="H23" s="72">
        <f>ROUND(SUM(H21:H22),0)</f>
        <v>48030</v>
      </c>
    </row>
    <row r="24" spans="1:8" x14ac:dyDescent="0.25">
      <c r="A24" s="65" t="s">
        <v>97</v>
      </c>
      <c r="B24" s="65"/>
      <c r="C24" s="65"/>
      <c r="D24" s="65"/>
      <c r="F24" s="66"/>
    </row>
    <row r="25" spans="1:8" x14ac:dyDescent="0.25">
      <c r="A25" s="65"/>
      <c r="B25" s="65"/>
      <c r="C25" s="65"/>
      <c r="D25" s="65"/>
      <c r="F25" s="66"/>
    </row>
    <row r="26" spans="1:8" x14ac:dyDescent="0.25">
      <c r="A26" s="65"/>
      <c r="B26" s="65"/>
      <c r="C26" s="65"/>
      <c r="D26" s="65"/>
      <c r="F26" s="66"/>
    </row>
    <row r="27" spans="1:8" x14ac:dyDescent="0.25">
      <c r="A27" s="67" t="s">
        <v>21</v>
      </c>
      <c r="B27" s="68"/>
      <c r="C27" s="68"/>
    </row>
    <row r="28" spans="1:8" x14ac:dyDescent="0.25">
      <c r="A28" s="315" t="s">
        <v>63</v>
      </c>
      <c r="B28" s="315"/>
      <c r="C28" s="315"/>
      <c r="D28" s="315"/>
    </row>
    <row r="29" spans="1:8" x14ac:dyDescent="0.25">
      <c r="A29" s="315" t="s">
        <v>64</v>
      </c>
      <c r="B29" s="315"/>
      <c r="C29" s="315"/>
      <c r="D29" s="315"/>
    </row>
    <row r="30" spans="1:8" s="43" customFormat="1" x14ac:dyDescent="0.25">
      <c r="A30" s="316" t="s">
        <v>18</v>
      </c>
      <c r="B30" s="316"/>
      <c r="C30" s="316"/>
      <c r="D30" s="316"/>
      <c r="E30" s="69"/>
      <c r="F30" s="69"/>
      <c r="G30" s="69"/>
      <c r="H30" s="69"/>
    </row>
    <row r="31" spans="1:8" s="43" customFormat="1" ht="10.5" x14ac:dyDescent="0.25">
      <c r="A31" s="315" t="s">
        <v>65</v>
      </c>
      <c r="B31" s="315"/>
      <c r="C31" s="315"/>
      <c r="D31" s="315"/>
      <c r="E31" s="70"/>
    </row>
    <row r="32" spans="1:8" s="43" customFormat="1" ht="10.5" x14ac:dyDescent="0.25">
      <c r="A32" s="315" t="s">
        <v>66</v>
      </c>
      <c r="B32" s="315"/>
      <c r="C32" s="315"/>
      <c r="D32" s="315"/>
    </row>
    <row r="33" spans="1:4" s="43" customFormat="1" ht="10.5" x14ac:dyDescent="0.25">
      <c r="A33" s="315" t="s">
        <v>67</v>
      </c>
      <c r="B33" s="315"/>
      <c r="C33" s="315"/>
      <c r="D33" s="315"/>
    </row>
    <row r="34" spans="1:4" s="43" customFormat="1" ht="10.5" x14ac:dyDescent="0.25">
      <c r="A34" s="315" t="s">
        <v>68</v>
      </c>
      <c r="B34" s="315"/>
      <c r="C34" s="315"/>
      <c r="D34" s="315"/>
    </row>
    <row r="35" spans="1:4" s="43" customFormat="1" ht="10.5" x14ac:dyDescent="0.25">
      <c r="A35" s="315"/>
      <c r="B35" s="315"/>
      <c r="C35" s="315"/>
      <c r="D35" s="315"/>
    </row>
    <row r="36" spans="1:4" s="43" customFormat="1" ht="10.5" x14ac:dyDescent="0.25">
      <c r="A36" s="71"/>
      <c r="D36" s="70"/>
    </row>
    <row r="37" spans="1:4" s="43" customFormat="1" ht="10.5" x14ac:dyDescent="0.25">
      <c r="A37" s="71"/>
      <c r="D37" s="70"/>
    </row>
    <row r="38" spans="1:4" s="43" customFormat="1" ht="10.5" x14ac:dyDescent="0.25">
      <c r="A38" s="71"/>
      <c r="D38" s="70"/>
    </row>
    <row r="39" spans="1:4" s="43" customFormat="1" ht="10.5" x14ac:dyDescent="0.25">
      <c r="A39" s="71"/>
      <c r="D39" s="70"/>
    </row>
    <row r="40" spans="1:4" s="43" customFormat="1" ht="10.5" x14ac:dyDescent="0.25">
      <c r="A40" s="71"/>
      <c r="D40" s="70"/>
    </row>
    <row r="41" spans="1:4" s="43" customFormat="1" ht="10.5" x14ac:dyDescent="0.25">
      <c r="A41" s="71"/>
      <c r="D41" s="70"/>
    </row>
    <row r="42" spans="1:4" s="43" customFormat="1" ht="10.5" x14ac:dyDescent="0.25">
      <c r="A42" s="71"/>
      <c r="D42" s="70"/>
    </row>
    <row r="43" spans="1:4" s="43" customFormat="1" ht="10.5" x14ac:dyDescent="0.25">
      <c r="A43" s="71"/>
      <c r="D43" s="70"/>
    </row>
    <row r="44" spans="1:4" s="43" customFormat="1" ht="10.5" x14ac:dyDescent="0.25">
      <c r="A44" s="71"/>
      <c r="D44" s="70"/>
    </row>
    <row r="45" spans="1:4" s="43" customFormat="1" ht="10.5" x14ac:dyDescent="0.25">
      <c r="A45" s="71"/>
      <c r="D45" s="70"/>
    </row>
    <row r="46" spans="1:4" s="43" customFormat="1" ht="10.5" x14ac:dyDescent="0.25">
      <c r="A46" s="71"/>
      <c r="D46" s="70"/>
    </row>
    <row r="47" spans="1:4" s="43" customFormat="1" ht="10.5" x14ac:dyDescent="0.25">
      <c r="A47" s="71"/>
      <c r="D47" s="70"/>
    </row>
    <row r="48" spans="1:4" s="43" customFormat="1" ht="10.5" x14ac:dyDescent="0.25">
      <c r="A48" s="71"/>
      <c r="D48" s="70"/>
    </row>
    <row r="49" spans="1:8" s="43" customFormat="1" ht="10.5" x14ac:dyDescent="0.25">
      <c r="A49" s="71"/>
      <c r="D49" s="70"/>
    </row>
    <row r="50" spans="1:8" s="43" customFormat="1" ht="10.5" x14ac:dyDescent="0.25">
      <c r="A50" s="71"/>
      <c r="D50" s="70"/>
    </row>
    <row r="51" spans="1:8" s="43" customFormat="1" ht="10.5" x14ac:dyDescent="0.25">
      <c r="A51" s="71"/>
      <c r="D51" s="70"/>
    </row>
    <row r="52" spans="1:8" s="43" customFormat="1" ht="10.5" x14ac:dyDescent="0.25">
      <c r="A52" s="71"/>
      <c r="D52" s="70"/>
    </row>
    <row r="53" spans="1:8" s="43" customFormat="1" ht="10.5" x14ac:dyDescent="0.25">
      <c r="A53" s="71"/>
      <c r="D53" s="70"/>
    </row>
    <row r="54" spans="1:8" s="43" customFormat="1" ht="10.5" x14ac:dyDescent="0.25">
      <c r="A54" s="71"/>
      <c r="D54" s="70"/>
    </row>
    <row r="55" spans="1:8" s="43" customFormat="1" ht="11.25" customHeight="1" x14ac:dyDescent="0.25">
      <c r="A55" s="71"/>
      <c r="D55" s="70"/>
    </row>
    <row r="56" spans="1:8" s="43" customFormat="1" ht="22.5" customHeight="1" x14ac:dyDescent="0.25">
      <c r="A56" s="71"/>
      <c r="D56" s="70"/>
    </row>
    <row r="57" spans="1:8" s="69" customFormat="1" ht="12.75" customHeight="1" x14ac:dyDescent="0.25">
      <c r="A57" s="71"/>
      <c r="B57" s="43"/>
      <c r="C57" s="43"/>
      <c r="D57" s="70"/>
      <c r="E57" s="43"/>
      <c r="F57" s="43"/>
      <c r="G57" s="43"/>
      <c r="H57" s="43"/>
    </row>
    <row r="58" spans="1:8" s="43" customFormat="1" ht="22.5" customHeight="1" x14ac:dyDescent="0.25">
      <c r="A58" s="71"/>
      <c r="D58" s="70"/>
    </row>
    <row r="59" spans="1:8" s="43" customFormat="1" ht="22.5" customHeight="1" x14ac:dyDescent="0.25">
      <c r="A59" s="71"/>
      <c r="D59" s="70"/>
    </row>
    <row r="60" spans="1:8" s="43" customFormat="1" ht="22.5" customHeight="1" x14ac:dyDescent="0.25">
      <c r="A60" s="71"/>
      <c r="D60" s="70"/>
    </row>
    <row r="61" spans="1:8" s="43" customFormat="1" ht="11.25" customHeight="1" x14ac:dyDescent="0.25">
      <c r="A61" s="71"/>
      <c r="D61" s="70"/>
    </row>
  </sheetData>
  <mergeCells count="8">
    <mergeCell ref="A33:D33"/>
    <mergeCell ref="A34:D34"/>
    <mergeCell ref="A35:D35"/>
    <mergeCell ref="A28:D28"/>
    <mergeCell ref="A29:D29"/>
    <mergeCell ref="A30:D30"/>
    <mergeCell ref="A31:D31"/>
    <mergeCell ref="A32:D32"/>
  </mergeCells>
  <phoneticPr fontId="11"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F50"/>
  <sheetViews>
    <sheetView topLeftCell="A4" workbookViewId="0">
      <selection activeCell="J29" sqref="J29"/>
    </sheetView>
  </sheetViews>
  <sheetFormatPr defaultColWidth="10.6640625" defaultRowHeight="12.5" x14ac:dyDescent="0.25"/>
  <cols>
    <col min="1" max="1" width="39" style="26" customWidth="1"/>
    <col min="2" max="2" width="10.6640625" style="26" customWidth="1"/>
    <col min="3" max="3" width="33.109375" style="26" customWidth="1"/>
    <col min="4" max="4" width="36.77734375" style="26" bestFit="1" customWidth="1"/>
    <col min="5" max="5" width="12.77734375" style="26" bestFit="1" customWidth="1"/>
    <col min="6" max="6" width="14" style="26" customWidth="1"/>
    <col min="7" max="16384" width="10.6640625" style="26"/>
  </cols>
  <sheetData>
    <row r="1" spans="1:6" ht="20" x14ac:dyDescent="0.4">
      <c r="A1" s="135" t="s">
        <v>69</v>
      </c>
      <c r="B1" s="83"/>
      <c r="C1" s="83"/>
      <c r="D1" s="83"/>
      <c r="E1" s="83"/>
      <c r="F1" s="83"/>
    </row>
    <row r="2" spans="1:6" ht="13" x14ac:dyDescent="0.3">
      <c r="A2" s="83"/>
      <c r="B2" s="83"/>
      <c r="C2" s="83"/>
      <c r="D2" s="83"/>
      <c r="E2" s="82"/>
      <c r="F2" s="83"/>
    </row>
    <row r="3" spans="1:6" ht="13" x14ac:dyDescent="0.3">
      <c r="A3" s="82"/>
      <c r="B3" s="84" t="s">
        <v>118</v>
      </c>
      <c r="C3" s="84" t="s">
        <v>119</v>
      </c>
      <c r="D3" s="84" t="s">
        <v>29</v>
      </c>
      <c r="E3" s="83"/>
      <c r="F3" s="83"/>
    </row>
    <row r="4" spans="1:6" ht="13" x14ac:dyDescent="0.3">
      <c r="A4" s="82" t="s">
        <v>120</v>
      </c>
      <c r="B4" s="85">
        <v>201</v>
      </c>
      <c r="C4" s="85">
        <v>400</v>
      </c>
      <c r="D4" s="85">
        <f>AVERAGE(B4:C4)</f>
        <v>300.5</v>
      </c>
      <c r="E4" s="83"/>
      <c r="F4" s="83"/>
    </row>
    <row r="5" spans="1:6" x14ac:dyDescent="0.25">
      <c r="A5" s="83"/>
      <c r="B5" s="83"/>
      <c r="C5" s="83"/>
      <c r="D5" s="83"/>
      <c r="E5" s="83"/>
      <c r="F5" s="83"/>
    </row>
    <row r="6" spans="1:6" ht="13" x14ac:dyDescent="0.3">
      <c r="A6" s="82" t="s">
        <v>70</v>
      </c>
      <c r="B6" s="83"/>
      <c r="C6" s="83"/>
      <c r="D6" s="83"/>
      <c r="E6" s="83"/>
      <c r="F6" s="83"/>
    </row>
    <row r="7" spans="1:6" x14ac:dyDescent="0.25">
      <c r="A7" s="83"/>
      <c r="B7" s="83"/>
      <c r="C7" s="83"/>
      <c r="D7" s="83"/>
      <c r="E7" s="83"/>
      <c r="F7" s="83"/>
    </row>
    <row r="8" spans="1:6" ht="14.5" x14ac:dyDescent="0.25">
      <c r="A8" s="83">
        <v>3</v>
      </c>
      <c r="B8" s="86" t="s">
        <v>84</v>
      </c>
      <c r="C8" s="83"/>
      <c r="D8" s="83"/>
      <c r="E8" s="87">
        <f>A8*D4*2</f>
        <v>1803</v>
      </c>
      <c r="F8" s="83"/>
    </row>
    <row r="9" spans="1:6" x14ac:dyDescent="0.25">
      <c r="A9" s="83"/>
      <c r="B9" s="83"/>
      <c r="C9" s="83"/>
      <c r="D9" s="83"/>
      <c r="E9" s="83"/>
      <c r="F9" s="83"/>
    </row>
    <row r="10" spans="1:6" ht="13" x14ac:dyDescent="0.3">
      <c r="A10" s="88" t="s">
        <v>71</v>
      </c>
      <c r="B10" s="89"/>
      <c r="C10" s="89"/>
      <c r="D10" s="89"/>
      <c r="E10" s="90">
        <f>SUM(E8:E8)</f>
        <v>1803</v>
      </c>
      <c r="F10" s="83"/>
    </row>
    <row r="11" spans="1:6" x14ac:dyDescent="0.25">
      <c r="A11" s="83"/>
      <c r="B11" s="83"/>
      <c r="C11" s="83"/>
      <c r="D11" s="83"/>
      <c r="E11" s="83"/>
      <c r="F11" s="83"/>
    </row>
    <row r="12" spans="1:6" x14ac:dyDescent="0.25">
      <c r="A12" s="91" t="s">
        <v>61</v>
      </c>
      <c r="B12" s="92" t="s">
        <v>62</v>
      </c>
      <c r="C12" s="83"/>
      <c r="D12" s="83"/>
      <c r="E12" s="93">
        <f>(0.07*(1+0.07)^20)/((1+0.07)^20-1)</f>
        <v>9.4392925743255696E-2</v>
      </c>
      <c r="F12" s="83"/>
    </row>
    <row r="13" spans="1:6" x14ac:dyDescent="0.25">
      <c r="A13" s="83"/>
      <c r="B13" s="83"/>
      <c r="C13" s="83"/>
      <c r="D13" s="83"/>
      <c r="E13" s="83"/>
      <c r="F13" s="83"/>
    </row>
    <row r="14" spans="1:6" ht="13" x14ac:dyDescent="0.3">
      <c r="A14" s="89" t="s">
        <v>72</v>
      </c>
      <c r="B14" s="94" t="s">
        <v>121</v>
      </c>
      <c r="C14" s="89"/>
      <c r="D14" s="89"/>
      <c r="E14" s="95">
        <f>E10*E12</f>
        <v>170.19044511509003</v>
      </c>
      <c r="F14" s="83"/>
    </row>
    <row r="15" spans="1:6" x14ac:dyDescent="0.25">
      <c r="A15" s="83"/>
      <c r="B15" s="83"/>
      <c r="C15" s="83"/>
      <c r="D15" s="83"/>
      <c r="E15" s="83"/>
      <c r="F15" s="83"/>
    </row>
    <row r="16" spans="1:6" x14ac:dyDescent="0.25">
      <c r="A16" s="83"/>
      <c r="B16" s="83"/>
      <c r="C16" s="83"/>
      <c r="D16" s="83"/>
      <c r="E16" s="83"/>
      <c r="F16" s="83"/>
    </row>
    <row r="17" spans="1:6" ht="13" x14ac:dyDescent="0.3">
      <c r="A17" s="82" t="s">
        <v>73</v>
      </c>
      <c r="B17" s="83"/>
      <c r="C17" s="83"/>
      <c r="D17" s="83"/>
      <c r="E17" s="83"/>
      <c r="F17" s="83"/>
    </row>
    <row r="18" spans="1:6" x14ac:dyDescent="0.25">
      <c r="A18" s="83"/>
      <c r="B18" s="83"/>
      <c r="C18" s="83"/>
      <c r="D18" s="83"/>
      <c r="E18" s="83"/>
      <c r="F18" s="83"/>
    </row>
    <row r="19" spans="1:6" ht="14.5" x14ac:dyDescent="0.25">
      <c r="A19" s="83">
        <v>1</v>
      </c>
      <c r="B19" s="86" t="s">
        <v>82</v>
      </c>
      <c r="C19" s="83"/>
      <c r="D19" s="83"/>
      <c r="E19" s="87">
        <f>A19*D4*2</f>
        <v>601</v>
      </c>
      <c r="F19" s="83"/>
    </row>
    <row r="20" spans="1:6" x14ac:dyDescent="0.25">
      <c r="A20" s="83"/>
      <c r="B20" s="83"/>
      <c r="C20" s="83"/>
      <c r="D20" s="83"/>
      <c r="E20" s="83"/>
      <c r="F20" s="83"/>
    </row>
    <row r="21" spans="1:6" x14ac:dyDescent="0.25">
      <c r="A21" s="83"/>
      <c r="B21" s="83"/>
      <c r="C21" s="83"/>
      <c r="D21" s="83"/>
      <c r="E21" s="83"/>
      <c r="F21" s="83"/>
    </row>
    <row r="22" spans="1:6" x14ac:dyDescent="0.25">
      <c r="A22" s="83"/>
      <c r="B22" s="83"/>
      <c r="C22" s="83"/>
      <c r="D22" s="83"/>
      <c r="E22" s="83"/>
      <c r="F22" s="83"/>
    </row>
    <row r="23" spans="1:6" x14ac:dyDescent="0.25">
      <c r="A23" s="83"/>
      <c r="B23" s="83"/>
      <c r="C23" s="83"/>
      <c r="D23" s="83"/>
      <c r="E23" s="83"/>
      <c r="F23" s="83"/>
    </row>
    <row r="24" spans="1:6" ht="39" x14ac:dyDescent="0.25">
      <c r="A24" s="96" t="s">
        <v>74</v>
      </c>
      <c r="B24" s="96" t="s">
        <v>75</v>
      </c>
      <c r="C24" s="96" t="s">
        <v>122</v>
      </c>
      <c r="D24" s="96" t="s">
        <v>123</v>
      </c>
      <c r="E24" s="96" t="s">
        <v>76</v>
      </c>
      <c r="F24" s="96" t="s">
        <v>76</v>
      </c>
    </row>
    <row r="25" spans="1:6" x14ac:dyDescent="0.25">
      <c r="A25" s="49" t="s">
        <v>117</v>
      </c>
      <c r="B25" s="97" t="s">
        <v>124</v>
      </c>
      <c r="C25" s="98">
        <f>E$10</f>
        <v>1803</v>
      </c>
      <c r="D25" s="98">
        <v>0</v>
      </c>
      <c r="E25" s="98">
        <f t="shared" ref="E25:E42" si="0">E$19*12</f>
        <v>7212</v>
      </c>
      <c r="F25" s="99">
        <f t="shared" ref="F25:F42" si="1">SUM(D25:E25)</f>
        <v>7212</v>
      </c>
    </row>
    <row r="26" spans="1:6" x14ac:dyDescent="0.25">
      <c r="A26" s="49" t="s">
        <v>106</v>
      </c>
      <c r="B26" s="97" t="s">
        <v>124</v>
      </c>
      <c r="C26" s="98">
        <f>E$10</f>
        <v>1803</v>
      </c>
      <c r="D26" s="98">
        <v>0</v>
      </c>
      <c r="E26" s="98">
        <f t="shared" si="0"/>
        <v>7212</v>
      </c>
      <c r="F26" s="99">
        <f t="shared" si="1"/>
        <v>7212</v>
      </c>
    </row>
    <row r="27" spans="1:6" x14ac:dyDescent="0.25">
      <c r="A27" s="49" t="s">
        <v>100</v>
      </c>
      <c r="B27" s="97" t="s">
        <v>124</v>
      </c>
      <c r="C27" s="98">
        <f>E$10</f>
        <v>1803</v>
      </c>
      <c r="D27" s="98">
        <v>0</v>
      </c>
      <c r="E27" s="98">
        <f t="shared" si="0"/>
        <v>7212</v>
      </c>
      <c r="F27" s="99">
        <f t="shared" si="1"/>
        <v>7212</v>
      </c>
    </row>
    <row r="28" spans="1:6" x14ac:dyDescent="0.25">
      <c r="A28" s="49" t="s">
        <v>99</v>
      </c>
      <c r="B28" s="97" t="s">
        <v>125</v>
      </c>
      <c r="C28" s="98">
        <f t="shared" ref="C28:C42" si="2">E$10</f>
        <v>1803</v>
      </c>
      <c r="D28" s="98">
        <v>0</v>
      </c>
      <c r="E28" s="98">
        <f t="shared" si="0"/>
        <v>7212</v>
      </c>
      <c r="F28" s="99">
        <f t="shared" si="1"/>
        <v>7212</v>
      </c>
    </row>
    <row r="29" spans="1:6" x14ac:dyDescent="0.25">
      <c r="A29" s="49" t="s">
        <v>106</v>
      </c>
      <c r="B29" s="97" t="s">
        <v>125</v>
      </c>
      <c r="C29" s="98">
        <f t="shared" si="2"/>
        <v>1803</v>
      </c>
      <c r="D29" s="98">
        <v>0</v>
      </c>
      <c r="E29" s="98">
        <f t="shared" si="0"/>
        <v>7212</v>
      </c>
      <c r="F29" s="99">
        <f t="shared" si="1"/>
        <v>7212</v>
      </c>
    </row>
    <row r="30" spans="1:6" x14ac:dyDescent="0.25">
      <c r="A30" s="49" t="s">
        <v>101</v>
      </c>
      <c r="B30" s="97" t="s">
        <v>125</v>
      </c>
      <c r="C30" s="98">
        <f t="shared" si="2"/>
        <v>1803</v>
      </c>
      <c r="D30" s="98">
        <v>0</v>
      </c>
      <c r="E30" s="98">
        <f t="shared" si="0"/>
        <v>7212</v>
      </c>
      <c r="F30" s="99">
        <f t="shared" si="1"/>
        <v>7212</v>
      </c>
    </row>
    <row r="31" spans="1:6" x14ac:dyDescent="0.25">
      <c r="A31" s="49" t="s">
        <v>109</v>
      </c>
      <c r="B31" s="97" t="s">
        <v>125</v>
      </c>
      <c r="C31" s="98">
        <f t="shared" si="2"/>
        <v>1803</v>
      </c>
      <c r="D31" s="98">
        <v>0</v>
      </c>
      <c r="E31" s="98">
        <f t="shared" si="0"/>
        <v>7212</v>
      </c>
      <c r="F31" s="99">
        <f t="shared" si="1"/>
        <v>7212</v>
      </c>
    </row>
    <row r="32" spans="1:6" x14ac:dyDescent="0.25">
      <c r="A32" s="49" t="s">
        <v>108</v>
      </c>
      <c r="B32" s="97" t="s">
        <v>125</v>
      </c>
      <c r="C32" s="98">
        <f t="shared" si="2"/>
        <v>1803</v>
      </c>
      <c r="D32" s="98">
        <v>0</v>
      </c>
      <c r="E32" s="98">
        <f t="shared" si="0"/>
        <v>7212</v>
      </c>
      <c r="F32" s="99">
        <f t="shared" si="1"/>
        <v>7212</v>
      </c>
    </row>
    <row r="33" spans="1:6" x14ac:dyDescent="0.25">
      <c r="A33" s="97" t="s">
        <v>103</v>
      </c>
      <c r="B33" s="97" t="s">
        <v>125</v>
      </c>
      <c r="C33" s="98">
        <f t="shared" si="2"/>
        <v>1803</v>
      </c>
      <c r="D33" s="98">
        <v>0</v>
      </c>
      <c r="E33" s="98">
        <f t="shared" si="0"/>
        <v>7212</v>
      </c>
      <c r="F33" s="99">
        <f t="shared" si="1"/>
        <v>7212</v>
      </c>
    </row>
    <row r="34" spans="1:6" x14ac:dyDescent="0.25">
      <c r="A34" s="97" t="s">
        <v>104</v>
      </c>
      <c r="B34" s="97" t="s">
        <v>125</v>
      </c>
      <c r="C34" s="98">
        <f t="shared" si="2"/>
        <v>1803</v>
      </c>
      <c r="D34" s="98">
        <v>0</v>
      </c>
      <c r="E34" s="98">
        <f t="shared" si="0"/>
        <v>7212</v>
      </c>
      <c r="F34" s="99">
        <f t="shared" si="1"/>
        <v>7212</v>
      </c>
    </row>
    <row r="35" spans="1:6" x14ac:dyDescent="0.25">
      <c r="A35" s="97" t="s">
        <v>107</v>
      </c>
      <c r="B35" s="97" t="s">
        <v>125</v>
      </c>
      <c r="C35" s="98">
        <f t="shared" si="2"/>
        <v>1803</v>
      </c>
      <c r="D35" s="98">
        <v>0</v>
      </c>
      <c r="E35" s="98">
        <f t="shared" si="0"/>
        <v>7212</v>
      </c>
      <c r="F35" s="99">
        <f t="shared" si="1"/>
        <v>7212</v>
      </c>
    </row>
    <row r="36" spans="1:6" x14ac:dyDescent="0.25">
      <c r="A36" s="97" t="s">
        <v>105</v>
      </c>
      <c r="B36" s="97" t="s">
        <v>125</v>
      </c>
      <c r="C36" s="98">
        <f t="shared" si="2"/>
        <v>1803</v>
      </c>
      <c r="D36" s="98">
        <v>0</v>
      </c>
      <c r="E36" s="98">
        <f t="shared" si="0"/>
        <v>7212</v>
      </c>
      <c r="F36" s="99">
        <f t="shared" si="1"/>
        <v>7212</v>
      </c>
    </row>
    <row r="37" spans="1:6" x14ac:dyDescent="0.25">
      <c r="A37" s="97" t="s">
        <v>111</v>
      </c>
      <c r="B37" s="97" t="s">
        <v>125</v>
      </c>
      <c r="C37" s="98">
        <f t="shared" si="2"/>
        <v>1803</v>
      </c>
      <c r="D37" s="98">
        <v>0</v>
      </c>
      <c r="E37" s="98">
        <f t="shared" si="0"/>
        <v>7212</v>
      </c>
      <c r="F37" s="99">
        <f t="shared" si="1"/>
        <v>7212</v>
      </c>
    </row>
    <row r="38" spans="1:6" x14ac:dyDescent="0.25">
      <c r="A38" s="97" t="s">
        <v>102</v>
      </c>
      <c r="B38" s="97" t="s">
        <v>125</v>
      </c>
      <c r="C38" s="98">
        <f t="shared" si="2"/>
        <v>1803</v>
      </c>
      <c r="D38" s="98">
        <v>0</v>
      </c>
      <c r="E38" s="98">
        <f t="shared" si="0"/>
        <v>7212</v>
      </c>
      <c r="F38" s="99">
        <f t="shared" si="1"/>
        <v>7212</v>
      </c>
    </row>
    <row r="39" spans="1:6" x14ac:dyDescent="0.25">
      <c r="A39" s="97" t="s">
        <v>112</v>
      </c>
      <c r="B39" s="97" t="s">
        <v>125</v>
      </c>
      <c r="C39" s="98">
        <f t="shared" si="2"/>
        <v>1803</v>
      </c>
      <c r="D39" s="98">
        <v>0</v>
      </c>
      <c r="E39" s="98">
        <f t="shared" si="0"/>
        <v>7212</v>
      </c>
      <c r="F39" s="99">
        <f t="shared" si="1"/>
        <v>7212</v>
      </c>
    </row>
    <row r="40" spans="1:6" x14ac:dyDescent="0.25">
      <c r="A40" s="97" t="s">
        <v>110</v>
      </c>
      <c r="B40" s="97" t="s">
        <v>126</v>
      </c>
      <c r="C40" s="98">
        <f t="shared" si="2"/>
        <v>1803</v>
      </c>
      <c r="D40" s="98">
        <v>0</v>
      </c>
      <c r="E40" s="98">
        <f t="shared" si="0"/>
        <v>7212</v>
      </c>
      <c r="F40" s="99">
        <f t="shared" si="1"/>
        <v>7212</v>
      </c>
    </row>
    <row r="41" spans="1:6" x14ac:dyDescent="0.25">
      <c r="A41" s="97" t="s">
        <v>100</v>
      </c>
      <c r="B41" s="97" t="s">
        <v>127</v>
      </c>
      <c r="C41" s="98">
        <f t="shared" si="2"/>
        <v>1803</v>
      </c>
      <c r="D41" s="98">
        <v>0</v>
      </c>
      <c r="E41" s="98">
        <f t="shared" si="0"/>
        <v>7212</v>
      </c>
      <c r="F41" s="99">
        <f t="shared" si="1"/>
        <v>7212</v>
      </c>
    </row>
    <row r="42" spans="1:6" x14ac:dyDescent="0.25">
      <c r="A42" s="97" t="s">
        <v>106</v>
      </c>
      <c r="B42" s="97" t="s">
        <v>128</v>
      </c>
      <c r="C42" s="98">
        <f t="shared" si="2"/>
        <v>1803</v>
      </c>
      <c r="D42" s="98">
        <v>0</v>
      </c>
      <c r="E42" s="98">
        <f t="shared" si="0"/>
        <v>7212</v>
      </c>
      <c r="F42" s="99">
        <f t="shared" si="1"/>
        <v>7212</v>
      </c>
    </row>
    <row r="43" spans="1:6" x14ac:dyDescent="0.25">
      <c r="A43" s="317" t="s">
        <v>129</v>
      </c>
      <c r="B43" s="317"/>
      <c r="C43" s="317"/>
      <c r="D43" s="317"/>
      <c r="E43" s="317"/>
      <c r="F43" s="83"/>
    </row>
    <row r="44" spans="1:6" x14ac:dyDescent="0.25">
      <c r="A44" s="83" t="s">
        <v>83</v>
      </c>
      <c r="B44" s="83"/>
      <c r="C44" s="83"/>
      <c r="D44" s="83"/>
      <c r="E44" s="83"/>
      <c r="F44" s="83"/>
    </row>
    <row r="45" spans="1:6" x14ac:dyDescent="0.25">
      <c r="A45" s="83"/>
      <c r="B45" s="83"/>
      <c r="C45" s="83"/>
      <c r="D45" s="83"/>
      <c r="E45" s="83"/>
      <c r="F45" s="83"/>
    </row>
    <row r="46" spans="1:6" x14ac:dyDescent="0.25">
      <c r="A46" s="83"/>
      <c r="B46" s="83"/>
      <c r="C46" s="83"/>
      <c r="D46" s="83"/>
      <c r="E46" s="83"/>
      <c r="F46" s="83"/>
    </row>
    <row r="47" spans="1:6" x14ac:dyDescent="0.25">
      <c r="A47" s="83"/>
      <c r="B47" s="83"/>
      <c r="C47" s="83"/>
      <c r="D47" s="83"/>
      <c r="E47" s="83"/>
      <c r="F47" s="83"/>
    </row>
    <row r="48" spans="1:6" x14ac:dyDescent="0.25">
      <c r="A48" s="83"/>
      <c r="B48" s="83"/>
      <c r="C48" s="83"/>
      <c r="D48" s="83"/>
      <c r="E48" s="83"/>
      <c r="F48" s="83"/>
    </row>
    <row r="49" spans="1:6" x14ac:dyDescent="0.25">
      <c r="A49" s="83"/>
      <c r="B49" s="83"/>
      <c r="C49" s="83"/>
      <c r="D49" s="83"/>
      <c r="E49" s="83"/>
      <c r="F49" s="83"/>
    </row>
    <row r="50" spans="1:6" x14ac:dyDescent="0.25">
      <c r="A50" s="83"/>
      <c r="B50" s="83"/>
      <c r="C50" s="83"/>
      <c r="D50" s="83"/>
      <c r="E50" s="83"/>
      <c r="F50" s="83"/>
    </row>
  </sheetData>
  <mergeCells count="1">
    <mergeCell ref="A43:E43"/>
  </mergeCells>
  <phoneticPr fontId="1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N45"/>
  <sheetViews>
    <sheetView workbookViewId="0">
      <selection activeCell="J29" sqref="J29"/>
    </sheetView>
  </sheetViews>
  <sheetFormatPr defaultColWidth="10.6640625" defaultRowHeight="12.5" x14ac:dyDescent="0.25"/>
  <cols>
    <col min="1" max="1" width="33" style="26" customWidth="1"/>
    <col min="2" max="2" width="43.109375" style="26" customWidth="1"/>
    <col min="3" max="3" width="35.44140625" style="26" customWidth="1"/>
    <col min="4" max="4" width="51.77734375" style="26" customWidth="1"/>
    <col min="5" max="5" width="11.33203125" style="26" bestFit="1" customWidth="1"/>
    <col min="6" max="6" width="15" style="26" customWidth="1"/>
    <col min="7" max="7" width="10.6640625" style="26" customWidth="1"/>
    <col min="8" max="8" width="11.33203125" style="26" bestFit="1" customWidth="1"/>
    <col min="9" max="12" width="10.6640625" style="26"/>
    <col min="13" max="13" width="15.33203125" style="26" customWidth="1"/>
    <col min="14" max="14" width="13.44140625" style="26" customWidth="1"/>
    <col min="15" max="16384" width="10.6640625" style="26"/>
  </cols>
  <sheetData>
    <row r="1" spans="1:14" ht="20.5" x14ac:dyDescent="0.45">
      <c r="A1" s="132" t="s">
        <v>188</v>
      </c>
      <c r="B1" s="43"/>
      <c r="C1" s="43"/>
      <c r="D1" s="43"/>
      <c r="E1" s="43"/>
      <c r="F1" s="43"/>
      <c r="G1" s="43"/>
      <c r="H1" s="43"/>
      <c r="I1" s="43"/>
      <c r="J1" s="43"/>
      <c r="K1" s="43"/>
      <c r="L1" s="43"/>
      <c r="M1" s="43"/>
      <c r="N1" s="43"/>
    </row>
    <row r="2" spans="1:14" x14ac:dyDescent="0.25">
      <c r="A2" s="43"/>
      <c r="B2" s="43"/>
      <c r="C2" s="43"/>
      <c r="D2" s="43"/>
      <c r="E2" s="43"/>
      <c r="F2" s="43"/>
      <c r="G2" s="43"/>
      <c r="H2" s="43"/>
      <c r="I2" s="43"/>
      <c r="J2" s="43"/>
      <c r="K2" s="43"/>
      <c r="L2" s="43"/>
      <c r="M2" s="43"/>
      <c r="N2" s="43"/>
    </row>
    <row r="3" spans="1:14" ht="13" x14ac:dyDescent="0.3">
      <c r="A3" s="149" t="s">
        <v>78</v>
      </c>
      <c r="B3" s="49" t="s">
        <v>118</v>
      </c>
      <c r="C3" s="49" t="s">
        <v>119</v>
      </c>
      <c r="D3" s="49" t="s">
        <v>29</v>
      </c>
      <c r="E3" s="43"/>
      <c r="F3" s="43"/>
      <c r="G3" s="43"/>
      <c r="H3" s="43"/>
      <c r="I3" s="43"/>
      <c r="J3" s="43"/>
      <c r="K3" s="43"/>
      <c r="L3" s="43"/>
      <c r="M3" s="43"/>
      <c r="N3" s="43"/>
    </row>
    <row r="4" spans="1:14" ht="13" x14ac:dyDescent="0.3">
      <c r="A4" s="149" t="s">
        <v>130</v>
      </c>
      <c r="B4" s="102">
        <v>201</v>
      </c>
      <c r="C4" s="102">
        <v>400</v>
      </c>
      <c r="D4" s="102">
        <f>AVERAGE(B4:C4)</f>
        <v>300.5</v>
      </c>
      <c r="E4" s="150" t="s">
        <v>77</v>
      </c>
      <c r="F4" s="101"/>
      <c r="G4" s="101"/>
      <c r="H4" s="43"/>
      <c r="I4" s="43"/>
      <c r="J4" s="43"/>
      <c r="K4" s="43"/>
      <c r="L4" s="43"/>
      <c r="M4" s="43"/>
      <c r="N4" s="43"/>
    </row>
    <row r="5" spans="1:14" ht="13" x14ac:dyDescent="0.3">
      <c r="A5" s="149" t="s">
        <v>131</v>
      </c>
      <c r="B5" s="102"/>
      <c r="C5" s="102"/>
      <c r="D5" s="102">
        <v>190</v>
      </c>
      <c r="E5" s="49" t="s">
        <v>132</v>
      </c>
      <c r="F5" s="101"/>
      <c r="G5" s="101"/>
      <c r="H5" s="43"/>
      <c r="I5" s="43"/>
      <c r="J5" s="43"/>
      <c r="K5" s="43"/>
      <c r="L5" s="43"/>
      <c r="M5" s="43"/>
      <c r="N5" s="43"/>
    </row>
    <row r="6" spans="1:14" ht="13" x14ac:dyDescent="0.3">
      <c r="A6" s="149" t="s">
        <v>133</v>
      </c>
      <c r="B6" s="103"/>
      <c r="C6" s="103"/>
      <c r="D6" s="103">
        <v>0</v>
      </c>
      <c r="E6" s="104" t="s">
        <v>134</v>
      </c>
      <c r="F6" s="42"/>
      <c r="G6" s="42"/>
      <c r="H6" s="42"/>
      <c r="I6" s="42"/>
      <c r="J6" s="42"/>
      <c r="K6" s="42"/>
      <c r="L6" s="42"/>
      <c r="M6" s="42"/>
      <c r="N6" s="42"/>
    </row>
    <row r="7" spans="1:14" ht="13" x14ac:dyDescent="0.3">
      <c r="A7" s="44"/>
      <c r="B7" s="100"/>
      <c r="C7" s="100"/>
      <c r="D7" s="100"/>
      <c r="E7" s="43"/>
      <c r="F7" s="43"/>
      <c r="G7" s="43"/>
      <c r="H7" s="43"/>
      <c r="I7" s="43"/>
      <c r="J7" s="43"/>
      <c r="K7" s="43"/>
      <c r="L7" s="43"/>
      <c r="M7" s="43"/>
      <c r="N7" s="43"/>
    </row>
    <row r="8" spans="1:14" ht="13" x14ac:dyDescent="0.3">
      <c r="A8" s="44"/>
      <c r="B8" s="105"/>
      <c r="C8" s="106"/>
      <c r="D8" s="100"/>
      <c r="E8" s="43"/>
      <c r="F8" s="43"/>
      <c r="G8" s="43"/>
      <c r="H8" s="43"/>
      <c r="I8" s="43"/>
      <c r="J8" s="43"/>
      <c r="K8" s="43"/>
      <c r="L8" s="43"/>
      <c r="M8" s="43"/>
      <c r="N8" s="43"/>
    </row>
    <row r="9" spans="1:14" ht="12.75" customHeight="1" x14ac:dyDescent="0.25">
      <c r="A9" s="43"/>
      <c r="B9" s="318" t="s">
        <v>135</v>
      </c>
      <c r="C9" s="318"/>
      <c r="D9"/>
      <c r="E9"/>
      <c r="F9"/>
      <c r="G9"/>
      <c r="H9"/>
      <c r="I9"/>
      <c r="J9"/>
      <c r="K9"/>
      <c r="L9"/>
      <c r="M9"/>
      <c r="N9"/>
    </row>
    <row r="10" spans="1:14" x14ac:dyDescent="0.25">
      <c r="A10" s="43"/>
      <c r="B10" s="318"/>
      <c r="C10" s="318"/>
      <c r="D10"/>
      <c r="E10"/>
      <c r="F10"/>
      <c r="G10"/>
      <c r="H10"/>
      <c r="I10"/>
      <c r="J10"/>
      <c r="K10"/>
      <c r="L10"/>
      <c r="M10"/>
      <c r="N10"/>
    </row>
    <row r="11" spans="1:14" ht="25" x14ac:dyDescent="0.25">
      <c r="A11" s="49"/>
      <c r="B11" s="107" t="s">
        <v>136</v>
      </c>
      <c r="C11" s="108" t="s">
        <v>137</v>
      </c>
      <c r="D11"/>
      <c r="E11"/>
      <c r="F11"/>
      <c r="G11"/>
      <c r="H11"/>
      <c r="I11"/>
      <c r="J11"/>
      <c r="K11"/>
      <c r="L11"/>
      <c r="M11"/>
      <c r="N11"/>
    </row>
    <row r="12" spans="1:14" x14ac:dyDescent="0.25">
      <c r="A12" s="49" t="s">
        <v>106</v>
      </c>
      <c r="B12" s="49">
        <f>B38</f>
        <v>6</v>
      </c>
      <c r="C12" s="49">
        <f t="shared" ref="C12:C26" si="0">IF(B12="",B$27,B12)</f>
        <v>6</v>
      </c>
      <c r="D12"/>
      <c r="E12"/>
      <c r="F12"/>
      <c r="G12"/>
      <c r="H12"/>
      <c r="I12"/>
      <c r="J12"/>
      <c r="K12"/>
      <c r="L12"/>
      <c r="M12"/>
      <c r="N12"/>
    </row>
    <row r="13" spans="1:14" x14ac:dyDescent="0.25">
      <c r="A13" s="49" t="s">
        <v>117</v>
      </c>
      <c r="B13" s="49"/>
      <c r="C13" s="49">
        <f t="shared" si="0"/>
        <v>3</v>
      </c>
      <c r="D13"/>
      <c r="E13"/>
      <c r="F13"/>
      <c r="G13"/>
      <c r="H13"/>
      <c r="I13"/>
      <c r="J13"/>
      <c r="K13"/>
      <c r="L13"/>
      <c r="M13"/>
      <c r="N13"/>
    </row>
    <row r="14" spans="1:14" x14ac:dyDescent="0.25">
      <c r="A14" s="49" t="s">
        <v>100</v>
      </c>
      <c r="B14" s="49"/>
      <c r="C14" s="49">
        <f t="shared" si="0"/>
        <v>3</v>
      </c>
      <c r="D14"/>
      <c r="E14"/>
      <c r="F14"/>
      <c r="G14"/>
      <c r="H14"/>
      <c r="I14"/>
      <c r="J14"/>
      <c r="K14"/>
      <c r="L14"/>
      <c r="M14"/>
      <c r="N14"/>
    </row>
    <row r="15" spans="1:14" x14ac:dyDescent="0.25">
      <c r="A15" s="49" t="s">
        <v>110</v>
      </c>
      <c r="B15" s="49"/>
      <c r="C15" s="49">
        <f t="shared" si="0"/>
        <v>3</v>
      </c>
      <c r="D15"/>
      <c r="E15"/>
      <c r="F15"/>
      <c r="G15"/>
      <c r="H15"/>
      <c r="I15"/>
      <c r="J15"/>
      <c r="K15"/>
      <c r="L15"/>
      <c r="M15"/>
      <c r="N15"/>
    </row>
    <row r="16" spans="1:14" x14ac:dyDescent="0.25">
      <c r="A16" s="49" t="s">
        <v>99</v>
      </c>
      <c r="B16" s="49">
        <f>B33</f>
        <v>1</v>
      </c>
      <c r="C16" s="49">
        <f t="shared" si="0"/>
        <v>1</v>
      </c>
      <c r="D16"/>
      <c r="E16"/>
      <c r="F16"/>
      <c r="G16"/>
      <c r="H16"/>
      <c r="I16"/>
      <c r="J16"/>
      <c r="K16"/>
      <c r="L16"/>
      <c r="M16"/>
      <c r="N16"/>
    </row>
    <row r="17" spans="1:14" x14ac:dyDescent="0.25">
      <c r="A17" s="49" t="s">
        <v>101</v>
      </c>
      <c r="B17" s="49"/>
      <c r="C17" s="49">
        <f t="shared" si="0"/>
        <v>3</v>
      </c>
      <c r="D17"/>
      <c r="E17"/>
      <c r="F17"/>
      <c r="G17"/>
      <c r="H17"/>
      <c r="I17"/>
      <c r="J17"/>
      <c r="K17"/>
      <c r="L17"/>
      <c r="M17"/>
      <c r="N17"/>
    </row>
    <row r="18" spans="1:14" x14ac:dyDescent="0.25">
      <c r="A18" s="49" t="s">
        <v>102</v>
      </c>
      <c r="B18" s="49">
        <f>B34</f>
        <v>1</v>
      </c>
      <c r="C18" s="49">
        <f t="shared" si="0"/>
        <v>1</v>
      </c>
      <c r="D18"/>
      <c r="E18"/>
      <c r="F18"/>
      <c r="G18"/>
      <c r="H18"/>
      <c r="I18"/>
      <c r="J18"/>
      <c r="K18"/>
      <c r="L18"/>
      <c r="M18"/>
      <c r="N18"/>
    </row>
    <row r="19" spans="1:14" x14ac:dyDescent="0.25">
      <c r="A19" s="49" t="s">
        <v>103</v>
      </c>
      <c r="B19" s="49"/>
      <c r="C19" s="49">
        <f t="shared" si="0"/>
        <v>3</v>
      </c>
      <c r="D19"/>
      <c r="E19"/>
      <c r="F19"/>
      <c r="G19"/>
      <c r="H19"/>
      <c r="I19"/>
      <c r="J19"/>
      <c r="K19"/>
      <c r="L19"/>
      <c r="M19"/>
      <c r="N19"/>
    </row>
    <row r="20" spans="1:14" x14ac:dyDescent="0.25">
      <c r="A20" s="49" t="s">
        <v>104</v>
      </c>
      <c r="B20" s="49">
        <f>B37</f>
        <v>7</v>
      </c>
      <c r="C20" s="49">
        <f t="shared" si="0"/>
        <v>7</v>
      </c>
      <c r="D20"/>
      <c r="E20"/>
      <c r="F20"/>
      <c r="G20"/>
      <c r="H20"/>
      <c r="I20"/>
      <c r="J20"/>
      <c r="K20"/>
      <c r="L20"/>
      <c r="M20"/>
      <c r="N20"/>
    </row>
    <row r="21" spans="1:14" x14ac:dyDescent="0.25">
      <c r="A21" s="49" t="s">
        <v>105</v>
      </c>
      <c r="B21" s="49"/>
      <c r="C21" s="49">
        <f t="shared" si="0"/>
        <v>3</v>
      </c>
      <c r="D21"/>
      <c r="E21"/>
      <c r="F21"/>
      <c r="G21"/>
      <c r="H21"/>
      <c r="I21"/>
      <c r="J21"/>
      <c r="K21"/>
      <c r="L21"/>
      <c r="M21"/>
      <c r="N21"/>
    </row>
    <row r="22" spans="1:14" x14ac:dyDescent="0.25">
      <c r="A22" s="49" t="s">
        <v>107</v>
      </c>
      <c r="B22" s="49">
        <f>B39</f>
        <v>3</v>
      </c>
      <c r="C22" s="49">
        <f t="shared" si="0"/>
        <v>3</v>
      </c>
      <c r="D22"/>
      <c r="E22"/>
      <c r="F22"/>
      <c r="G22"/>
      <c r="H22"/>
      <c r="I22"/>
      <c r="J22"/>
      <c r="K22"/>
      <c r="L22"/>
      <c r="M22"/>
      <c r="N22"/>
    </row>
    <row r="23" spans="1:14" x14ac:dyDescent="0.25">
      <c r="A23" s="49" t="s">
        <v>108</v>
      </c>
      <c r="B23" s="49">
        <f>B40</f>
        <v>1</v>
      </c>
      <c r="C23" s="49">
        <f t="shared" si="0"/>
        <v>1</v>
      </c>
      <c r="D23"/>
      <c r="E23"/>
      <c r="F23"/>
      <c r="G23"/>
      <c r="H23"/>
      <c r="I23"/>
      <c r="J23"/>
      <c r="K23"/>
      <c r="L23"/>
      <c r="M23"/>
      <c r="N23"/>
    </row>
    <row r="24" spans="1:14" x14ac:dyDescent="0.25">
      <c r="A24" s="49" t="s">
        <v>109</v>
      </c>
      <c r="B24" s="49">
        <f>B41</f>
        <v>2</v>
      </c>
      <c r="C24" s="49">
        <f t="shared" si="0"/>
        <v>2</v>
      </c>
      <c r="D24"/>
      <c r="E24"/>
      <c r="F24"/>
      <c r="G24"/>
      <c r="H24"/>
      <c r="I24"/>
      <c r="J24"/>
      <c r="K24"/>
      <c r="L24"/>
      <c r="M24"/>
      <c r="N24"/>
    </row>
    <row r="25" spans="1:14" x14ac:dyDescent="0.25">
      <c r="A25" s="49" t="s">
        <v>111</v>
      </c>
      <c r="B25" s="49">
        <f>B43</f>
        <v>1</v>
      </c>
      <c r="C25" s="49">
        <f t="shared" si="0"/>
        <v>1</v>
      </c>
      <c r="D25"/>
      <c r="E25"/>
      <c r="F25"/>
      <c r="G25"/>
      <c r="H25"/>
      <c r="I25"/>
      <c r="J25"/>
      <c r="K25"/>
      <c r="L25"/>
      <c r="M25"/>
      <c r="N25"/>
    </row>
    <row r="26" spans="1:14" x14ac:dyDescent="0.25">
      <c r="A26" s="49" t="s">
        <v>112</v>
      </c>
      <c r="B26" s="49">
        <f>B44</f>
        <v>2</v>
      </c>
      <c r="C26" s="49">
        <f t="shared" si="0"/>
        <v>2</v>
      </c>
      <c r="D26"/>
      <c r="E26"/>
      <c r="F26"/>
      <c r="G26"/>
      <c r="H26"/>
      <c r="I26"/>
      <c r="J26"/>
      <c r="K26"/>
      <c r="L26"/>
      <c r="M26"/>
      <c r="N26"/>
    </row>
    <row r="27" spans="1:14" x14ac:dyDescent="0.25">
      <c r="A27" s="75" t="s">
        <v>29</v>
      </c>
      <c r="B27" s="49">
        <f>ROUNDUP(AVERAGE(B22:B26,B20:B20,B18,B16,B12:B12),0)</f>
        <v>3</v>
      </c>
      <c r="C27"/>
      <c r="D27"/>
      <c r="E27"/>
      <c r="F27"/>
      <c r="G27"/>
      <c r="H27"/>
      <c r="I27"/>
      <c r="J27"/>
      <c r="K27"/>
      <c r="L27"/>
      <c r="M27"/>
      <c r="N27"/>
    </row>
    <row r="28" spans="1:14" x14ac:dyDescent="0.25">
      <c r="A28" s="43"/>
      <c r="B28" s="43"/>
      <c r="C28" s="43"/>
      <c r="D28" s="43"/>
      <c r="E28" s="43"/>
      <c r="F28" s="43"/>
      <c r="G28" s="43"/>
      <c r="H28" s="43"/>
      <c r="I28" s="43"/>
      <c r="J28" s="43"/>
      <c r="K28" s="43"/>
      <c r="L28"/>
      <c r="M28"/>
      <c r="N28"/>
    </row>
    <row r="29" spans="1:14" x14ac:dyDescent="0.25">
      <c r="A29" s="43"/>
      <c r="B29" s="43" t="s">
        <v>204</v>
      </c>
      <c r="C29" s="43">
        <f>42+15</f>
        <v>57</v>
      </c>
      <c r="D29" s="43"/>
      <c r="E29" s="43"/>
      <c r="F29" s="43"/>
      <c r="G29" s="43"/>
      <c r="H29" s="43"/>
      <c r="I29" s="43"/>
      <c r="J29" s="43"/>
      <c r="K29" s="43"/>
      <c r="L29"/>
      <c r="M29"/>
      <c r="N29"/>
    </row>
    <row r="30" spans="1:14" x14ac:dyDescent="0.25">
      <c r="A30" s="43"/>
      <c r="B30" s="43"/>
      <c r="C30" s="43"/>
      <c r="D30"/>
      <c r="E30" s="43"/>
      <c r="F30" s="43"/>
      <c r="G30" s="43"/>
      <c r="H30" s="43"/>
      <c r="I30" s="43"/>
      <c r="J30" s="43"/>
      <c r="K30" s="43"/>
      <c r="L30"/>
      <c r="M30"/>
      <c r="N30"/>
    </row>
    <row r="31" spans="1:14" x14ac:dyDescent="0.25">
      <c r="A31" s="115" t="s">
        <v>138</v>
      </c>
      <c r="B31" s="110"/>
      <c r="C31" s="43"/>
      <c r="D31"/>
      <c r="E31" s="43"/>
      <c r="F31" s="43"/>
      <c r="G31" s="43"/>
      <c r="H31" s="43"/>
      <c r="I31" s="43"/>
      <c r="J31" s="43"/>
      <c r="K31" s="43"/>
      <c r="L31"/>
      <c r="M31"/>
      <c r="N31"/>
    </row>
    <row r="32" spans="1:14" x14ac:dyDescent="0.25">
      <c r="A32" s="115" t="s">
        <v>139</v>
      </c>
      <c r="B32" s="110" t="s">
        <v>9</v>
      </c>
      <c r="C32" s="43"/>
      <c r="D32" s="43"/>
      <c r="E32" s="43"/>
      <c r="F32" s="43"/>
      <c r="G32" s="43"/>
      <c r="H32" s="43"/>
      <c r="I32" s="43"/>
      <c r="J32" s="43"/>
      <c r="K32" s="43"/>
      <c r="L32"/>
      <c r="M32"/>
      <c r="N32"/>
    </row>
    <row r="33" spans="1:14" x14ac:dyDescent="0.25">
      <c r="A33" s="109" t="s">
        <v>140</v>
      </c>
      <c r="B33" s="110">
        <v>1</v>
      </c>
      <c r="C33" s="43"/>
      <c r="D33" s="43"/>
      <c r="E33" s="43"/>
      <c r="F33" s="43"/>
      <c r="G33" s="43"/>
      <c r="H33" s="43"/>
      <c r="I33" s="43"/>
      <c r="J33" s="43"/>
      <c r="K33" s="43"/>
      <c r="L33"/>
      <c r="M33"/>
      <c r="N33"/>
    </row>
    <row r="34" spans="1:14" x14ac:dyDescent="0.25">
      <c r="A34" s="111" t="s">
        <v>141</v>
      </c>
      <c r="B34" s="112">
        <v>1</v>
      </c>
      <c r="C34" s="43"/>
      <c r="D34" s="43"/>
      <c r="E34" s="43"/>
      <c r="F34" s="43"/>
      <c r="G34" s="43"/>
      <c r="H34" s="43"/>
      <c r="I34" s="43"/>
      <c r="J34" s="43"/>
      <c r="K34" s="43"/>
      <c r="L34" s="43"/>
      <c r="M34" s="43"/>
      <c r="N34" s="43"/>
    </row>
    <row r="35" spans="1:14" x14ac:dyDescent="0.25">
      <c r="A35" s="111" t="s">
        <v>142</v>
      </c>
      <c r="B35" s="112">
        <v>1</v>
      </c>
      <c r="C35" s="43"/>
      <c r="D35" s="43"/>
      <c r="E35" s="43"/>
      <c r="F35" s="43"/>
      <c r="G35" s="43"/>
      <c r="H35" s="43"/>
      <c r="I35" s="43"/>
      <c r="J35" s="43"/>
      <c r="K35" s="43"/>
      <c r="L35" s="43"/>
      <c r="M35" s="43"/>
      <c r="N35" s="43"/>
    </row>
    <row r="36" spans="1:14" x14ac:dyDescent="0.25">
      <c r="A36" s="111" t="s">
        <v>143</v>
      </c>
      <c r="B36" s="112">
        <v>1</v>
      </c>
      <c r="C36" s="43"/>
      <c r="D36" s="43"/>
      <c r="E36" s="43"/>
      <c r="F36" s="43"/>
      <c r="G36" s="43"/>
      <c r="H36" s="43"/>
      <c r="I36" s="43"/>
      <c r="J36" s="43"/>
      <c r="K36" s="43"/>
      <c r="L36" s="43"/>
      <c r="M36" s="43"/>
      <c r="N36" s="43"/>
    </row>
    <row r="37" spans="1:14" x14ac:dyDescent="0.25">
      <c r="A37" s="111" t="s">
        <v>144</v>
      </c>
      <c r="B37" s="112">
        <v>7</v>
      </c>
      <c r="C37" s="43"/>
      <c r="D37" s="43"/>
      <c r="E37" s="43"/>
      <c r="F37" s="43"/>
      <c r="G37" s="43"/>
      <c r="H37" s="43"/>
      <c r="I37" s="43"/>
      <c r="J37" s="43"/>
      <c r="K37" s="43"/>
      <c r="L37" s="43"/>
      <c r="M37" s="43"/>
      <c r="N37" s="43"/>
    </row>
    <row r="38" spans="1:14" x14ac:dyDescent="0.25">
      <c r="A38" s="111" t="s">
        <v>145</v>
      </c>
      <c r="B38" s="112">
        <v>6</v>
      </c>
      <c r="C38" s="43"/>
      <c r="D38" s="43"/>
      <c r="E38" s="43"/>
      <c r="F38" s="43"/>
      <c r="G38" s="43"/>
      <c r="H38" s="43"/>
      <c r="I38" s="43"/>
      <c r="J38" s="43"/>
      <c r="K38" s="43"/>
      <c r="L38" s="43"/>
      <c r="M38" s="43"/>
      <c r="N38" s="43"/>
    </row>
    <row r="39" spans="1:14" x14ac:dyDescent="0.25">
      <c r="A39" s="111" t="s">
        <v>146</v>
      </c>
      <c r="B39" s="112">
        <v>3</v>
      </c>
      <c r="C39" s="43"/>
      <c r="D39" s="43"/>
      <c r="E39" s="43"/>
      <c r="F39" s="43"/>
      <c r="G39" s="43"/>
      <c r="H39" s="43"/>
      <c r="I39" s="43"/>
      <c r="J39" s="43"/>
      <c r="K39" s="43"/>
      <c r="L39" s="43"/>
      <c r="M39" s="43"/>
      <c r="N39" s="43"/>
    </row>
    <row r="40" spans="1:14" x14ac:dyDescent="0.25">
      <c r="A40" s="111" t="s">
        <v>147</v>
      </c>
      <c r="B40" s="112">
        <v>1</v>
      </c>
      <c r="C40" s="43"/>
      <c r="D40" s="43"/>
      <c r="E40" s="43"/>
      <c r="F40" s="43"/>
      <c r="G40" s="43"/>
      <c r="H40" s="43"/>
      <c r="I40" s="43"/>
      <c r="J40" s="43"/>
      <c r="K40" s="43"/>
      <c r="L40" s="43"/>
      <c r="M40" s="43"/>
      <c r="N40" s="43"/>
    </row>
    <row r="41" spans="1:14" x14ac:dyDescent="0.25">
      <c r="A41" s="111" t="s">
        <v>148</v>
      </c>
      <c r="B41" s="112">
        <v>2</v>
      </c>
      <c r="C41" s="43"/>
      <c r="D41" s="43"/>
      <c r="E41" s="43"/>
      <c r="F41" s="43"/>
      <c r="G41" s="43"/>
      <c r="H41" s="43"/>
      <c r="I41" s="43"/>
      <c r="J41" s="43"/>
      <c r="K41" s="43"/>
      <c r="L41" s="43"/>
      <c r="M41" s="43"/>
      <c r="N41" s="43"/>
    </row>
    <row r="42" spans="1:14" x14ac:dyDescent="0.25">
      <c r="A42" s="111" t="s">
        <v>149</v>
      </c>
      <c r="B42" s="112">
        <v>6</v>
      </c>
      <c r="C42" s="43"/>
      <c r="D42" s="43"/>
      <c r="E42" s="43"/>
      <c r="F42" s="43"/>
      <c r="G42" s="43"/>
      <c r="H42" s="43"/>
      <c r="I42" s="43"/>
      <c r="J42" s="43"/>
      <c r="K42" s="43"/>
      <c r="L42" s="43"/>
      <c r="M42" s="43"/>
      <c r="N42" s="43"/>
    </row>
    <row r="43" spans="1:14" x14ac:dyDescent="0.25">
      <c r="A43" s="111" t="s">
        <v>150</v>
      </c>
      <c r="B43" s="112">
        <v>1</v>
      </c>
      <c r="C43" s="43"/>
      <c r="D43" s="43"/>
      <c r="E43" s="43"/>
      <c r="F43" s="43"/>
      <c r="G43" s="43"/>
      <c r="H43" s="43"/>
      <c r="I43" s="43"/>
      <c r="J43" s="43"/>
      <c r="K43" s="43"/>
      <c r="L43" s="43"/>
      <c r="M43" s="43"/>
      <c r="N43" s="43"/>
    </row>
    <row r="44" spans="1:14" x14ac:dyDescent="0.25">
      <c r="A44" s="111" t="s">
        <v>151</v>
      </c>
      <c r="B44" s="112">
        <v>2</v>
      </c>
      <c r="C44" s="43"/>
      <c r="D44" s="43"/>
      <c r="E44" s="43"/>
      <c r="F44" s="43"/>
      <c r="G44" s="43"/>
      <c r="H44" s="43"/>
      <c r="I44" s="43"/>
      <c r="J44" s="43"/>
      <c r="K44" s="43"/>
      <c r="L44" s="43"/>
      <c r="M44" s="43"/>
      <c r="N44" s="43"/>
    </row>
    <row r="45" spans="1:14" x14ac:dyDescent="0.25">
      <c r="A45" s="113" t="s">
        <v>152</v>
      </c>
      <c r="B45" s="114">
        <v>32</v>
      </c>
      <c r="C45" s="43"/>
      <c r="D45" s="43"/>
      <c r="E45" s="43"/>
      <c r="F45" s="43"/>
      <c r="G45" s="43"/>
      <c r="H45" s="43"/>
      <c r="I45" s="43"/>
      <c r="J45" s="43"/>
      <c r="K45" s="43"/>
      <c r="L45" s="43"/>
      <c r="M45" s="43"/>
      <c r="N45" s="43"/>
    </row>
  </sheetData>
  <mergeCells count="1">
    <mergeCell ref="B9:C10"/>
  </mergeCells>
  <phoneticPr fontId="11"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sheetPr>
  <dimension ref="A1:J19"/>
  <sheetViews>
    <sheetView workbookViewId="0">
      <selection activeCell="J29" sqref="J29"/>
    </sheetView>
  </sheetViews>
  <sheetFormatPr defaultRowHeight="10.5" x14ac:dyDescent="0.25"/>
  <cols>
    <col min="1" max="1" width="25" customWidth="1"/>
    <col min="2" max="10" width="16.77734375" customWidth="1"/>
    <col min="11" max="11" width="10.44140625" bestFit="1" customWidth="1"/>
    <col min="12" max="13" width="9.44140625" bestFit="1" customWidth="1"/>
  </cols>
  <sheetData>
    <row r="1" spans="1:10" ht="20.5" x14ac:dyDescent="0.45">
      <c r="A1" s="136" t="s">
        <v>115</v>
      </c>
    </row>
    <row r="2" spans="1:10" ht="65" x14ac:dyDescent="0.25">
      <c r="A2" s="138" t="s">
        <v>74</v>
      </c>
      <c r="B2" s="139" t="s">
        <v>190</v>
      </c>
      <c r="C2" s="140" t="s">
        <v>191</v>
      </c>
      <c r="D2" s="139" t="s">
        <v>192</v>
      </c>
      <c r="E2" s="140" t="s">
        <v>193</v>
      </c>
      <c r="F2" s="140" t="s">
        <v>194</v>
      </c>
      <c r="G2" s="140" t="s">
        <v>195</v>
      </c>
      <c r="H2" s="140" t="s">
        <v>196</v>
      </c>
      <c r="I2" s="140" t="s">
        <v>197</v>
      </c>
      <c r="J2" s="140" t="s">
        <v>198</v>
      </c>
    </row>
    <row r="3" spans="1:10" x14ac:dyDescent="0.25">
      <c r="A3" s="49" t="s">
        <v>99</v>
      </c>
      <c r="B3" s="128" t="s">
        <v>113</v>
      </c>
      <c r="C3" s="129">
        <v>188913</v>
      </c>
      <c r="D3" s="129">
        <v>77797.502752356988</v>
      </c>
      <c r="E3" s="130">
        <v>266710.50275235699</v>
      </c>
      <c r="F3" s="129">
        <v>11174.863541469867</v>
      </c>
      <c r="G3" s="129">
        <v>7030.1908296908168</v>
      </c>
      <c r="H3" s="130">
        <v>18205.054371160684</v>
      </c>
      <c r="I3" s="130">
        <v>26897</v>
      </c>
      <c r="J3" s="130">
        <v>45102.054371160681</v>
      </c>
    </row>
    <row r="4" spans="1:10" x14ac:dyDescent="0.25">
      <c r="A4" s="49" t="s">
        <v>100</v>
      </c>
      <c r="B4" s="131" t="s">
        <v>114</v>
      </c>
      <c r="C4" s="129">
        <v>188913</v>
      </c>
      <c r="D4" s="129"/>
      <c r="E4" s="130">
        <v>188913</v>
      </c>
      <c r="F4" s="129"/>
      <c r="G4" s="129"/>
      <c r="H4" s="130">
        <v>0</v>
      </c>
      <c r="I4" s="130">
        <v>26897</v>
      </c>
      <c r="J4" s="130">
        <v>26897</v>
      </c>
    </row>
    <row r="5" spans="1:10" x14ac:dyDescent="0.25">
      <c r="A5" s="49" t="s">
        <v>101</v>
      </c>
      <c r="B5" s="128" t="s">
        <v>113</v>
      </c>
      <c r="C5" s="129">
        <v>188913</v>
      </c>
      <c r="D5" s="129">
        <v>77797.502752356988</v>
      </c>
      <c r="E5" s="130">
        <v>266710.50275235699</v>
      </c>
      <c r="F5" s="129">
        <v>11174.863541469867</v>
      </c>
      <c r="G5" s="129">
        <v>7030.1908296908168</v>
      </c>
      <c r="H5" s="130">
        <v>18205.054371160684</v>
      </c>
      <c r="I5" s="130">
        <v>26897</v>
      </c>
      <c r="J5" s="130">
        <v>45102.054371160681</v>
      </c>
    </row>
    <row r="6" spans="1:10" x14ac:dyDescent="0.25">
      <c r="A6" s="49" t="s">
        <v>102</v>
      </c>
      <c r="B6" s="128" t="s">
        <v>113</v>
      </c>
      <c r="C6" s="129">
        <v>188913</v>
      </c>
      <c r="D6" s="129">
        <v>77797.502752356988</v>
      </c>
      <c r="E6" s="130">
        <v>266710.50275235699</v>
      </c>
      <c r="F6" s="129">
        <v>11174.863541469867</v>
      </c>
      <c r="G6" s="129">
        <v>7030.1908296908168</v>
      </c>
      <c r="H6" s="130">
        <v>18205.054371160684</v>
      </c>
      <c r="I6" s="130">
        <v>26897</v>
      </c>
      <c r="J6" s="130">
        <v>45102.054371160681</v>
      </c>
    </row>
    <row r="7" spans="1:10" x14ac:dyDescent="0.25">
      <c r="A7" s="49" t="s">
        <v>103</v>
      </c>
      <c r="B7" s="131" t="s">
        <v>114</v>
      </c>
      <c r="C7" s="129">
        <v>188913</v>
      </c>
      <c r="D7" s="129"/>
      <c r="E7" s="130">
        <v>188913</v>
      </c>
      <c r="F7" s="129"/>
      <c r="G7" s="129"/>
      <c r="H7" s="130">
        <v>0</v>
      </c>
      <c r="I7" s="130">
        <v>26897</v>
      </c>
      <c r="J7" s="130">
        <v>26897</v>
      </c>
    </row>
    <row r="8" spans="1:10" x14ac:dyDescent="0.25">
      <c r="A8" s="49" t="s">
        <v>104</v>
      </c>
      <c r="B8" s="128" t="s">
        <v>113</v>
      </c>
      <c r="C8" s="129">
        <v>188913</v>
      </c>
      <c r="D8" s="129">
        <v>77797.502752356988</v>
      </c>
      <c r="E8" s="130">
        <v>266710.50275235699</v>
      </c>
      <c r="F8" s="129">
        <v>11174.863541469867</v>
      </c>
      <c r="G8" s="129">
        <v>7030.1908296908168</v>
      </c>
      <c r="H8" s="130">
        <v>18205.054371160684</v>
      </c>
      <c r="I8" s="130">
        <v>26897</v>
      </c>
      <c r="J8" s="130">
        <v>45102.054371160681</v>
      </c>
    </row>
    <row r="9" spans="1:10" x14ac:dyDescent="0.25">
      <c r="A9" s="49" t="s">
        <v>105</v>
      </c>
      <c r="B9" s="128" t="s">
        <v>113</v>
      </c>
      <c r="C9" s="129">
        <v>188913</v>
      </c>
      <c r="D9" s="129">
        <v>77797.502752356988</v>
      </c>
      <c r="E9" s="130">
        <v>266710.50275235699</v>
      </c>
      <c r="F9" s="129">
        <v>11174.863541469867</v>
      </c>
      <c r="G9" s="129">
        <v>7030.1908296908168</v>
      </c>
      <c r="H9" s="130">
        <v>18205.054371160684</v>
      </c>
      <c r="I9" s="130">
        <v>26897</v>
      </c>
      <c r="J9" s="130">
        <v>45102.054371160681</v>
      </c>
    </row>
    <row r="10" spans="1:10" x14ac:dyDescent="0.25">
      <c r="A10" s="49" t="s">
        <v>106</v>
      </c>
      <c r="B10" s="131" t="s">
        <v>113</v>
      </c>
      <c r="C10" s="129">
        <v>188913</v>
      </c>
      <c r="D10" s="129">
        <v>77797.502752356988</v>
      </c>
      <c r="E10" s="130">
        <v>266710.50275235699</v>
      </c>
      <c r="F10" s="129">
        <v>11174.863541469867</v>
      </c>
      <c r="G10" s="129">
        <v>7030.1908296908168</v>
      </c>
      <c r="H10" s="130">
        <v>18205.054371160684</v>
      </c>
      <c r="I10" s="130">
        <v>26897</v>
      </c>
      <c r="J10" s="130">
        <v>45102.054371160681</v>
      </c>
    </row>
    <row r="11" spans="1:10" x14ac:dyDescent="0.25">
      <c r="A11" s="49" t="s">
        <v>117</v>
      </c>
      <c r="B11" s="131" t="s">
        <v>113</v>
      </c>
      <c r="C11" s="129">
        <v>188913</v>
      </c>
      <c r="D11" s="129">
        <v>77797.502752356988</v>
      </c>
      <c r="E11" s="130">
        <v>266710.50275235699</v>
      </c>
      <c r="F11" s="129">
        <v>11174.863541469867</v>
      </c>
      <c r="G11" s="129">
        <v>7030.1908296908168</v>
      </c>
      <c r="H11" s="130">
        <v>18205.054371160684</v>
      </c>
      <c r="I11" s="130">
        <v>26897</v>
      </c>
      <c r="J11" s="130">
        <v>45102.054371160681</v>
      </c>
    </row>
    <row r="12" spans="1:10" x14ac:dyDescent="0.25">
      <c r="A12" s="49" t="s">
        <v>107</v>
      </c>
      <c r="B12" s="128" t="s">
        <v>113</v>
      </c>
      <c r="C12" s="129">
        <v>188913</v>
      </c>
      <c r="D12" s="129">
        <v>77797.502752356988</v>
      </c>
      <c r="E12" s="130">
        <v>266710.50275235699</v>
      </c>
      <c r="F12" s="129">
        <v>11174.863541469867</v>
      </c>
      <c r="G12" s="129">
        <v>7030.1908296908168</v>
      </c>
      <c r="H12" s="130">
        <v>18205.054371160684</v>
      </c>
      <c r="I12" s="130">
        <v>26897</v>
      </c>
      <c r="J12" s="130">
        <v>45102.054371160681</v>
      </c>
    </row>
    <row r="13" spans="1:10" x14ac:dyDescent="0.25">
      <c r="A13" s="49" t="s">
        <v>108</v>
      </c>
      <c r="B13" s="131" t="s">
        <v>113</v>
      </c>
      <c r="C13" s="129">
        <v>188913</v>
      </c>
      <c r="D13" s="129">
        <v>77797.502752356988</v>
      </c>
      <c r="E13" s="130">
        <v>266710.50275235699</v>
      </c>
      <c r="F13" s="129">
        <v>11174.863541469867</v>
      </c>
      <c r="G13" s="129">
        <v>7030.1908296908168</v>
      </c>
      <c r="H13" s="130">
        <v>18205.054371160684</v>
      </c>
      <c r="I13" s="130">
        <v>26897</v>
      </c>
      <c r="J13" s="130">
        <v>26897</v>
      </c>
    </row>
    <row r="14" spans="1:10" x14ac:dyDescent="0.25">
      <c r="A14" s="49" t="s">
        <v>109</v>
      </c>
      <c r="B14" s="128" t="s">
        <v>113</v>
      </c>
      <c r="C14" s="129">
        <v>188913</v>
      </c>
      <c r="D14" s="129">
        <v>77797.502752356988</v>
      </c>
      <c r="E14" s="130">
        <v>266710.50275235699</v>
      </c>
      <c r="F14" s="129">
        <v>11174.863541469867</v>
      </c>
      <c r="G14" s="129">
        <v>7030.1908296908168</v>
      </c>
      <c r="H14" s="130">
        <v>18205.054371160684</v>
      </c>
      <c r="I14" s="130">
        <v>26897</v>
      </c>
      <c r="J14" s="130">
        <v>45102.054371160681</v>
      </c>
    </row>
    <row r="15" spans="1:10" x14ac:dyDescent="0.25">
      <c r="A15" s="49" t="s">
        <v>110</v>
      </c>
      <c r="B15" s="128" t="s">
        <v>113</v>
      </c>
      <c r="C15" s="129">
        <v>188913</v>
      </c>
      <c r="D15" s="129">
        <v>77797.502752356988</v>
      </c>
      <c r="E15" s="130">
        <v>266710.50275235699</v>
      </c>
      <c r="F15" s="129">
        <v>11174.863541469867</v>
      </c>
      <c r="G15" s="129">
        <v>7030.1908296908168</v>
      </c>
      <c r="H15" s="130">
        <v>18205.054371160684</v>
      </c>
      <c r="I15" s="130">
        <v>26897</v>
      </c>
      <c r="J15" s="130">
        <v>45102.054371160681</v>
      </c>
    </row>
    <row r="16" spans="1:10" x14ac:dyDescent="0.25">
      <c r="A16" s="49" t="s">
        <v>111</v>
      </c>
      <c r="B16" s="128" t="s">
        <v>113</v>
      </c>
      <c r="C16" s="129">
        <v>188913</v>
      </c>
      <c r="D16" s="129">
        <v>77797.502752356988</v>
      </c>
      <c r="E16" s="130">
        <v>266710.50275235699</v>
      </c>
      <c r="F16" s="129">
        <v>11174.863541469867</v>
      </c>
      <c r="G16" s="129">
        <v>7030.1908296908168</v>
      </c>
      <c r="H16" s="130">
        <v>18205.054371160684</v>
      </c>
      <c r="I16" s="130">
        <v>26897</v>
      </c>
      <c r="J16" s="130">
        <v>45102.054371160681</v>
      </c>
    </row>
    <row r="17" spans="1:10" x14ac:dyDescent="0.25">
      <c r="A17" s="49" t="s">
        <v>112</v>
      </c>
      <c r="B17" s="128" t="s">
        <v>113</v>
      </c>
      <c r="C17" s="129">
        <v>188913</v>
      </c>
      <c r="D17" s="129">
        <v>77797.502752356988</v>
      </c>
      <c r="E17" s="130">
        <v>266710.50275235699</v>
      </c>
      <c r="F17" s="129">
        <v>11174.863541469867</v>
      </c>
      <c r="G17" s="129">
        <v>7030.1908296908168</v>
      </c>
      <c r="H17" s="130">
        <v>18205.054371160684</v>
      </c>
      <c r="I17" s="130">
        <v>26897</v>
      </c>
      <c r="J17" s="130">
        <v>45102.054371160681</v>
      </c>
    </row>
    <row r="19" spans="1:10" x14ac:dyDescent="0.25">
      <c r="B19" s="80"/>
      <c r="G19" s="8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2" tint="-0.499984740745262"/>
    <pageSetUpPr fitToPage="1"/>
  </sheetPr>
  <dimension ref="A1:K41"/>
  <sheetViews>
    <sheetView zoomScale="85" workbookViewId="0">
      <selection activeCell="J29" sqref="J29"/>
    </sheetView>
  </sheetViews>
  <sheetFormatPr defaultColWidth="12" defaultRowHeight="12.5" x14ac:dyDescent="0.25"/>
  <cols>
    <col min="1" max="1" width="3.109375" style="1" customWidth="1"/>
    <col min="2" max="2" width="65.33203125" style="1" customWidth="1"/>
    <col min="3" max="3" width="13.6640625" style="1" customWidth="1"/>
    <col min="4" max="4" width="17" style="1" customWidth="1"/>
    <col min="5" max="5" width="26" style="1" customWidth="1"/>
    <col min="6" max="6" width="15.77734375" style="1" customWidth="1"/>
    <col min="7" max="7" width="15" style="1" customWidth="1"/>
    <col min="8" max="8" width="14.6640625" style="1" customWidth="1"/>
    <col min="9" max="9" width="11.6640625" style="1" customWidth="1"/>
    <col min="10" max="10" width="12" style="1" customWidth="1"/>
    <col min="11" max="11" width="10.6640625" style="1" customWidth="1"/>
    <col min="12" max="12" width="20" style="1" customWidth="1"/>
    <col min="13" max="13" width="40.6640625" style="1" customWidth="1"/>
    <col min="14" max="14" width="13.109375" style="1" customWidth="1"/>
    <col min="15" max="15" width="12" style="1" customWidth="1"/>
    <col min="16" max="16" width="15.109375" style="1" customWidth="1"/>
    <col min="17" max="17" width="13.33203125" style="1" customWidth="1"/>
    <col min="18" max="16384" width="12" style="1"/>
  </cols>
  <sheetData>
    <row r="1" spans="1:11" ht="20" x14ac:dyDescent="0.4">
      <c r="A1" s="137" t="s">
        <v>189</v>
      </c>
    </row>
    <row r="7" spans="1:11" x14ac:dyDescent="0.25">
      <c r="A7" s="4"/>
      <c r="B7" s="2" t="s">
        <v>22</v>
      </c>
      <c r="C7" s="3"/>
      <c r="D7" s="3"/>
      <c r="E7" s="3"/>
      <c r="F7"/>
      <c r="G7"/>
      <c r="H7"/>
      <c r="I7"/>
      <c r="K7" s="11"/>
    </row>
    <row r="8" spans="1:11" x14ac:dyDescent="0.25">
      <c r="A8" s="4"/>
      <c r="B8" s="2" t="s">
        <v>23</v>
      </c>
      <c r="C8" s="3">
        <v>11</v>
      </c>
      <c r="D8" s="3">
        <v>1</v>
      </c>
      <c r="E8" s="3">
        <f>C8*D8</f>
        <v>11</v>
      </c>
      <c r="F8"/>
      <c r="G8"/>
      <c r="H8"/>
      <c r="I8"/>
      <c r="K8" s="11"/>
    </row>
    <row r="9" spans="1:11" x14ac:dyDescent="0.25">
      <c r="B9" s="12"/>
    </row>
    <row r="10" spans="1:11" x14ac:dyDescent="0.25">
      <c r="A10" s="22" t="s">
        <v>17</v>
      </c>
    </row>
    <row r="11" spans="1:11" x14ac:dyDescent="0.25">
      <c r="A11" s="5" t="s">
        <v>24</v>
      </c>
      <c r="B11" s="6"/>
    </row>
    <row r="12" spans="1:11" x14ac:dyDescent="0.25">
      <c r="A12" s="5" t="s">
        <v>34</v>
      </c>
    </row>
    <row r="13" spans="1:11" x14ac:dyDescent="0.25">
      <c r="A13" s="5"/>
    </row>
    <row r="14" spans="1:11" x14ac:dyDescent="0.25">
      <c r="A14" s="7" t="s">
        <v>18</v>
      </c>
    </row>
    <row r="15" spans="1:11" x14ac:dyDescent="0.25">
      <c r="A15" s="8" t="s">
        <v>25</v>
      </c>
    </row>
    <row r="16" spans="1:11" x14ac:dyDescent="0.25">
      <c r="A16" s="9" t="s">
        <v>26</v>
      </c>
    </row>
    <row r="17" spans="1:10" x14ac:dyDescent="0.25">
      <c r="B17" s="9"/>
      <c r="C17" s="9"/>
      <c r="D17" s="9"/>
      <c r="E17" s="9"/>
      <c r="F17" s="9"/>
      <c r="G17" s="9"/>
    </row>
    <row r="18" spans="1:10" x14ac:dyDescent="0.25">
      <c r="G18" s="9"/>
    </row>
    <row r="19" spans="1:10" x14ac:dyDescent="0.25">
      <c r="G19" s="9"/>
    </row>
    <row r="21" spans="1:10" ht="48" customHeight="1" x14ac:dyDescent="0.25">
      <c r="B21" s="319" t="s">
        <v>81</v>
      </c>
      <c r="C21" s="319"/>
      <c r="D21" s="319"/>
      <c r="E21" s="319"/>
      <c r="F21" s="14"/>
      <c r="G21" s="14"/>
      <c r="H21" s="14"/>
      <c r="I21" s="14"/>
    </row>
    <row r="22" spans="1:10" ht="31" x14ac:dyDescent="0.25">
      <c r="B22" s="27" t="s">
        <v>38</v>
      </c>
      <c r="C22" s="28" t="s">
        <v>32</v>
      </c>
      <c r="D22" s="28" t="s">
        <v>39</v>
      </c>
      <c r="E22" s="28" t="s">
        <v>40</v>
      </c>
      <c r="F22" s="15"/>
      <c r="G22" s="14"/>
      <c r="H22" s="14"/>
      <c r="I22" s="14"/>
    </row>
    <row r="23" spans="1:10" ht="17.25" customHeight="1" x14ac:dyDescent="0.25">
      <c r="B23" s="29" t="s">
        <v>50</v>
      </c>
      <c r="C23" s="30" t="s">
        <v>41</v>
      </c>
      <c r="D23" s="31">
        <v>54.52</v>
      </c>
      <c r="E23" s="23">
        <f>D23+1.1*D23</f>
        <v>114.49200000000002</v>
      </c>
      <c r="F23" s="15"/>
      <c r="G23" s="14"/>
      <c r="H23" s="14"/>
      <c r="I23" s="14"/>
    </row>
    <row r="24" spans="1:10" ht="19.5" customHeight="1" x14ac:dyDescent="0.25">
      <c r="B24" s="29" t="s">
        <v>8</v>
      </c>
      <c r="C24" s="30" t="s">
        <v>42</v>
      </c>
      <c r="D24" s="31">
        <v>46.76</v>
      </c>
      <c r="E24" s="23">
        <f>D24+1.1*D24</f>
        <v>98.195999999999998</v>
      </c>
      <c r="F24" s="15"/>
      <c r="G24" s="14"/>
      <c r="H24" s="14"/>
      <c r="I24" s="14"/>
    </row>
    <row r="25" spans="1:10" ht="15.75" customHeight="1" x14ac:dyDescent="0.25">
      <c r="B25" s="29" t="s">
        <v>1</v>
      </c>
      <c r="C25" s="30" t="s">
        <v>43</v>
      </c>
      <c r="D25" s="31">
        <v>23.11</v>
      </c>
      <c r="E25" s="23">
        <f>D25+1.1*D25</f>
        <v>48.531000000000006</v>
      </c>
      <c r="F25" s="15"/>
      <c r="G25" s="14"/>
      <c r="H25" s="14"/>
      <c r="I25" s="14"/>
    </row>
    <row r="26" spans="1:10" x14ac:dyDescent="0.25">
      <c r="B26" s="32" t="s">
        <v>44</v>
      </c>
      <c r="C26" s="33"/>
      <c r="D26" s="34"/>
      <c r="E26" s="23">
        <f>E24+0.1*E25+0.05*E23</f>
        <v>108.77369999999999</v>
      </c>
      <c r="F26" s="15"/>
      <c r="G26" s="14"/>
      <c r="H26" s="14"/>
      <c r="I26" s="14"/>
    </row>
    <row r="27" spans="1:10" x14ac:dyDescent="0.25">
      <c r="B27" s="32" t="s">
        <v>45</v>
      </c>
      <c r="C27" s="33"/>
      <c r="D27" s="34"/>
      <c r="E27" s="23">
        <v>80</v>
      </c>
      <c r="F27" s="15"/>
      <c r="G27" s="14"/>
      <c r="H27" s="14"/>
      <c r="I27" s="14"/>
    </row>
    <row r="28" spans="1:10" x14ac:dyDescent="0.25">
      <c r="B28" s="16"/>
      <c r="C28" s="17"/>
      <c r="D28" s="18"/>
      <c r="E28" s="19"/>
      <c r="F28" s="20"/>
      <c r="G28" s="15"/>
      <c r="H28" s="14"/>
      <c r="I28" s="14"/>
      <c r="J28" s="14"/>
    </row>
    <row r="29" spans="1:10" x14ac:dyDescent="0.25">
      <c r="B29" s="21" t="s">
        <v>46</v>
      </c>
      <c r="C29" s="17"/>
      <c r="D29" s="18"/>
      <c r="E29" s="19"/>
      <c r="F29" s="20"/>
      <c r="G29" s="15"/>
      <c r="H29" s="14"/>
      <c r="I29" s="14"/>
      <c r="J29" s="14"/>
    </row>
    <row r="30" spans="1:10" x14ac:dyDescent="0.25">
      <c r="B30" s="16"/>
      <c r="C30" s="17"/>
      <c r="D30" s="18"/>
      <c r="E30" s="19"/>
      <c r="F30" s="20"/>
      <c r="G30" s="15"/>
      <c r="H30" s="14"/>
      <c r="I30" s="14"/>
      <c r="J30" s="14"/>
    </row>
    <row r="31" spans="1:10" x14ac:dyDescent="0.25">
      <c r="B31" s="12"/>
      <c r="C31" s="12"/>
      <c r="D31" s="12"/>
      <c r="E31" s="12"/>
      <c r="F31" s="12"/>
      <c r="G31" s="12"/>
    </row>
    <row r="32" spans="1:10" x14ac:dyDescent="0.25">
      <c r="A32" s="10"/>
      <c r="B32" s="12"/>
      <c r="C32" s="12"/>
      <c r="D32" s="12"/>
      <c r="E32" s="12"/>
      <c r="F32" s="12"/>
      <c r="G32" s="12"/>
    </row>
    <row r="33" spans="2:7" ht="13.5" thickBot="1" x14ac:dyDescent="0.35">
      <c r="B33" s="35" t="s">
        <v>0</v>
      </c>
      <c r="C33" s="12"/>
      <c r="D33" s="12"/>
      <c r="E33" s="12"/>
      <c r="F33" s="12"/>
      <c r="G33" s="12"/>
    </row>
    <row r="34" spans="2:7" ht="26.5" thickBot="1" x14ac:dyDescent="0.35">
      <c r="B34" s="36"/>
      <c r="C34" s="37" t="s">
        <v>27</v>
      </c>
      <c r="D34" s="38" t="s">
        <v>28</v>
      </c>
      <c r="E34" s="13"/>
      <c r="F34" s="12"/>
      <c r="G34" s="12"/>
    </row>
    <row r="35" spans="2:7" x14ac:dyDescent="0.25">
      <c r="B35" s="39" t="s">
        <v>36</v>
      </c>
      <c r="C35" s="39">
        <v>28.88</v>
      </c>
      <c r="D35" s="24">
        <f>C35*1.6</f>
        <v>46.207999999999998</v>
      </c>
      <c r="E35" s="12"/>
      <c r="F35" s="12"/>
      <c r="G35" s="12"/>
    </row>
    <row r="36" spans="2:7" x14ac:dyDescent="0.25">
      <c r="B36" s="40" t="s">
        <v>35</v>
      </c>
      <c r="C36" s="40">
        <v>38.92</v>
      </c>
      <c r="D36" s="25">
        <f>C36*1.6</f>
        <v>62.272000000000006</v>
      </c>
      <c r="E36" s="12"/>
      <c r="F36" s="12"/>
      <c r="G36" s="12"/>
    </row>
    <row r="37" spans="2:7" x14ac:dyDescent="0.25">
      <c r="B37" s="41" t="s">
        <v>37</v>
      </c>
      <c r="C37" s="41">
        <v>15.63</v>
      </c>
      <c r="D37" s="25">
        <f>C37*1.6</f>
        <v>25.008000000000003</v>
      </c>
      <c r="E37" s="12"/>
      <c r="F37" s="9"/>
      <c r="G37" s="9"/>
    </row>
    <row r="38" spans="2:7" x14ac:dyDescent="0.25">
      <c r="C38" s="9"/>
      <c r="D38" s="9"/>
      <c r="E38" s="9"/>
      <c r="F38" s="9"/>
      <c r="G38" s="9"/>
    </row>
    <row r="40" spans="2:7" x14ac:dyDescent="0.25">
      <c r="B40" s="1" t="s">
        <v>31</v>
      </c>
    </row>
    <row r="41" spans="2:7" x14ac:dyDescent="0.25">
      <c r="B41" s="1" t="s">
        <v>30</v>
      </c>
    </row>
  </sheetData>
  <mergeCells count="1">
    <mergeCell ref="B21:E21"/>
  </mergeCells>
  <phoneticPr fontId="9" type="noConversion"/>
  <pageMargins left="0.25" right="0.25" top="0.25" bottom="0.25" header="0.5" footer="0.5"/>
  <pageSetup scale="8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8"/>
  <sheetViews>
    <sheetView showGridLines="0" zoomScaleNormal="100" workbookViewId="0">
      <selection activeCell="A10" sqref="A10"/>
    </sheetView>
  </sheetViews>
  <sheetFormatPr defaultColWidth="9.109375" defaultRowHeight="12" x14ac:dyDescent="0.3"/>
  <cols>
    <col min="1" max="1" width="39.6640625" style="153" customWidth="1"/>
    <col min="2" max="7" width="15.6640625" style="153" customWidth="1"/>
    <col min="8" max="16384" width="9.109375" style="153"/>
  </cols>
  <sheetData>
    <row r="1" spans="1:7" ht="15.5" x14ac:dyDescent="0.3">
      <c r="A1" s="159" t="s">
        <v>206</v>
      </c>
      <c r="B1" s="176"/>
      <c r="C1" s="176"/>
      <c r="D1" s="176"/>
      <c r="E1" s="176"/>
      <c r="F1" s="176"/>
      <c r="G1" s="176"/>
    </row>
    <row r="2" spans="1:7" ht="60" x14ac:dyDescent="0.3">
      <c r="A2" s="247" t="s">
        <v>250</v>
      </c>
      <c r="B2" s="248" t="s">
        <v>251</v>
      </c>
      <c r="C2" s="248" t="s">
        <v>252</v>
      </c>
      <c r="D2" s="248" t="s">
        <v>253</v>
      </c>
      <c r="E2" s="248" t="s">
        <v>254</v>
      </c>
      <c r="F2" s="248" t="s">
        <v>255</v>
      </c>
      <c r="G2" s="248" t="s">
        <v>256</v>
      </c>
    </row>
    <row r="3" spans="1:7" ht="13.5" x14ac:dyDescent="0.3">
      <c r="A3" s="277" t="s">
        <v>281</v>
      </c>
      <c r="B3" s="280">
        <v>538.72</v>
      </c>
      <c r="C3" s="281">
        <v>0</v>
      </c>
      <c r="D3" s="280">
        <f t="shared" ref="D3:D4" si="0">B3*C3</f>
        <v>0</v>
      </c>
      <c r="E3" s="280">
        <f>B3*12*-1</f>
        <v>-6464.64</v>
      </c>
      <c r="F3" s="281">
        <v>3</v>
      </c>
      <c r="G3" s="282">
        <f t="shared" ref="G3:G4" si="1">E3*F3</f>
        <v>-19393.920000000002</v>
      </c>
    </row>
    <row r="4" spans="1:7" ht="13.5" x14ac:dyDescent="0.3">
      <c r="A4" s="277" t="s">
        <v>282</v>
      </c>
      <c r="B4" s="280">
        <v>538.72</v>
      </c>
      <c r="C4" s="281">
        <v>0</v>
      </c>
      <c r="D4" s="280">
        <f t="shared" si="0"/>
        <v>0</v>
      </c>
      <c r="E4" s="280">
        <v>-538.72</v>
      </c>
      <c r="F4" s="281">
        <v>3</v>
      </c>
      <c r="G4" s="282">
        <f t="shared" si="1"/>
        <v>-1616.16</v>
      </c>
    </row>
    <row r="5" spans="1:7" x14ac:dyDescent="0.3">
      <c r="A5" s="269" t="s">
        <v>9</v>
      </c>
      <c r="B5" s="156"/>
      <c r="C5" s="156"/>
      <c r="D5" s="246">
        <f>ROUND(SUM(D3:D4),-4)</f>
        <v>0</v>
      </c>
      <c r="E5" s="156"/>
      <c r="F5" s="156"/>
      <c r="G5" s="246">
        <f>ROUND(SUM(G3:G4),-3)</f>
        <v>-21000</v>
      </c>
    </row>
    <row r="6" spans="1:7" x14ac:dyDescent="0.3">
      <c r="A6" s="276" t="s">
        <v>259</v>
      </c>
    </row>
    <row r="7" spans="1:7" x14ac:dyDescent="0.3">
      <c r="A7" s="278" t="s">
        <v>260</v>
      </c>
    </row>
    <row r="8" spans="1:7" ht="13.5" x14ac:dyDescent="0.3">
      <c r="A8" s="279" t="s">
        <v>283</v>
      </c>
    </row>
    <row r="9" spans="1:7" ht="13.5" x14ac:dyDescent="0.3">
      <c r="A9" s="278" t="s">
        <v>284</v>
      </c>
    </row>
    <row r="10" spans="1:7" ht="13.5" x14ac:dyDescent="0.3">
      <c r="A10" s="157"/>
    </row>
    <row r="11" spans="1:7" ht="13.5" x14ac:dyDescent="0.3">
      <c r="A11" s="157"/>
    </row>
    <row r="13" spans="1:7" ht="13.5" x14ac:dyDescent="0.3">
      <c r="A13" s="157"/>
    </row>
    <row r="14" spans="1:7" x14ac:dyDescent="0.3">
      <c r="A14" s="158"/>
    </row>
    <row r="18" spans="1:1" x14ac:dyDescent="0.3">
      <c r="A18" s="155"/>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2020-08-21T17:28:59+00:00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8BDDA68829754DB65FBA3EFFAE703C" ma:contentTypeVersion="26" ma:contentTypeDescription="Create a new document." ma:contentTypeScope="" ma:versionID="b3d7e2c941d8e72ccf5041eb7449e6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e01bc7a-010f-40fc-98ff-0ff5de58c61d" xmlns:ns6="5956480a-9f17-470d-8d95-0b76617608a6" targetNamespace="http://schemas.microsoft.com/office/2006/metadata/properties" ma:root="true" ma:fieldsID="22e880d4792d7919507348c7f1711139" ns1:_="" ns2:_="" ns3:_="" ns4:_="" ns5:_="" ns6:_="">
    <xsd:import namespace="http://schemas.microsoft.com/sharepoint/v3"/>
    <xsd:import namespace="4ffa91fb-a0ff-4ac5-b2db-65c790d184a4"/>
    <xsd:import namespace="http://schemas.microsoft.com/sharepoint.v3"/>
    <xsd:import namespace="http://schemas.microsoft.com/sharepoint/v3/fields"/>
    <xsd:import namespace="be01bc7a-010f-40fc-98ff-0ff5de58c61d"/>
    <xsd:import namespace="5956480a-9f17-470d-8d95-0b76617608a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01bc7a-010f-40fc-98ff-0ff5de58c61d"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56480a-9f17-470d-8d95-0b76617608a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3112A89-05B7-44A2-8275-948A0F1174A1}">
  <ds:schemaRefs>
    <ds:schemaRef ds:uri="http://schemas.microsoft.com/sharepoint/v3/contenttype/forms"/>
  </ds:schemaRefs>
</ds:datastoreItem>
</file>

<file path=customXml/itemProps2.xml><?xml version="1.0" encoding="utf-8"?>
<ds:datastoreItem xmlns:ds="http://schemas.openxmlformats.org/officeDocument/2006/customXml" ds:itemID="{8155E254-36E5-4802-9DEE-89B170B31072}">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FA80C84C-AB4F-4447-9E85-19AD8C8BC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e01bc7a-010f-40fc-98ff-0ff5de58c61d"/>
    <ds:schemaRef ds:uri="5956480a-9f17-470d-8d95-0b76617608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56B6F4-17FB-45D8-9443-A39F5F7B1C7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Industry</vt:lpstr>
      <vt:lpstr>Agency</vt:lpstr>
      <vt:lpstr>Record&amp;Reporting Burden Only</vt:lpstr>
      <vt:lpstr>Process Vent - T&amp;M Costs</vt:lpstr>
      <vt:lpstr>Resin T&amp;M Costs</vt:lpstr>
      <vt:lpstr>Wastewater T&amp;M Costs</vt:lpstr>
      <vt:lpstr>EquipmentLeaks - T&amp;M Costs</vt:lpstr>
      <vt:lpstr>Hourly Rates</vt:lpstr>
      <vt:lpstr>CAP&amp;O&amp;M</vt:lpstr>
      <vt:lpstr>Agency!Print_Area</vt:lpstr>
      <vt:lpstr>'Hourly Rates'!Print_Area</vt:lpstr>
      <vt:lpstr>Industry!Print_Area</vt:lpstr>
      <vt:lpstr>'Record&amp;Reporting Burden Only'!Print_Area</vt:lpstr>
      <vt:lpstr>Industry!Print_Titles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Salahuddin, Diane</cp:lastModifiedBy>
  <cp:lastPrinted>2011-12-27T18:02:18Z</cp:lastPrinted>
  <dcterms:created xsi:type="dcterms:W3CDTF">1998-09-17T19:20:06Z</dcterms:created>
  <dcterms:modified xsi:type="dcterms:W3CDTF">2020-11-17T02:26:30Z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0x010100A38BDDA68829754DB65FBA3EFFAE703C</vt:lpwstr>
  </property>
</Properties>
</file>