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4.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G:\SHARE\_NRG\POWC\Promulgation Blue Folder\ICR\"/>
    </mc:Choice>
  </mc:AlternateContent>
  <xr:revisionPtr revIDLastSave="0" documentId="8_{8FD8AA4B-1F4D-48BD-AA4C-4DEFF108492D}" xr6:coauthVersionLast="44" xr6:coauthVersionMax="44" xr10:uidLastSave="{00000000-0000-0000-0000-000000000000}"/>
  <bookViews>
    <workbookView xWindow="1830" yWindow="3375" windowWidth="18900" windowHeight="11055" activeTab="2" xr2:uid="{00000000-000D-0000-FFFF-FFFF00000000}"/>
  </bookViews>
  <sheets>
    <sheet name="Labor Rate and Summary Data" sheetId="1" r:id="rId1"/>
    <sheet name="Table 1" sheetId="2" r:id="rId2"/>
    <sheet name="Table 2" sheetId="3" r:id="rId3"/>
    <sheet name="ESRI_MAPINFO_SHEET" sheetId="4" state="veryHidden" r:id="rId4"/>
  </sheets>
  <definedNames>
    <definedName name="Z_9934F1C0_F324_4428_9B67_7B4D8ADB0634_.wvu.Rows" localSheetId="1" hidden="1">'Table 1'!$16:$17</definedName>
    <definedName name="Z_9934F1C0_F324_4428_9B67_7B4D8ADB0634_.wvu.Rows" localSheetId="2" hidden="1">'Table 2'!$7:$7,'Table 2'!$19:$19</definedName>
    <definedName name="Z_A1DA0C23_A9B7_4435_B4F0_755BB5F52418_.wvu.Cols" localSheetId="1" hidden="1">'Table 1'!$J:$K</definedName>
    <definedName name="Z_A1DA0C23_A9B7_4435_B4F0_755BB5F52418_.wvu.Cols" localSheetId="2" hidden="1">'Table 2'!$J:$K</definedName>
    <definedName name="Z_A1DA0C23_A9B7_4435_B4F0_755BB5F52418_.wvu.Rows" localSheetId="1" hidden="1">'Table 1'!$16:$17</definedName>
    <definedName name="Z_A1DA0C23_A9B7_4435_B4F0_755BB5F52418_.wvu.Rows" localSheetId="2" hidden="1">'Table 2'!$7:$7,'Table 2'!$19:$19</definedName>
    <definedName name="Z_E01622B5_B445_47DB_880B_D9D03748913C_.wvu.Cols" localSheetId="1" hidden="1">'Table 1'!$J:$K</definedName>
    <definedName name="Z_E01622B5_B445_47DB_880B_D9D03748913C_.wvu.Cols" localSheetId="2" hidden="1">'Table 2'!$J:$K</definedName>
    <definedName name="Z_E01622B5_B445_47DB_880B_D9D03748913C_.wvu.Rows" localSheetId="1" hidden="1">'Table 1'!$16:$17</definedName>
    <definedName name="Z_E01622B5_B445_47DB_880B_D9D03748913C_.wvu.Rows" localSheetId="2" hidden="1">'Table 2'!$7:$7,'Table 2'!$19:$19</definedName>
  </definedNames>
  <calcPr calcId="191029"/>
  <customWorkbookViews>
    <customWorkbookView name="EPA - Personal View" guid="{A1DA0C23-A9B7-4435-B4F0-755BB5F52418}" mergeInterval="0" personalView="1" xWindow="122" yWindow="225" windowWidth="1260" windowHeight="737" activeSheetId="3"/>
    <customWorkbookView name="Caldwell - Personal View" guid="{9934F1C0-F324-4428-9B67-7B4D8ADB0634}" mergeInterval="0" personalView="1" yWindow="100" windowWidth="1920" windowHeight="970" activeSheetId="2"/>
    <customWorkbookView name="K. Spence - Personal View" guid="{E01622B5-B445-47DB-880B-D9D03748913C}" mergeInterval="0" personalView="1" maximized="1" xWindow="-1928" yWindow="92"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1" i="1" l="1"/>
  <c r="G24" i="1" l="1"/>
  <c r="M11" i="1" l="1"/>
  <c r="E11" i="2" s="1"/>
  <c r="F11" i="2" s="1"/>
  <c r="H11" i="2" s="1"/>
  <c r="I16" i="1"/>
  <c r="J12" i="1" s="1"/>
  <c r="D11" i="2"/>
  <c r="G11" i="2" l="1"/>
  <c r="H3" i="3"/>
  <c r="G3" i="3"/>
  <c r="F3" i="3"/>
  <c r="C35" i="1"/>
  <c r="J53" i="2"/>
  <c r="J10" i="1"/>
  <c r="E33" i="2"/>
  <c r="E30" i="2"/>
  <c r="D23" i="1" l="1"/>
  <c r="E7" i="3" l="1"/>
  <c r="C7" i="3"/>
  <c r="B7" i="3"/>
  <c r="C17" i="2"/>
  <c r="C16" i="2"/>
  <c r="B17" i="2"/>
  <c r="B16" i="2"/>
  <c r="K8" i="1"/>
  <c r="J8" i="1"/>
  <c r="E12" i="3" l="1"/>
  <c r="D12" i="3"/>
  <c r="E10" i="3"/>
  <c r="D10" i="3"/>
  <c r="M8" i="1"/>
  <c r="D7" i="3"/>
  <c r="D17" i="2"/>
  <c r="D16" i="2"/>
  <c r="D35" i="2"/>
  <c r="M12" i="1"/>
  <c r="E19" i="2" s="1"/>
  <c r="M10" i="1"/>
  <c r="D19" i="2"/>
  <c r="D10" i="2"/>
  <c r="D9" i="2"/>
  <c r="B9" i="1"/>
  <c r="C9" i="1"/>
  <c r="E18" i="2" l="1"/>
  <c r="E7" i="2"/>
  <c r="E15" i="2"/>
  <c r="E14" i="2"/>
  <c r="E13" i="2"/>
  <c r="F12" i="3"/>
  <c r="G12" i="3" s="1"/>
  <c r="E10" i="2"/>
  <c r="F10" i="2" s="1"/>
  <c r="G10" i="2" s="1"/>
  <c r="E9" i="2"/>
  <c r="F9" i="2" s="1"/>
  <c r="H9" i="2" s="1"/>
  <c r="F7" i="3"/>
  <c r="G7" i="3" s="1"/>
  <c r="F10" i="3"/>
  <c r="H10" i="3" s="1"/>
  <c r="F19" i="2"/>
  <c r="G19" i="2" s="1"/>
  <c r="H12" i="3" l="1"/>
  <c r="H7" i="3"/>
  <c r="I7" i="3" s="1"/>
  <c r="G10" i="3"/>
  <c r="I10" i="3" s="1"/>
  <c r="I12" i="3"/>
  <c r="H19" i="2"/>
  <c r="H10" i="2"/>
  <c r="G9" i="2"/>
  <c r="C14" i="1" l="1"/>
  <c r="G3" i="2" l="1"/>
  <c r="G25" i="1"/>
  <c r="G22" i="1"/>
  <c r="D25" i="1"/>
  <c r="D22" i="1"/>
  <c r="D26" i="1" s="1"/>
  <c r="G26" i="1" l="1"/>
  <c r="I29" i="1" s="1"/>
  <c r="I44" i="2" s="1"/>
  <c r="K13" i="1"/>
  <c r="K9" i="1"/>
  <c r="K7" i="1"/>
  <c r="K6" i="1"/>
  <c r="K5" i="1"/>
  <c r="C16" i="1"/>
  <c r="H3" i="2" s="1"/>
  <c r="C15" i="1"/>
  <c r="F8" i="1"/>
  <c r="F7" i="1"/>
  <c r="F6" i="1"/>
  <c r="F3" i="2" l="1"/>
  <c r="I11" i="2" s="1"/>
  <c r="A49" i="2"/>
  <c r="F9" i="1"/>
  <c r="E28" i="2"/>
  <c r="J6" i="1"/>
  <c r="M6" i="1" s="1"/>
  <c r="E37" i="2"/>
  <c r="E5" i="3"/>
  <c r="J5" i="1"/>
  <c r="M5" i="1" s="1"/>
  <c r="J7" i="1"/>
  <c r="M7" i="1" s="1"/>
  <c r="E23" i="2"/>
  <c r="E24" i="2"/>
  <c r="E31" i="2"/>
  <c r="J9" i="1"/>
  <c r="M9" i="1" s="1"/>
  <c r="E6" i="3"/>
  <c r="E9" i="3"/>
  <c r="E11" i="3"/>
  <c r="E27" i="2"/>
  <c r="E40" i="2" l="1"/>
  <c r="E20" i="2"/>
  <c r="E8" i="3"/>
  <c r="E6" i="2"/>
  <c r="I27" i="1"/>
  <c r="I15" i="1" s="1"/>
  <c r="A41" i="1"/>
  <c r="C41" i="1" s="1"/>
  <c r="E35" i="2" s="1"/>
  <c r="F35" i="2" s="1"/>
  <c r="E39" i="2"/>
  <c r="E41" i="2"/>
  <c r="I9" i="2"/>
  <c r="I10" i="2"/>
  <c r="I19" i="2"/>
  <c r="E16" i="2"/>
  <c r="F16" i="2" s="1"/>
  <c r="E17" i="2"/>
  <c r="F17" i="2" s="1"/>
  <c r="J13" i="1"/>
  <c r="M13" i="1" s="1"/>
  <c r="D11" i="3"/>
  <c r="F11" i="3" s="1"/>
  <c r="D9" i="3"/>
  <c r="F9" i="3" s="1"/>
  <c r="D8" i="3"/>
  <c r="D6" i="3"/>
  <c r="F6" i="3" s="1"/>
  <c r="D5" i="3"/>
  <c r="F5" i="3" s="1"/>
  <c r="D41" i="2"/>
  <c r="D40" i="2"/>
  <c r="D39" i="2"/>
  <c r="D38" i="2"/>
  <c r="D37" i="2"/>
  <c r="F37" i="2" s="1"/>
  <c r="D34" i="2"/>
  <c r="D33" i="2"/>
  <c r="F33" i="2" s="1"/>
  <c r="D31" i="2"/>
  <c r="F31" i="2" s="1"/>
  <c r="D30" i="2"/>
  <c r="F30" i="2" s="1"/>
  <c r="D28" i="2"/>
  <c r="F28" i="2" s="1"/>
  <c r="D27" i="2"/>
  <c r="F27" i="2" s="1"/>
  <c r="D25" i="2"/>
  <c r="F25" i="2" s="1"/>
  <c r="D24" i="2"/>
  <c r="F24" i="2" s="1"/>
  <c r="D23" i="2"/>
  <c r="F23" i="2" s="1"/>
  <c r="D20" i="2"/>
  <c r="D18" i="2"/>
  <c r="F18" i="2" s="1"/>
  <c r="D15" i="2"/>
  <c r="F15" i="2" s="1"/>
  <c r="H15" i="2" s="1"/>
  <c r="D14" i="2"/>
  <c r="F14" i="2" s="1"/>
  <c r="D13" i="2"/>
  <c r="F13" i="2" s="1"/>
  <c r="D7" i="2"/>
  <c r="F7" i="2" s="1"/>
  <c r="D6" i="2"/>
  <c r="G35" i="2" l="1"/>
  <c r="H35" i="2"/>
  <c r="B32" i="1"/>
  <c r="H16" i="2"/>
  <c r="G16" i="2"/>
  <c r="H17" i="2"/>
  <c r="G17" i="2"/>
  <c r="F20" i="2"/>
  <c r="G20" i="2" s="1"/>
  <c r="M14" i="1"/>
  <c r="E14" i="1" s="1"/>
  <c r="F8" i="3"/>
  <c r="H8" i="3" s="1"/>
  <c r="F40" i="2"/>
  <c r="H40" i="2" s="1"/>
  <c r="F41" i="2"/>
  <c r="G41" i="2" s="1"/>
  <c r="G5" i="3"/>
  <c r="H7" i="2"/>
  <c r="G7" i="2"/>
  <c r="F39" i="2"/>
  <c r="H39" i="2" s="1"/>
  <c r="H6" i="3"/>
  <c r="G6" i="3"/>
  <c r="H27" i="2"/>
  <c r="H18" i="2"/>
  <c r="H24" i="2"/>
  <c r="G13" i="2"/>
  <c r="H13" i="2"/>
  <c r="G14" i="2"/>
  <c r="H28" i="2"/>
  <c r="G28" i="2"/>
  <c r="H37" i="2"/>
  <c r="G31" i="2"/>
  <c r="H31" i="2"/>
  <c r="H25" i="2"/>
  <c r="G25" i="2"/>
  <c r="G9" i="3"/>
  <c r="H9" i="3"/>
  <c r="H30" i="2"/>
  <c r="H23" i="2"/>
  <c r="G23" i="2"/>
  <c r="H33" i="2"/>
  <c r="H5" i="3"/>
  <c r="H11" i="3"/>
  <c r="G11" i="3"/>
  <c r="G37" i="2"/>
  <c r="G33" i="2"/>
  <c r="G30" i="2"/>
  <c r="G27" i="2"/>
  <c r="G24" i="2"/>
  <c r="G18" i="2"/>
  <c r="H14" i="2"/>
  <c r="G15" i="2"/>
  <c r="I15" i="2" s="1"/>
  <c r="F6" i="2"/>
  <c r="I35" i="2" l="1"/>
  <c r="D32" i="1"/>
  <c r="B33" i="1"/>
  <c r="I17" i="2"/>
  <c r="I16" i="2"/>
  <c r="H20" i="2"/>
  <c r="I20" i="2" s="1"/>
  <c r="I23" i="2"/>
  <c r="G8" i="3"/>
  <c r="I8" i="3" s="1"/>
  <c r="I7" i="2"/>
  <c r="H6" i="2"/>
  <c r="H41" i="2"/>
  <c r="I41" i="2" s="1"/>
  <c r="I37" i="2"/>
  <c r="I18" i="2"/>
  <c r="G40" i="2"/>
  <c r="I40" i="2" s="1"/>
  <c r="I24" i="2"/>
  <c r="I5" i="3"/>
  <c r="I6" i="3"/>
  <c r="I11" i="3"/>
  <c r="I30" i="2"/>
  <c r="I28" i="2"/>
  <c r="G39" i="2"/>
  <c r="I39" i="2" s="1"/>
  <c r="I9" i="3"/>
  <c r="I33" i="2"/>
  <c r="I14" i="2"/>
  <c r="I25" i="2"/>
  <c r="I31" i="2"/>
  <c r="I13" i="2"/>
  <c r="G6" i="2"/>
  <c r="I27" i="2"/>
  <c r="I13" i="3" l="1"/>
  <c r="F13" i="3"/>
  <c r="B35" i="1"/>
  <c r="D33" i="1"/>
  <c r="B34" i="1"/>
  <c r="D34" i="1" s="1"/>
  <c r="I6" i="2"/>
  <c r="I21" i="2" s="1"/>
  <c r="F21" i="2"/>
  <c r="D35" i="1" l="1"/>
  <c r="E34" i="2"/>
  <c r="E38" i="2"/>
  <c r="F38" i="2" s="1"/>
  <c r="H38" i="2" l="1"/>
  <c r="G38" i="2"/>
  <c r="F34" i="2"/>
  <c r="E3" i="2"/>
  <c r="I38" i="2" l="1"/>
  <c r="G34" i="2"/>
  <c r="F42" i="2" s="1"/>
  <c r="F43" i="2" s="1"/>
  <c r="E13" i="1" s="1"/>
  <c r="E15" i="1" s="1"/>
  <c r="H34" i="2"/>
  <c r="I34" i="2" l="1"/>
  <c r="I42" i="2" s="1"/>
  <c r="I43" i="2" s="1"/>
  <c r="I4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Caldwell</author>
  </authors>
  <commentList>
    <comment ref="N12" authorId="0" guid="{9FB79D44-22B0-47E5-9F06-7C25A7CE280F}" shapeId="0" xr:uid="{00000000-0006-0000-0000-000001000000}">
      <text>
        <r>
          <rPr>
            <b/>
            <sz val="9"/>
            <color indexed="81"/>
            <rFont val="Tahoma"/>
            <family val="2"/>
          </rPr>
          <t>Caldwell:</t>
        </r>
        <r>
          <rPr>
            <sz val="9"/>
            <color indexed="81"/>
            <rFont val="Tahoma"/>
            <family val="2"/>
          </rPr>
          <t xml:space="preserve">
Assume that catalytic oxidizers do not have to submit CMS perf eval periodically
</t>
        </r>
      </text>
    </comment>
    <comment ref="G27" authorId="0" guid="{8A788BD5-BDED-4ABB-B6B3-75B1438F068A}" shapeId="0" xr:uid="{00000000-0006-0000-0000-000002000000}">
      <text>
        <r>
          <rPr>
            <b/>
            <sz val="9"/>
            <color indexed="81"/>
            <rFont val="Tahoma"/>
            <family val="2"/>
          </rPr>
          <t>Caldwell:</t>
        </r>
        <r>
          <rPr>
            <sz val="9"/>
            <color indexed="81"/>
            <rFont val="Tahoma"/>
            <family val="2"/>
          </rPr>
          <t xml:space="preserve">
can't seem to merge cells here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Caldwell</author>
  </authors>
  <commentList>
    <comment ref="J10" authorId="0" guid="{54575C89-0E65-430A-ABCD-AEB6D90E872A}" shapeId="0" xr:uid="{00000000-0006-0000-0100-000001000000}">
      <text>
        <r>
          <rPr>
            <b/>
            <sz val="9"/>
            <color indexed="81"/>
            <rFont val="Tahoma"/>
            <family val="2"/>
          </rPr>
          <t>Caldwell:</t>
        </r>
        <r>
          <rPr>
            <sz val="9"/>
            <color indexed="81"/>
            <rFont val="Tahoma"/>
            <family val="2"/>
          </rPr>
          <t xml:space="preserve">
(B) #occurences per respondent per year had been 2 for 1.1ii (attend test), based on cellulose.  However, only 1 emiss perf test will be conducted per year so this was changed/corrected to 1
</t>
        </r>
      </text>
    </comment>
    <comment ref="J19" authorId="0" guid="{4B7F8252-B03C-4D19-8E63-10E06F93E862}" shapeId="0" xr:uid="{00000000-0006-0000-0100-000002000000}">
      <text>
        <r>
          <rPr>
            <b/>
            <sz val="9"/>
            <color indexed="81"/>
            <rFont val="Tahoma"/>
            <family val="2"/>
          </rPr>
          <t>Caldwell:</t>
        </r>
        <r>
          <rPr>
            <sz val="9"/>
            <color indexed="81"/>
            <rFont val="Tahoma"/>
            <family val="2"/>
          </rPr>
          <t xml:space="preserve">
Have assumed only thermal oxidizers must submit CMS perf eval periodically
</t>
        </r>
      </text>
    </comment>
  </commentList>
</comments>
</file>

<file path=xl/sharedStrings.xml><?xml version="1.0" encoding="utf-8"?>
<sst xmlns="http://schemas.openxmlformats.org/spreadsheetml/2006/main" count="176" uniqueCount="158">
  <si>
    <t>Burden item</t>
  </si>
  <si>
    <t>(D)</t>
  </si>
  <si>
    <t>1.  Reporting requirements</t>
  </si>
  <si>
    <t xml:space="preserve">     A.  Familiarization with regulatory requirements </t>
  </si>
  <si>
    <r>
      <t xml:space="preserve">     B.  Gather information </t>
    </r>
    <r>
      <rPr>
        <vertAlign val="superscript"/>
        <sz val="10"/>
        <color theme="1"/>
        <rFont val="Times New Roman"/>
        <family val="1"/>
      </rPr>
      <t>c</t>
    </r>
  </si>
  <si>
    <t>2.  Recordkeeping requirements</t>
  </si>
  <si>
    <r>
      <t xml:space="preserve">     A.  Read instructions </t>
    </r>
    <r>
      <rPr>
        <vertAlign val="superscript"/>
        <sz val="10"/>
        <color theme="1"/>
        <rFont val="Times New Roman"/>
        <family val="1"/>
      </rPr>
      <t>c</t>
    </r>
  </si>
  <si>
    <t xml:space="preserve">          i.  Design analysis</t>
  </si>
  <si>
    <t xml:space="preserve">          ii. Performance test oversight</t>
  </si>
  <si>
    <t xml:space="preserve">     E.  Develop record system</t>
  </si>
  <si>
    <t xml:space="preserve">     F.  Time to enter information</t>
  </si>
  <si>
    <t xml:space="preserve">     G.  Time to train personnel</t>
  </si>
  <si>
    <t>Assumptions:</t>
  </si>
  <si>
    <t>Last ICR</t>
  </si>
  <si>
    <t>Hours</t>
  </si>
  <si>
    <t>Cost</t>
  </si>
  <si>
    <t>Labor Type</t>
  </si>
  <si>
    <r>
      <t>Total Compensation ($/hr)</t>
    </r>
    <r>
      <rPr>
        <sz val="10"/>
        <rFont val="Times New Roman"/>
        <family val="1"/>
      </rPr>
      <t xml:space="preserve"> </t>
    </r>
  </si>
  <si>
    <r>
      <t>Loaded Rate</t>
    </r>
    <r>
      <rPr>
        <sz val="10"/>
        <rFont val="Times New Roman"/>
        <family val="1"/>
      </rPr>
      <t xml:space="preserve"> (Rate + 110%rate)</t>
    </r>
  </si>
  <si>
    <t>Mgmt.</t>
  </si>
  <si>
    <t>Tech.</t>
  </si>
  <si>
    <t>Cler.</t>
  </si>
  <si>
    <t>Hours per Response</t>
  </si>
  <si>
    <t># hours</t>
  </si>
  <si>
    <t># responses</t>
  </si>
  <si>
    <t>hr/resp</t>
  </si>
  <si>
    <t>Number of Respondents</t>
  </si>
  <si>
    <t>Respondents That Submit Reports</t>
  </si>
  <si>
    <t>Respondents That Do Not Submit Any Reports</t>
  </si>
  <si>
    <t>Year</t>
  </si>
  <si>
    <t>(A)</t>
  </si>
  <si>
    <t>(B)</t>
  </si>
  <si>
    <t>Number of Existing Respondents</t>
  </si>
  <si>
    <t>(C)</t>
  </si>
  <si>
    <t>Number of Existing Respondents that keep records but do not submit reports</t>
  </si>
  <si>
    <t>Number of Existing Respondents That Are Also New Respondents</t>
  </si>
  <si>
    <t>(E)</t>
  </si>
  <si>
    <t>Average</t>
  </si>
  <si>
    <r>
      <t>1</t>
    </r>
    <r>
      <rPr>
        <sz val="12"/>
        <color rgb="FF000000"/>
        <rFont val="Times New Roman"/>
        <family val="1"/>
      </rPr>
      <t xml:space="preserve"> </t>
    </r>
    <r>
      <rPr>
        <sz val="10"/>
        <color rgb="FF000000"/>
        <rFont val="Times New Roman"/>
        <family val="1"/>
      </rPr>
      <t>New respondents include sources with constructed and reconstructed affected facilities.</t>
    </r>
  </si>
  <si>
    <t>Total Annual Responses</t>
  </si>
  <si>
    <t>Information Collection Activity</t>
  </si>
  <si>
    <t>Number of Responses</t>
  </si>
  <si>
    <t>Number of Existing Respondents That Keep Records But Do Not Submit Reports</t>
  </si>
  <si>
    <t>Initial Notification</t>
  </si>
  <si>
    <t>Notification of performance test</t>
  </si>
  <si>
    <t>Notification of compliance status</t>
  </si>
  <si>
    <t>Performance test reports</t>
  </si>
  <si>
    <t>Semiannual report</t>
  </si>
  <si>
    <t>Total</t>
  </si>
  <si>
    <t>Total Annual Responses E=(BxC)+D</t>
  </si>
  <si>
    <t>Number of Respondents (E=A+B+C-D)</t>
  </si>
  <si>
    <r>
      <t xml:space="preserve">Number of New Respondents </t>
    </r>
    <r>
      <rPr>
        <b/>
        <vertAlign val="superscript"/>
        <sz val="10"/>
        <color rgb="FF000000"/>
        <rFont val="Times New Roman"/>
        <family val="1"/>
      </rPr>
      <t>1</t>
    </r>
  </si>
  <si>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</si>
  <si>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</si>
  <si>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</si>
  <si>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</si>
  <si>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</si>
  <si>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</si>
  <si>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t>(A)
Person hours per occurrence</t>
  </si>
  <si>
    <t>(B)
No. of occurrences per respondent per year</t>
  </si>
  <si>
    <t>(F)
Management person hours per year (Ex0.05)</t>
  </si>
  <si>
    <t>(G)
Clerical person hours per year (Ex0.1)</t>
  </si>
  <si>
    <r>
      <t xml:space="preserve">(H)
Cost, $ </t>
    </r>
    <r>
      <rPr>
        <b/>
        <vertAlign val="superscript"/>
        <sz val="10"/>
        <color theme="1"/>
        <rFont val="Times New Roman"/>
        <family val="1"/>
      </rPr>
      <t>b</t>
    </r>
  </si>
  <si>
    <t>(C) 
Person hours per respondent per year 
(C=AxB)</t>
  </si>
  <si>
    <t>Number of New Respondents</t>
  </si>
  <si>
    <r>
      <t>Capital/Startup vs. Operation and Maintenance (O&amp;M) Costs</t>
    </r>
    <r>
      <rPr>
        <sz val="8"/>
        <color theme="1"/>
        <rFont val="Times New Roman"/>
        <family val="1"/>
      </rPr>
      <t> </t>
    </r>
  </si>
  <si>
    <t>Continuous Monitoring Device</t>
  </si>
  <si>
    <t>Capital/Startup Cost for One Respondent</t>
  </si>
  <si>
    <t>Total Capital/Startup Cost,  (B X C)</t>
  </si>
  <si>
    <t>Annual O&amp;M Costs for One Respondent</t>
  </si>
  <si>
    <t>(F)</t>
  </si>
  <si>
    <t>(G)</t>
  </si>
  <si>
    <t>Continuous emission monitoring system (CEMS)</t>
  </si>
  <si>
    <t>Total O&amp;M, 
(E X F)</t>
  </si>
  <si>
    <r>
      <t>Total cost</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b</t>
    </r>
  </si>
  <si>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</si>
  <si>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r>
      <t>Number of Respondents with O&amp;M</t>
    </r>
    <r>
      <rPr>
        <b/>
        <vertAlign val="superscript"/>
        <sz val="10"/>
        <color theme="1"/>
        <rFont val="Times New Roman"/>
        <family val="1"/>
      </rPr>
      <t xml:space="preserve"> a</t>
    </r>
  </si>
  <si>
    <t>Subtotal for Reporting Requirements</t>
  </si>
  <si>
    <t xml:space="preserve">Subtotal for Recordkeeping Requirements  </t>
  </si>
  <si>
    <r>
      <t xml:space="preserve">(D)
Respondents per year </t>
    </r>
    <r>
      <rPr>
        <b/>
        <vertAlign val="superscript"/>
        <sz val="10"/>
        <color theme="1"/>
        <rFont val="Times New Roman"/>
        <family val="1"/>
      </rPr>
      <t>a</t>
    </r>
  </si>
  <si>
    <r>
      <t xml:space="preserve">Respondant Rates
</t>
    </r>
    <r>
      <rPr>
        <sz val="8"/>
        <rFont val="Times New Roman"/>
        <family val="1"/>
      </rPr>
      <t>(Source: United States Department of Labor, Bureau of Labor Statistics, September 2018, “Table 2. Civilian Workers, by occupational and industry group.”)</t>
    </r>
  </si>
  <si>
    <r>
      <t xml:space="preserve">     C.  Periodic performance testing </t>
    </r>
    <r>
      <rPr>
        <vertAlign val="superscript"/>
        <sz val="10"/>
        <color theme="1"/>
        <rFont val="Times New Roman"/>
        <family val="1"/>
      </rPr>
      <t>d</t>
    </r>
  </si>
  <si>
    <t>CMS Performance Evaluation</t>
  </si>
  <si>
    <t xml:space="preserve">         iii. Use of technology and systems </t>
  </si>
  <si>
    <t xml:space="preserve">          iv. Prepare work practice plan for affilitated operations and update as needed</t>
  </si>
  <si>
    <t xml:space="preserve">          v. Prepare work practice plan for direct-fired dryer/oven clean fuel use and update as needed</t>
  </si>
  <si>
    <t>Work Practices Plans for Affiliated Operations and Direct-fired dryers/ovens</t>
  </si>
  <si>
    <t xml:space="preserve">          vi. Semiannual summary report</t>
  </si>
  <si>
    <t>Initial performance test (inlet/outlet)</t>
  </si>
  <si>
    <t>Continuous monitoring system (CMS)</t>
  </si>
  <si>
    <t>i  Totals have been rounded to 3 significant figures. Figures may not add exactly due to rounding.</t>
  </si>
  <si>
    <t xml:space="preserve">c  We have assumed that this is a one-time activity for one new facility using a solvent recovery device. </t>
  </si>
  <si>
    <t>Existing</t>
  </si>
  <si>
    <t>New</t>
  </si>
  <si>
    <t>average</t>
  </si>
  <si>
    <t>Respondents with add-on controls</t>
  </si>
  <si>
    <t>We have assumed that 5% of respondents will fail to meet standards each year</t>
  </si>
  <si>
    <r>
      <t xml:space="preserve">          i.   Initial notification </t>
    </r>
    <r>
      <rPr>
        <vertAlign val="superscript"/>
        <sz val="10"/>
        <color theme="1"/>
        <rFont val="Times New Roman"/>
        <family val="1"/>
      </rPr>
      <t>c</t>
    </r>
  </si>
  <si>
    <r>
      <t xml:space="preserve">          ii.  Notification of performance test </t>
    </r>
    <r>
      <rPr>
        <vertAlign val="superscript"/>
        <sz val="10"/>
        <color theme="1"/>
        <rFont val="Times New Roman"/>
        <family val="1"/>
      </rPr>
      <t>c</t>
    </r>
  </si>
  <si>
    <r>
      <t xml:space="preserve">          iii. Notification of compliance status </t>
    </r>
    <r>
      <rPr>
        <vertAlign val="superscript"/>
        <sz val="10"/>
        <color theme="1"/>
        <rFont val="Times New Roman"/>
        <family val="1"/>
      </rPr>
      <t>c</t>
    </r>
  </si>
  <si>
    <r>
      <t xml:space="preserve">          iv. Performance test reports  </t>
    </r>
    <r>
      <rPr>
        <vertAlign val="superscript"/>
        <sz val="10"/>
        <color theme="1"/>
        <rFont val="Times New Roman"/>
        <family val="1"/>
      </rPr>
      <t>c</t>
    </r>
  </si>
  <si>
    <t xml:space="preserve">    D.  Write reports</t>
  </si>
  <si>
    <t>total annual average cost (capital and O&amp;M)</t>
  </si>
  <si>
    <t xml:space="preserve">f  Based on review of permit data we have estimated that 88 facilities currently use add on control equipment.  Assuming each new facility added uses add-on control equipment, we assumed an average of 90 facilities per year with add on controls over the 3 year period.  Thus, we have assumed these 90 facilties incur these costs. </t>
  </si>
  <si>
    <r>
      <rPr>
        <vertAlign val="superscript"/>
        <sz val="10"/>
        <color theme="1"/>
        <rFont val="Times New Roman"/>
        <family val="1"/>
      </rPr>
      <t xml:space="preserve">a </t>
    </r>
    <r>
      <rPr>
        <sz val="10"/>
        <color theme="1"/>
        <rFont val="Times New Roman"/>
        <family val="1"/>
      </rPr>
      <t>We estimate an average of 170 sources during the three-year period of this ICR.  Permit data indicates 52% of the facilities use add-on controls (79 use oxidizers and 9 use carbon adsorption).  All of the oxidizers use parametric monitoring, and it was assumed that 5 of the facilities using carbon adsorption do as well.  The remaining 4 facilities using carbon adsorption were assumed to use CEMs.  It was conservatively estimated that each new facility uses CEMs.</t>
    </r>
  </si>
  <si>
    <t>Green text was red in earlier version</t>
  </si>
  <si>
    <t>Red text is changes made this iteration</t>
  </si>
  <si>
    <t>Annual Catalyst Testing of Catalytic Oxidizers</t>
  </si>
  <si>
    <t>Annual Catalyst Testing - Catalytic Oxidizers</t>
  </si>
  <si>
    <r>
      <t xml:space="preserve">Repeat </t>
    </r>
    <r>
      <rPr>
        <sz val="10"/>
        <color rgb="FFFF0000"/>
        <rFont val="Times New Roman"/>
        <family val="1"/>
      </rPr>
      <t>emissions</t>
    </r>
    <r>
      <rPr>
        <sz val="10"/>
        <color rgb="FF00B050"/>
        <rFont val="Times New Roman"/>
        <family val="1"/>
      </rPr>
      <t xml:space="preserve"> performance test (inlet/outlet) </t>
    </r>
    <r>
      <rPr>
        <sz val="10"/>
        <color rgb="FFFF0000"/>
        <rFont val="Times New Roman"/>
        <family val="1"/>
      </rPr>
      <t>- Thermal Oxidizers</t>
    </r>
  </si>
  <si>
    <t>thermal ox tested per year</t>
  </si>
  <si>
    <t>catalysts tested per year</t>
  </si>
  <si>
    <r>
      <t xml:space="preserve">Periodic </t>
    </r>
    <r>
      <rPr>
        <sz val="9"/>
        <color rgb="FFFF0000"/>
        <rFont val="Times New Roman"/>
        <family val="1"/>
      </rPr>
      <t>Emissions</t>
    </r>
    <r>
      <rPr>
        <sz val="9"/>
        <color theme="1"/>
        <rFont val="Times New Roman"/>
        <family val="1"/>
      </rPr>
      <t xml:space="preserve"> Testing </t>
    </r>
    <r>
      <rPr>
        <sz val="9"/>
        <color rgb="FFFF0000"/>
        <rFont val="Times New Roman"/>
        <family val="1"/>
      </rPr>
      <t>of Thermal Oxidizers</t>
    </r>
  </si>
  <si>
    <t xml:space="preserve">          iii.  Annual catalyst test - catalytic oxidizers</t>
  </si>
  <si>
    <t xml:space="preserve">          i.  Notification of periodic emissions performance test -       thermal oxidizers</t>
  </si>
  <si>
    <t xml:space="preserve">          ii.  Attend periodic emissions performance test - thermal oxidizers</t>
  </si>
  <si>
    <r>
      <t xml:space="preserve">         v. Notification of periodic emissions performance test and CMS performance evaluation</t>
    </r>
    <r>
      <rPr>
        <vertAlign val="superscript"/>
        <sz val="10"/>
        <color theme="1"/>
        <rFont val="Times New Roman"/>
        <family val="1"/>
      </rPr>
      <t>d</t>
    </r>
  </si>
  <si>
    <r>
      <t xml:space="preserve">     B.  Plan activities </t>
    </r>
    <r>
      <rPr>
        <vertAlign val="superscript"/>
        <sz val="10"/>
        <color theme="1"/>
        <rFont val="Times New Roman"/>
        <family val="1"/>
      </rPr>
      <t>c</t>
    </r>
  </si>
  <si>
    <r>
      <t xml:space="preserve">     C.  Implement activities for compliance coating use</t>
    </r>
    <r>
      <rPr>
        <vertAlign val="superscript"/>
        <sz val="10"/>
        <color theme="1"/>
        <rFont val="Times New Roman"/>
        <family val="1"/>
      </rPr>
      <t xml:space="preserve"> e,</t>
    </r>
    <r>
      <rPr>
        <sz val="10"/>
        <color theme="1"/>
        <rFont val="Times New Roman"/>
        <family val="1"/>
      </rPr>
      <t xml:space="preserve"> </t>
    </r>
    <r>
      <rPr>
        <vertAlign val="superscript"/>
        <sz val="10"/>
        <color theme="1"/>
        <rFont val="Times New Roman"/>
        <family val="1"/>
      </rPr>
      <t>f</t>
    </r>
  </si>
  <si>
    <r>
      <t xml:space="preserve">     D.  Implement activities for control devices and process equipment </t>
    </r>
    <r>
      <rPr>
        <vertAlign val="superscript"/>
        <sz val="10"/>
        <color theme="1"/>
        <rFont val="Times New Roman"/>
        <family val="1"/>
      </rPr>
      <t>c</t>
    </r>
  </si>
  <si>
    <r>
      <t xml:space="preserve">         i.  Develop plan for material used </t>
    </r>
    <r>
      <rPr>
        <vertAlign val="superscript"/>
        <sz val="10"/>
        <color theme="1"/>
        <rFont val="Times New Roman"/>
        <family val="1"/>
      </rPr>
      <t>e</t>
    </r>
  </si>
  <si>
    <r>
      <t xml:space="preserve">         ii. Control equipment and maintenance plan </t>
    </r>
    <r>
      <rPr>
        <vertAlign val="superscript"/>
        <sz val="10"/>
        <color theme="1"/>
        <rFont val="Times New Roman"/>
        <family val="1"/>
      </rPr>
      <t>c</t>
    </r>
  </si>
  <si>
    <r>
      <t xml:space="preserve">          i.  Compliance calculation </t>
    </r>
    <r>
      <rPr>
        <vertAlign val="superscript"/>
        <sz val="10"/>
        <color theme="1"/>
        <rFont val="Times New Roman"/>
        <family val="1"/>
      </rPr>
      <t>e</t>
    </r>
  </si>
  <si>
    <r>
      <t xml:space="preserve">          ii. Control equipment testing</t>
    </r>
    <r>
      <rPr>
        <vertAlign val="superscript"/>
        <sz val="10"/>
        <color theme="1"/>
        <rFont val="Times New Roman"/>
        <family val="1"/>
      </rPr>
      <t xml:space="preserve"> f</t>
    </r>
  </si>
  <si>
    <r>
      <t xml:space="preserve">          iii. Records of failures to meet standards/actions taken to minimize emissions </t>
    </r>
    <r>
      <rPr>
        <vertAlign val="superscript"/>
        <sz val="10"/>
        <color theme="1"/>
        <rFont val="Times New Roman"/>
        <family val="1"/>
      </rPr>
      <t>g</t>
    </r>
  </si>
  <si>
    <r>
      <t xml:space="preserve">          i.  Acquisition and installation </t>
    </r>
    <r>
      <rPr>
        <vertAlign val="superscript"/>
        <sz val="10"/>
        <color theme="1"/>
        <rFont val="Times New Roman"/>
        <family val="1"/>
      </rPr>
      <t>c</t>
    </r>
  </si>
  <si>
    <r>
      <t xml:space="preserve">         ii.  Equipment inspection and monitoring</t>
    </r>
    <r>
      <rPr>
        <vertAlign val="superscript"/>
        <sz val="10"/>
        <color theme="1"/>
        <rFont val="Times New Roman"/>
        <family val="1"/>
      </rPr>
      <t xml:space="preserve"> f</t>
    </r>
  </si>
  <si>
    <r>
      <t xml:space="preserve">     H.  Store, file and maintain records </t>
    </r>
    <r>
      <rPr>
        <vertAlign val="superscript"/>
        <sz val="10"/>
        <color theme="1"/>
        <rFont val="Times New Roman"/>
        <family val="1"/>
      </rPr>
      <t>h</t>
    </r>
  </si>
  <si>
    <r>
      <t xml:space="preserve">      I.  Retrieve records/reports </t>
    </r>
    <r>
      <rPr>
        <vertAlign val="superscript"/>
        <sz val="10"/>
        <color theme="1"/>
        <rFont val="Times New Roman"/>
        <family val="1"/>
      </rPr>
      <t>h</t>
    </r>
  </si>
  <si>
    <r>
      <t xml:space="preserve">TOTAL LABOR BURDEN AND COST (rounded) </t>
    </r>
    <r>
      <rPr>
        <b/>
        <vertAlign val="superscript"/>
        <sz val="10"/>
        <color theme="1"/>
        <rFont val="Times New Roman"/>
        <family val="1"/>
      </rPr>
      <t>i</t>
    </r>
  </si>
  <si>
    <r>
      <t>TOTAL CAPITAL AND O&amp;M COST (rounded)</t>
    </r>
    <r>
      <rPr>
        <b/>
        <vertAlign val="superscript"/>
        <sz val="10"/>
        <color theme="1"/>
        <rFont val="Times New Roman"/>
        <family val="1"/>
      </rPr>
      <t xml:space="preserve"> i</t>
    </r>
  </si>
  <si>
    <r>
      <t xml:space="preserve">GRAND TOTAL COST (rounded) </t>
    </r>
    <r>
      <rPr>
        <b/>
        <vertAlign val="superscript"/>
        <sz val="10"/>
        <color theme="1"/>
        <rFont val="Times New Roman"/>
        <family val="1"/>
      </rPr>
      <t>i</t>
    </r>
  </si>
  <si>
    <t xml:space="preserve">a  We have assumed that the average number of respondents that will be subject to this rule will be 170.  There are currently 168 facilities, and we have estimated there will be three additional new sources that will become subject to the rule over the three-year period of the ICR (i.e., one per year). </t>
  </si>
  <si>
    <t>d   Periodic emissions performance testing will be required for an additional 62 thermal oxidizers, assume one-third each year (62/3 = 21 per year).  Annual catalyst testing will be required for an additional 3 catalytic oxidizers.</t>
  </si>
  <si>
    <t>e  Based on permit data, we have assumed that 80 facilities comply with MACT through the use of compliant coatings and thus will record activities for compliance coating use.</t>
  </si>
  <si>
    <t>g We have assumed that 5% of respondents will fail to meet standards each year (0.05x170 = 8.5)</t>
  </si>
  <si>
    <t>h  We have assumed that 170 respondents will be involved in the storage, filing, maintenance and retrieval of records and reports twelve times per year.</t>
  </si>
  <si>
    <t>Table 1: Annual Respondent Burden and Cost – NESHAP for Paper and Other Web Coating (40 CFR Part 63, Subpart JJJJ) (Final Amendments)</t>
  </si>
  <si>
    <t>Table 2: Average Annual EPA Burden and Cost – NESHAP for Paper and Other Web Coating (40 CFR Part 63, Subpart JJJJ) (Final amendments)</t>
  </si>
  <si>
    <r>
      <t xml:space="preserve">(D) 
Respondents per year  </t>
    </r>
    <r>
      <rPr>
        <b/>
        <vertAlign val="superscript"/>
        <sz val="10"/>
        <color theme="1"/>
        <rFont val="Times New Roman"/>
        <family val="1"/>
      </rPr>
      <t>a</t>
    </r>
  </si>
  <si>
    <r>
      <t xml:space="preserve">(H) 
Cost, $ </t>
    </r>
    <r>
      <rPr>
        <b/>
        <vertAlign val="superscript"/>
        <sz val="10"/>
        <color theme="1"/>
        <rFont val="Times New Roman"/>
        <family val="1"/>
      </rPr>
      <t>b</t>
    </r>
  </si>
  <si>
    <r>
      <t xml:space="preserve">1. Review initial notification </t>
    </r>
    <r>
      <rPr>
        <vertAlign val="superscript"/>
        <sz val="10"/>
        <color theme="1"/>
        <rFont val="Times New Roman"/>
        <family val="1"/>
      </rPr>
      <t>c</t>
    </r>
  </si>
  <si>
    <r>
      <t xml:space="preserve">2. Review notification of compliance status </t>
    </r>
    <r>
      <rPr>
        <vertAlign val="superscript"/>
        <sz val="10"/>
        <color theme="1"/>
        <rFont val="Times New Roman"/>
        <family val="1"/>
      </rPr>
      <t>c</t>
    </r>
  </si>
  <si>
    <r>
      <t xml:space="preserve">3. Review Work Practice Plans for Affiliated Operations and Direct-fired ovens/dryers </t>
    </r>
    <r>
      <rPr>
        <vertAlign val="superscript"/>
        <sz val="10"/>
        <color theme="1"/>
        <rFont val="Times New Roman"/>
        <family val="1"/>
      </rPr>
      <t>d</t>
    </r>
  </si>
  <si>
    <r>
      <t xml:space="preserve">3.  Review semiannual summary reports </t>
    </r>
    <r>
      <rPr>
        <vertAlign val="superscript"/>
        <sz val="10"/>
        <color theme="1"/>
        <rFont val="Times New Roman"/>
        <family val="1"/>
      </rPr>
      <t>d</t>
    </r>
  </si>
  <si>
    <r>
      <t xml:space="preserve">4.  Review notification of initial performance test </t>
    </r>
    <r>
      <rPr>
        <vertAlign val="superscript"/>
        <sz val="10"/>
        <color theme="1"/>
        <rFont val="Times New Roman"/>
        <family val="1"/>
      </rPr>
      <t>c</t>
    </r>
  </si>
  <si>
    <r>
      <t xml:space="preserve">5.  Review notification of periodic performance test and CMS performance evaluation </t>
    </r>
    <r>
      <rPr>
        <vertAlign val="superscript"/>
        <sz val="10"/>
        <color theme="1"/>
        <rFont val="Times New Roman"/>
        <family val="1"/>
      </rPr>
      <t>e</t>
    </r>
  </si>
  <si>
    <r>
      <t xml:space="preserve">6.  Review initial test results </t>
    </r>
    <r>
      <rPr>
        <vertAlign val="superscript"/>
        <sz val="10"/>
        <color theme="1"/>
        <rFont val="Times New Roman"/>
        <family val="1"/>
      </rPr>
      <t>c, g</t>
    </r>
  </si>
  <si>
    <r>
      <t xml:space="preserve">7.  Review periodic performance test and CMS performance evaluation results </t>
    </r>
    <r>
      <rPr>
        <vertAlign val="superscript"/>
        <sz val="10"/>
        <color theme="1"/>
        <rFont val="Times New Roman"/>
        <family val="1"/>
      </rPr>
      <t>e,f</t>
    </r>
  </si>
  <si>
    <r>
      <t xml:space="preserve">TOTAL ANNUAL BURDEN AND COST (rounded) </t>
    </r>
    <r>
      <rPr>
        <b/>
        <vertAlign val="superscript"/>
        <sz val="10"/>
        <color theme="1"/>
        <rFont val="Times New Roman"/>
        <family val="1"/>
      </rPr>
      <t>g</t>
    </r>
  </si>
  <si>
    <r>
      <t>a</t>
    </r>
    <r>
      <rPr>
        <sz val="10"/>
        <color theme="1"/>
        <rFont val="Times New Roman"/>
        <family val="1"/>
      </rPr>
      <t xml:space="preserve">  We have assumed that the average number of respondents that will be subject to this rule will be 170.  There are currently 168, and it's estimated that 3 additional new sources that will become subject to the rule over the 3-year period of the ICR (i.e., 1 per year). </t>
    </r>
  </si>
  <si>
    <r>
      <t>b</t>
    </r>
    <r>
      <rPr>
        <sz val="10"/>
        <color theme="1"/>
        <rFont val="Times New Roman"/>
        <family val="1"/>
      </rPr>
      <t xml:space="preserve">  This cost is based on the following labor rates which incorporates a 1.6 benefits multiplication factor to account for government overhead expenses: $65.71 for Managerial (GS-13, Step 5), $48.75 for Technical (GS-12, Step 1), and $26.38 Clerical (GS-6, Step 3).  These rates are from the Office of Personnel Management (OPM) “2018 General Schedule” which excludes locality rates of pay.</t>
    </r>
  </si>
  <si>
    <r>
      <t>c</t>
    </r>
    <r>
      <rPr>
        <sz val="10"/>
        <color theme="1"/>
        <rFont val="Times New Roman"/>
        <family val="1"/>
      </rPr>
      <t xml:space="preserve">  We have assumed that this is a one-time activity for each new facility.</t>
    </r>
  </si>
  <si>
    <r>
      <t>d</t>
    </r>
    <r>
      <rPr>
        <sz val="10"/>
        <color theme="1"/>
        <rFont val="Times New Roman"/>
        <family val="1"/>
      </rPr>
      <t xml:space="preserve">  All 173 facilities will have to submit work practices plans for affiliated operations and use of clean fuels in coating operation dryers/ovens.  Assume for costing purposes that one-third of facilities submit plans per year</t>
    </r>
  </si>
  <si>
    <r>
      <t>d</t>
    </r>
    <r>
      <rPr>
        <sz val="10"/>
        <color theme="1"/>
        <rFont val="Times New Roman"/>
        <family val="1"/>
      </rPr>
      <t xml:space="preserve">  It is assumed that the agency will review summary reports twice per year.</t>
    </r>
  </si>
  <si>
    <r>
      <t xml:space="preserve">e </t>
    </r>
    <r>
      <rPr>
        <sz val="10"/>
        <color theme="1"/>
        <rFont val="Times New Roman"/>
        <family val="1"/>
      </rPr>
      <t xml:space="preserve"> A total of 62 thermal oxidizers will have periodic emissions performance tests and CMS performance evaluations.  Assume one-third per year (62/3 = 21)</t>
    </r>
  </si>
  <si>
    <r>
      <t>f</t>
    </r>
    <r>
      <rPr>
        <sz val="10"/>
        <color theme="1"/>
        <rFont val="Times New Roman"/>
        <family val="1"/>
      </rPr>
      <t xml:space="preserve">  We have assumed that it will take the agency ten hours to review test results.</t>
    </r>
  </si>
  <si>
    <r>
      <t>g</t>
    </r>
    <r>
      <rPr>
        <sz val="12"/>
        <color theme="1"/>
        <rFont val="Times New Roman"/>
        <family val="1"/>
      </rPr>
      <t xml:space="preserve"> </t>
    </r>
    <r>
      <rPr>
        <sz val="10"/>
        <color theme="1"/>
        <rFont val="Times New Roman"/>
        <family val="1"/>
      </rPr>
      <t>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</si>
</sst>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43" x14ac:knownFonts="1">
    <font>
      <sz val="11"/>
      <color theme="1"/>
      <name val="Calibri"/>
      <family val="2"/>
      <scheme val="minor"/>
    </font>
    <font>
      <sz val="11"/>
      <color rgb="FFFF0000"/>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trike/>
      <sz val="10"/>
      <color rgb="FFFF0000"/>
      <name val="Times New Roman"/>
      <family val="1"/>
    </font>
    <font>
      <sz val="8"/>
      <name val="Helv"/>
    </font>
    <font>
      <b/>
      <sz val="10"/>
      <name val="Times New Roman"/>
      <family val="1"/>
    </font>
    <font>
      <sz val="8"/>
      <name val="Times New Roman"/>
      <family val="1"/>
    </font>
    <font>
      <b/>
      <u/>
      <sz val="10"/>
      <name val="Times New Roman"/>
      <family val="1"/>
    </font>
    <font>
      <sz val="10"/>
      <name val="Calibri"/>
      <family val="2"/>
    </font>
    <font>
      <sz val="12"/>
      <color rgb="FF000000"/>
      <name val="Times New Roman"/>
      <family val="1"/>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vertAlign val="superscript"/>
      <sz val="12"/>
      <color rgb="FF000000"/>
      <name val="Times New Roman"/>
      <family val="1"/>
    </font>
    <font>
      <b/>
      <sz val="9"/>
      <color rgb="FF000000"/>
      <name val="Times New Roman"/>
      <family val="1"/>
    </font>
    <font>
      <b/>
      <sz val="9"/>
      <color theme="1"/>
      <name val="Times New Roman"/>
      <family val="1"/>
    </font>
    <font>
      <b/>
      <sz val="10"/>
      <color rgb="FF000000"/>
      <name val="Times New Roman"/>
      <family val="1"/>
    </font>
    <font>
      <b/>
      <vertAlign val="superscript"/>
      <sz val="10"/>
      <color rgb="FF000000"/>
      <name val="Times New Roman"/>
      <family val="1"/>
    </font>
    <font>
      <b/>
      <sz val="10"/>
      <name val="Calibri"/>
      <family val="2"/>
    </font>
    <font>
      <sz val="8"/>
      <color theme="1"/>
      <name val="Times New Roman"/>
      <family val="1"/>
    </font>
    <font>
      <b/>
      <sz val="11"/>
      <color rgb="FFFF0000"/>
      <name val="Calibri"/>
      <family val="2"/>
      <scheme val="minor"/>
    </font>
    <font>
      <sz val="9"/>
      <color rgb="FFFF0000"/>
      <name val="Calibri"/>
      <family val="2"/>
      <scheme val="minor"/>
    </font>
    <font>
      <sz val="9"/>
      <color theme="1"/>
      <name val="Calibri"/>
      <family val="2"/>
      <scheme val="minor"/>
    </font>
    <font>
      <strike/>
      <sz val="9"/>
      <color theme="1"/>
      <name val="Times New Roman"/>
      <family val="1"/>
    </font>
    <font>
      <sz val="10"/>
      <color theme="1"/>
      <name val="Calibri"/>
      <family val="2"/>
      <scheme val="minor"/>
    </font>
    <font>
      <sz val="9"/>
      <color indexed="81"/>
      <name val="Tahoma"/>
      <family val="2"/>
    </font>
    <font>
      <b/>
      <sz val="9"/>
      <color indexed="81"/>
      <name val="Tahoma"/>
      <family val="2"/>
    </font>
    <font>
      <sz val="10"/>
      <color rgb="FF00B050"/>
      <name val="Times New Roman"/>
      <family val="1"/>
    </font>
    <font>
      <b/>
      <sz val="10"/>
      <color rgb="FF00B050"/>
      <name val="Times New Roman"/>
      <family val="1"/>
    </font>
    <font>
      <b/>
      <sz val="11"/>
      <color rgb="FF00B050"/>
      <name val="Calibri"/>
      <family val="2"/>
      <scheme val="minor"/>
    </font>
    <font>
      <sz val="9"/>
      <color rgb="FFFF0000"/>
      <name val="Times New Roman"/>
      <family val="1"/>
    </font>
    <font>
      <sz val="10"/>
      <color rgb="FFFF0000"/>
      <name val="Calibri"/>
      <family val="2"/>
    </font>
    <font>
      <vertAlign val="superscript"/>
      <sz val="12"/>
      <color theme="1"/>
      <name val="Times New Roman"/>
      <family val="1"/>
    </font>
    <font>
      <sz val="12"/>
      <color theme="1"/>
      <name val="Times New Roman"/>
      <family val="1"/>
    </font>
  </fonts>
  <fills count="3">
    <fill>
      <patternFill patternType="none"/>
    </fill>
    <fill>
      <patternFill patternType="gray125"/>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s>
  <cellStyleXfs count="2">
    <xf numFmtId="0" fontId="0" fillId="0" borderId="0"/>
    <xf numFmtId="164" fontId="12" fillId="0" borderId="0"/>
  </cellStyleXfs>
  <cellXfs count="142">
    <xf numFmtId="0" fontId="0" fillId="0" borderId="0" xfId="0"/>
    <xf numFmtId="0" fontId="2" fillId="0" borderId="0" xfId="0" applyFont="1"/>
    <xf numFmtId="0" fontId="3" fillId="0" borderId="0" xfId="0" applyFont="1"/>
    <xf numFmtId="0" fontId="3" fillId="0" borderId="0" xfId="0" applyFont="1" applyFill="1"/>
    <xf numFmtId="0" fontId="3" fillId="0" borderId="0" xfId="0" applyFont="1" applyAlignment="1">
      <alignment horizontal="right"/>
    </xf>
    <xf numFmtId="0" fontId="4" fillId="0" borderId="1" xfId="0" applyFont="1" applyFill="1" applyBorder="1" applyAlignment="1">
      <alignment horizontal="center" wrapText="1"/>
    </xf>
    <xf numFmtId="0" fontId="3" fillId="0" borderId="1" xfId="0" applyFont="1" applyBorder="1" applyAlignment="1">
      <alignment horizontal="left" vertical="top" wrapText="1" indent="1"/>
    </xf>
    <xf numFmtId="0" fontId="3" fillId="0" borderId="1" xfId="0" applyFont="1" applyBorder="1" applyAlignment="1">
      <alignment horizontal="center" wrapText="1"/>
    </xf>
    <xf numFmtId="0" fontId="3" fillId="0" borderId="1" xfId="0" applyFont="1" applyFill="1" applyBorder="1" applyAlignment="1">
      <alignment horizontal="center" wrapText="1"/>
    </xf>
    <xf numFmtId="0" fontId="3" fillId="0" borderId="1" xfId="0" applyFont="1" applyBorder="1" applyAlignment="1">
      <alignment horizontal="right" wrapText="1"/>
    </xf>
    <xf numFmtId="6" fontId="7" fillId="0" borderId="1" xfId="0" applyNumberFormat="1" applyFont="1" applyBorder="1" applyAlignment="1">
      <alignment horizontal="right" wrapText="1"/>
    </xf>
    <xf numFmtId="0" fontId="4" fillId="0" borderId="0" xfId="0" applyFont="1"/>
    <xf numFmtId="0" fontId="9" fillId="0" borderId="0" xfId="0" applyFont="1"/>
    <xf numFmtId="0" fontId="9" fillId="0" borderId="0" xfId="0" applyFont="1" applyFill="1"/>
    <xf numFmtId="0" fontId="1" fillId="0" borderId="0" xfId="0" applyFont="1"/>
    <xf numFmtId="3" fontId="1" fillId="0" borderId="0" xfId="0" applyNumberFormat="1" applyFont="1"/>
    <xf numFmtId="0" fontId="4" fillId="0" borderId="1" xfId="0" applyFont="1" applyBorder="1" applyAlignment="1">
      <alignment horizontal="center" wrapText="1"/>
    </xf>
    <xf numFmtId="0" fontId="0" fillId="0" borderId="0" xfId="0" applyFill="1"/>
    <xf numFmtId="0" fontId="22" fillId="0" borderId="0" xfId="0" applyFont="1" applyAlignment="1">
      <alignment vertical="center"/>
    </xf>
    <xf numFmtId="0" fontId="0" fillId="0" borderId="0" xfId="0" applyBorder="1"/>
    <xf numFmtId="0" fontId="21" fillId="0" borderId="6" xfId="0" applyFont="1" applyBorder="1" applyAlignment="1">
      <alignment vertical="center" wrapText="1"/>
    </xf>
    <xf numFmtId="0" fontId="19" fillId="0" borderId="6" xfId="0" applyFont="1" applyBorder="1" applyAlignment="1">
      <alignment horizontal="center" vertical="center" wrapText="1"/>
    </xf>
    <xf numFmtId="0" fontId="21"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1" fillId="0" borderId="0" xfId="0" applyFont="1" applyBorder="1" applyAlignment="1">
      <alignment vertical="center" wrapText="1"/>
    </xf>
    <xf numFmtId="0" fontId="19" fillId="0" borderId="0" xfId="0" applyFont="1" applyBorder="1" applyAlignment="1">
      <alignment vertical="center" wrapText="1"/>
    </xf>
    <xf numFmtId="0" fontId="18" fillId="2" borderId="6" xfId="0" applyFont="1" applyFill="1" applyBorder="1" applyAlignment="1">
      <alignment vertical="center" wrapText="1"/>
    </xf>
    <xf numFmtId="0" fontId="21" fillId="0" borderId="6"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6" xfId="0" applyFont="1" applyFill="1" applyBorder="1" applyAlignment="1">
      <alignment vertical="center" wrapText="1"/>
    </xf>
    <xf numFmtId="0" fontId="25" fillId="2" borderId="6" xfId="0" applyFont="1" applyFill="1" applyBorder="1" applyAlignment="1">
      <alignment vertical="center" wrapText="1"/>
    </xf>
    <xf numFmtId="0" fontId="25" fillId="2" borderId="6" xfId="0" applyFont="1" applyFill="1" applyBorder="1" applyAlignment="1">
      <alignment horizontal="center" vertical="center" wrapText="1"/>
    </xf>
    <xf numFmtId="164" fontId="15" fillId="0" borderId="0" xfId="1" applyFont="1" applyFill="1" applyBorder="1" applyAlignment="1">
      <alignment horizontal="center" vertical="center" wrapText="1"/>
    </xf>
    <xf numFmtId="164" fontId="10" fillId="0" borderId="0" xfId="1" applyFont="1" applyFill="1" applyBorder="1" applyAlignment="1">
      <alignment horizontal="center" vertical="center" wrapText="1"/>
    </xf>
    <xf numFmtId="165" fontId="10" fillId="0" borderId="0" xfId="1" applyNumberFormat="1" applyFont="1" applyFill="1" applyBorder="1" applyAlignment="1">
      <alignment horizontal="right" wrapText="1"/>
    </xf>
    <xf numFmtId="0" fontId="3" fillId="0" borderId="0" xfId="0" applyFont="1" applyBorder="1"/>
    <xf numFmtId="0" fontId="11" fillId="0" borderId="0" xfId="0" applyFont="1"/>
    <xf numFmtId="0" fontId="11" fillId="0" borderId="0" xfId="0" applyFont="1" applyFill="1"/>
    <xf numFmtId="0" fontId="11" fillId="0" borderId="0" xfId="0" applyFont="1" applyAlignment="1">
      <alignment wrapText="1"/>
    </xf>
    <xf numFmtId="0" fontId="3" fillId="0" borderId="1" xfId="0" applyFont="1" applyFill="1" applyBorder="1" applyAlignment="1">
      <alignment horizontal="left" vertical="top" wrapText="1" indent="1"/>
    </xf>
    <xf numFmtId="0" fontId="10" fillId="0" borderId="0" xfId="0" applyFont="1" applyFill="1" applyBorder="1"/>
    <xf numFmtId="0" fontId="3" fillId="0" borderId="0" xfId="0" applyFont="1" applyFill="1" applyBorder="1" applyAlignment="1">
      <alignment horizontal="right"/>
    </xf>
    <xf numFmtId="0" fontId="10" fillId="0" borderId="0" xfId="0" applyFont="1" applyBorder="1"/>
    <xf numFmtId="3" fontId="3" fillId="0" borderId="0" xfId="0" applyNumberFormat="1" applyFont="1"/>
    <xf numFmtId="164" fontId="15" fillId="0" borderId="8" xfId="1" applyFont="1" applyFill="1" applyBorder="1" applyAlignment="1">
      <alignment horizontal="center" vertical="center" wrapText="1"/>
    </xf>
    <xf numFmtId="164" fontId="10" fillId="0" borderId="8" xfId="1" applyFont="1" applyFill="1" applyBorder="1" applyAlignment="1">
      <alignment horizontal="center" vertical="center" wrapText="1"/>
    </xf>
    <xf numFmtId="165" fontId="10" fillId="0" borderId="8" xfId="1" applyNumberFormat="1" applyFont="1" applyFill="1" applyBorder="1" applyAlignment="1">
      <alignment horizontal="right" wrapText="1"/>
    </xf>
    <xf numFmtId="1" fontId="16" fillId="0" borderId="8" xfId="0" applyNumberFormat="1" applyFont="1" applyFill="1" applyBorder="1"/>
    <xf numFmtId="0" fontId="16" fillId="0" borderId="8" xfId="0" applyFont="1" applyFill="1" applyBorder="1"/>
    <xf numFmtId="0" fontId="3" fillId="0" borderId="0" xfId="0" applyFont="1" applyAlignment="1">
      <alignment vertical="center"/>
    </xf>
    <xf numFmtId="0" fontId="3" fillId="0" borderId="6" xfId="0" applyFont="1" applyBorder="1" applyAlignment="1">
      <alignment horizontal="center" vertical="center" wrapText="1"/>
    </xf>
    <xf numFmtId="0" fontId="3" fillId="0" borderId="6" xfId="0" applyFont="1" applyBorder="1" applyAlignment="1">
      <alignment vertical="center" wrapText="1"/>
    </xf>
    <xf numFmtId="6" fontId="3" fillId="0" borderId="6" xfId="0" applyNumberFormat="1" applyFont="1" applyBorder="1" applyAlignment="1">
      <alignment horizontal="center" vertical="center" wrapText="1"/>
    </xf>
    <xf numFmtId="0" fontId="4" fillId="0" borderId="6" xfId="0" applyFont="1" applyBorder="1" applyAlignment="1">
      <alignment vertical="center" wrapText="1"/>
    </xf>
    <xf numFmtId="6"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29" fillId="0" borderId="0" xfId="0" applyFont="1" applyFill="1"/>
    <xf numFmtId="0" fontId="9" fillId="0" borderId="0" xfId="0" applyFont="1" applyFill="1" applyAlignment="1">
      <alignment wrapText="1"/>
    </xf>
    <xf numFmtId="0" fontId="3" fillId="0" borderId="0" xfId="0" applyFont="1" applyFill="1" applyAlignment="1">
      <alignment wrapText="1"/>
    </xf>
    <xf numFmtId="0" fontId="10" fillId="0" borderId="0" xfId="0" applyFont="1"/>
    <xf numFmtId="0" fontId="10" fillId="0" borderId="0" xfId="0" applyFont="1" applyFill="1"/>
    <xf numFmtId="0" fontId="21" fillId="0" borderId="14" xfId="0" applyFont="1" applyFill="1" applyBorder="1" applyAlignment="1">
      <alignment horizontal="center" vertical="center" wrapText="1"/>
    </xf>
    <xf numFmtId="166" fontId="3" fillId="0" borderId="1" xfId="0" applyNumberFormat="1" applyFont="1" applyBorder="1" applyAlignment="1">
      <alignment horizontal="right" wrapText="1"/>
    </xf>
    <xf numFmtId="1" fontId="24" fillId="0" borderId="6" xfId="0" applyNumberFormat="1" applyFont="1" applyBorder="1" applyAlignment="1">
      <alignment horizontal="center" vertical="center" wrapText="1"/>
    </xf>
    <xf numFmtId="0" fontId="32" fillId="0" borderId="6" xfId="0" applyFont="1" applyBorder="1" applyAlignment="1">
      <alignment horizontal="center" wrapText="1"/>
    </xf>
    <xf numFmtId="1" fontId="32" fillId="0" borderId="6" xfId="0" applyNumberFormat="1" applyFont="1" applyBorder="1" applyAlignment="1">
      <alignment horizontal="center" vertical="center"/>
    </xf>
    <xf numFmtId="0" fontId="32" fillId="0" borderId="6" xfId="0" applyFont="1" applyBorder="1" applyAlignment="1">
      <alignment horizontal="center" vertical="center"/>
    </xf>
    <xf numFmtId="1" fontId="32" fillId="0" borderId="6" xfId="0" applyNumberFormat="1" applyFont="1" applyBorder="1" applyAlignment="1">
      <alignment horizontal="center" vertical="center" wrapText="1"/>
    </xf>
    <xf numFmtId="6" fontId="0" fillId="0" borderId="0" xfId="0" applyNumberFormat="1"/>
    <xf numFmtId="0" fontId="9" fillId="0" borderId="6" xfId="0" applyFont="1" applyBorder="1" applyAlignment="1">
      <alignment horizontal="center" vertical="center" wrapText="1"/>
    </xf>
    <xf numFmtId="6" fontId="9" fillId="0" borderId="6" xfId="0" applyNumberFormat="1" applyFont="1" applyBorder="1" applyAlignment="1">
      <alignment horizontal="center" vertical="center" wrapText="1"/>
    </xf>
    <xf numFmtId="0" fontId="33" fillId="0" borderId="0" xfId="0" applyFont="1"/>
    <xf numFmtId="9" fontId="0" fillId="0" borderId="0" xfId="0" applyNumberFormat="1"/>
    <xf numFmtId="8" fontId="0" fillId="0" borderId="0" xfId="0" applyNumberFormat="1"/>
    <xf numFmtId="3" fontId="3" fillId="0" borderId="1" xfId="0" applyNumberFormat="1" applyFont="1" applyBorder="1" applyAlignment="1">
      <alignment horizontal="center" wrapText="1"/>
    </xf>
    <xf numFmtId="0" fontId="3" fillId="0" borderId="0" xfId="0" applyFont="1" applyFill="1" applyAlignment="1">
      <alignment vertical="center" wrapText="1"/>
    </xf>
    <xf numFmtId="0" fontId="0" fillId="0" borderId="0" xfId="0" applyFill="1" applyAlignment="1">
      <alignment wrapText="1"/>
    </xf>
    <xf numFmtId="0" fontId="20" fillId="0" borderId="5" xfId="0" applyFont="1" applyBorder="1" applyAlignment="1">
      <alignment vertical="center" wrapText="1"/>
    </xf>
    <xf numFmtId="0" fontId="0" fillId="0" borderId="5" xfId="0" applyBorder="1" applyAlignment="1">
      <alignment wrapText="1"/>
    </xf>
    <xf numFmtId="0" fontId="37" fillId="0" borderId="9" xfId="0" applyFont="1" applyBorder="1" applyAlignment="1">
      <alignment horizontal="center"/>
    </xf>
    <xf numFmtId="0" fontId="37" fillId="0" borderId="10" xfId="0" applyFont="1" applyBorder="1"/>
    <xf numFmtId="0" fontId="37" fillId="0" borderId="8" xfId="0" applyFont="1" applyBorder="1"/>
    <xf numFmtId="41" fontId="37" fillId="0" borderId="8" xfId="0" applyNumberFormat="1" applyFont="1" applyBorder="1"/>
    <xf numFmtId="41" fontId="38" fillId="0" borderId="8" xfId="0" applyNumberFormat="1" applyFont="1" applyBorder="1"/>
    <xf numFmtId="0" fontId="37" fillId="0" borderId="1" xfId="0" applyFont="1" applyBorder="1"/>
    <xf numFmtId="41" fontId="38" fillId="0" borderId="1" xfId="0" applyNumberFormat="1" applyFont="1" applyBorder="1"/>
    <xf numFmtId="0" fontId="36" fillId="0" borderId="6" xfId="0" applyFont="1" applyBorder="1" applyAlignment="1">
      <alignment horizontal="left" vertical="center" wrapText="1"/>
    </xf>
    <xf numFmtId="6" fontId="36" fillId="0" borderId="6" xfId="0" applyNumberFormat="1" applyFont="1" applyBorder="1" applyAlignment="1">
      <alignment horizontal="center" vertical="center" wrapText="1"/>
    </xf>
    <xf numFmtId="0" fontId="36" fillId="0" borderId="6" xfId="0" applyFont="1" applyBorder="1" applyAlignment="1">
      <alignment horizontal="center" vertical="center" wrapText="1"/>
    </xf>
    <xf numFmtId="0" fontId="36" fillId="0" borderId="6" xfId="0" applyFont="1" applyBorder="1" applyAlignment="1">
      <alignment vertical="center" wrapText="1"/>
    </xf>
    <xf numFmtId="0" fontId="1" fillId="0" borderId="0" xfId="0" applyFont="1" applyFill="1"/>
    <xf numFmtId="0" fontId="39" fillId="0" borderId="6" xfId="0" applyFont="1" applyBorder="1" applyAlignment="1">
      <alignment horizontal="center" vertical="center" wrapText="1"/>
    </xf>
    <xf numFmtId="0" fontId="1" fillId="0" borderId="0" xfId="0" applyFont="1" applyAlignment="1">
      <alignment horizontal="center" vertical="center"/>
    </xf>
    <xf numFmtId="0" fontId="9" fillId="0" borderId="0" xfId="0" applyFont="1" applyAlignment="1">
      <alignment wrapText="1"/>
    </xf>
    <xf numFmtId="0" fontId="0" fillId="0" borderId="0" xfId="0" applyAlignment="1">
      <alignment horizontal="center" vertical="center"/>
    </xf>
    <xf numFmtId="1" fontId="40" fillId="0" borderId="8" xfId="0" applyNumberFormat="1" applyFont="1" applyFill="1" applyBorder="1"/>
    <xf numFmtId="0" fontId="39" fillId="0" borderId="14" xfId="0" applyFont="1" applyFill="1" applyBorder="1" applyAlignment="1">
      <alignment horizontal="center" vertical="center" wrapText="1"/>
    </xf>
    <xf numFmtId="6" fontId="0" fillId="0" borderId="0" xfId="0" applyNumberFormat="1" applyFill="1" applyAlignment="1">
      <alignment wrapText="1"/>
    </xf>
    <xf numFmtId="0" fontId="36" fillId="0" borderId="0" xfId="0" applyFont="1" applyFill="1"/>
    <xf numFmtId="0" fontId="3" fillId="0" borderId="0" xfId="0" applyFont="1" applyFill="1" applyBorder="1"/>
    <xf numFmtId="165" fontId="3" fillId="0" borderId="0" xfId="0" applyNumberFormat="1" applyFont="1" applyFill="1"/>
    <xf numFmtId="1" fontId="3" fillId="0" borderId="1" xfId="0" applyNumberFormat="1" applyFont="1" applyFill="1" applyBorder="1" applyAlignment="1">
      <alignment horizontal="center" wrapText="1"/>
    </xf>
    <xf numFmtId="1" fontId="3" fillId="0" borderId="1" xfId="0" applyNumberFormat="1" applyFont="1" applyBorder="1" applyAlignment="1">
      <alignment horizontal="center" wrapText="1"/>
    </xf>
    <xf numFmtId="167" fontId="3" fillId="0" borderId="1" xfId="0" applyNumberFormat="1" applyFont="1" applyBorder="1" applyAlignment="1">
      <alignment horizontal="center" wrapText="1"/>
    </xf>
    <xf numFmtId="166" fontId="3" fillId="0" borderId="1" xfId="0" applyNumberFormat="1" applyFont="1" applyFill="1" applyBorder="1" applyAlignment="1">
      <alignment horizontal="right" wrapText="1"/>
    </xf>
    <xf numFmtId="166" fontId="3" fillId="0" borderId="2" xfId="0" applyNumberFormat="1" applyFont="1" applyBorder="1" applyAlignment="1">
      <alignment horizontal="right" wrapText="1"/>
    </xf>
    <xf numFmtId="6" fontId="7" fillId="0" borderId="2" xfId="0" applyNumberFormat="1" applyFont="1" applyBorder="1" applyAlignment="1">
      <alignment horizontal="right" wrapText="1"/>
    </xf>
    <xf numFmtId="6" fontId="7" fillId="0" borderId="2" xfId="0" applyNumberFormat="1" applyFont="1" applyFill="1" applyBorder="1" applyAlignment="1">
      <alignment horizontal="right" wrapText="1"/>
    </xf>
    <xf numFmtId="6" fontId="3" fillId="0" borderId="1" xfId="0" applyNumberFormat="1" applyFont="1" applyBorder="1" applyAlignment="1">
      <alignment horizontal="right" wrapText="1"/>
    </xf>
    <xf numFmtId="164" fontId="13" fillId="0" borderId="8" xfId="1" applyFont="1" applyFill="1" applyBorder="1" applyAlignment="1">
      <alignment horizontal="left" wrapText="1"/>
    </xf>
    <xf numFmtId="164" fontId="15" fillId="0" borderId="8" xfId="1" applyFont="1" applyFill="1" applyBorder="1" applyAlignment="1">
      <alignment horizontal="left" wrapText="1"/>
    </xf>
    <xf numFmtId="0" fontId="27" fillId="0" borderId="8"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30" fillId="0" borderId="13" xfId="0" applyFont="1" applyBorder="1" applyAlignment="1">
      <alignment wrapText="1"/>
    </xf>
    <xf numFmtId="0" fontId="31" fillId="0" borderId="0" xfId="0" applyFont="1" applyAlignment="1">
      <alignment wrapText="1"/>
    </xf>
    <xf numFmtId="0" fontId="17" fillId="0" borderId="0" xfId="0" applyFont="1" applyBorder="1" applyAlignment="1">
      <alignment vertical="center" wrapText="1"/>
    </xf>
    <xf numFmtId="0" fontId="18" fillId="2" borderId="6" xfId="0" applyFont="1" applyFill="1" applyBorder="1" applyAlignment="1">
      <alignment horizontal="center" vertical="center" wrapText="1"/>
    </xf>
    <xf numFmtId="0" fontId="23" fillId="2" borderId="6" xfId="0" applyFont="1" applyFill="1" applyBorder="1" applyAlignment="1">
      <alignment vertical="center" wrapText="1"/>
    </xf>
    <xf numFmtId="0" fontId="3" fillId="0" borderId="0" xfId="0" applyFont="1" applyAlignment="1">
      <alignment vertical="center" wrapText="1"/>
    </xf>
    <xf numFmtId="0" fontId="33" fillId="0" borderId="0" xfId="0" applyFont="1" applyAlignment="1">
      <alignment wrapText="1"/>
    </xf>
    <xf numFmtId="0" fontId="3" fillId="0" borderId="0" xfId="0" applyFont="1" applyAlignment="1">
      <alignment wrapText="1"/>
    </xf>
    <xf numFmtId="0" fontId="3" fillId="0" borderId="0" xfId="0" applyFont="1" applyFill="1" applyAlignment="1">
      <alignment wrapText="1"/>
    </xf>
    <xf numFmtId="0" fontId="33" fillId="0" borderId="0" xfId="0" applyFont="1" applyFill="1" applyAlignment="1">
      <alignment wrapText="1"/>
    </xf>
    <xf numFmtId="164" fontId="13" fillId="0" borderId="0" xfId="1" applyFont="1" applyFill="1" applyBorder="1" applyAlignment="1">
      <alignment horizontal="left" wrapText="1"/>
    </xf>
    <xf numFmtId="164" fontId="15" fillId="0" borderId="0" xfId="1" applyFont="1" applyFill="1" applyBorder="1" applyAlignment="1">
      <alignment horizontal="left" wrapText="1"/>
    </xf>
    <xf numFmtId="0" fontId="4" fillId="0" borderId="1" xfId="0" applyFont="1" applyBorder="1" applyAlignment="1">
      <alignment horizontal="left" wrapText="1"/>
    </xf>
    <xf numFmtId="0" fontId="3" fillId="0" borderId="0" xfId="0" applyFont="1" applyAlignment="1">
      <alignment horizontal="left"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3" fontId="7" fillId="0" borderId="2" xfId="0" applyNumberFormat="1" applyFont="1" applyBorder="1" applyAlignment="1">
      <alignment horizontal="center" wrapText="1"/>
    </xf>
    <xf numFmtId="3" fontId="7" fillId="0" borderId="3" xfId="0" applyNumberFormat="1" applyFont="1" applyBorder="1" applyAlignment="1">
      <alignment horizontal="center" wrapText="1"/>
    </xf>
    <xf numFmtId="3" fontId="7" fillId="0" borderId="4" xfId="0" applyNumberFormat="1" applyFont="1" applyBorder="1" applyAlignment="1">
      <alignment horizontal="center" wrapText="1"/>
    </xf>
    <xf numFmtId="0" fontId="8" fillId="0" borderId="1" xfId="0" applyFont="1" applyBorder="1" applyAlignment="1">
      <alignment horizontal="left" vertical="top" wrapText="1"/>
    </xf>
    <xf numFmtId="0" fontId="6" fillId="0" borderId="0" xfId="0" applyFont="1" applyAlignment="1">
      <alignment wrapText="1"/>
    </xf>
    <xf numFmtId="0" fontId="0" fillId="0" borderId="0" xfId="0" applyFont="1" applyAlignment="1">
      <alignment wrapText="1"/>
    </xf>
    <xf numFmtId="0" fontId="41" fillId="0" borderId="0" xfId="0" applyFont="1" applyFill="1" applyAlignment="1">
      <alignment vertical="center" wrapText="1"/>
    </xf>
    <xf numFmtId="3" fontId="3" fillId="0" borderId="1" xfId="0" applyNumberFormat="1" applyFont="1" applyBorder="1" applyAlignment="1">
      <alignment horizontal="center" wrapText="1"/>
    </xf>
    <xf numFmtId="0" fontId="41" fillId="0" borderId="0" xfId="0" applyFont="1" applyAlignment="1">
      <alignment horizontal="left" wrapText="1"/>
    </xf>
    <xf numFmtId="0" fontId="41" fillId="0" borderId="0" xfId="0" applyFont="1" applyAlignment="1">
      <alignment wrapText="1"/>
    </xf>
  </cellXfs>
  <cellStyles count="2">
    <cellStyle name="Normal" xfId="0" builtinId="0"/>
    <cellStyle name="Normal_SSI Burden Estimate BML 06071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1F5C75BC-92BD-47B6-A9DD-E3A01C70370A}"/>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2" Type="http://schemas.openxmlformats.org/officeDocument/2006/relationships/revisionLog" Target="revisionLog12.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1C5542D-2F05-4483-8907-55E8029DE7BA}" diskRevisions="1" revisionId="67" version="2">
  <header guid="{6871AE24-D335-4715-A728-FC08DEBB9B17}" dateTime="2020-03-06T11:48:07" maxSheetId="5" userName="K. Spence" r:id="rId12" minRId="56">
    <sheetIdMap count="4">
      <sheetId val="1"/>
      <sheetId val="2"/>
      <sheetId val="3"/>
      <sheetId val="4"/>
    </sheetIdMap>
  </header>
  <header guid="{C7587A49-BFB1-4FFE-8A3E-B6568FDCDAD7}" dateTime="2020-03-06T11:49:36" maxSheetId="5" userName="K. Spence" r:id="rId13">
    <sheetIdMap count="4">
      <sheetId val="1"/>
      <sheetId val="2"/>
      <sheetId val="3"/>
      <sheetId val="4"/>
    </sheetIdMap>
  </header>
  <header guid="{11C5542D-2F05-4483-8907-55E8029DE7BA}" dateTime="2020-03-06T12:22:46" maxSheetId="5" userName="EPA" r:id="rId14">
    <sheetIdMap count="4">
      <sheetId val="1"/>
      <sheetId val="2"/>
      <sheetId val="3"/>
      <sheetId val="4"/>
    </sheetIdMap>
  </header>
</header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1:I45" start="0" length="2147483647">
    <dxf>
      <font>
        <color theme="1"/>
      </font>
    </dxf>
  </rfmt>
  <rfmt sheetId="2" sqref="A47:I56" start="0" length="2147483647">
    <dxf>
      <font>
        <color theme="1"/>
      </font>
    </dxf>
  </rfmt>
  <rcc rId="56" sId="2">
    <oc r="A1" t="inlineStr">
      <is>
        <t>Table 1: Annual Respondent Burden and Cost – NESHAP for Paper and Other Web Coating (40 CFR Part 63, Subpart JJJJ) (Renewal)</t>
      </is>
    </oc>
    <nc r="A1" t="inlineStr">
      <is>
        <t>Table 1: Annual Respondent Burden and Cost – NESHAP for Paper and Other Web Coating (40 CFR Part 63, Subpart JJJJ) (Final Amendments)</t>
      </is>
    </nc>
  </rcc>
  <rdn rId="0" localSheetId="2" customView="1" name="Z_E01622B5_B445_47DB_880B_D9D03748913C_.wvu.Rows" hidden="1" oldHidden="1">
    <formula>'Table 1'!$16:$17</formula>
  </rdn>
  <rdn rId="0" localSheetId="2" customView="1" name="Z_E01622B5_B445_47DB_880B_D9D03748913C_.wvu.Cols" hidden="1" oldHidden="1">
    <formula>'Table 1'!$J:$K</formula>
  </rdn>
  <rdn rId="0" localSheetId="3" customView="1" name="Z_E01622B5_B445_47DB_880B_D9D03748913C_.wvu.Rows" hidden="1" oldHidden="1">
    <formula>'Table 2'!$7:$7,'Table 2'!$19:$19</formula>
  </rdn>
  <rcv guid="{E01622B5-B445-47DB-880B-D9D03748913C}"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1" start="0" length="2147483647">
    <dxf>
      <font>
        <color theme="1"/>
      </font>
    </dxf>
  </rfmt>
  <rcmt sheetId="3" cell="H2" guid="{00000000-0000-0000-0000-000000000000}" action="delete" author="Caldwell"/>
  <rcmt sheetId="3" cell="I2" guid="{00000000-0000-0000-0000-000000000000}" action="delete" author="Caldwell"/>
  <rcmt sheetId="3" cell="F13" guid="{00000000-0000-0000-0000-000000000000}" action="delete" author="Melissa Icenhour"/>
  <rcmt sheetId="3" cell="I13" guid="{00000000-0000-0000-0000-000000000000}" action="delete" author="Melissa Icenhour"/>
  <rfmt sheetId="3" sqref="A4:I23" start="0" length="2147483647">
    <dxf>
      <font>
        <color theme="1"/>
      </font>
    </dxf>
  </rfmt>
  <rcv guid="{E01622B5-B445-47DB-880B-D9D03748913C}" action="delete"/>
  <rdn rId="0" localSheetId="2" customView="1" name="Z_E01622B5_B445_47DB_880B_D9D03748913C_.wvu.Rows" hidden="1" oldHidden="1">
    <formula>'Table 1'!$16:$17</formula>
    <oldFormula>'Table 1'!$16:$17</oldFormula>
  </rdn>
  <rdn rId="0" localSheetId="2" customView="1" name="Z_E01622B5_B445_47DB_880B_D9D03748913C_.wvu.Cols" hidden="1" oldHidden="1">
    <formula>'Table 1'!$J:$K</formula>
    <oldFormula>'Table 1'!$J:$K</oldFormula>
  </rdn>
  <rdn rId="0" localSheetId="3" customView="1" name="Z_E01622B5_B445_47DB_880B_D9D03748913C_.wvu.Rows" hidden="1" oldHidden="1">
    <formula>'Table 2'!$7:$7,'Table 2'!$19:$19</formula>
    <oldFormula>'Table 2'!$7:$7,'Table 2'!$19:$19</oldFormula>
  </rdn>
  <rdn rId="0" localSheetId="3" customView="1" name="Z_E01622B5_B445_47DB_880B_D9D03748913C_.wvu.Cols" hidden="1" oldHidden="1">
    <formula>'Table 2'!$J:$K</formula>
  </rdn>
  <rcv guid="{E01622B5-B445-47DB-880B-D9D03748913C}"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A1DA0C23_A9B7_4435_B4F0_755BB5F52418_.wvu.Rows" hidden="1" oldHidden="1">
    <formula>'Table 1'!$16:$17</formula>
  </rdn>
  <rdn rId="0" localSheetId="2" customView="1" name="Z_A1DA0C23_A9B7_4435_B4F0_755BB5F52418_.wvu.Cols" hidden="1" oldHidden="1">
    <formula>'Table 1'!$J:$K</formula>
  </rdn>
  <rdn rId="0" localSheetId="3" customView="1" name="Z_A1DA0C23_A9B7_4435_B4F0_755BB5F52418_.wvu.Rows" hidden="1" oldHidden="1">
    <formula>'Table 2'!$7:$7,'Table 2'!$19:$19</formula>
  </rdn>
  <rdn rId="0" localSheetId="3" customView="1" name="Z_A1DA0C23_A9B7_4435_B4F0_755BB5F52418_.wvu.Cols" hidden="1" oldHidden="1">
    <formula>'Table 2'!$J:$K</formula>
  </rdn>
  <rcv guid="{A1DA0C23-A9B7-4435-B4F0-755BB5F5241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topLeftCell="A32" workbookViewId="0">
      <selection activeCell="J26" sqref="J26"/>
    </sheetView>
  </sheetViews>
  <sheetFormatPr defaultRowHeight="15" x14ac:dyDescent="0.25"/>
  <cols>
    <col min="1" max="2" width="13.42578125" customWidth="1"/>
    <col min="3" max="3" width="12.5703125" customWidth="1"/>
    <col min="4" max="4" width="25.7109375" customWidth="1"/>
    <col min="5" max="5" width="20.140625" customWidth="1"/>
    <col min="6" max="6" width="15.42578125" customWidth="1"/>
    <col min="7" max="7" width="12.140625" customWidth="1"/>
    <col min="8" max="8" width="13" customWidth="1"/>
    <col min="9" max="9" width="16.42578125" customWidth="1"/>
    <col min="10" max="10" width="14" customWidth="1"/>
    <col min="12" max="12" width="32" customWidth="1"/>
    <col min="13" max="13" width="19.5703125" customWidth="1"/>
  </cols>
  <sheetData>
    <row r="1" spans="1:14" ht="16.5" thickBot="1" x14ac:dyDescent="0.3">
      <c r="A1" s="117"/>
      <c r="B1" s="117"/>
      <c r="C1" s="117"/>
      <c r="D1" s="117"/>
      <c r="E1" s="117"/>
      <c r="F1" s="117"/>
      <c r="G1" s="19"/>
      <c r="H1" s="19"/>
      <c r="I1" s="117"/>
      <c r="J1" s="117"/>
      <c r="K1" s="117"/>
      <c r="L1" s="117"/>
      <c r="M1" s="117"/>
    </row>
    <row r="2" spans="1:14" ht="16.5" thickBot="1" x14ac:dyDescent="0.3">
      <c r="A2" s="118" t="s">
        <v>26</v>
      </c>
      <c r="B2" s="118"/>
      <c r="C2" s="118"/>
      <c r="D2" s="118"/>
      <c r="E2" s="118"/>
      <c r="F2" s="118"/>
      <c r="I2" s="118" t="s">
        <v>39</v>
      </c>
      <c r="J2" s="118"/>
      <c r="K2" s="118"/>
      <c r="L2" s="118"/>
      <c r="M2" s="118"/>
    </row>
    <row r="3" spans="1:14" ht="24.75" thickBot="1" x14ac:dyDescent="0.3">
      <c r="A3" s="26"/>
      <c r="B3" s="119" t="s">
        <v>27</v>
      </c>
      <c r="C3" s="119"/>
      <c r="D3" s="29" t="s">
        <v>28</v>
      </c>
      <c r="E3" s="119"/>
      <c r="F3" s="119"/>
      <c r="I3" s="28" t="s">
        <v>30</v>
      </c>
      <c r="J3" s="28" t="s">
        <v>31</v>
      </c>
      <c r="K3" s="28" t="s">
        <v>33</v>
      </c>
      <c r="L3" s="28" t="s">
        <v>1</v>
      </c>
      <c r="M3" s="28" t="s">
        <v>36</v>
      </c>
    </row>
    <row r="4" spans="1:14" ht="27" customHeight="1" thickBot="1" x14ac:dyDescent="0.3">
      <c r="A4" s="30"/>
      <c r="B4" s="31" t="s">
        <v>30</v>
      </c>
      <c r="C4" s="31" t="s">
        <v>31</v>
      </c>
      <c r="D4" s="31" t="s">
        <v>33</v>
      </c>
      <c r="E4" s="31" t="s">
        <v>1</v>
      </c>
      <c r="F4" s="31" t="s">
        <v>36</v>
      </c>
      <c r="I4" s="28" t="s">
        <v>40</v>
      </c>
      <c r="J4" s="28" t="s">
        <v>26</v>
      </c>
      <c r="K4" s="28" t="s">
        <v>41</v>
      </c>
      <c r="L4" s="28" t="s">
        <v>42</v>
      </c>
      <c r="M4" s="28" t="s">
        <v>49</v>
      </c>
    </row>
    <row r="5" spans="1:14" ht="41.25" customHeight="1" thickBot="1" x14ac:dyDescent="0.3">
      <c r="A5" s="31" t="s">
        <v>29</v>
      </c>
      <c r="B5" s="30" t="s">
        <v>51</v>
      </c>
      <c r="C5" s="30" t="s">
        <v>32</v>
      </c>
      <c r="D5" s="30" t="s">
        <v>34</v>
      </c>
      <c r="E5" s="30" t="s">
        <v>35</v>
      </c>
      <c r="F5" s="30" t="s">
        <v>50</v>
      </c>
      <c r="I5" s="27" t="s">
        <v>43</v>
      </c>
      <c r="J5" s="27">
        <f>'Table 1'!E13</f>
        <v>1</v>
      </c>
      <c r="K5" s="27">
        <f>'Table 1'!C13</f>
        <v>1</v>
      </c>
      <c r="L5" s="27">
        <v>0</v>
      </c>
      <c r="M5" s="27">
        <f>(J5*K5)+L5</f>
        <v>1</v>
      </c>
    </row>
    <row r="6" spans="1:14" ht="24.75" thickBot="1" x14ac:dyDescent="0.3">
      <c r="A6" s="21">
        <v>1</v>
      </c>
      <c r="B6" s="22">
        <v>1</v>
      </c>
      <c r="C6" s="22">
        <v>168</v>
      </c>
      <c r="D6" s="22">
        <v>0</v>
      </c>
      <c r="E6" s="22">
        <v>0</v>
      </c>
      <c r="F6" s="22">
        <f>B6+C6+D6-E6</f>
        <v>169</v>
      </c>
      <c r="I6" s="22" t="s">
        <v>44</v>
      </c>
      <c r="J6" s="22">
        <f>'Table 1'!E14</f>
        <v>1</v>
      </c>
      <c r="K6" s="22">
        <f>'Table 1'!C14</f>
        <v>1</v>
      </c>
      <c r="L6" s="22">
        <v>0</v>
      </c>
      <c r="M6" s="22">
        <f t="shared" ref="M6:M8" si="0">(J6*K6)+L6</f>
        <v>1</v>
      </c>
    </row>
    <row r="7" spans="1:14" ht="24.75" thickBot="1" x14ac:dyDescent="0.3">
      <c r="A7" s="21">
        <v>2</v>
      </c>
      <c r="B7" s="22">
        <v>1</v>
      </c>
      <c r="C7" s="22">
        <v>169</v>
      </c>
      <c r="D7" s="22">
        <v>0</v>
      </c>
      <c r="E7" s="22">
        <v>0</v>
      </c>
      <c r="F7" s="22">
        <f t="shared" ref="F7:F8" si="1">B7+C7+D7-E7</f>
        <v>170</v>
      </c>
      <c r="I7" s="22" t="s">
        <v>45</v>
      </c>
      <c r="J7" s="22">
        <f>'Table 1'!E15</f>
        <v>1</v>
      </c>
      <c r="K7" s="22">
        <f>'Table 1'!C15</f>
        <v>1</v>
      </c>
      <c r="L7" s="22">
        <v>0</v>
      </c>
      <c r="M7" s="22">
        <f t="shared" si="0"/>
        <v>1</v>
      </c>
    </row>
    <row r="8" spans="1:14" ht="49.5" thickBot="1" x14ac:dyDescent="0.3">
      <c r="A8" s="21">
        <v>3</v>
      </c>
      <c r="B8" s="22">
        <v>1</v>
      </c>
      <c r="C8" s="22">
        <v>170</v>
      </c>
      <c r="D8" s="22">
        <v>0</v>
      </c>
      <c r="E8" s="22">
        <v>0</v>
      </c>
      <c r="F8" s="22">
        <f t="shared" si="1"/>
        <v>171</v>
      </c>
      <c r="I8" s="64" t="s">
        <v>86</v>
      </c>
      <c r="J8" s="65">
        <f>173/3*0</f>
        <v>0</v>
      </c>
      <c r="K8" s="66">
        <f>1*0</f>
        <v>0</v>
      </c>
      <c r="L8" s="66">
        <v>0</v>
      </c>
      <c r="M8" s="67">
        <f t="shared" si="0"/>
        <v>0</v>
      </c>
    </row>
    <row r="9" spans="1:14" ht="24.75" thickBot="1" x14ac:dyDescent="0.3">
      <c r="A9" s="21" t="s">
        <v>37</v>
      </c>
      <c r="B9" s="22">
        <f t="shared" ref="B9:C9" si="2">AVERAGE(B6:B8)</f>
        <v>1</v>
      </c>
      <c r="C9" s="22">
        <f t="shared" si="2"/>
        <v>169</v>
      </c>
      <c r="D9" s="22">
        <v>0</v>
      </c>
      <c r="E9" s="22">
        <v>0</v>
      </c>
      <c r="F9" s="23">
        <f>AVERAGE(F6:F8)</f>
        <v>170</v>
      </c>
      <c r="I9" s="22" t="s">
        <v>46</v>
      </c>
      <c r="J9" s="22">
        <f>'Table 1'!E18</f>
        <v>1</v>
      </c>
      <c r="K9" s="22">
        <f>'Table 1'!C18</f>
        <v>1</v>
      </c>
      <c r="L9" s="22">
        <v>0</v>
      </c>
      <c r="M9" s="22">
        <f>(J9*K9)+L9</f>
        <v>1</v>
      </c>
    </row>
    <row r="10" spans="1:14" ht="36.75" thickBot="1" x14ac:dyDescent="0.3">
      <c r="A10" s="18" t="s">
        <v>38</v>
      </c>
      <c r="I10" s="22" t="s">
        <v>112</v>
      </c>
      <c r="J10" s="91">
        <f>I16</f>
        <v>21</v>
      </c>
      <c r="K10" s="22">
        <v>1</v>
      </c>
      <c r="L10" s="22">
        <v>0</v>
      </c>
      <c r="M10" s="22">
        <f>(J10*K10)+L10</f>
        <v>21</v>
      </c>
    </row>
    <row r="11" spans="1:14" ht="36.75" thickBot="1" x14ac:dyDescent="0.3">
      <c r="A11" s="25"/>
      <c r="B11" s="24"/>
      <c r="C11" s="24"/>
      <c r="D11" s="24"/>
      <c r="E11" s="24"/>
      <c r="F11" s="24"/>
      <c r="I11" s="96" t="s">
        <v>107</v>
      </c>
      <c r="J11" s="92">
        <f>+I17</f>
        <v>3</v>
      </c>
      <c r="K11" s="92">
        <v>1</v>
      </c>
      <c r="L11" s="91">
        <v>0</v>
      </c>
      <c r="M11" s="91">
        <f>(J11*K11)+L11</f>
        <v>3</v>
      </c>
    </row>
    <row r="12" spans="1:14" ht="54" customHeight="1" thickBot="1" x14ac:dyDescent="0.3">
      <c r="A12" s="109" t="s">
        <v>80</v>
      </c>
      <c r="B12" s="110"/>
      <c r="C12" s="110"/>
      <c r="D12" s="19"/>
      <c r="E12" s="111" t="s">
        <v>22</v>
      </c>
      <c r="F12" s="111"/>
      <c r="I12" s="61" t="s">
        <v>82</v>
      </c>
      <c r="J12" s="91">
        <f>I16</f>
        <v>21</v>
      </c>
      <c r="K12" s="94">
        <v>1</v>
      </c>
      <c r="L12" s="61">
        <v>0</v>
      </c>
      <c r="M12" s="22">
        <f>(J12*K12)+L12</f>
        <v>21</v>
      </c>
    </row>
    <row r="13" spans="1:14" ht="39" thickBot="1" x14ac:dyDescent="0.3">
      <c r="A13" s="44" t="s">
        <v>16</v>
      </c>
      <c r="B13" s="44" t="s">
        <v>17</v>
      </c>
      <c r="C13" s="44" t="s">
        <v>18</v>
      </c>
      <c r="D13" s="24"/>
      <c r="E13" s="95">
        <f>'Table 1'!F43</f>
        <v>17300</v>
      </c>
      <c r="F13" s="48" t="s">
        <v>23</v>
      </c>
      <c r="I13" s="22" t="s">
        <v>47</v>
      </c>
      <c r="J13" s="22">
        <f>'Table 1'!E20</f>
        <v>170</v>
      </c>
      <c r="K13" s="22">
        <f>'Table 1'!C20</f>
        <v>2</v>
      </c>
      <c r="L13" s="22">
        <v>0</v>
      </c>
      <c r="M13" s="22">
        <f>(J13*K13)+L13</f>
        <v>340</v>
      </c>
    </row>
    <row r="14" spans="1:14" ht="45.75" customHeight="1" thickBot="1" x14ac:dyDescent="0.3">
      <c r="A14" s="45" t="s">
        <v>19</v>
      </c>
      <c r="B14" s="46">
        <v>70.19</v>
      </c>
      <c r="C14" s="46">
        <f>B14+1.1*B14</f>
        <v>147.399</v>
      </c>
      <c r="E14" s="95">
        <f>M14</f>
        <v>389</v>
      </c>
      <c r="F14" s="48" t="s">
        <v>24</v>
      </c>
      <c r="I14" s="20"/>
      <c r="J14" s="22"/>
      <c r="K14" s="22"/>
      <c r="L14" s="23" t="s">
        <v>48</v>
      </c>
      <c r="M14" s="63">
        <f>SUM(M5:M13)</f>
        <v>389</v>
      </c>
    </row>
    <row r="15" spans="1:14" ht="331.5" customHeight="1" thickBot="1" x14ac:dyDescent="0.3">
      <c r="A15" s="45" t="s">
        <v>20</v>
      </c>
      <c r="B15" s="46">
        <v>56.15</v>
      </c>
      <c r="C15" s="46">
        <f>B15+1.1*B15</f>
        <v>117.91499999999999</v>
      </c>
      <c r="E15" s="47">
        <f>E13/E14</f>
        <v>44.473007712082264</v>
      </c>
      <c r="F15" s="48" t="s">
        <v>25</v>
      </c>
      <c r="I15" s="77" t="str">
        <f>"Note: Based on permits we assume that "&amp;I27&amp;" facilites use add-on controls, with a total of 123 oxidizers and 18 carbon adsorbers.  "&amp;"Some permits already require periodic testing.  "&amp;"It's estimated that an additional 65 oxidizers (62 of which are thermal oxidizers) will have to perform repeat testing under the proposal, and that one-third are done each year (62/3=21). "&amp;"Three additional catalytic oxidizers will have to perform annual catalyst testing, in lieu of emissions testing"</f>
        <v>Note: Based on permits we assume that 88 facilites use add-on controls, with a total of 123 oxidizers and 18 carbon adsorbers.  Some permits already require periodic testing.  It's estimated that an additional 65 oxidizers (62 of which are thermal oxidizers) will have to perform repeat testing under the proposal, and that one-third are done each year (62/3=21). Three additional catalytic oxidizers will have to perform annual catalyst testing, in lieu of emissions testing</v>
      </c>
      <c r="J15" s="78"/>
      <c r="K15" s="78"/>
      <c r="L15" s="78"/>
      <c r="M15" s="78"/>
    </row>
    <row r="16" spans="1:14" ht="27" thickBot="1" x14ac:dyDescent="0.3">
      <c r="A16" s="45" t="s">
        <v>21</v>
      </c>
      <c r="B16" s="46">
        <v>27.15</v>
      </c>
      <c r="C16" s="46">
        <f>B16+1.1*B16</f>
        <v>57.015000000000001</v>
      </c>
      <c r="I16" s="90">
        <f>ROUND(62/3,0)</f>
        <v>21</v>
      </c>
      <c r="J16" s="93" t="s">
        <v>110</v>
      </c>
    </row>
    <row r="17" spans="1:12" ht="27" thickBot="1" x14ac:dyDescent="0.3">
      <c r="I17" s="14">
        <v>3</v>
      </c>
      <c r="J17" s="93" t="s">
        <v>111</v>
      </c>
    </row>
    <row r="18" spans="1:12" ht="16.5" thickBot="1" x14ac:dyDescent="0.3">
      <c r="A18" s="112" t="s">
        <v>65</v>
      </c>
      <c r="B18" s="113"/>
      <c r="C18" s="113"/>
      <c r="D18" s="113"/>
      <c r="E18" s="113"/>
      <c r="F18" s="113"/>
      <c r="G18" s="114"/>
      <c r="H18" s="56"/>
    </row>
    <row r="19" spans="1:12" ht="15.75" thickBot="1" x14ac:dyDescent="0.3">
      <c r="A19" s="55" t="s">
        <v>30</v>
      </c>
      <c r="B19" s="55" t="s">
        <v>31</v>
      </c>
      <c r="C19" s="55" t="s">
        <v>33</v>
      </c>
      <c r="D19" s="55" t="s">
        <v>1</v>
      </c>
      <c r="E19" s="55" t="s">
        <v>36</v>
      </c>
      <c r="F19" s="55" t="s">
        <v>70</v>
      </c>
      <c r="G19" s="55" t="s">
        <v>71</v>
      </c>
    </row>
    <row r="20" spans="1:12" ht="42" thickBot="1" x14ac:dyDescent="0.3">
      <c r="A20" s="55" t="s">
        <v>66</v>
      </c>
      <c r="B20" s="55" t="s">
        <v>67</v>
      </c>
      <c r="C20" s="55" t="s">
        <v>64</v>
      </c>
      <c r="D20" s="55" t="s">
        <v>68</v>
      </c>
      <c r="E20" s="55" t="s">
        <v>69</v>
      </c>
      <c r="F20" s="55" t="s">
        <v>76</v>
      </c>
      <c r="G20" s="55" t="s">
        <v>73</v>
      </c>
    </row>
    <row r="21" spans="1:12" ht="51.75" thickBot="1" x14ac:dyDescent="0.3">
      <c r="A21" s="86" t="s">
        <v>88</v>
      </c>
      <c r="B21" s="87">
        <v>28000</v>
      </c>
      <c r="C21" s="88">
        <v>1</v>
      </c>
      <c r="D21" s="87">
        <v>28000</v>
      </c>
      <c r="E21" s="55"/>
      <c r="F21" s="55"/>
      <c r="G21" s="55"/>
    </row>
    <row r="22" spans="1:12" ht="39" thickBot="1" x14ac:dyDescent="0.3">
      <c r="A22" s="89" t="s">
        <v>89</v>
      </c>
      <c r="B22" s="52">
        <v>10000</v>
      </c>
      <c r="C22" s="88">
        <v>1</v>
      </c>
      <c r="D22" s="87">
        <f>B22*C22</f>
        <v>10000</v>
      </c>
      <c r="E22" s="52">
        <v>25</v>
      </c>
      <c r="F22" s="88">
        <v>84</v>
      </c>
      <c r="G22" s="52">
        <f>F22*E22</f>
        <v>2100</v>
      </c>
    </row>
    <row r="23" spans="1:12" ht="90" thickBot="1" x14ac:dyDescent="0.3">
      <c r="A23" s="89" t="s">
        <v>109</v>
      </c>
      <c r="B23" s="87">
        <v>28000</v>
      </c>
      <c r="C23" s="69">
        <v>62</v>
      </c>
      <c r="D23" s="87">
        <f>C23*B23</f>
        <v>1736000</v>
      </c>
      <c r="E23" s="52"/>
      <c r="F23" s="69"/>
      <c r="G23" s="52"/>
    </row>
    <row r="24" spans="1:12" ht="65.25" customHeight="1" thickBot="1" x14ac:dyDescent="0.3">
      <c r="A24" s="93" t="s">
        <v>108</v>
      </c>
      <c r="B24" s="87"/>
      <c r="C24" s="69"/>
      <c r="D24" s="87"/>
      <c r="E24" s="70">
        <v>1000</v>
      </c>
      <c r="F24" s="69">
        <v>3</v>
      </c>
      <c r="G24" s="70">
        <f>F24*E24</f>
        <v>3000</v>
      </c>
    </row>
    <row r="25" spans="1:12" ht="51.75" thickBot="1" x14ac:dyDescent="0.3">
      <c r="A25" s="51" t="s">
        <v>72</v>
      </c>
      <c r="B25" s="52">
        <v>183500</v>
      </c>
      <c r="C25" s="50">
        <v>1</v>
      </c>
      <c r="D25" s="52">
        <f>B25*C25</f>
        <v>183500</v>
      </c>
      <c r="E25" s="52">
        <v>26700</v>
      </c>
      <c r="F25" s="50">
        <v>4</v>
      </c>
      <c r="G25" s="52">
        <f>F25*E25</f>
        <v>106800</v>
      </c>
      <c r="H25" s="115"/>
      <c r="I25" s="116"/>
      <c r="J25" s="116"/>
      <c r="K25" s="116"/>
      <c r="L25" s="116"/>
    </row>
    <row r="26" spans="1:12" ht="54.75" customHeight="1" thickBot="1" x14ac:dyDescent="0.3">
      <c r="A26" s="53" t="s">
        <v>74</v>
      </c>
      <c r="B26" s="50"/>
      <c r="C26" s="50"/>
      <c r="D26" s="52">
        <f>ROUND(SUM(D21:D25), -4)</f>
        <v>1960000</v>
      </c>
      <c r="E26" s="50"/>
      <c r="F26" s="50"/>
      <c r="G26" s="54">
        <f>ROUND(SUM(G22:G25), -3)</f>
        <v>112000</v>
      </c>
      <c r="I26" s="68"/>
    </row>
    <row r="27" spans="1:12" ht="409.5" x14ac:dyDescent="0.25">
      <c r="A27" s="75" t="s">
        <v>104</v>
      </c>
      <c r="B27" s="76"/>
      <c r="C27" s="76"/>
      <c r="D27" s="97"/>
      <c r="E27" s="76"/>
      <c r="F27" s="76"/>
      <c r="G27" s="97"/>
      <c r="H27" s="57"/>
      <c r="I27" s="58">
        <f>ROUND(0.52*F9,0)</f>
        <v>88</v>
      </c>
      <c r="J27" s="58"/>
      <c r="K27" s="58"/>
      <c r="L27" s="58"/>
    </row>
    <row r="28" spans="1:12" ht="15.75" x14ac:dyDescent="0.25">
      <c r="A28" s="49" t="s">
        <v>75</v>
      </c>
    </row>
    <row r="29" spans="1:12" x14ac:dyDescent="0.25">
      <c r="I29" s="73">
        <f>D26/3+G26</f>
        <v>765333.33333333337</v>
      </c>
      <c r="J29" t="s">
        <v>102</v>
      </c>
    </row>
    <row r="30" spans="1:12" x14ac:dyDescent="0.25">
      <c r="A30" t="s">
        <v>95</v>
      </c>
    </row>
    <row r="31" spans="1:12" x14ac:dyDescent="0.25">
      <c r="A31" t="s">
        <v>29</v>
      </c>
      <c r="B31" t="s">
        <v>92</v>
      </c>
      <c r="C31" t="s">
        <v>93</v>
      </c>
      <c r="D31" t="s">
        <v>48</v>
      </c>
    </row>
    <row r="32" spans="1:12" x14ac:dyDescent="0.25">
      <c r="A32">
        <v>1</v>
      </c>
      <c r="B32">
        <f>I27</f>
        <v>88</v>
      </c>
      <c r="C32">
        <v>1</v>
      </c>
      <c r="D32">
        <f>B32+C32</f>
        <v>89</v>
      </c>
    </row>
    <row r="33" spans="1:4" x14ac:dyDescent="0.25">
      <c r="A33">
        <v>2</v>
      </c>
      <c r="B33">
        <f>B32+C32</f>
        <v>89</v>
      </c>
      <c r="C33">
        <v>1</v>
      </c>
      <c r="D33">
        <f>B33+C33</f>
        <v>90</v>
      </c>
    </row>
    <row r="34" spans="1:4" x14ac:dyDescent="0.25">
      <c r="A34">
        <v>3</v>
      </c>
      <c r="B34">
        <f>B33+C33</f>
        <v>90</v>
      </c>
      <c r="C34">
        <v>1</v>
      </c>
      <c r="D34">
        <f>B34+C34</f>
        <v>91</v>
      </c>
    </row>
    <row r="35" spans="1:4" x14ac:dyDescent="0.25">
      <c r="A35" t="s">
        <v>94</v>
      </c>
      <c r="B35">
        <f>AVERAGE(B32:B34)</f>
        <v>89</v>
      </c>
      <c r="C35">
        <f>AVERAGE(C32:C34)</f>
        <v>1</v>
      </c>
      <c r="D35">
        <f>AVERAGE(D32:D34)</f>
        <v>90</v>
      </c>
    </row>
    <row r="40" spans="1:4" x14ac:dyDescent="0.25">
      <c r="A40" t="s">
        <v>96</v>
      </c>
    </row>
    <row r="41" spans="1:4" x14ac:dyDescent="0.25">
      <c r="A41">
        <f>F9</f>
        <v>170</v>
      </c>
      <c r="B41" s="72">
        <v>0.05</v>
      </c>
      <c r="C41">
        <f>B41*A41</f>
        <v>8.5</v>
      </c>
    </row>
  </sheetData>
  <customSheetViews>
    <customSheetView guid="{A1DA0C23-A9B7-4435-B4F0-755BB5F52418}" fitToPage="1" topLeftCell="A32">
      <selection activeCell="J26" sqref="J26"/>
      <pageMargins left="0.7" right="0.7" top="0.75" bottom="0.75" header="0.3" footer="0.3"/>
      <printOptions gridLines="1"/>
      <pageSetup scale="53" fitToHeight="2" orientation="landscape" r:id="rId1"/>
      <headerFooter>
        <oddHeader>&amp;C&amp;F &amp;A</oddHeader>
        <oddFooter>&amp;R&amp;D   &amp;T</oddFooter>
      </headerFooter>
    </customSheetView>
    <customSheetView guid="{9934F1C0-F324-4428-9B67-7B4D8ADB0634}" showPageBreaks="1" fitToPage="1" topLeftCell="A32">
      <selection activeCell="J26" sqref="J26"/>
      <pageMargins left="0.7" right="0.7" top="0.75" bottom="0.75" header="0.3" footer="0.3"/>
      <printOptions gridLines="1"/>
      <pageSetup scale="53" fitToHeight="2" orientation="landscape" r:id="rId2"/>
      <headerFooter>
        <oddHeader>&amp;C&amp;F &amp;A</oddHeader>
        <oddFooter>&amp;R&amp;D   &amp;T</oddFooter>
      </headerFooter>
    </customSheetView>
    <customSheetView guid="{E01622B5-B445-47DB-880B-D9D03748913C}" fitToPage="1" topLeftCell="A32">
      <selection activeCell="J26" sqref="J26"/>
      <pageMargins left="0.7" right="0.7" top="0.75" bottom="0.75" header="0.3" footer="0.3"/>
      <printOptions gridLines="1"/>
      <pageSetup scale="53" fitToHeight="2" orientation="landscape" r:id="rId3"/>
      <headerFooter>
        <oddHeader>&amp;C&amp;F &amp;A</oddHeader>
        <oddFooter>&amp;R&amp;D   &amp;T</oddFooter>
      </headerFooter>
    </customSheetView>
  </customSheetViews>
  <mergeCells count="10">
    <mergeCell ref="A12:C12"/>
    <mergeCell ref="E12:F12"/>
    <mergeCell ref="A18:G18"/>
    <mergeCell ref="H25:L25"/>
    <mergeCell ref="I1:M1"/>
    <mergeCell ref="I2:M2"/>
    <mergeCell ref="A1:F1"/>
    <mergeCell ref="A2:F2"/>
    <mergeCell ref="B3:C3"/>
    <mergeCell ref="E3:F3"/>
  </mergeCells>
  <printOptions gridLines="1"/>
  <pageMargins left="0.7" right="0.7" top="0.75" bottom="0.75" header="0.3" footer="0.3"/>
  <pageSetup scale="53" fitToHeight="2" orientation="landscape" r:id="rId4"/>
  <headerFooter>
    <oddHeader>&amp;C&amp;F &amp;A</oddHeader>
    <oddFooter>&amp;R&amp;D   &amp;T</oddFooter>
  </headerFooter>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6"/>
  <sheetViews>
    <sheetView workbookViewId="0"/>
  </sheetViews>
  <sheetFormatPr defaultRowHeight="15" x14ac:dyDescent="0.25"/>
  <cols>
    <col min="1" max="1" width="45.140625" customWidth="1"/>
    <col min="2" max="2" width="14.28515625" customWidth="1"/>
    <col min="3" max="3" width="15.28515625" customWidth="1"/>
    <col min="4" max="4" width="16.28515625" customWidth="1"/>
    <col min="5" max="5" width="14.140625" customWidth="1"/>
    <col min="6" max="6" width="14.85546875" customWidth="1"/>
    <col min="7" max="8" width="14" customWidth="1"/>
    <col min="9" max="9" width="13.28515625" customWidth="1"/>
    <col min="10" max="10" width="40.85546875" hidden="1" customWidth="1"/>
    <col min="11" max="11" width="19.28515625" hidden="1" customWidth="1"/>
    <col min="12" max="12" width="10.5703125" customWidth="1"/>
    <col min="14" max="14" width="12.140625" customWidth="1"/>
  </cols>
  <sheetData>
    <row r="1" spans="1:14" ht="15.75" x14ac:dyDescent="0.25">
      <c r="A1" s="1" t="s">
        <v>137</v>
      </c>
      <c r="B1" s="2"/>
      <c r="C1" s="2"/>
      <c r="D1" s="2"/>
      <c r="E1" s="3"/>
      <c r="F1" s="2"/>
      <c r="G1" s="2"/>
      <c r="H1" s="2"/>
      <c r="I1" s="4"/>
      <c r="J1" s="2"/>
      <c r="K1" s="2"/>
      <c r="L1" s="2"/>
      <c r="M1" s="2"/>
      <c r="N1" s="2"/>
    </row>
    <row r="2" spans="1:14" x14ac:dyDescent="0.25">
      <c r="A2" s="2"/>
      <c r="B2" s="2"/>
      <c r="C2" s="2"/>
      <c r="D2" s="2"/>
      <c r="E2" s="3"/>
      <c r="F2" s="99"/>
      <c r="G2" s="99"/>
      <c r="H2" s="99"/>
      <c r="I2" s="41"/>
      <c r="J2" s="98" t="s">
        <v>105</v>
      </c>
      <c r="K2" s="2"/>
      <c r="L2" s="2"/>
      <c r="M2" s="2"/>
      <c r="N2" s="2"/>
    </row>
    <row r="3" spans="1:14" x14ac:dyDescent="0.25">
      <c r="A3" s="2"/>
      <c r="B3" s="2"/>
      <c r="C3" s="2"/>
      <c r="D3" s="2"/>
      <c r="E3" s="2">
        <f>SUM(E6:E20,E23:E41)</f>
        <v>1355.5</v>
      </c>
      <c r="F3" s="100">
        <f>'Labor Rate and Summary Data'!C15</f>
        <v>117.91499999999999</v>
      </c>
      <c r="G3" s="100">
        <f>'Labor Rate and Summary Data'!C14</f>
        <v>147.399</v>
      </c>
      <c r="H3" s="100">
        <f>'Labor Rate and Summary Data'!C16</f>
        <v>57.015000000000001</v>
      </c>
      <c r="I3" s="4"/>
      <c r="J3" s="12" t="s">
        <v>106</v>
      </c>
      <c r="K3" s="2"/>
      <c r="L3" s="2"/>
      <c r="M3" s="2"/>
      <c r="N3" s="2"/>
    </row>
    <row r="4" spans="1:14" ht="64.5" x14ac:dyDescent="0.25">
      <c r="A4" s="16"/>
      <c r="B4" s="16" t="s">
        <v>58</v>
      </c>
      <c r="C4" s="16" t="s">
        <v>59</v>
      </c>
      <c r="D4" s="16" t="s">
        <v>63</v>
      </c>
      <c r="E4" s="5" t="s">
        <v>79</v>
      </c>
      <c r="F4" s="16" t="s">
        <v>55</v>
      </c>
      <c r="G4" s="16" t="s">
        <v>60</v>
      </c>
      <c r="H4" s="16" t="s">
        <v>61</v>
      </c>
      <c r="I4" s="16" t="s">
        <v>62</v>
      </c>
      <c r="J4" s="12"/>
      <c r="K4" s="2"/>
      <c r="L4" s="2"/>
      <c r="M4" s="2"/>
      <c r="N4" s="2"/>
    </row>
    <row r="5" spans="1:14" x14ac:dyDescent="0.25">
      <c r="A5" s="6" t="s">
        <v>2</v>
      </c>
      <c r="B5" s="7"/>
      <c r="C5" s="7"/>
      <c r="D5" s="7"/>
      <c r="E5" s="8"/>
      <c r="F5" s="7"/>
      <c r="G5" s="7"/>
      <c r="H5" s="7"/>
      <c r="I5" s="9"/>
      <c r="J5" s="12"/>
      <c r="K5" s="36"/>
      <c r="L5" s="37"/>
      <c r="M5" s="13"/>
      <c r="N5" s="2"/>
    </row>
    <row r="6" spans="1:14" ht="20.25" customHeight="1" x14ac:dyDescent="0.25">
      <c r="A6" s="6" t="s">
        <v>3</v>
      </c>
      <c r="B6" s="7">
        <v>8</v>
      </c>
      <c r="C6" s="7">
        <v>1</v>
      </c>
      <c r="D6" s="7">
        <f>B6*C6</f>
        <v>8</v>
      </c>
      <c r="E6" s="8">
        <f>'Labor Rate and Summary Data'!$F$9</f>
        <v>170</v>
      </c>
      <c r="F6" s="74">
        <f>D6*E6</f>
        <v>1360</v>
      </c>
      <c r="G6" s="7">
        <f>F6*0.05</f>
        <v>68</v>
      </c>
      <c r="H6" s="7">
        <f>F6*0.1</f>
        <v>136</v>
      </c>
      <c r="I6" s="62">
        <f>F6*$F$3+G6*$G$3+H6*$H$3</f>
        <v>178141.57200000001</v>
      </c>
      <c r="J6" s="57"/>
      <c r="K6" s="36"/>
      <c r="L6" s="37"/>
      <c r="M6" s="13"/>
      <c r="N6" s="2"/>
    </row>
    <row r="7" spans="1:14" ht="18" customHeight="1" x14ac:dyDescent="0.25">
      <c r="A7" s="6" t="s">
        <v>4</v>
      </c>
      <c r="B7" s="7">
        <v>4</v>
      </c>
      <c r="C7" s="7">
        <v>4</v>
      </c>
      <c r="D7" s="7">
        <f>B7*C7</f>
        <v>16</v>
      </c>
      <c r="E7" s="8">
        <f>'Labor Rate and Summary Data'!$B$9</f>
        <v>1</v>
      </c>
      <c r="F7" s="7">
        <f>D7*E7</f>
        <v>16</v>
      </c>
      <c r="G7" s="7">
        <f>F7*0.05</f>
        <v>0.8</v>
      </c>
      <c r="H7" s="7">
        <f>F7*0.1</f>
        <v>1.6</v>
      </c>
      <c r="I7" s="62">
        <f>F7*$F$3+G7*$G$3+H7*$H$3</f>
        <v>2095.7831999999999</v>
      </c>
      <c r="J7" s="12"/>
      <c r="K7" s="38"/>
      <c r="L7" s="37"/>
      <c r="M7" s="13"/>
      <c r="N7" s="2"/>
    </row>
    <row r="8" spans="1:14" ht="18.75" customHeight="1" x14ac:dyDescent="0.25">
      <c r="A8" s="6" t="s">
        <v>81</v>
      </c>
      <c r="B8" s="7"/>
      <c r="C8" s="7"/>
      <c r="D8" s="7"/>
      <c r="E8" s="8"/>
      <c r="F8" s="7"/>
      <c r="G8" s="7"/>
      <c r="H8" s="7"/>
      <c r="I8" s="62"/>
      <c r="J8" s="12"/>
      <c r="K8" s="38"/>
      <c r="L8" s="37"/>
      <c r="M8" s="13"/>
      <c r="N8" s="2"/>
    </row>
    <row r="9" spans="1:14" ht="27" customHeight="1" x14ac:dyDescent="0.25">
      <c r="A9" s="39" t="s">
        <v>114</v>
      </c>
      <c r="B9" s="7">
        <v>24</v>
      </c>
      <c r="C9" s="7">
        <v>1</v>
      </c>
      <c r="D9" s="7">
        <f t="shared" ref="D9:D11" si="0">B9*C9</f>
        <v>24</v>
      </c>
      <c r="E9" s="101">
        <f>+'Labor Rate and Summary Data'!$M$10</f>
        <v>21</v>
      </c>
      <c r="F9" s="102">
        <f t="shared" ref="F9:F10" si="1">D9*E9</f>
        <v>504</v>
      </c>
      <c r="G9" s="102">
        <f t="shared" ref="G9:G10" si="2">F9*0.05</f>
        <v>25.200000000000003</v>
      </c>
      <c r="H9" s="102">
        <f t="shared" ref="H9:H10" si="3">F9*0.1</f>
        <v>50.400000000000006</v>
      </c>
      <c r="I9" s="62">
        <f t="shared" ref="I9:I10" si="4">F9*$F$3+G9*$G$3+H9*$H$3</f>
        <v>66017.170799999993</v>
      </c>
      <c r="J9" s="12"/>
      <c r="K9" s="38"/>
      <c r="L9" s="37"/>
      <c r="M9" s="13"/>
      <c r="N9" s="2"/>
    </row>
    <row r="10" spans="1:14" ht="27" customHeight="1" x14ac:dyDescent="0.25">
      <c r="A10" s="39" t="s">
        <v>115</v>
      </c>
      <c r="B10" s="7">
        <v>10</v>
      </c>
      <c r="C10" s="7">
        <v>1</v>
      </c>
      <c r="D10" s="7">
        <f t="shared" si="0"/>
        <v>10</v>
      </c>
      <c r="E10" s="101">
        <f>+'Labor Rate and Summary Data'!$M$10</f>
        <v>21</v>
      </c>
      <c r="F10" s="102">
        <f t="shared" si="1"/>
        <v>210</v>
      </c>
      <c r="G10" s="102">
        <f t="shared" si="2"/>
        <v>10.5</v>
      </c>
      <c r="H10" s="102">
        <f t="shared" si="3"/>
        <v>21</v>
      </c>
      <c r="I10" s="62">
        <f t="shared" si="4"/>
        <v>27507.154499999997</v>
      </c>
      <c r="J10" s="12"/>
      <c r="K10" s="38"/>
      <c r="L10" s="37"/>
      <c r="M10" s="13"/>
      <c r="N10" s="2"/>
    </row>
    <row r="11" spans="1:14" ht="15.75" customHeight="1" x14ac:dyDescent="0.25">
      <c r="A11" s="39" t="s">
        <v>113</v>
      </c>
      <c r="B11" s="7">
        <v>2</v>
      </c>
      <c r="C11" s="7">
        <v>1</v>
      </c>
      <c r="D11" s="7">
        <f t="shared" si="0"/>
        <v>2</v>
      </c>
      <c r="E11" s="101">
        <f>+'Labor Rate and Summary Data'!$M$11</f>
        <v>3</v>
      </c>
      <c r="F11" s="102">
        <f t="shared" ref="F11" si="5">D11*E11</f>
        <v>6</v>
      </c>
      <c r="G11" s="103">
        <f t="shared" ref="G11" si="6">F11*0.05</f>
        <v>0.30000000000000004</v>
      </c>
      <c r="H11" s="103">
        <f t="shared" ref="H11" si="7">F11*0.1</f>
        <v>0.60000000000000009</v>
      </c>
      <c r="I11" s="62">
        <f t="shared" ref="I11" si="8">F11*$F$3+G11*$G$3+H11*$H$3</f>
        <v>785.91869999999994</v>
      </c>
      <c r="J11" s="12"/>
      <c r="K11" s="38"/>
      <c r="L11" s="37"/>
      <c r="M11" s="13"/>
      <c r="N11" s="2"/>
    </row>
    <row r="12" spans="1:14" x14ac:dyDescent="0.25">
      <c r="A12" s="6" t="s">
        <v>101</v>
      </c>
      <c r="B12" s="7"/>
      <c r="C12" s="7"/>
      <c r="D12" s="7"/>
      <c r="E12" s="8"/>
      <c r="F12" s="7"/>
      <c r="G12" s="7"/>
      <c r="H12" s="7"/>
      <c r="I12" s="62"/>
      <c r="J12" s="12"/>
      <c r="K12" s="2"/>
      <c r="L12" s="2"/>
      <c r="M12" s="2"/>
      <c r="N12" s="2"/>
    </row>
    <row r="13" spans="1:14" ht="15.75" x14ac:dyDescent="0.25">
      <c r="A13" s="39" t="s">
        <v>97</v>
      </c>
      <c r="B13" s="7">
        <v>2</v>
      </c>
      <c r="C13" s="7">
        <v>1</v>
      </c>
      <c r="D13" s="7">
        <f t="shared" ref="D13:D20" si="9">B13*C13</f>
        <v>2</v>
      </c>
      <c r="E13" s="8">
        <f>'Labor Rate and Summary Data'!$B$9</f>
        <v>1</v>
      </c>
      <c r="F13" s="7">
        <f t="shared" ref="F13:F20" si="10">D13*E13</f>
        <v>2</v>
      </c>
      <c r="G13" s="7">
        <f t="shared" ref="G13:G20" si="11">F13*0.05</f>
        <v>0.1</v>
      </c>
      <c r="H13" s="7">
        <f t="shared" ref="H13:H20" si="12">F13*0.1</f>
        <v>0.2</v>
      </c>
      <c r="I13" s="62">
        <f t="shared" ref="I13:I20" si="13">F13*$F$3+G13*$G$3+H13*$H$3</f>
        <v>261.97289999999998</v>
      </c>
      <c r="J13" s="12"/>
      <c r="K13" s="125"/>
      <c r="L13" s="126"/>
      <c r="M13" s="126"/>
      <c r="N13" s="2"/>
    </row>
    <row r="14" spans="1:14" ht="15.75" x14ac:dyDescent="0.25">
      <c r="A14" s="39" t="s">
        <v>98</v>
      </c>
      <c r="B14" s="7">
        <v>2</v>
      </c>
      <c r="C14" s="7">
        <v>1</v>
      </c>
      <c r="D14" s="7">
        <f t="shared" si="9"/>
        <v>2</v>
      </c>
      <c r="E14" s="8">
        <f>'Labor Rate and Summary Data'!$B$9</f>
        <v>1</v>
      </c>
      <c r="F14" s="7">
        <f t="shared" si="10"/>
        <v>2</v>
      </c>
      <c r="G14" s="7">
        <f t="shared" si="11"/>
        <v>0.1</v>
      </c>
      <c r="H14" s="7">
        <f t="shared" si="12"/>
        <v>0.2</v>
      </c>
      <c r="I14" s="62">
        <f t="shared" si="13"/>
        <v>261.97289999999998</v>
      </c>
      <c r="J14" s="12"/>
      <c r="K14" s="32"/>
      <c r="L14" s="32"/>
      <c r="M14" s="32"/>
      <c r="N14" s="2"/>
    </row>
    <row r="15" spans="1:14" ht="15.75" x14ac:dyDescent="0.25">
      <c r="A15" s="39" t="s">
        <v>99</v>
      </c>
      <c r="B15" s="7">
        <v>2</v>
      </c>
      <c r="C15" s="7">
        <v>1</v>
      </c>
      <c r="D15" s="7">
        <f t="shared" si="9"/>
        <v>2</v>
      </c>
      <c r="E15" s="8">
        <f>'Labor Rate and Summary Data'!$B9</f>
        <v>1</v>
      </c>
      <c r="F15" s="7">
        <f t="shared" si="10"/>
        <v>2</v>
      </c>
      <c r="G15" s="7">
        <f t="shared" si="11"/>
        <v>0.1</v>
      </c>
      <c r="H15" s="7">
        <f t="shared" si="12"/>
        <v>0.2</v>
      </c>
      <c r="I15" s="62">
        <f t="shared" si="13"/>
        <v>261.97289999999998</v>
      </c>
      <c r="J15" s="12"/>
      <c r="K15" s="33"/>
      <c r="L15" s="34"/>
      <c r="M15" s="34"/>
      <c r="N15" s="2"/>
    </row>
    <row r="16" spans="1:14" ht="25.5" hidden="1" x14ac:dyDescent="0.25">
      <c r="A16" s="39" t="s">
        <v>84</v>
      </c>
      <c r="B16" s="7">
        <f>5*0</f>
        <v>0</v>
      </c>
      <c r="C16" s="7">
        <f>1*0</f>
        <v>0</v>
      </c>
      <c r="D16" s="7">
        <f t="shared" si="9"/>
        <v>0</v>
      </c>
      <c r="E16" s="8">
        <f>'Labor Rate and Summary Data'!F$9*0</f>
        <v>0</v>
      </c>
      <c r="F16" s="7">
        <f t="shared" ref="F16" si="14">D16*E16</f>
        <v>0</v>
      </c>
      <c r="G16" s="7">
        <f t="shared" ref="G16" si="15">F16*0.05</f>
        <v>0</v>
      </c>
      <c r="H16" s="7">
        <f t="shared" ref="H16" si="16">F16*0.1</f>
        <v>0</v>
      </c>
      <c r="I16" s="62">
        <f t="shared" ref="I16" si="17">F16*$F$3+G16*$G$3+H16*$H$3</f>
        <v>0</v>
      </c>
      <c r="J16" s="12"/>
      <c r="K16" s="33"/>
      <c r="L16" s="34"/>
      <c r="M16" s="34"/>
      <c r="N16" s="2"/>
    </row>
    <row r="17" spans="1:15" ht="25.5" hidden="1" x14ac:dyDescent="0.25">
      <c r="A17" s="39" t="s">
        <v>85</v>
      </c>
      <c r="B17" s="7">
        <f>2*0</f>
        <v>0</v>
      </c>
      <c r="C17" s="7">
        <f>1*0</f>
        <v>0</v>
      </c>
      <c r="D17" s="7">
        <f t="shared" si="9"/>
        <v>0</v>
      </c>
      <c r="E17" s="8">
        <f>'Labor Rate and Summary Data'!F$9*0</f>
        <v>0</v>
      </c>
      <c r="F17" s="7">
        <f t="shared" ref="F17" si="18">D17*E17</f>
        <v>0</v>
      </c>
      <c r="G17" s="7">
        <f t="shared" ref="G17" si="19">F17*0.05</f>
        <v>0</v>
      </c>
      <c r="H17" s="7">
        <f t="shared" ref="H17" si="20">F17*0.1</f>
        <v>0</v>
      </c>
      <c r="I17" s="62">
        <f t="shared" ref="I17" si="21">F17*$F$3+G17*$G$3+H17*$H$3</f>
        <v>0</v>
      </c>
      <c r="J17" s="12"/>
      <c r="K17" s="33"/>
      <c r="L17" s="34"/>
      <c r="M17" s="34"/>
      <c r="N17" s="2"/>
    </row>
    <row r="18" spans="1:15" ht="15.75" x14ac:dyDescent="0.25">
      <c r="A18" s="39" t="s">
        <v>100</v>
      </c>
      <c r="B18" s="7">
        <v>2</v>
      </c>
      <c r="C18" s="7">
        <v>1</v>
      </c>
      <c r="D18" s="7">
        <f t="shared" si="9"/>
        <v>2</v>
      </c>
      <c r="E18" s="8">
        <f>'Labor Rate and Summary Data'!$B9</f>
        <v>1</v>
      </c>
      <c r="F18" s="7">
        <f t="shared" si="10"/>
        <v>2</v>
      </c>
      <c r="G18" s="7">
        <f t="shared" si="11"/>
        <v>0.1</v>
      </c>
      <c r="H18" s="7">
        <f t="shared" si="12"/>
        <v>0.2</v>
      </c>
      <c r="I18" s="62">
        <f t="shared" si="13"/>
        <v>261.97289999999998</v>
      </c>
      <c r="J18" s="12"/>
      <c r="K18" s="33"/>
      <c r="L18" s="34"/>
      <c r="M18" s="34"/>
      <c r="N18" s="2"/>
    </row>
    <row r="19" spans="1:15" ht="28.5" x14ac:dyDescent="0.25">
      <c r="A19" s="39" t="s">
        <v>116</v>
      </c>
      <c r="B19" s="7">
        <v>2</v>
      </c>
      <c r="C19" s="7">
        <v>1</v>
      </c>
      <c r="D19" s="7">
        <f t="shared" si="9"/>
        <v>2</v>
      </c>
      <c r="E19" s="8">
        <f>+'Labor Rate and Summary Data'!$M$12</f>
        <v>21</v>
      </c>
      <c r="F19" s="7">
        <f t="shared" ref="F19" si="22">D19*E19</f>
        <v>42</v>
      </c>
      <c r="G19" s="7">
        <f t="shared" ref="G19" si="23">F19*0.05</f>
        <v>2.1</v>
      </c>
      <c r="H19" s="7">
        <f t="shared" ref="H19" si="24">F19*0.1</f>
        <v>4.2</v>
      </c>
      <c r="I19" s="62">
        <f t="shared" ref="I19" si="25">F19*$F$3+G19*$G$3+H19*$H$3</f>
        <v>5501.4308999999994</v>
      </c>
      <c r="J19" s="12"/>
      <c r="K19" s="33"/>
      <c r="L19" s="34"/>
      <c r="M19" s="34"/>
      <c r="N19" s="2"/>
    </row>
    <row r="20" spans="1:15" x14ac:dyDescent="0.25">
      <c r="A20" s="39" t="s">
        <v>87</v>
      </c>
      <c r="B20" s="7">
        <v>4</v>
      </c>
      <c r="C20" s="7">
        <v>2</v>
      </c>
      <c r="D20" s="7">
        <f t="shared" si="9"/>
        <v>8</v>
      </c>
      <c r="E20" s="8">
        <f>'Labor Rate and Summary Data'!$F$9</f>
        <v>170</v>
      </c>
      <c r="F20" s="74">
        <f t="shared" si="10"/>
        <v>1360</v>
      </c>
      <c r="G20" s="7">
        <f t="shared" si="11"/>
        <v>68</v>
      </c>
      <c r="H20" s="7">
        <f t="shared" si="12"/>
        <v>136</v>
      </c>
      <c r="I20" s="62">
        <f t="shared" si="13"/>
        <v>178141.57200000001</v>
      </c>
      <c r="J20" s="12"/>
      <c r="K20" s="35"/>
      <c r="L20" s="35"/>
      <c r="M20" s="35"/>
      <c r="N20" s="2"/>
    </row>
    <row r="21" spans="1:15" x14ac:dyDescent="0.25">
      <c r="A21" s="129" t="s">
        <v>77</v>
      </c>
      <c r="B21" s="130"/>
      <c r="C21" s="130"/>
      <c r="D21" s="130"/>
      <c r="E21" s="131"/>
      <c r="F21" s="132">
        <f>SUM(F6:H20)</f>
        <v>4031.8999999999983</v>
      </c>
      <c r="G21" s="133"/>
      <c r="H21" s="134"/>
      <c r="I21" s="10">
        <f>SUM(I6:I20)</f>
        <v>459238.49369999999</v>
      </c>
      <c r="J21" s="12"/>
      <c r="K21" s="2"/>
      <c r="L21" s="2"/>
      <c r="M21" s="2"/>
      <c r="N21" s="2"/>
    </row>
    <row r="22" spans="1:15" x14ac:dyDescent="0.25">
      <c r="A22" s="6" t="s">
        <v>5</v>
      </c>
      <c r="B22" s="7"/>
      <c r="C22" s="7"/>
      <c r="D22" s="7"/>
      <c r="E22" s="8"/>
      <c r="F22" s="7"/>
      <c r="G22" s="7"/>
      <c r="H22" s="7"/>
      <c r="I22" s="9"/>
      <c r="J22" s="12"/>
      <c r="K22" s="2"/>
      <c r="L22" s="2"/>
    </row>
    <row r="23" spans="1:15" ht="15.75" x14ac:dyDescent="0.25">
      <c r="A23" s="6" t="s">
        <v>6</v>
      </c>
      <c r="B23" s="7">
        <v>4</v>
      </c>
      <c r="C23" s="7">
        <v>1</v>
      </c>
      <c r="D23" s="7">
        <f t="shared" ref="D23:D25" si="26">B23*C23</f>
        <v>4</v>
      </c>
      <c r="E23" s="8">
        <f>'Labor Rate and Summary Data'!B$9</f>
        <v>1</v>
      </c>
      <c r="F23" s="7">
        <f t="shared" ref="F23:F25" si="27">D23*E23</f>
        <v>4</v>
      </c>
      <c r="G23" s="7">
        <f t="shared" ref="G23:G25" si="28">F23*0.05</f>
        <v>0.2</v>
      </c>
      <c r="H23" s="7">
        <f t="shared" ref="H23:H25" si="29">F23*0.1</f>
        <v>0.4</v>
      </c>
      <c r="I23" s="62">
        <f t="shared" ref="I23:I25" si="30">F23*$F$3+G23*$G$3+H23*$H$3</f>
        <v>523.94579999999996</v>
      </c>
      <c r="J23" s="12"/>
      <c r="K23" s="2"/>
      <c r="L23" s="2"/>
    </row>
    <row r="24" spans="1:15" ht="15.75" x14ac:dyDescent="0.25">
      <c r="A24" s="6" t="s">
        <v>117</v>
      </c>
      <c r="B24" s="7">
        <v>15</v>
      </c>
      <c r="C24" s="7">
        <v>1</v>
      </c>
      <c r="D24" s="7">
        <f t="shared" si="26"/>
        <v>15</v>
      </c>
      <c r="E24" s="8">
        <f>'Labor Rate and Summary Data'!B$9</f>
        <v>1</v>
      </c>
      <c r="F24" s="7">
        <f t="shared" si="27"/>
        <v>15</v>
      </c>
      <c r="G24" s="7">
        <f t="shared" si="28"/>
        <v>0.75</v>
      </c>
      <c r="H24" s="7">
        <f t="shared" si="29"/>
        <v>1.5</v>
      </c>
      <c r="I24" s="62">
        <f t="shared" si="30"/>
        <v>1964.79675</v>
      </c>
      <c r="J24" s="12"/>
      <c r="K24" s="2"/>
      <c r="L24" s="2"/>
    </row>
    <row r="25" spans="1:15" ht="31.5" x14ac:dyDescent="0.25">
      <c r="A25" s="6" t="s">
        <v>118</v>
      </c>
      <c r="B25" s="7">
        <v>5</v>
      </c>
      <c r="C25" s="7">
        <v>12</v>
      </c>
      <c r="D25" s="7">
        <f t="shared" si="26"/>
        <v>60</v>
      </c>
      <c r="E25" s="8">
        <v>80</v>
      </c>
      <c r="F25" s="74">
        <f t="shared" si="27"/>
        <v>4800</v>
      </c>
      <c r="G25" s="8">
        <f t="shared" si="28"/>
        <v>240</v>
      </c>
      <c r="H25" s="8">
        <f t="shared" si="29"/>
        <v>480</v>
      </c>
      <c r="I25" s="104">
        <f t="shared" si="30"/>
        <v>628734.96</v>
      </c>
      <c r="J25" s="13"/>
      <c r="K25" s="3"/>
      <c r="L25" s="2"/>
    </row>
    <row r="26" spans="1:15" ht="28.5" x14ac:dyDescent="0.25">
      <c r="A26" s="6" t="s">
        <v>119</v>
      </c>
      <c r="B26" s="7"/>
      <c r="C26" s="7"/>
      <c r="D26" s="7"/>
      <c r="E26" s="8"/>
      <c r="F26" s="7"/>
      <c r="G26" s="7"/>
      <c r="H26" s="7"/>
      <c r="I26" s="62"/>
      <c r="J26" s="12"/>
      <c r="K26" s="2"/>
      <c r="L26" s="2"/>
      <c r="M26" s="2"/>
      <c r="N26" s="2"/>
    </row>
    <row r="27" spans="1:15" x14ac:dyDescent="0.25">
      <c r="A27" s="6" t="s">
        <v>7</v>
      </c>
      <c r="B27" s="7">
        <v>12</v>
      </c>
      <c r="C27" s="7">
        <v>1</v>
      </c>
      <c r="D27" s="7">
        <f t="shared" ref="D27:D28" si="31">B27*C27</f>
        <v>12</v>
      </c>
      <c r="E27" s="8">
        <f>'Labor Rate and Summary Data'!B$9</f>
        <v>1</v>
      </c>
      <c r="F27" s="7">
        <f t="shared" ref="F27:F28" si="32">D27*E27</f>
        <v>12</v>
      </c>
      <c r="G27" s="7">
        <f t="shared" ref="G27:G28" si="33">F27*0.05</f>
        <v>0.60000000000000009</v>
      </c>
      <c r="H27" s="7">
        <f t="shared" ref="H27:H28" si="34">F27*0.1</f>
        <v>1.2000000000000002</v>
      </c>
      <c r="I27" s="62">
        <f t="shared" ref="I27:I28" si="35">F27*$F$3+G27*$G$3+H27*$H$3</f>
        <v>1571.8373999999999</v>
      </c>
      <c r="J27" s="12"/>
      <c r="K27" s="2"/>
      <c r="L27" s="2"/>
      <c r="M27" s="2"/>
      <c r="N27" s="2"/>
      <c r="O27" s="17"/>
    </row>
    <row r="28" spans="1:15" x14ac:dyDescent="0.25">
      <c r="A28" s="6" t="s">
        <v>8</v>
      </c>
      <c r="B28" s="7">
        <v>20</v>
      </c>
      <c r="C28" s="7">
        <v>1</v>
      </c>
      <c r="D28" s="7">
        <f t="shared" si="31"/>
        <v>20</v>
      </c>
      <c r="E28" s="8">
        <f>'Labor Rate and Summary Data'!B$9</f>
        <v>1</v>
      </c>
      <c r="F28" s="7">
        <f t="shared" si="32"/>
        <v>20</v>
      </c>
      <c r="G28" s="7">
        <f t="shared" si="33"/>
        <v>1</v>
      </c>
      <c r="H28" s="7">
        <f t="shared" si="34"/>
        <v>2</v>
      </c>
      <c r="I28" s="62">
        <f t="shared" si="35"/>
        <v>2619.7289999999998</v>
      </c>
      <c r="J28" s="12"/>
      <c r="K28" s="2"/>
      <c r="L28" s="2"/>
      <c r="M28" s="2"/>
      <c r="N28" s="2"/>
    </row>
    <row r="29" spans="1:15" x14ac:dyDescent="0.25">
      <c r="A29" s="6" t="s">
        <v>9</v>
      </c>
      <c r="B29" s="7"/>
      <c r="C29" s="7"/>
      <c r="D29" s="7"/>
      <c r="E29" s="8"/>
      <c r="F29" s="7"/>
      <c r="G29" s="7"/>
      <c r="H29" s="7"/>
      <c r="I29" s="62"/>
      <c r="J29" s="12"/>
      <c r="K29" s="2"/>
      <c r="L29" s="2"/>
      <c r="M29" s="2"/>
      <c r="N29" s="2"/>
    </row>
    <row r="30" spans="1:15" ht="15.75" x14ac:dyDescent="0.25">
      <c r="A30" s="6" t="s">
        <v>120</v>
      </c>
      <c r="B30" s="7">
        <v>10</v>
      </c>
      <c r="C30" s="7">
        <v>1</v>
      </c>
      <c r="D30" s="7">
        <f t="shared" ref="D30:D31" si="36">B30*C30</f>
        <v>10</v>
      </c>
      <c r="E30" s="8">
        <f>E25</f>
        <v>80</v>
      </c>
      <c r="F30" s="7">
        <f t="shared" ref="F30:F31" si="37">D30*E30</f>
        <v>800</v>
      </c>
      <c r="G30" s="7">
        <f t="shared" ref="G30:G31" si="38">F30*0.05</f>
        <v>40</v>
      </c>
      <c r="H30" s="7">
        <f t="shared" ref="H30:H31" si="39">F30*0.1</f>
        <v>80</v>
      </c>
      <c r="I30" s="62">
        <f t="shared" ref="I30:I31" si="40">F30*$F$3+G30*$G$3+H30*$H$3</f>
        <v>104789.16</v>
      </c>
      <c r="J30" s="13"/>
      <c r="K30" s="2"/>
      <c r="L30" s="2"/>
      <c r="M30" s="2"/>
      <c r="N30" s="2"/>
    </row>
    <row r="31" spans="1:15" ht="15.75" x14ac:dyDescent="0.25">
      <c r="A31" s="6" t="s">
        <v>121</v>
      </c>
      <c r="B31" s="7">
        <v>10</v>
      </c>
      <c r="C31" s="7">
        <v>1</v>
      </c>
      <c r="D31" s="7">
        <f t="shared" si="36"/>
        <v>10</v>
      </c>
      <c r="E31" s="8">
        <f>'Labor Rate and Summary Data'!B$9</f>
        <v>1</v>
      </c>
      <c r="F31" s="7">
        <f t="shared" si="37"/>
        <v>10</v>
      </c>
      <c r="G31" s="7">
        <f t="shared" si="38"/>
        <v>0.5</v>
      </c>
      <c r="H31" s="7">
        <f t="shared" si="39"/>
        <v>1</v>
      </c>
      <c r="I31" s="62">
        <f t="shared" si="40"/>
        <v>1309.8644999999999</v>
      </c>
      <c r="J31" s="12"/>
      <c r="K31" s="2"/>
      <c r="L31" s="2"/>
      <c r="M31" s="2"/>
      <c r="N31" s="2"/>
    </row>
    <row r="32" spans="1:15" x14ac:dyDescent="0.25">
      <c r="A32" s="6" t="s">
        <v>10</v>
      </c>
      <c r="B32" s="7"/>
      <c r="C32" s="7"/>
      <c r="D32" s="7"/>
      <c r="E32" s="8"/>
      <c r="F32" s="7"/>
      <c r="G32" s="7"/>
      <c r="H32" s="7"/>
      <c r="I32" s="62"/>
      <c r="J32" s="12"/>
      <c r="K32" s="2"/>
      <c r="L32" s="2"/>
      <c r="M32" s="2"/>
      <c r="N32" s="2"/>
    </row>
    <row r="33" spans="1:14" ht="15.75" x14ac:dyDescent="0.25">
      <c r="A33" s="6" t="s">
        <v>122</v>
      </c>
      <c r="B33" s="7">
        <v>2</v>
      </c>
      <c r="C33" s="7">
        <v>12</v>
      </c>
      <c r="D33" s="7">
        <f t="shared" ref="D33:D35" si="41">B33*C33</f>
        <v>24</v>
      </c>
      <c r="E33" s="8">
        <f>E25</f>
        <v>80</v>
      </c>
      <c r="F33" s="74">
        <f t="shared" ref="F33:F34" si="42">D33*E33</f>
        <v>1920</v>
      </c>
      <c r="G33" s="7">
        <f t="shared" ref="G33:G34" si="43">F33*0.05</f>
        <v>96</v>
      </c>
      <c r="H33" s="7">
        <f t="shared" ref="H33:H34" si="44">F33*0.1</f>
        <v>192</v>
      </c>
      <c r="I33" s="62">
        <f t="shared" ref="I33:I34" si="45">F33*$F$3+G33*$G$3+H33*$H$3</f>
        <v>251493.984</v>
      </c>
      <c r="J33" s="13"/>
      <c r="K33" s="2"/>
      <c r="L33" s="2"/>
      <c r="M33" s="2"/>
      <c r="N33" s="2"/>
    </row>
    <row r="34" spans="1:14" ht="15.75" x14ac:dyDescent="0.25">
      <c r="A34" s="6" t="s">
        <v>123</v>
      </c>
      <c r="B34" s="7">
        <v>1</v>
      </c>
      <c r="C34" s="7">
        <v>1</v>
      </c>
      <c r="D34" s="7">
        <f t="shared" si="41"/>
        <v>1</v>
      </c>
      <c r="E34" s="8">
        <f>'Labor Rate and Summary Data'!$D$35</f>
        <v>90</v>
      </c>
      <c r="F34" s="7">
        <f t="shared" si="42"/>
        <v>90</v>
      </c>
      <c r="G34" s="7">
        <f t="shared" si="43"/>
        <v>4.5</v>
      </c>
      <c r="H34" s="7">
        <f t="shared" si="44"/>
        <v>9</v>
      </c>
      <c r="I34" s="62">
        <f t="shared" si="45"/>
        <v>11788.780499999999</v>
      </c>
      <c r="J34" s="13"/>
      <c r="K34" s="2"/>
      <c r="L34" s="2"/>
      <c r="M34" s="2"/>
      <c r="N34" s="2"/>
    </row>
    <row r="35" spans="1:14" ht="28.5" x14ac:dyDescent="0.25">
      <c r="A35" s="6" t="s">
        <v>124</v>
      </c>
      <c r="B35" s="7">
        <v>2</v>
      </c>
      <c r="C35" s="7">
        <v>12</v>
      </c>
      <c r="D35" s="7">
        <f t="shared" si="41"/>
        <v>24</v>
      </c>
      <c r="E35" s="8">
        <f>'Labor Rate and Summary Data'!$C$41</f>
        <v>8.5</v>
      </c>
      <c r="F35" s="7">
        <f t="shared" ref="F35" si="46">D35*E35</f>
        <v>204</v>
      </c>
      <c r="G35" s="7">
        <f t="shared" ref="G35" si="47">F35*0.05</f>
        <v>10.200000000000001</v>
      </c>
      <c r="H35" s="7">
        <f t="shared" ref="H35" si="48">F35*0.1</f>
        <v>20.400000000000002</v>
      </c>
      <c r="I35" s="62">
        <f t="shared" ref="I35" si="49">F35*$F$3+G35*$G$3+H35*$H$3</f>
        <v>26721.235799999999</v>
      </c>
      <c r="J35" s="13"/>
      <c r="K35" s="2"/>
      <c r="L35" s="2"/>
      <c r="M35" s="2"/>
      <c r="N35" s="2"/>
    </row>
    <row r="36" spans="1:14" x14ac:dyDescent="0.25">
      <c r="A36" s="6" t="s">
        <v>11</v>
      </c>
      <c r="B36" s="7"/>
      <c r="C36" s="7"/>
      <c r="D36" s="7"/>
      <c r="E36" s="8"/>
      <c r="F36" s="7"/>
      <c r="G36" s="7"/>
      <c r="H36" s="7"/>
      <c r="I36" s="62"/>
      <c r="J36" s="13"/>
      <c r="K36" s="2"/>
      <c r="L36" s="2"/>
      <c r="M36" s="2"/>
      <c r="N36" s="2"/>
    </row>
    <row r="37" spans="1:14" ht="15.75" x14ac:dyDescent="0.25">
      <c r="A37" s="6" t="s">
        <v>125</v>
      </c>
      <c r="B37" s="7">
        <v>15</v>
      </c>
      <c r="C37" s="7">
        <v>1</v>
      </c>
      <c r="D37" s="7">
        <f t="shared" ref="D37:D41" si="50">B37*C37</f>
        <v>15</v>
      </c>
      <c r="E37" s="8">
        <f>'Labor Rate and Summary Data'!B$9</f>
        <v>1</v>
      </c>
      <c r="F37" s="7">
        <f t="shared" ref="F37:F41" si="51">D37*E37</f>
        <v>15</v>
      </c>
      <c r="G37" s="7">
        <f t="shared" ref="G37:G41" si="52">F37*0.05</f>
        <v>0.75</v>
      </c>
      <c r="H37" s="7">
        <f t="shared" ref="H37:H41" si="53">F37*0.1</f>
        <v>1.5</v>
      </c>
      <c r="I37" s="62">
        <f t="shared" ref="I37:I41" si="54">F37*$F$3+G37*$G$3+H37*$H$3</f>
        <v>1964.79675</v>
      </c>
      <c r="J37" s="13"/>
      <c r="K37" s="2"/>
      <c r="L37" s="2"/>
      <c r="M37" s="2"/>
      <c r="N37" s="2"/>
    </row>
    <row r="38" spans="1:14" ht="15.75" x14ac:dyDescent="0.25">
      <c r="A38" s="6" t="s">
        <v>126</v>
      </c>
      <c r="B38" s="7">
        <v>10</v>
      </c>
      <c r="C38" s="7">
        <v>1</v>
      </c>
      <c r="D38" s="7">
        <f t="shared" si="50"/>
        <v>10</v>
      </c>
      <c r="E38" s="8">
        <f>'Labor Rate and Summary Data'!$D$35</f>
        <v>90</v>
      </c>
      <c r="F38" s="7">
        <f t="shared" si="51"/>
        <v>900</v>
      </c>
      <c r="G38" s="7">
        <f t="shared" si="52"/>
        <v>45</v>
      </c>
      <c r="H38" s="7">
        <f t="shared" si="53"/>
        <v>90</v>
      </c>
      <c r="I38" s="62">
        <f t="shared" si="54"/>
        <v>117887.80500000001</v>
      </c>
      <c r="J38" s="13"/>
      <c r="K38" s="2"/>
      <c r="L38" s="2"/>
      <c r="M38" s="2"/>
      <c r="N38" s="2"/>
    </row>
    <row r="39" spans="1:14" x14ac:dyDescent="0.25">
      <c r="A39" s="6" t="s">
        <v>83</v>
      </c>
      <c r="B39" s="7">
        <v>10</v>
      </c>
      <c r="C39" s="7">
        <v>1</v>
      </c>
      <c r="D39" s="7">
        <f t="shared" si="50"/>
        <v>10</v>
      </c>
      <c r="E39" s="8">
        <f>'Labor Rate and Summary Data'!$F$9</f>
        <v>170</v>
      </c>
      <c r="F39" s="74">
        <f t="shared" si="51"/>
        <v>1700</v>
      </c>
      <c r="G39" s="7">
        <f t="shared" si="52"/>
        <v>85</v>
      </c>
      <c r="H39" s="7">
        <f t="shared" si="53"/>
        <v>170</v>
      </c>
      <c r="I39" s="62">
        <f t="shared" si="54"/>
        <v>222676.965</v>
      </c>
      <c r="J39" s="13"/>
      <c r="K39" s="2"/>
      <c r="L39" s="2"/>
      <c r="M39" s="2"/>
      <c r="N39" s="2"/>
    </row>
    <row r="40" spans="1:14" ht="16.5" thickBot="1" x14ac:dyDescent="0.3">
      <c r="A40" s="6" t="s">
        <v>127</v>
      </c>
      <c r="B40" s="7">
        <v>0.25</v>
      </c>
      <c r="C40" s="7">
        <v>12</v>
      </c>
      <c r="D40" s="7">
        <f t="shared" si="50"/>
        <v>3</v>
      </c>
      <c r="E40" s="8">
        <f>'Labor Rate and Summary Data'!$F$9</f>
        <v>170</v>
      </c>
      <c r="F40" s="7">
        <f t="shared" si="51"/>
        <v>510</v>
      </c>
      <c r="G40" s="7">
        <f t="shared" si="52"/>
        <v>25.5</v>
      </c>
      <c r="H40" s="7">
        <f t="shared" si="53"/>
        <v>51</v>
      </c>
      <c r="I40" s="62">
        <f t="shared" si="54"/>
        <v>66803.089500000002</v>
      </c>
      <c r="J40" s="12"/>
      <c r="K40" s="2"/>
      <c r="L40" s="2"/>
      <c r="M40" s="2"/>
      <c r="N40" s="2"/>
    </row>
    <row r="41" spans="1:14" ht="16.5" thickBot="1" x14ac:dyDescent="0.3">
      <c r="A41" s="6" t="s">
        <v>128</v>
      </c>
      <c r="B41" s="7">
        <v>0.25</v>
      </c>
      <c r="C41" s="7">
        <v>12</v>
      </c>
      <c r="D41" s="7">
        <f t="shared" si="50"/>
        <v>3</v>
      </c>
      <c r="E41" s="8">
        <f>'Labor Rate and Summary Data'!$F$9</f>
        <v>170</v>
      </c>
      <c r="F41" s="7">
        <f t="shared" si="51"/>
        <v>510</v>
      </c>
      <c r="G41" s="7">
        <f t="shared" si="52"/>
        <v>25.5</v>
      </c>
      <c r="H41" s="7">
        <f t="shared" si="53"/>
        <v>51</v>
      </c>
      <c r="I41" s="105">
        <f t="shared" si="54"/>
        <v>66803.089500000002</v>
      </c>
      <c r="J41" s="79" t="s">
        <v>13</v>
      </c>
      <c r="K41" s="80"/>
      <c r="L41" s="2"/>
      <c r="M41" s="2"/>
      <c r="N41" s="2"/>
    </row>
    <row r="42" spans="1:14" ht="15.75" thickBot="1" x14ac:dyDescent="0.3">
      <c r="A42" s="135" t="s">
        <v>78</v>
      </c>
      <c r="B42" s="135"/>
      <c r="C42" s="135"/>
      <c r="D42" s="135"/>
      <c r="E42" s="135"/>
      <c r="F42" s="132">
        <f>SUM(F23:H41)</f>
        <v>13236.500000000002</v>
      </c>
      <c r="G42" s="133"/>
      <c r="H42" s="134"/>
      <c r="I42" s="106">
        <f>SUM(I23:I41)</f>
        <v>1507654.0395</v>
      </c>
      <c r="J42" s="81" t="s">
        <v>14</v>
      </c>
      <c r="K42" s="81" t="s">
        <v>15</v>
      </c>
      <c r="L42" s="14"/>
      <c r="M42" s="2"/>
      <c r="N42" s="2"/>
    </row>
    <row r="43" spans="1:14" ht="15.75" thickBot="1" x14ac:dyDescent="0.3">
      <c r="A43" s="127" t="s">
        <v>129</v>
      </c>
      <c r="B43" s="127"/>
      <c r="C43" s="127"/>
      <c r="D43" s="127"/>
      <c r="E43" s="127"/>
      <c r="F43" s="132">
        <f>ROUND(SUM(F21,F42), -2)</f>
        <v>17300</v>
      </c>
      <c r="G43" s="133"/>
      <c r="H43" s="134"/>
      <c r="I43" s="106">
        <f>ROUND(SUM(I42,I21), -4)</f>
        <v>1970000</v>
      </c>
      <c r="J43" s="82">
        <v>13800</v>
      </c>
      <c r="K43" s="82">
        <v>1380000</v>
      </c>
      <c r="L43" s="12"/>
      <c r="M43" s="2"/>
      <c r="N43" s="2"/>
    </row>
    <row r="44" spans="1:14" ht="15.75" thickBot="1" x14ac:dyDescent="0.3">
      <c r="A44" s="127" t="s">
        <v>130</v>
      </c>
      <c r="B44" s="127"/>
      <c r="C44" s="127"/>
      <c r="D44" s="127"/>
      <c r="E44" s="127"/>
      <c r="F44" s="127"/>
      <c r="G44" s="127"/>
      <c r="H44" s="127"/>
      <c r="I44" s="107">
        <f>ROUND('Labor Rate and Summary Data'!I29,-3)</f>
        <v>765000</v>
      </c>
      <c r="J44" s="82"/>
      <c r="K44" s="82">
        <v>1010000</v>
      </c>
      <c r="L44" s="12"/>
      <c r="M44" s="2"/>
      <c r="N44" s="2"/>
    </row>
    <row r="45" spans="1:14" ht="15.75" thickBot="1" x14ac:dyDescent="0.3">
      <c r="A45" s="127" t="s">
        <v>131</v>
      </c>
      <c r="B45" s="127"/>
      <c r="C45" s="127"/>
      <c r="D45" s="127"/>
      <c r="E45" s="127"/>
      <c r="F45" s="127"/>
      <c r="G45" s="127"/>
      <c r="H45" s="127"/>
      <c r="I45" s="106">
        <f>ROUND(SUM(I43:I44), -3)</f>
        <v>2735000</v>
      </c>
      <c r="J45" s="83"/>
      <c r="K45" s="82">
        <v>2390000</v>
      </c>
      <c r="L45" s="12"/>
      <c r="M45" s="2"/>
      <c r="N45" s="2"/>
    </row>
    <row r="46" spans="1:14" x14ac:dyDescent="0.25">
      <c r="A46" s="2"/>
      <c r="B46" s="2"/>
      <c r="C46" s="2"/>
      <c r="D46" s="2"/>
      <c r="E46" s="3"/>
      <c r="F46" s="2"/>
      <c r="G46" s="43"/>
      <c r="H46" s="2"/>
      <c r="I46" s="4"/>
      <c r="J46" s="12"/>
      <c r="K46" s="2"/>
      <c r="L46" s="2"/>
      <c r="M46" s="2"/>
      <c r="N46" s="2"/>
    </row>
    <row r="47" spans="1:14" x14ac:dyDescent="0.25">
      <c r="A47" s="11" t="s">
        <v>12</v>
      </c>
      <c r="B47" s="2"/>
      <c r="C47" s="2"/>
      <c r="D47" s="2"/>
      <c r="E47" s="3"/>
      <c r="F47" s="2"/>
      <c r="G47" s="2"/>
      <c r="H47" s="2"/>
      <c r="I47" s="4"/>
      <c r="J47" s="12"/>
      <c r="K47" s="2"/>
      <c r="L47" s="2"/>
      <c r="M47" s="2"/>
      <c r="N47" s="2"/>
    </row>
    <row r="48" spans="1:14" ht="30.75" customHeight="1" x14ac:dyDescent="0.25">
      <c r="A48" s="122" t="s">
        <v>132</v>
      </c>
      <c r="B48" s="121"/>
      <c r="C48" s="121"/>
      <c r="D48" s="121"/>
      <c r="E48" s="121"/>
      <c r="F48" s="121"/>
      <c r="G48" s="121"/>
      <c r="H48" s="121"/>
      <c r="I48" s="121"/>
      <c r="J48" s="12"/>
      <c r="K48" s="2"/>
      <c r="L48" s="2"/>
      <c r="M48" s="2"/>
      <c r="N48" s="2"/>
    </row>
    <row r="49" spans="1:14" ht="43.5" customHeight="1" x14ac:dyDescent="0.25">
      <c r="A49" s="128" t="str">
        <f>CONCATENATE("b  This ICR uses the following labor rates:  ",TEXT('Labor Rate and Summary Data'!C14,"$#,##.#0")," per hour for Executive, Administrative, and Managerial labor; ",TEXT('Labor Rate and Summary Data'!C15,"$#,##.#0")&amp;" per hour for Technical labor, and ",TEXT('Labor Rate and Summary Data'!C16,"$#,##.#0")," per hour for Clerical labor.  These rates are from the United States Department of Labor, Bureau of Labor Statistics, September 2018, “Table 2: Civilian Workers, by occupational and industry group.”","  The rates are from column 1: “Total Compensation.”  The rates have been increased by 110 percent to account for the benefit packages available to those employed by private industry.")</f>
        <v>b  This ICR uses the following labor rates:  $147.40 per hour for Executive, Administrative, and Managerial labor; $117.92 per hour for Technical labor, and $57.02 per hour for Clerical labor.  These rates are from the United States Department of Labor, Bureau of Labor Statistics, September 2018, “Table 2: Civilian Workers, by occupational and industry group.”  The rates are from column 1: “Total Compensation.”  The rates have been increased by 110 percent to account for the benefit packages available to those employed by private industry.</v>
      </c>
      <c r="B49" s="128"/>
      <c r="C49" s="128"/>
      <c r="D49" s="128"/>
      <c r="E49" s="128"/>
      <c r="F49" s="128"/>
      <c r="G49" s="128"/>
      <c r="H49" s="128"/>
      <c r="I49" s="128"/>
      <c r="J49" s="12"/>
      <c r="K49" s="2"/>
      <c r="L49" s="2"/>
      <c r="M49" s="2"/>
      <c r="N49" s="2"/>
    </row>
    <row r="50" spans="1:14" x14ac:dyDescent="0.25">
      <c r="A50" s="122" t="s">
        <v>91</v>
      </c>
      <c r="B50" s="121"/>
      <c r="C50" s="121"/>
      <c r="D50" s="121"/>
      <c r="E50" s="121"/>
      <c r="F50" s="121"/>
      <c r="G50" s="121"/>
      <c r="H50" s="121"/>
      <c r="I50" s="121"/>
      <c r="J50" s="12"/>
      <c r="K50" s="2"/>
      <c r="L50" s="2"/>
      <c r="M50" s="2"/>
      <c r="N50" s="2"/>
    </row>
    <row r="51" spans="1:14" ht="26.25" customHeight="1" x14ac:dyDescent="0.25">
      <c r="A51" s="122" t="s">
        <v>133</v>
      </c>
      <c r="B51" s="121"/>
      <c r="C51" s="121"/>
      <c r="D51" s="121"/>
      <c r="E51" s="121"/>
      <c r="F51" s="121"/>
      <c r="G51" s="121"/>
      <c r="H51" s="121"/>
      <c r="I51" s="121"/>
      <c r="J51" s="12"/>
      <c r="K51" s="2"/>
      <c r="L51" s="2"/>
      <c r="M51" s="2"/>
      <c r="N51" s="2"/>
    </row>
    <row r="52" spans="1:14" x14ac:dyDescent="0.25">
      <c r="A52" s="123" t="s">
        <v>134</v>
      </c>
      <c r="B52" s="124"/>
      <c r="C52" s="124"/>
      <c r="D52" s="124"/>
      <c r="E52" s="124"/>
      <c r="F52" s="124"/>
      <c r="G52" s="124"/>
      <c r="H52" s="124"/>
      <c r="I52" s="124"/>
      <c r="J52" s="57"/>
      <c r="K52" s="2"/>
      <c r="L52" s="2"/>
      <c r="M52" s="2"/>
      <c r="N52" s="2"/>
    </row>
    <row r="53" spans="1:14" ht="27.75" customHeight="1" x14ac:dyDescent="0.25">
      <c r="A53" s="123" t="s">
        <v>103</v>
      </c>
      <c r="B53" s="121"/>
      <c r="C53" s="121"/>
      <c r="D53" s="121"/>
      <c r="E53" s="121"/>
      <c r="F53" s="121"/>
      <c r="G53" s="121"/>
      <c r="H53" s="121"/>
      <c r="I53" s="121"/>
      <c r="J53" s="2">
        <f>90+1</f>
        <v>91</v>
      </c>
      <c r="K53" s="2"/>
      <c r="L53" s="2"/>
      <c r="M53" s="2"/>
      <c r="N53" s="2"/>
    </row>
    <row r="54" spans="1:14" x14ac:dyDescent="0.25">
      <c r="A54" s="2" t="s">
        <v>135</v>
      </c>
      <c r="B54" s="71"/>
      <c r="C54" s="71"/>
      <c r="D54" s="71"/>
      <c r="E54" s="71"/>
      <c r="F54" s="71"/>
      <c r="G54" s="71"/>
      <c r="H54" s="71"/>
      <c r="I54" s="71"/>
      <c r="J54" s="2"/>
      <c r="K54" s="2"/>
      <c r="L54" s="2"/>
      <c r="M54" s="2"/>
      <c r="N54" s="2"/>
    </row>
    <row r="55" spans="1:14" x14ac:dyDescent="0.25">
      <c r="A55" s="122" t="s">
        <v>136</v>
      </c>
      <c r="B55" s="121"/>
      <c r="C55" s="121"/>
      <c r="D55" s="121"/>
      <c r="E55" s="121"/>
      <c r="F55" s="121"/>
      <c r="G55" s="121"/>
      <c r="H55" s="121"/>
      <c r="I55" s="121"/>
    </row>
    <row r="56" spans="1:14" x14ac:dyDescent="0.25">
      <c r="A56" s="120" t="s">
        <v>90</v>
      </c>
      <c r="B56" s="121"/>
      <c r="C56" s="121"/>
      <c r="D56" s="121"/>
      <c r="E56" s="121"/>
      <c r="F56" s="121"/>
      <c r="G56" s="121"/>
      <c r="H56" s="121"/>
      <c r="I56" s="121"/>
    </row>
  </sheetData>
  <customSheetViews>
    <customSheetView guid="{A1DA0C23-A9B7-4435-B4F0-755BB5F52418}" fitToPage="1" hiddenRows="1" hiddenColumns="1">
      <pageMargins left="0.7" right="0.7" top="0.75" bottom="0.75" header="0.3" footer="0.3"/>
      <pageSetup scale="50" fitToHeight="2" orientation="landscape" r:id="rId1"/>
      <headerFooter>
        <oddHeader>&amp;C&amp;F  &amp;A</oddHeader>
        <oddFooter>&amp;R&amp;D   &amp;T</oddFooter>
      </headerFooter>
    </customSheetView>
    <customSheetView guid="{9934F1C0-F324-4428-9B67-7B4D8ADB0634}" showPageBreaks="1" fitToPage="1" hiddenRows="1" topLeftCell="A36">
      <selection activeCell="A51" sqref="A51:I51"/>
      <pageMargins left="0.7" right="0.7" top="0.75" bottom="0.75" header="0.3" footer="0.3"/>
      <pageSetup scale="50" fitToHeight="2" orientation="landscape" r:id="rId2"/>
      <headerFooter>
        <oddHeader>&amp;C&amp;F  &amp;A</oddHeader>
        <oddFooter>&amp;R&amp;D   &amp;T</oddFooter>
      </headerFooter>
    </customSheetView>
    <customSheetView guid="{E01622B5-B445-47DB-880B-D9D03748913C}" fitToPage="1" hiddenRows="1" hiddenColumns="1">
      <pageMargins left="0.7" right="0.7" top="0.75" bottom="0.75" header="0.3" footer="0.3"/>
      <pageSetup scale="50" fitToHeight="2" orientation="landscape" r:id="rId3"/>
      <headerFooter>
        <oddHeader>&amp;C&amp;F  &amp;A</oddHeader>
        <oddFooter>&amp;R&amp;D   &amp;T</oddFooter>
      </headerFooter>
    </customSheetView>
  </customSheetViews>
  <mergeCells count="17">
    <mergeCell ref="K13:M13"/>
    <mergeCell ref="A44:H44"/>
    <mergeCell ref="A45:H45"/>
    <mergeCell ref="A49:I49"/>
    <mergeCell ref="A21:E21"/>
    <mergeCell ref="F21:H21"/>
    <mergeCell ref="A42:E42"/>
    <mergeCell ref="F42:H42"/>
    <mergeCell ref="A43:E43"/>
    <mergeCell ref="F43:H43"/>
    <mergeCell ref="A48:I48"/>
    <mergeCell ref="A56:I56"/>
    <mergeCell ref="A50:I50"/>
    <mergeCell ref="A51:I51"/>
    <mergeCell ref="A52:I52"/>
    <mergeCell ref="A53:I53"/>
    <mergeCell ref="A55:I55"/>
  </mergeCells>
  <pageMargins left="0.7" right="0.7" top="0.75" bottom="0.75" header="0.3" footer="0.3"/>
  <pageSetup scale="50" fitToHeight="2" orientation="landscape" r:id="rId4"/>
  <headerFooter>
    <oddHeader>&amp;C&amp;F  &amp;A</oddHeader>
    <oddFooter>&amp;R&amp;D   &amp;T</oddFooter>
  </headerFooter>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3"/>
  <sheetViews>
    <sheetView tabSelected="1" workbookViewId="0">
      <selection activeCell="N17" sqref="N17"/>
    </sheetView>
  </sheetViews>
  <sheetFormatPr defaultRowHeight="15" x14ac:dyDescent="0.25"/>
  <cols>
    <col min="1" max="1" width="42.42578125" customWidth="1"/>
    <col min="2" max="2" width="17.42578125" customWidth="1"/>
    <col min="3" max="3" width="17.5703125" customWidth="1"/>
    <col min="4" max="4" width="17.42578125" customWidth="1"/>
    <col min="5" max="5" width="16.28515625" customWidth="1"/>
    <col min="6" max="6" width="15.7109375" customWidth="1"/>
    <col min="7" max="7" width="16" customWidth="1"/>
    <col min="8" max="8" width="17.7109375" customWidth="1"/>
    <col min="9" max="9" width="18.28515625" customWidth="1"/>
    <col min="10" max="10" width="8.140625" hidden="1" customWidth="1"/>
    <col min="11" max="11" width="9.140625" hidden="1" customWidth="1"/>
  </cols>
  <sheetData>
    <row r="1" spans="1:12" ht="15.75" x14ac:dyDescent="0.25">
      <c r="A1" s="1" t="s">
        <v>138</v>
      </c>
      <c r="B1" s="2"/>
      <c r="C1" s="2"/>
      <c r="D1" s="2"/>
      <c r="E1" s="2"/>
      <c r="F1" s="2"/>
      <c r="G1" s="2"/>
      <c r="H1" s="2"/>
      <c r="I1" s="2"/>
    </row>
    <row r="2" spans="1:12" x14ac:dyDescent="0.25">
      <c r="A2" s="2"/>
      <c r="B2" s="2"/>
      <c r="C2" s="2"/>
      <c r="D2" s="2"/>
      <c r="E2" s="2"/>
      <c r="F2" s="40"/>
      <c r="G2" s="40"/>
      <c r="H2" s="40"/>
      <c r="I2" s="42"/>
    </row>
    <row r="3" spans="1:12" x14ac:dyDescent="0.25">
      <c r="A3" s="59"/>
      <c r="B3" s="59"/>
      <c r="C3" s="59"/>
      <c r="D3" s="59"/>
      <c r="E3" s="59"/>
      <c r="F3" s="60">
        <f>ROUND(1.6*30.47,2)</f>
        <v>48.75</v>
      </c>
      <c r="G3" s="60">
        <f>ROUND(1.6*41.07,2)</f>
        <v>65.709999999999994</v>
      </c>
      <c r="H3" s="60">
        <f>ROUND(1.6*16.49,2)</f>
        <v>26.38</v>
      </c>
      <c r="I3" s="59"/>
    </row>
    <row r="4" spans="1:12" ht="51.75" x14ac:dyDescent="0.25">
      <c r="A4" s="16" t="s">
        <v>0</v>
      </c>
      <c r="B4" s="16" t="s">
        <v>52</v>
      </c>
      <c r="C4" s="16" t="s">
        <v>53</v>
      </c>
      <c r="D4" s="16" t="s">
        <v>54</v>
      </c>
      <c r="E4" s="16" t="s">
        <v>139</v>
      </c>
      <c r="F4" s="16" t="s">
        <v>55</v>
      </c>
      <c r="G4" s="16" t="s">
        <v>56</v>
      </c>
      <c r="H4" s="16" t="s">
        <v>57</v>
      </c>
      <c r="I4" s="16" t="s">
        <v>140</v>
      </c>
    </row>
    <row r="5" spans="1:12" ht="15.75" x14ac:dyDescent="0.25">
      <c r="A5" s="6" t="s">
        <v>141</v>
      </c>
      <c r="B5" s="7">
        <v>8</v>
      </c>
      <c r="C5" s="7">
        <v>1</v>
      </c>
      <c r="D5" s="7">
        <f>B5*C5</f>
        <v>8</v>
      </c>
      <c r="E5" s="7">
        <f>'Labor Rate and Summary Data'!B$9</f>
        <v>1</v>
      </c>
      <c r="F5" s="7">
        <f>D5*E5</f>
        <v>8</v>
      </c>
      <c r="G5" s="7">
        <f>F5*0.05</f>
        <v>0.4</v>
      </c>
      <c r="H5" s="7">
        <f>F5*0.1</f>
        <v>0.8</v>
      </c>
      <c r="I5" s="108">
        <f>F5*$F$3+G5*$G$3+H5*$H$3</f>
        <v>437.38799999999998</v>
      </c>
    </row>
    <row r="6" spans="1:12" ht="15.75" x14ac:dyDescent="0.25">
      <c r="A6" s="6" t="s">
        <v>142</v>
      </c>
      <c r="B6" s="7">
        <v>10</v>
      </c>
      <c r="C6" s="7">
        <v>1</v>
      </c>
      <c r="D6" s="7">
        <f t="shared" ref="D6:D11" si="0">B6*C6</f>
        <v>10</v>
      </c>
      <c r="E6" s="7">
        <f>'Labor Rate and Summary Data'!B$9</f>
        <v>1</v>
      </c>
      <c r="F6" s="7">
        <f t="shared" ref="F6:F11" si="1">D6*E6</f>
        <v>10</v>
      </c>
      <c r="G6" s="7">
        <f t="shared" ref="G6:G11" si="2">F6*0.05</f>
        <v>0.5</v>
      </c>
      <c r="H6" s="7">
        <f t="shared" ref="H6:H11" si="3">F6*0.1</f>
        <v>1</v>
      </c>
      <c r="I6" s="108">
        <f t="shared" ref="I6:I11" si="4">F6*$F$3+G6*$G$3+H6*$H$3</f>
        <v>546.73500000000001</v>
      </c>
    </row>
    <row r="7" spans="1:12" ht="28.5" hidden="1" x14ac:dyDescent="0.25">
      <c r="A7" s="6" t="s">
        <v>143</v>
      </c>
      <c r="B7" s="7">
        <f>6*0</f>
        <v>0</v>
      </c>
      <c r="C7" s="7">
        <f>1*0</f>
        <v>0</v>
      </c>
      <c r="D7" s="7">
        <f t="shared" si="0"/>
        <v>0</v>
      </c>
      <c r="E7" s="102">
        <f>173/3*0</f>
        <v>0</v>
      </c>
      <c r="F7" s="7">
        <f t="shared" ref="F7" si="5">D7*E7</f>
        <v>0</v>
      </c>
      <c r="G7" s="7">
        <f t="shared" ref="G7" si="6">F7*0.05</f>
        <v>0</v>
      </c>
      <c r="H7" s="7">
        <f t="shared" ref="H7" si="7">F7*0.1</f>
        <v>0</v>
      </c>
      <c r="I7" s="108">
        <f t="shared" ref="I7" si="8">F7*$F$3+G7*$G$3+H7*$H$3</f>
        <v>0</v>
      </c>
    </row>
    <row r="8" spans="1:12" ht="15.75" x14ac:dyDescent="0.25">
      <c r="A8" s="6" t="s">
        <v>144</v>
      </c>
      <c r="B8" s="7">
        <v>15</v>
      </c>
      <c r="C8" s="7">
        <v>2</v>
      </c>
      <c r="D8" s="7">
        <f t="shared" si="0"/>
        <v>30</v>
      </c>
      <c r="E8" s="7">
        <f>'Labor Rate and Summary Data'!F9</f>
        <v>170</v>
      </c>
      <c r="F8" s="74">
        <f t="shared" si="1"/>
        <v>5100</v>
      </c>
      <c r="G8" s="7">
        <f t="shared" si="2"/>
        <v>255</v>
      </c>
      <c r="H8" s="7">
        <f t="shared" si="3"/>
        <v>510</v>
      </c>
      <c r="I8" s="108">
        <f t="shared" si="4"/>
        <v>278834.84999999998</v>
      </c>
    </row>
    <row r="9" spans="1:12" ht="15.75" x14ac:dyDescent="0.25">
      <c r="A9" s="6" t="s">
        <v>145</v>
      </c>
      <c r="B9" s="7">
        <v>2</v>
      </c>
      <c r="C9" s="7">
        <v>1</v>
      </c>
      <c r="D9" s="7">
        <f t="shared" si="0"/>
        <v>2</v>
      </c>
      <c r="E9" s="7">
        <f>'Labor Rate and Summary Data'!B$9</f>
        <v>1</v>
      </c>
      <c r="F9" s="7">
        <f t="shared" si="1"/>
        <v>2</v>
      </c>
      <c r="G9" s="7">
        <f t="shared" si="2"/>
        <v>0.1</v>
      </c>
      <c r="H9" s="7">
        <f t="shared" si="3"/>
        <v>0.2</v>
      </c>
      <c r="I9" s="108">
        <f t="shared" si="4"/>
        <v>109.34699999999999</v>
      </c>
      <c r="J9" s="84" t="s">
        <v>13</v>
      </c>
      <c r="K9" s="84"/>
    </row>
    <row r="10" spans="1:12" ht="28.5" x14ac:dyDescent="0.25">
      <c r="A10" s="6" t="s">
        <v>146</v>
      </c>
      <c r="B10" s="7">
        <v>4</v>
      </c>
      <c r="C10" s="7">
        <v>1</v>
      </c>
      <c r="D10" s="7">
        <f t="shared" si="0"/>
        <v>4</v>
      </c>
      <c r="E10" s="7">
        <f>+'Labor Rate and Summary Data'!J12</f>
        <v>21</v>
      </c>
      <c r="F10" s="7">
        <f t="shared" ref="F10" si="9">D10*E10</f>
        <v>84</v>
      </c>
      <c r="G10" s="7">
        <f t="shared" ref="G10" si="10">F10*0.05</f>
        <v>4.2</v>
      </c>
      <c r="H10" s="7">
        <f t="shared" ref="H10" si="11">F10*0.1</f>
        <v>8.4</v>
      </c>
      <c r="I10" s="108">
        <f t="shared" ref="I10" si="12">F10*$F$3+G10*$G$3+H10*$H$3</f>
        <v>4592.5739999999996</v>
      </c>
      <c r="J10" s="84"/>
      <c r="K10" s="84"/>
    </row>
    <row r="11" spans="1:12" ht="15.75" x14ac:dyDescent="0.25">
      <c r="A11" s="6" t="s">
        <v>147</v>
      </c>
      <c r="B11" s="7">
        <v>10</v>
      </c>
      <c r="C11" s="7">
        <v>1</v>
      </c>
      <c r="D11" s="7">
        <f t="shared" si="0"/>
        <v>10</v>
      </c>
      <c r="E11" s="7">
        <f>'Labor Rate and Summary Data'!B$9</f>
        <v>1</v>
      </c>
      <c r="F11" s="7">
        <f t="shared" si="1"/>
        <v>10</v>
      </c>
      <c r="G11" s="7">
        <f t="shared" si="2"/>
        <v>0.5</v>
      </c>
      <c r="H11" s="7">
        <f t="shared" si="3"/>
        <v>1</v>
      </c>
      <c r="I11" s="108">
        <f t="shared" si="4"/>
        <v>546.73500000000001</v>
      </c>
      <c r="J11" s="84" t="s">
        <v>14</v>
      </c>
      <c r="K11" s="84" t="s">
        <v>15</v>
      </c>
      <c r="L11" s="14"/>
    </row>
    <row r="12" spans="1:12" ht="28.5" x14ac:dyDescent="0.25">
      <c r="A12" s="6" t="s">
        <v>148</v>
      </c>
      <c r="B12" s="7">
        <v>10</v>
      </c>
      <c r="C12" s="7">
        <v>1</v>
      </c>
      <c r="D12" s="7">
        <f t="shared" ref="D12" si="13">B12*C12</f>
        <v>10</v>
      </c>
      <c r="E12" s="7">
        <f>+'Labor Rate and Summary Data'!J10</f>
        <v>21</v>
      </c>
      <c r="F12" s="7">
        <f t="shared" ref="F12" si="14">D12*E12</f>
        <v>210</v>
      </c>
      <c r="G12" s="7">
        <f t="shared" ref="G12" si="15">F12*0.05</f>
        <v>10.5</v>
      </c>
      <c r="H12" s="7">
        <f t="shared" ref="H12" si="16">F12*0.1</f>
        <v>21</v>
      </c>
      <c r="I12" s="108">
        <f t="shared" ref="I12" si="17">F12*$F$3+G12*$G$3+H12*$H$3</f>
        <v>11481.434999999999</v>
      </c>
      <c r="J12" s="84"/>
      <c r="K12" s="84"/>
      <c r="L12" s="14"/>
    </row>
    <row r="13" spans="1:12" x14ac:dyDescent="0.25">
      <c r="A13" s="127" t="s">
        <v>149</v>
      </c>
      <c r="B13" s="127"/>
      <c r="C13" s="127"/>
      <c r="D13" s="127"/>
      <c r="E13" s="127"/>
      <c r="F13" s="139">
        <f>ROUND(SUM(F5:H12), -2)</f>
        <v>6200</v>
      </c>
      <c r="G13" s="139"/>
      <c r="H13" s="139"/>
      <c r="I13" s="108">
        <f>ROUND(SUM(I5:I12), -3)</f>
        <v>297000</v>
      </c>
      <c r="J13" s="85">
        <v>9080</v>
      </c>
      <c r="K13" s="85">
        <v>413000</v>
      </c>
      <c r="L13" s="15"/>
    </row>
    <row r="14" spans="1:12" x14ac:dyDescent="0.25">
      <c r="A14" s="2"/>
      <c r="B14" s="2"/>
      <c r="C14" s="2"/>
      <c r="D14" s="2"/>
      <c r="E14" s="2"/>
      <c r="F14" s="2"/>
      <c r="G14" s="2"/>
      <c r="H14" s="2"/>
      <c r="I14" s="2"/>
    </row>
    <row r="15" spans="1:12" x14ac:dyDescent="0.25">
      <c r="A15" s="11" t="s">
        <v>12</v>
      </c>
      <c r="B15" s="2"/>
      <c r="C15" s="2"/>
      <c r="D15" s="2"/>
      <c r="E15" s="2"/>
      <c r="F15" s="2"/>
      <c r="G15" s="2"/>
      <c r="H15" s="2"/>
      <c r="I15" s="2"/>
    </row>
    <row r="16" spans="1:12" ht="27.75" customHeight="1" x14ac:dyDescent="0.25">
      <c r="A16" s="140" t="s">
        <v>150</v>
      </c>
      <c r="B16" s="140"/>
      <c r="C16" s="140"/>
      <c r="D16" s="140"/>
      <c r="E16" s="140"/>
      <c r="F16" s="140"/>
      <c r="G16" s="140"/>
      <c r="H16" s="140"/>
      <c r="I16" s="140"/>
    </row>
    <row r="17" spans="1:9" ht="30.75" customHeight="1" x14ac:dyDescent="0.25">
      <c r="A17" s="140" t="s">
        <v>151</v>
      </c>
      <c r="B17" s="140"/>
      <c r="C17" s="140"/>
      <c r="D17" s="140"/>
      <c r="E17" s="140"/>
      <c r="F17" s="140"/>
      <c r="G17" s="140"/>
      <c r="H17" s="140"/>
      <c r="I17" s="140"/>
    </row>
    <row r="18" spans="1:9" x14ac:dyDescent="0.25">
      <c r="A18" s="141" t="s">
        <v>152</v>
      </c>
      <c r="B18" s="137"/>
      <c r="C18" s="137"/>
      <c r="D18" s="137"/>
      <c r="E18" s="137"/>
      <c r="F18" s="137"/>
      <c r="G18" s="137"/>
      <c r="H18" s="137"/>
      <c r="I18" s="137"/>
    </row>
    <row r="19" spans="1:9" ht="31.5" hidden="1" customHeight="1" x14ac:dyDescent="0.25">
      <c r="A19" s="140" t="s">
        <v>153</v>
      </c>
      <c r="B19" s="140"/>
      <c r="C19" s="140"/>
      <c r="D19" s="140"/>
      <c r="E19" s="140"/>
      <c r="F19" s="140"/>
      <c r="G19" s="140"/>
      <c r="H19" s="140"/>
      <c r="I19" s="140"/>
    </row>
    <row r="20" spans="1:9" x14ac:dyDescent="0.25">
      <c r="A20" s="136" t="s">
        <v>154</v>
      </c>
      <c r="B20" s="137"/>
      <c r="C20" s="137"/>
      <c r="D20" s="137"/>
      <c r="E20" s="137"/>
      <c r="F20" s="137"/>
      <c r="G20" s="137"/>
      <c r="H20" s="137"/>
      <c r="I20" s="137"/>
    </row>
    <row r="21" spans="1:9" x14ac:dyDescent="0.25">
      <c r="A21" s="136" t="s">
        <v>155</v>
      </c>
      <c r="B21" s="137"/>
      <c r="C21" s="137"/>
      <c r="D21" s="137"/>
      <c r="E21" s="137"/>
      <c r="F21" s="137"/>
      <c r="G21" s="137"/>
      <c r="H21" s="137"/>
      <c r="I21" s="137"/>
    </row>
    <row r="22" spans="1:9" x14ac:dyDescent="0.25">
      <c r="A22" s="136" t="s">
        <v>156</v>
      </c>
      <c r="B22" s="137"/>
      <c r="C22" s="137"/>
      <c r="D22" s="137"/>
      <c r="E22" s="137"/>
      <c r="F22" s="137"/>
      <c r="G22" s="137"/>
      <c r="H22" s="137"/>
      <c r="I22" s="137"/>
    </row>
    <row r="23" spans="1:9" x14ac:dyDescent="0.25">
      <c r="A23" s="138" t="s">
        <v>157</v>
      </c>
      <c r="B23" s="137"/>
      <c r="C23" s="137"/>
      <c r="D23" s="137"/>
      <c r="E23" s="137"/>
      <c r="F23" s="137"/>
      <c r="G23" s="137"/>
      <c r="H23" s="137"/>
      <c r="I23" s="137"/>
    </row>
    <row r="24" spans="1:9" x14ac:dyDescent="0.25">
      <c r="A24" s="2"/>
      <c r="B24" s="2"/>
      <c r="C24" s="2"/>
      <c r="D24" s="2"/>
      <c r="E24" s="2"/>
      <c r="F24" s="2"/>
      <c r="G24" s="2"/>
      <c r="H24" s="2"/>
      <c r="I24" s="2"/>
    </row>
    <row r="25" spans="1:9" x14ac:dyDescent="0.25">
      <c r="A25" s="2"/>
      <c r="B25" s="2"/>
      <c r="C25" s="2"/>
      <c r="D25" s="2"/>
      <c r="E25" s="2"/>
      <c r="F25" s="2"/>
      <c r="G25" s="2"/>
      <c r="H25" s="2"/>
      <c r="I25" s="2"/>
    </row>
    <row r="26" spans="1:9" x14ac:dyDescent="0.25">
      <c r="A26" s="2"/>
      <c r="B26" s="2"/>
      <c r="C26" s="2"/>
      <c r="D26" s="2"/>
      <c r="E26" s="2"/>
      <c r="F26" s="2"/>
      <c r="G26" s="2"/>
      <c r="H26" s="2"/>
      <c r="I26" s="2"/>
    </row>
    <row r="27" spans="1:9" x14ac:dyDescent="0.25">
      <c r="A27" s="2"/>
      <c r="B27" s="2"/>
      <c r="C27" s="2"/>
      <c r="D27" s="2"/>
      <c r="E27" s="2"/>
      <c r="F27" s="2"/>
      <c r="G27" s="2"/>
      <c r="H27" s="2"/>
      <c r="I27" s="2"/>
    </row>
    <row r="28" spans="1:9" x14ac:dyDescent="0.25">
      <c r="A28" s="2"/>
      <c r="B28" s="2"/>
      <c r="C28" s="2"/>
      <c r="D28" s="2"/>
      <c r="E28" s="2"/>
      <c r="F28" s="2"/>
      <c r="G28" s="2"/>
      <c r="H28" s="2"/>
      <c r="I28" s="2"/>
    </row>
    <row r="29" spans="1:9" x14ac:dyDescent="0.25">
      <c r="A29" s="2"/>
      <c r="B29" s="2"/>
      <c r="C29" s="2"/>
      <c r="D29" s="2"/>
      <c r="E29" s="2"/>
      <c r="F29" s="2"/>
      <c r="G29" s="2"/>
      <c r="H29" s="2"/>
      <c r="I29" s="2"/>
    </row>
    <row r="30" spans="1:9" x14ac:dyDescent="0.25">
      <c r="A30" s="2"/>
      <c r="B30" s="2"/>
      <c r="C30" s="2"/>
      <c r="D30" s="2"/>
      <c r="E30" s="2"/>
      <c r="F30" s="2"/>
      <c r="G30" s="2"/>
      <c r="H30" s="2"/>
      <c r="I30" s="2"/>
    </row>
    <row r="31" spans="1:9" x14ac:dyDescent="0.25">
      <c r="A31" s="2"/>
      <c r="B31" s="2"/>
      <c r="C31" s="2"/>
      <c r="D31" s="2"/>
      <c r="E31" s="2"/>
      <c r="F31" s="2"/>
      <c r="G31" s="2"/>
      <c r="H31" s="2"/>
      <c r="I31" s="2"/>
    </row>
    <row r="32" spans="1:9" x14ac:dyDescent="0.25">
      <c r="A32" s="2"/>
      <c r="B32" s="2"/>
      <c r="C32" s="2"/>
      <c r="D32" s="2"/>
      <c r="E32" s="2"/>
      <c r="F32" s="2"/>
      <c r="G32" s="2"/>
      <c r="H32" s="2"/>
      <c r="I32" s="2"/>
    </row>
    <row r="33" spans="1:9" x14ac:dyDescent="0.25">
      <c r="A33" s="2"/>
      <c r="B33" s="2"/>
      <c r="C33" s="2"/>
      <c r="D33" s="2"/>
      <c r="E33" s="2"/>
      <c r="F33" s="2"/>
      <c r="G33" s="2"/>
      <c r="H33" s="2"/>
      <c r="I33" s="2"/>
    </row>
  </sheetData>
  <customSheetViews>
    <customSheetView guid="{A1DA0C23-A9B7-4435-B4F0-755BB5F52418}" fitToPage="1" hiddenRows="1" hiddenColumns="1">
      <selection activeCell="N17" sqref="N17"/>
      <pageMargins left="0.7" right="0.7" top="0.75" bottom="0.75" header="0.3" footer="0.3"/>
      <pageSetup scale="62" orientation="landscape" r:id="rId1"/>
      <headerFooter>
        <oddHeader>&amp;C&amp;F  &amp;A</oddHeader>
        <oddFooter>&amp;R&amp;D    &amp;T</oddFooter>
      </headerFooter>
    </customSheetView>
    <customSheetView guid="{9934F1C0-F324-4428-9B67-7B4D8ADB0634}" showPageBreaks="1" fitToPage="1" hiddenRows="1">
      <selection activeCell="F13" sqref="F13:H13"/>
      <pageMargins left="0.7" right="0.7" top="0.75" bottom="0.75" header="0.3" footer="0.3"/>
      <pageSetup scale="62" orientation="landscape" r:id="rId2"/>
      <headerFooter>
        <oddHeader>&amp;C&amp;F  &amp;A</oddHeader>
        <oddFooter>&amp;R&amp;D    &amp;T</oddFooter>
      </headerFooter>
    </customSheetView>
    <customSheetView guid="{E01622B5-B445-47DB-880B-D9D03748913C}" fitToPage="1" hiddenRows="1" hiddenColumns="1">
      <selection activeCell="N17" sqref="N17"/>
      <pageMargins left="0.7" right="0.7" top="0.75" bottom="0.75" header="0.3" footer="0.3"/>
      <pageSetup scale="62" orientation="landscape" r:id="rId3"/>
      <headerFooter>
        <oddHeader>&amp;C&amp;F  &amp;A</oddHeader>
        <oddFooter>&amp;R&amp;D    &amp;T</oddFooter>
      </headerFooter>
    </customSheetView>
  </customSheetViews>
  <mergeCells count="10">
    <mergeCell ref="A20:I20"/>
    <mergeCell ref="A22:I22"/>
    <mergeCell ref="A23:I23"/>
    <mergeCell ref="A13:E13"/>
    <mergeCell ref="F13:H13"/>
    <mergeCell ref="A16:I16"/>
    <mergeCell ref="A17:I17"/>
    <mergeCell ref="A19:I19"/>
    <mergeCell ref="A18:I18"/>
    <mergeCell ref="A21:I21"/>
  </mergeCells>
  <pageMargins left="0.7" right="0.7" top="0.75" bottom="0.75" header="0.3" footer="0.3"/>
  <pageSetup scale="62" orientation="landscape" r:id="rId4"/>
  <headerFooter>
    <oddHeader>&amp;C&amp;F  &amp;A</oddHeader>
    <oddFooter>&amp;R&amp;D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D1"/>
  <sheetViews>
    <sheetView workbookViewId="0"/>
  </sheetViews>
  <sheetFormatPr defaultRowHeight="15" x14ac:dyDescent="0.25"/>
  <sheetData>
    <row r="1" spans="1:16384" x14ac:dyDescent="0.25"/>
  </sheetData>
  <customSheetViews>
    <customSheetView guid="{A1DA0C23-A9B7-4435-B4F0-755BB5F52418}" state="veryHidden">
      <pageMargins left="0.7" right="0.7" top="0.75" bottom="0.75" header="0.3" footer="0.3"/>
    </customSheetView>
    <customSheetView guid="{9934F1C0-F324-4428-9B67-7B4D8ADB0634}" state="veryHidden">
      <pageMargins left="0.7" right="0.7" top="0.75" bottom="0.75" header="0.3" footer="0.3"/>
    </customSheetView>
    <customSheetView guid="{E01622B5-B445-47DB-880B-D9D03748913C}" state="veryHidden">
      <pageMargins left="0.7" right="0.7" top="0.75" bottom="0.75" header="0.3" footer="0.3"/>
    </customSheetView>
  </customSheetView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Labor Rate and Summary Data</vt: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EPA</cp:lastModifiedBy>
  <cp:lastPrinted>2020-01-30T14:54:06Z</cp:lastPrinted>
  <dcterms:created xsi:type="dcterms:W3CDTF">2018-07-19T14:57:42Z</dcterms:created>
  <dcterms:modified xsi:type="dcterms:W3CDTF">2020-03-06T17:22:46Z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2e53c17b3c694d0384e58e2ff59ab2c5</vt:lpwstr>
  </property>
</Properties>
</file>