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32C17BB-328F-472C-8BFF-6630266FD36C}"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Capital &amp; O&amp;M" sheetId="4" r:id="rId3"/>
    <sheet name="Total Annual Responses" sheetId="5" r:id="rId4"/>
    <sheet name="Respondents" sheetId="3" r:id="rId5"/>
  </sheets>
  <definedNames>
    <definedName name="_xlnm.Print_Area" localSheetId="4">Respondents!$B$15:$G$26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 i="1" l="1"/>
  <c r="F11" i="5"/>
  <c r="F16" i="2"/>
  <c r="I16" i="2"/>
  <c r="I32" i="1"/>
  <c r="F32" i="1"/>
  <c r="I23" i="1"/>
  <c r="F23" i="1"/>
  <c r="F33" i="1" s="1"/>
  <c r="C10" i="5"/>
  <c r="C9" i="5"/>
  <c r="C8" i="5"/>
  <c r="C7" i="5"/>
  <c r="H9" i="4"/>
  <c r="E15" i="2"/>
  <c r="E14" i="2"/>
  <c r="E22" i="1"/>
  <c r="E21" i="1"/>
  <c r="D23" i="3"/>
  <c r="G23" i="3"/>
  <c r="I33" i="1" l="1"/>
  <c r="D24" i="3"/>
  <c r="G24" i="3" s="1"/>
  <c r="C26" i="3"/>
  <c r="D8" i="4"/>
  <c r="F12" i="5" l="1"/>
  <c r="F13" i="5" s="1"/>
  <c r="F10" i="5"/>
  <c r="F9" i="5"/>
  <c r="F8" i="5"/>
  <c r="F7" i="5"/>
  <c r="D25" i="3"/>
  <c r="G25" i="3" s="1"/>
  <c r="D11" i="3"/>
  <c r="D12" i="3" s="1"/>
  <c r="G11" i="3"/>
  <c r="G10" i="3"/>
  <c r="E8" i="4"/>
  <c r="E9" i="4" s="1"/>
  <c r="K33" i="1" l="1"/>
  <c r="G12" i="3"/>
  <c r="G26" i="3" s="1"/>
  <c r="G8" i="4" s="1"/>
  <c r="H8" i="4" s="1"/>
  <c r="I34" i="1" s="1"/>
  <c r="D13" i="3"/>
  <c r="F12" i="2"/>
  <c r="G12" i="2" s="1"/>
  <c r="D7" i="2"/>
  <c r="F7" i="2" s="1"/>
  <c r="D9" i="2"/>
  <c r="F9" i="2" s="1"/>
  <c r="D10" i="2"/>
  <c r="F10" i="2" s="1"/>
  <c r="H10" i="2" s="1"/>
  <c r="D11" i="2"/>
  <c r="F11" i="2" s="1"/>
  <c r="D12" i="2"/>
  <c r="D14" i="2"/>
  <c r="F14" i="2" s="1"/>
  <c r="D15" i="2"/>
  <c r="F15" i="2" s="1"/>
  <c r="D6" i="2"/>
  <c r="F6" i="2" s="1"/>
  <c r="G13" i="3" l="1"/>
  <c r="D26" i="3"/>
  <c r="H15" i="2"/>
  <c r="G15" i="2"/>
  <c r="I15" i="2" s="1"/>
  <c r="G14" i="2"/>
  <c r="H14" i="2"/>
  <c r="I14" i="2" s="1"/>
  <c r="H9" i="2"/>
  <c r="G9" i="2"/>
  <c r="H7" i="2"/>
  <c r="G7" i="2"/>
  <c r="I7" i="2" s="1"/>
  <c r="G6" i="2"/>
  <c r="H6" i="2"/>
  <c r="H11" i="2"/>
  <c r="G11" i="2"/>
  <c r="G10" i="2"/>
  <c r="I10" i="2" s="1"/>
  <c r="H12" i="2"/>
  <c r="I12" i="2"/>
  <c r="F11" i="1"/>
  <c r="H11" i="1" s="1"/>
  <c r="F16" i="1"/>
  <c r="G16" i="1" s="1"/>
  <c r="F18" i="1"/>
  <c r="G18" i="1" s="1"/>
  <c r="D10" i="1"/>
  <c r="F10" i="1" s="1"/>
  <c r="G10" i="1" s="1"/>
  <c r="D11" i="1"/>
  <c r="D12" i="1"/>
  <c r="F12" i="1" s="1"/>
  <c r="D16" i="1"/>
  <c r="D17" i="1"/>
  <c r="F17" i="1" s="1"/>
  <c r="D18" i="1"/>
  <c r="D19" i="1"/>
  <c r="F19" i="1" s="1"/>
  <c r="D21" i="1"/>
  <c r="F21" i="1" s="1"/>
  <c r="D22" i="1"/>
  <c r="F22" i="1" s="1"/>
  <c r="G22" i="1" s="1"/>
  <c r="D29" i="1"/>
  <c r="F29" i="1" s="1"/>
  <c r="D8" i="1"/>
  <c r="F8" i="1" s="1"/>
  <c r="I11" i="2" l="1"/>
  <c r="I9" i="2"/>
  <c r="G11" i="1"/>
  <c r="I11" i="1" s="1"/>
  <c r="H19" i="1"/>
  <c r="I19" i="1" s="1"/>
  <c r="G19" i="1"/>
  <c r="H12" i="1"/>
  <c r="G12" i="1"/>
  <c r="G17" i="1"/>
  <c r="H17" i="1"/>
  <c r="I17" i="1"/>
  <c r="H21" i="1"/>
  <c r="G21" i="1"/>
  <c r="H16" i="1"/>
  <c r="I16" i="1" s="1"/>
  <c r="I6" i="2"/>
  <c r="G8" i="1"/>
  <c r="H8" i="1"/>
  <c r="G29" i="1"/>
  <c r="H29" i="1"/>
  <c r="H22" i="1"/>
  <c r="I22" i="1" s="1"/>
  <c r="H18" i="1"/>
  <c r="I18" i="1" s="1"/>
  <c r="H10" i="1"/>
  <c r="I10" i="1" s="1"/>
  <c r="I12" i="1" l="1"/>
  <c r="I8" i="1"/>
  <c r="I21" i="1"/>
  <c r="I29" i="1"/>
  <c r="I35" i="1" l="1"/>
</calcChain>
</file>

<file path=xl/sharedStrings.xml><?xml version="1.0" encoding="utf-8"?>
<sst xmlns="http://schemas.openxmlformats.org/spreadsheetml/2006/main" count="180" uniqueCount="133">
  <si>
    <t>Burden Item</t>
  </si>
  <si>
    <t>A</t>
  </si>
  <si>
    <t>B</t>
  </si>
  <si>
    <t>C</t>
  </si>
  <si>
    <t>D</t>
  </si>
  <si>
    <t>E</t>
  </si>
  <si>
    <t>F</t>
  </si>
  <si>
    <t>G</t>
  </si>
  <si>
    <t>H</t>
  </si>
  <si>
    <t>1.  Applications</t>
  </si>
  <si>
    <t>N/A</t>
  </si>
  <si>
    <t>2.  Survey and Studies</t>
  </si>
  <si>
    <t>3.  Reporting requirements</t>
  </si>
  <si>
    <t>B.  Required activities</t>
  </si>
  <si>
    <t>Initial emissions tests</t>
  </si>
  <si>
    <t>Reference Method 9</t>
  </si>
  <si>
    <t>C.  Create information</t>
  </si>
  <si>
    <t>See 3B</t>
  </si>
  <si>
    <t>D.  Gather existing information</t>
  </si>
  <si>
    <t>See 3E</t>
  </si>
  <si>
    <t>E.  Write report</t>
  </si>
  <si>
    <t>Notification of demonstration of CMS</t>
  </si>
  <si>
    <t>Report of performance test</t>
  </si>
  <si>
    <t>Subtotal for Reporting Requirements</t>
  </si>
  <si>
    <t>4.  Recordkeeping requirements</t>
  </si>
  <si>
    <t>See 3A</t>
  </si>
  <si>
    <t>B.  Plan activities</t>
  </si>
  <si>
    <t>See 4C</t>
  </si>
  <si>
    <t>Implement activities</t>
  </si>
  <si>
    <t>Develop record system</t>
  </si>
  <si>
    <t>D.  Train personnel</t>
  </si>
  <si>
    <t>E.  Audits</t>
  </si>
  <si>
    <t>Subtotal for Recordkeeping Requirements</t>
  </si>
  <si>
    <t>Table 1: Annual Respondent Burden and Cost – NSPS for Electric Utility Steam Generating Units (40 CFR Part 60, Subpart Da) (Renewal)</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</si>
  <si>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</si>
  <si>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</si>
  <si>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</si>
  <si>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a</t>
    </r>
  </si>
  <si>
    <t>Technical hours per year 
(E=CxD)</t>
  </si>
  <si>
    <t>Management hours per year (F=Ex0.05)</t>
  </si>
  <si>
    <t>Clerical hours per year (G=Ex0.10)</t>
  </si>
  <si>
    <t>A.  Familiarize with regulatory requirements</t>
  </si>
  <si>
    <r>
      <t xml:space="preserve">Total cost per year ($)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</si>
  <si>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</si>
  <si>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t>Assumptions:</t>
  </si>
  <si>
    <r>
      <t xml:space="preserve">c  </t>
    </r>
    <r>
      <rPr>
        <sz val="10"/>
        <color theme="1"/>
        <rFont val="Times New Roman"/>
        <family val="1"/>
      </rPr>
      <t xml:space="preserve">We have assumed that all respondents will have to familiarize with the regulatory requirements each year. </t>
    </r>
  </si>
  <si>
    <r>
      <t xml:space="preserve">Semiannual report </t>
    </r>
    <r>
      <rPr>
        <vertAlign val="superscript"/>
        <sz val="10"/>
        <color theme="1"/>
        <rFont val="Times New Roman"/>
        <family val="1"/>
      </rPr>
      <t>e</t>
    </r>
  </si>
  <si>
    <r>
      <t xml:space="preserve">Quarterly report </t>
    </r>
    <r>
      <rPr>
        <vertAlign val="superscript"/>
        <sz val="10"/>
        <color theme="1"/>
        <rFont val="Times New Roman"/>
        <family val="1"/>
      </rPr>
      <t>f</t>
    </r>
  </si>
  <si>
    <r>
      <t xml:space="preserve">C.  Time to check computer system and calibrate continuous monitor </t>
    </r>
    <r>
      <rPr>
        <vertAlign val="superscript"/>
        <sz val="10"/>
        <color theme="1"/>
        <rFont val="Times New Roman"/>
        <family val="1"/>
      </rPr>
      <t>g</t>
    </r>
  </si>
  <si>
    <r>
      <t xml:space="preserve">GRAND TOTAL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</si>
  <si>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</si>
  <si>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e </t>
    </r>
    <r>
      <rPr>
        <sz val="10"/>
        <color theme="1"/>
        <rFont val="Times New Roman"/>
        <family val="1"/>
      </rPr>
      <t xml:space="preserve"> We have assumed that 80 percent of respondents will each take 8 hours two times per year to write the semiannual report.</t>
    </r>
  </si>
  <si>
    <r>
      <t xml:space="preserve">f </t>
    </r>
    <r>
      <rPr>
        <sz val="10"/>
        <color theme="1"/>
        <rFont val="Times New Roman"/>
        <family val="1"/>
      </rPr>
      <t xml:space="preserve"> We have assumed that 20 percent of respondents will each take 8 hours four times per year to write the quarterly report.</t>
    </r>
  </si>
  <si>
    <r>
      <t xml:space="preserve">g </t>
    </r>
    <r>
      <rPr>
        <sz val="10"/>
        <color theme="1"/>
        <rFont val="Times New Roman"/>
        <family val="1"/>
      </rPr>
      <t xml:space="preserve"> We have assumed that each respondent will take 30 minutes each day to check computer system and calibrate continuous monitors.</t>
    </r>
  </si>
  <si>
    <r>
      <t xml:space="preserve">h  </t>
    </r>
    <r>
      <rPr>
        <sz val="10"/>
        <color theme="1"/>
        <rFont val="Times New Roman"/>
        <family val="1"/>
      </rPr>
      <t>Totals have been rounded to 3 significant figures. Figures may not add exactly due to rounding.</t>
    </r>
  </si>
  <si>
    <t>(A)</t>
  </si>
  <si>
    <t>(B)</t>
  </si>
  <si>
    <t>(D)</t>
  </si>
  <si>
    <r>
      <t xml:space="preserve">Repeat performance test </t>
    </r>
    <r>
      <rPr>
        <vertAlign val="superscript"/>
        <sz val="10"/>
        <color theme="1"/>
        <rFont val="Times New Roman"/>
        <family val="1"/>
      </rPr>
      <t>d</t>
    </r>
  </si>
  <si>
    <t>(F)</t>
  </si>
  <si>
    <t>(G)</t>
  </si>
  <si>
    <t>Table 2: Average Annual EPA Burden and Cost – NSPS for Electric Utility Steam Generating Units (40 CFR Part 60, Subpart Da) (Renewal)</t>
  </si>
  <si>
    <t>Performance tests</t>
  </si>
  <si>
    <t xml:space="preserve">  </t>
  </si>
  <si>
    <t>New plants</t>
  </si>
  <si>
    <r>
      <t xml:space="preserve">Review startup report </t>
    </r>
    <r>
      <rPr>
        <vertAlign val="superscript"/>
        <sz val="10"/>
        <color theme="1"/>
        <rFont val="Times New Roman"/>
        <family val="1"/>
      </rPr>
      <t>c</t>
    </r>
  </si>
  <si>
    <t>Report Review</t>
  </si>
  <si>
    <t>Notification of actual startup</t>
  </si>
  <si>
    <t>Notification of initial test</t>
  </si>
  <si>
    <t>Notification of CMS demonstration</t>
  </si>
  <si>
    <t>Review excess emissions reports</t>
  </si>
  <si>
    <r>
      <t xml:space="preserve">Semiannual </t>
    </r>
    <r>
      <rPr>
        <vertAlign val="superscript"/>
        <sz val="10"/>
        <color theme="1"/>
        <rFont val="Times New Roman"/>
        <family val="1"/>
      </rPr>
      <t>d</t>
    </r>
  </si>
  <si>
    <r>
      <t xml:space="preserve">Quarterly </t>
    </r>
    <r>
      <rPr>
        <vertAlign val="superscript"/>
        <sz val="10"/>
        <color theme="1"/>
        <rFont val="Times New Roman"/>
        <family val="1"/>
      </rPr>
      <t>e</t>
    </r>
  </si>
  <si>
    <t>Notification of initial performance test</t>
  </si>
  <si>
    <t>Notification of  construction/reconstruction</t>
  </si>
  <si>
    <t>Notification of construction/reconstruction</t>
  </si>
  <si>
    <t>Technical person-hours per occurrence</t>
  </si>
  <si>
    <t>Technical person-hours per respondent per year 
(C=AxB)</t>
  </si>
  <si>
    <t xml:space="preserve">(C) </t>
  </si>
  <si>
    <t xml:space="preserve">(E) </t>
  </si>
  <si>
    <t>(H)</t>
  </si>
  <si>
    <t>Technical hours per year
(E=CxD)</t>
  </si>
  <si>
    <t>Management hours per year
(F=Ex0.05)</t>
  </si>
  <si>
    <t>Clerical hours per year
(G=Ex0.10)</t>
  </si>
  <si>
    <r>
      <t xml:space="preserve"> </t>
    </r>
    <r>
      <rPr>
        <b/>
        <sz val="10"/>
        <color theme="1"/>
        <rFont val="Times New Roman"/>
        <family val="1"/>
      </rPr>
      <t>Assumptions:</t>
    </r>
  </si>
  <si>
    <r>
      <t xml:space="preserve">c </t>
    </r>
    <r>
      <rPr>
        <sz val="10"/>
        <color theme="1"/>
        <rFont val="Times New Roman"/>
        <family val="1"/>
      </rPr>
      <t xml:space="preserve"> We have assumed that it will take 40 hours to review each startup report.</t>
    </r>
  </si>
  <si>
    <r>
      <t xml:space="preserve">d </t>
    </r>
    <r>
      <rPr>
        <sz val="10"/>
        <color theme="1"/>
        <rFont val="Times New Roman"/>
        <family val="1"/>
      </rPr>
      <t xml:space="preserve"> We have assumed that it will take 8 hours two times per year to review each semiannual report.</t>
    </r>
  </si>
  <si>
    <r>
      <t xml:space="preserve">e </t>
    </r>
    <r>
      <rPr>
        <sz val="10"/>
        <color theme="1"/>
        <rFont val="Times New Roman"/>
        <family val="1"/>
      </rPr>
      <t xml:space="preserve"> We have assumed that it will take 8 hours four times per year to review each the quarterly report.</t>
    </r>
  </si>
  <si>
    <r>
      <t xml:space="preserve">f  </t>
    </r>
    <r>
      <rPr>
        <sz val="10"/>
        <color theme="1"/>
        <rFont val="Times New Roman"/>
        <family val="1"/>
      </rPr>
      <t>Totals have been rounded to 3 significant figures. Figures may not add exactly due to rounding.</t>
    </r>
  </si>
  <si>
    <t>responses</t>
  </si>
  <si>
    <t>hr/response</t>
  </si>
  <si>
    <t>Capital/Startup vs. Operation and Maintenance (O&amp;M) Costs</t>
  </si>
  <si>
    <t>Continuous Monitoring Device</t>
  </si>
  <si>
    <t>Capital/Startup Cost for One Respondent</t>
  </si>
  <si>
    <t>(C)</t>
  </si>
  <si>
    <t xml:space="preserve">Number of New Respondents </t>
  </si>
  <si>
    <t>Total Capital/Startup Cost, (B X C)</t>
  </si>
  <si>
    <t>(E)</t>
  </si>
  <si>
    <t>Annual O&amp;M Costs for One Respondent</t>
  </si>
  <si>
    <t>Number of Respondents with O&amp;M</t>
  </si>
  <si>
    <t>Total O&amp;M,</t>
  </si>
  <si>
    <t>(E X F)</t>
  </si>
  <si>
    <t>SO2, PM, and NOx</t>
  </si>
  <si>
    <t>Total (rounded)</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</si>
  <si>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</si>
  <si>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</si>
  <si>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</si>
  <si>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</si>
  <si>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</si>
  <si>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</si>
  <si>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</si>
  <si>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</si>
  <si>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</si>
  <si>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</si>
  <si>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OLD - From 1053.12</t>
  </si>
  <si>
    <t>Total Annual Responses</t>
  </si>
  <si>
    <t>Information Collection Activity</t>
  </si>
  <si>
    <t>Number of Responses</t>
  </si>
  <si>
    <t>Number of Existing Respondents That Keep Records But Do Not Submit Reports</t>
  </si>
  <si>
    <t>Notification of construction/ reconstruction</t>
  </si>
  <si>
    <t>Notify of initial performance test</t>
  </si>
  <si>
    <t>Semiannual report</t>
  </si>
  <si>
    <t>Quarterly report</t>
  </si>
  <si>
    <t>Total</t>
  </si>
  <si>
    <t>&lt;--Update Rates</t>
  </si>
  <si>
    <r>
      <t>a</t>
    </r>
    <r>
      <rPr>
        <sz val="10"/>
        <color theme="1"/>
        <rFont val="Times New Roman"/>
        <family val="1"/>
      </rPr>
      <t xml:space="preserve">  We have assumed that there are an average of 732 existing respondents subject to the rule and no new sources that will become subject to the rule over the three-year period of this ICR.</t>
    </r>
  </si>
  <si>
    <r>
      <t xml:space="preserve">b </t>
    </r>
    <r>
      <rPr>
        <sz val="10"/>
        <color theme="1"/>
        <rFont val="Times New Roman"/>
        <family val="1"/>
      </rPr>
      <t xml:space="preserve"> This ICR uses the following labor rates: $121.46 for technical, $148.45 for managerial,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</si>
  <si>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 xml:space="preserve">b </t>
    </r>
    <r>
      <rPr>
        <sz val="10"/>
        <color theme="1"/>
        <rFont val="Times New Roman"/>
        <family val="1"/>
      </rPr>
      <t xml:space="preserve"> This ICR uses the following labor rates: $50.72 for technical, $68.37 for managerial, and $27.46 for clerical labor.  These rates are from the Office of Personnel Management (OPM) 2020 General Schedule, which excludes locality rates of pay.  The rates have been increased by 60 percent to account for the benefit packages available to government employees.</t>
    </r>
  </si>
  <si>
    <t>Total Annual Responses
E=(BxC)+D</t>
  </si>
  <si>
    <t>For 1053.13 - Based on the average number of existing respondents from prior ICR, with no new respondents anticipated (reflects closures in industry)</t>
  </si>
  <si>
    <r>
      <t xml:space="preserve">d </t>
    </r>
    <r>
      <rPr>
        <sz val="10"/>
        <color theme="1"/>
        <rFont val="Times New Roman"/>
        <family val="1"/>
      </rPr>
      <t xml:space="preserve"> We have assumed that 20 percent of initial performance tests will be repeated due to failure.</t>
    </r>
  </si>
  <si>
    <r>
      <t xml:space="preserve">TOTAL (rounded) </t>
    </r>
    <r>
      <rPr>
        <b/>
        <vertAlign val="superscript"/>
        <sz val="10"/>
        <color theme="1"/>
        <rFont val="Times New Roman"/>
        <family val="1"/>
      </rPr>
      <t>f</t>
    </r>
  </si>
  <si>
    <r>
      <t xml:space="preserve">TOTAL LABOR BURDEN AND COSTS (rounded) </t>
    </r>
    <r>
      <rPr>
        <b/>
        <vertAlign val="superscript"/>
        <sz val="10"/>
        <color theme="1"/>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</si>
</sst>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8"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b/>
      <sz val="12"/>
      <color theme="1"/>
      <name val="Times New Roman"/>
      <family val="1"/>
    </font>
    <font>
      <sz val="11"/>
      <color rgb="FFFF0000"/>
      <name val="Calibri"/>
      <family val="2"/>
      <scheme val="minor"/>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b/>
      <sz val="9"/>
      <color theme="1"/>
      <name val="Times New Roman"/>
      <family val="1"/>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rgb="FF000000"/>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000000"/>
      </right>
      <top style="medium">
        <color rgb="FFFFFFF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8">
    <xf numFmtId="0" fontId="0" fillId="0" borderId="0" xfId="0"/>
    <xf numFmtId="0" fontId="1"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3" fontId="2" fillId="0" borderId="1" xfId="0" applyNumberFormat="1" applyFont="1" applyBorder="1" applyAlignment="1">
      <alignment horizontal="center" vertical="center" wrapText="1"/>
    </xf>
    <xf numFmtId="0" fontId="6"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0" fillId="0" borderId="1" xfId="0" applyBorder="1"/>
    <xf numFmtId="0" fontId="5" fillId="0" borderId="0" xfId="0" applyFont="1" applyAlignment="1">
      <alignment horizontal="left" vertical="center"/>
    </xf>
    <xf numFmtId="0" fontId="3" fillId="0" borderId="0" xfId="0" applyFont="1" applyAlignment="1">
      <alignment vertical="center"/>
    </xf>
    <xf numFmtId="6" fontId="2" fillId="0" borderId="1" xfId="0" applyNumberFormat="1" applyFont="1" applyBorder="1" applyAlignment="1">
      <alignment horizontal="right" vertical="center" wrapText="1"/>
    </xf>
    <xf numFmtId="0" fontId="5" fillId="0" borderId="0" xfId="0" applyFont="1"/>
    <xf numFmtId="0" fontId="7" fillId="0" borderId="0" xfId="0" applyFont="1" applyAlignment="1">
      <alignment vertical="center"/>
    </xf>
    <xf numFmtId="0" fontId="5" fillId="0" borderId="0" xfId="0" applyFont="1" applyAlignment="1">
      <alignment vertical="center"/>
    </xf>
    <xf numFmtId="1" fontId="0" fillId="0" borderId="0" xfId="0" applyNumberFormat="1"/>
    <xf numFmtId="0" fontId="8" fillId="0" borderId="0" xfId="0" applyFont="1"/>
    <xf numFmtId="0" fontId="11" fillId="0" borderId="9" xfId="0" applyFont="1" applyBorder="1" applyAlignment="1">
      <alignment horizontal="center" vertical="center" wrapText="1"/>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vertical="center" wrapText="1"/>
    </xf>
    <xf numFmtId="0" fontId="11" fillId="0" borderId="12"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13" fillId="0" borderId="9" xfId="0" applyFont="1" applyBorder="1" applyAlignment="1">
      <alignment vertical="center" wrapText="1"/>
    </xf>
    <xf numFmtId="0" fontId="0" fillId="0" borderId="9"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6" xfId="0" applyBorder="1" applyAlignment="1">
      <alignment vertical="top"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Border="1"/>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3" fillId="0" borderId="1" xfId="0" applyFont="1" applyBorder="1" applyAlignment="1">
      <alignment vertical="center" wrapText="1"/>
    </xf>
    <xf numFmtId="0" fontId="16"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vertical="top" wrapText="1"/>
    </xf>
    <xf numFmtId="6"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6" fontId="1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28" xfId="0" applyFont="1" applyBorder="1" applyAlignment="1">
      <alignment vertical="center" wrapText="1"/>
    </xf>
    <xf numFmtId="0" fontId="11" fillId="0" borderId="29"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top" wrapText="1"/>
    </xf>
    <xf numFmtId="6" fontId="0" fillId="0" borderId="0" xfId="0" applyNumberFormat="1"/>
    <xf numFmtId="3" fontId="17" fillId="0" borderId="1" xfId="0" applyNumberFormat="1" applyFont="1" applyBorder="1" applyAlignment="1">
      <alignment horizontal="center" vertical="center" wrapText="1"/>
    </xf>
    <xf numFmtId="0" fontId="11" fillId="0" borderId="32" xfId="0" applyFont="1" applyBorder="1" applyAlignment="1">
      <alignment vertical="center" wrapText="1"/>
    </xf>
    <xf numFmtId="0" fontId="11" fillId="0" borderId="30"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1" fillId="0" borderId="35" xfId="0" applyFont="1" applyBorder="1" applyAlignment="1">
      <alignment vertical="center" wrapText="1"/>
    </xf>
    <xf numFmtId="0" fontId="13" fillId="0" borderId="38" xfId="0"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1" xfId="0" applyFont="1" applyBorder="1" applyAlignment="1">
      <alignment vertical="center" wrapText="1"/>
    </xf>
    <xf numFmtId="0" fontId="0" fillId="0" borderId="42" xfId="0" applyBorder="1" applyAlignment="1">
      <alignmen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5" fillId="0" borderId="45" xfId="0" applyFont="1" applyBorder="1" applyAlignment="1">
      <alignment horizontal="center" vertical="center" wrapText="1"/>
    </xf>
    <xf numFmtId="3" fontId="0" fillId="0" borderId="0" xfId="0" applyNumberFormat="1" applyFill="1"/>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6" fillId="0" borderId="32"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2" xfId="0" applyFont="1" applyBorder="1" applyAlignment="1">
      <alignment vertical="center" wrapText="1"/>
    </xf>
    <xf numFmtId="1" fontId="2"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1" xfId="0" applyFont="1" applyBorder="1" applyAlignment="1">
      <alignment vertical="center" wrapText="1"/>
    </xf>
    <xf numFmtId="0" fontId="10" fillId="0" borderId="3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9" xfId="0" applyFont="1" applyBorder="1" applyAlignment="1">
      <alignment horizontal="center"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6" xfId="0" applyFont="1" applyBorder="1" applyAlignment="1">
      <alignment vertical="center" wrapText="1"/>
    </xf>
    <xf numFmtId="0" fontId="10" fillId="0" borderId="38" xfId="0" applyFont="1" applyBorder="1" applyAlignment="1">
      <alignment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37" xfId="0" applyFont="1" applyBorder="1" applyAlignment="1">
      <alignment vertical="center" wrapText="1"/>
    </xf>
    <xf numFmtId="0" fontId="13" fillId="0" borderId="31" xfId="0" applyFont="1" applyBorder="1" applyAlignment="1">
      <alignment vertical="center" wrapText="1"/>
    </xf>
    <xf numFmtId="0" fontId="13" fillId="0" borderId="16" xfId="0" applyFont="1" applyBorder="1" applyAlignment="1">
      <alignment vertical="center" wrapText="1"/>
    </xf>
    <xf numFmtId="0" fontId="13" fillId="0" borderId="29"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8" xfId="0" applyFont="1" applyBorder="1" applyAlignment="1">
      <alignment vertical="center" wrapText="1"/>
    </xf>
    <xf numFmtId="0" fontId="10" fillId="0" borderId="8" xfId="0" applyFont="1" applyBorder="1" applyAlignment="1">
      <alignment vertical="center" wrapText="1"/>
    </xf>
    <xf numFmtId="0" fontId="13" fillId="0" borderId="19"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10" xfId="0" applyFont="1" applyBorder="1" applyAlignment="1">
      <alignment vertical="center" wrapText="1"/>
    </xf>
    <xf numFmtId="0" fontId="13" fillId="0" borderId="22" xfId="0" applyFont="1" applyBorder="1" applyAlignment="1">
      <alignment vertical="center" wrapText="1"/>
    </xf>
    <xf numFmtId="0" fontId="13"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90" zoomScaleNormal="90" workbookViewId="0">
      <selection activeCell="A21" sqref="A21"/>
    </sheetView>
  </sheetViews>
  <sheetFormatPr defaultRowHeight="14.5" x14ac:dyDescent="0.35"/>
  <cols>
    <col min="1" max="1" width="57.453125" customWidth="1"/>
    <col min="2" max="2" width="10.1796875" customWidth="1"/>
    <col min="3" max="3" width="11.453125" customWidth="1"/>
    <col min="4" max="4" width="9.7265625" customWidth="1"/>
    <col min="5" max="5" width="10.54296875" customWidth="1"/>
    <col min="7" max="7" width="11.453125" customWidth="1"/>
    <col min="8" max="8" width="9.54296875" customWidth="1"/>
    <col min="9" max="9" width="13.1796875" customWidth="1"/>
  </cols>
  <sheetData>
    <row r="1" spans="1:10" x14ac:dyDescent="0.35">
      <c r="A1" s="1" t="s">
        <v>33</v>
      </c>
    </row>
    <row r="2" spans="1:10" x14ac:dyDescent="0.35">
      <c r="F2">
        <v>121.46</v>
      </c>
      <c r="G2">
        <v>148.44999999999999</v>
      </c>
      <c r="H2">
        <v>60.23</v>
      </c>
      <c r="J2" s="23"/>
    </row>
    <row r="3" spans="1:10" x14ac:dyDescent="0.35">
      <c r="A3" s="90" t="s">
        <v>0</v>
      </c>
      <c r="B3" s="2" t="s">
        <v>1</v>
      </c>
      <c r="C3" s="2" t="s">
        <v>2</v>
      </c>
      <c r="D3" s="2" t="s">
        <v>3</v>
      </c>
      <c r="E3" s="2" t="s">
        <v>4</v>
      </c>
      <c r="F3" s="2" t="s">
        <v>5</v>
      </c>
      <c r="G3" s="2" t="s">
        <v>6</v>
      </c>
      <c r="H3" s="2" t="s">
        <v>7</v>
      </c>
      <c r="I3" s="2" t="s">
        <v>8</v>
      </c>
    </row>
    <row r="4" spans="1:10" ht="65" x14ac:dyDescent="0.35">
      <c r="A4" s="90"/>
      <c r="B4" s="3" t="s">
        <v>34</v>
      </c>
      <c r="C4" s="3" t="s">
        <v>35</v>
      </c>
      <c r="D4" s="3" t="s">
        <v>36</v>
      </c>
      <c r="E4" s="3" t="s">
        <v>37</v>
      </c>
      <c r="F4" s="3" t="s">
        <v>38</v>
      </c>
      <c r="G4" s="3" t="s">
        <v>39</v>
      </c>
      <c r="H4" s="3" t="s">
        <v>40</v>
      </c>
      <c r="I4" s="3" t="s">
        <v>42</v>
      </c>
    </row>
    <row r="5" spans="1:10" x14ac:dyDescent="0.35">
      <c r="A5" s="4" t="s">
        <v>9</v>
      </c>
      <c r="B5" s="5" t="s">
        <v>10</v>
      </c>
      <c r="C5" s="6"/>
      <c r="D5" s="6"/>
      <c r="E5" s="6"/>
      <c r="F5" s="6"/>
      <c r="G5" s="6"/>
      <c r="H5" s="6"/>
      <c r="I5" s="7"/>
    </row>
    <row r="6" spans="1:10" x14ac:dyDescent="0.35">
      <c r="A6" s="4" t="s">
        <v>11</v>
      </c>
      <c r="B6" s="5" t="s">
        <v>10</v>
      </c>
      <c r="C6" s="6"/>
      <c r="D6" s="6"/>
      <c r="E6" s="6"/>
      <c r="F6" s="6"/>
      <c r="G6" s="6"/>
      <c r="H6" s="6"/>
      <c r="I6" s="7"/>
    </row>
    <row r="7" spans="1:10" x14ac:dyDescent="0.35">
      <c r="A7" s="4" t="s">
        <v>12</v>
      </c>
      <c r="B7" s="6"/>
      <c r="C7" s="6"/>
      <c r="D7" s="6"/>
      <c r="E7" s="6"/>
      <c r="F7" s="6"/>
      <c r="G7" s="6"/>
      <c r="H7" s="6"/>
      <c r="I7" s="7"/>
    </row>
    <row r="8" spans="1:10" ht="15.5" x14ac:dyDescent="0.35">
      <c r="A8" s="8" t="s">
        <v>43</v>
      </c>
      <c r="B8" s="5">
        <v>1</v>
      </c>
      <c r="C8" s="5">
        <v>1</v>
      </c>
      <c r="D8" s="5">
        <f>B8*C8</f>
        <v>1</v>
      </c>
      <c r="E8" s="55">
        <v>732</v>
      </c>
      <c r="F8" s="5">
        <f>D8*E8</f>
        <v>732</v>
      </c>
      <c r="G8" s="5">
        <f>+F8*0.05</f>
        <v>36.6</v>
      </c>
      <c r="H8" s="5">
        <f>+F8*0.1</f>
        <v>73.2</v>
      </c>
      <c r="I8" s="9">
        <f>+$F$2*F8+$G$2*G8+$H$2*H8</f>
        <v>98750.826000000001</v>
      </c>
      <c r="J8" s="23"/>
    </row>
    <row r="9" spans="1:10" x14ac:dyDescent="0.35">
      <c r="A9" s="8" t="s">
        <v>13</v>
      </c>
      <c r="B9" s="6"/>
      <c r="C9" s="6"/>
      <c r="D9" s="5"/>
      <c r="E9" s="56"/>
      <c r="F9" s="6"/>
      <c r="G9" s="6"/>
      <c r="H9" s="6"/>
      <c r="I9" s="9"/>
    </row>
    <row r="10" spans="1:10" x14ac:dyDescent="0.35">
      <c r="A10" s="10" t="s">
        <v>14</v>
      </c>
      <c r="B10" s="5">
        <v>160</v>
      </c>
      <c r="C10" s="5">
        <v>1</v>
      </c>
      <c r="D10" s="5">
        <f t="shared" ref="D10:D29" si="0">B10*C10</f>
        <v>160</v>
      </c>
      <c r="E10" s="55">
        <v>0</v>
      </c>
      <c r="F10" s="11">
        <f t="shared" ref="F10:F22" si="1">D10*E10</f>
        <v>0</v>
      </c>
      <c r="G10" s="5">
        <f t="shared" ref="G10:G22" si="2">+F10*0.05</f>
        <v>0</v>
      </c>
      <c r="H10" s="5">
        <f t="shared" ref="H10:H22" si="3">+F10*0.1</f>
        <v>0</v>
      </c>
      <c r="I10" s="18">
        <f t="shared" ref="I10:I22" si="4">+$F$2*F10+$G$2*G10+$H$2*H10</f>
        <v>0</v>
      </c>
      <c r="J10" s="23"/>
    </row>
    <row r="11" spans="1:10" x14ac:dyDescent="0.35">
      <c r="A11" s="10" t="s">
        <v>15</v>
      </c>
      <c r="B11" s="5">
        <v>4</v>
      </c>
      <c r="C11" s="5">
        <v>30</v>
      </c>
      <c r="D11" s="5">
        <f t="shared" si="0"/>
        <v>120</v>
      </c>
      <c r="E11" s="55">
        <v>0</v>
      </c>
      <c r="F11" s="11">
        <f t="shared" si="1"/>
        <v>0</v>
      </c>
      <c r="G11" s="5">
        <f t="shared" si="2"/>
        <v>0</v>
      </c>
      <c r="H11" s="5">
        <f t="shared" si="3"/>
        <v>0</v>
      </c>
      <c r="I11" s="18">
        <f t="shared" si="4"/>
        <v>0</v>
      </c>
      <c r="J11" s="23"/>
    </row>
    <row r="12" spans="1:10" ht="15.5" x14ac:dyDescent="0.35">
      <c r="A12" s="10" t="s">
        <v>58</v>
      </c>
      <c r="B12" s="5">
        <v>60</v>
      </c>
      <c r="C12" s="5">
        <v>0.2</v>
      </c>
      <c r="D12" s="5">
        <f t="shared" si="0"/>
        <v>12</v>
      </c>
      <c r="E12" s="55">
        <v>0</v>
      </c>
      <c r="F12" s="5">
        <f t="shared" si="1"/>
        <v>0</v>
      </c>
      <c r="G12" s="5">
        <f t="shared" si="2"/>
        <v>0</v>
      </c>
      <c r="H12" s="5">
        <f t="shared" si="3"/>
        <v>0</v>
      </c>
      <c r="I12" s="18">
        <f t="shared" si="4"/>
        <v>0</v>
      </c>
      <c r="J12" s="23"/>
    </row>
    <row r="13" spans="1:10" x14ac:dyDescent="0.35">
      <c r="A13" s="8" t="s">
        <v>16</v>
      </c>
      <c r="B13" s="5" t="s">
        <v>17</v>
      </c>
      <c r="C13" s="6"/>
      <c r="D13" s="5"/>
      <c r="E13" s="56"/>
      <c r="F13" s="6"/>
      <c r="G13" s="6"/>
      <c r="H13" s="6"/>
      <c r="I13" s="18"/>
    </row>
    <row r="14" spans="1:10" x14ac:dyDescent="0.35">
      <c r="A14" s="8" t="s">
        <v>18</v>
      </c>
      <c r="B14" s="5" t="s">
        <v>19</v>
      </c>
      <c r="C14" s="6"/>
      <c r="D14" s="5"/>
      <c r="E14" s="56"/>
      <c r="F14" s="6"/>
      <c r="G14" s="6"/>
      <c r="H14" s="6"/>
      <c r="I14" s="18"/>
    </row>
    <row r="15" spans="1:10" x14ac:dyDescent="0.35">
      <c r="A15" s="8" t="s">
        <v>20</v>
      </c>
      <c r="B15" s="6"/>
      <c r="C15" s="6"/>
      <c r="D15" s="5"/>
      <c r="E15" s="56"/>
      <c r="F15" s="6"/>
      <c r="G15" s="6"/>
      <c r="H15" s="6"/>
      <c r="I15" s="18"/>
    </row>
    <row r="16" spans="1:10" x14ac:dyDescent="0.35">
      <c r="A16" s="10" t="s">
        <v>74</v>
      </c>
      <c r="B16" s="5">
        <v>2</v>
      </c>
      <c r="C16" s="5">
        <v>1</v>
      </c>
      <c r="D16" s="5">
        <f t="shared" si="0"/>
        <v>2</v>
      </c>
      <c r="E16" s="55">
        <v>0</v>
      </c>
      <c r="F16" s="5">
        <f t="shared" si="1"/>
        <v>0</v>
      </c>
      <c r="G16" s="5">
        <f t="shared" si="2"/>
        <v>0</v>
      </c>
      <c r="H16" s="5">
        <f t="shared" si="3"/>
        <v>0</v>
      </c>
      <c r="I16" s="18">
        <f t="shared" si="4"/>
        <v>0</v>
      </c>
      <c r="J16" s="23"/>
    </row>
    <row r="17" spans="1:12" x14ac:dyDescent="0.35">
      <c r="A17" s="10" t="s">
        <v>67</v>
      </c>
      <c r="B17" s="5">
        <v>2</v>
      </c>
      <c r="C17" s="5">
        <v>1</v>
      </c>
      <c r="D17" s="5">
        <f t="shared" si="0"/>
        <v>2</v>
      </c>
      <c r="E17" s="55">
        <v>0</v>
      </c>
      <c r="F17" s="5">
        <f t="shared" si="1"/>
        <v>0</v>
      </c>
      <c r="G17" s="5">
        <f t="shared" si="2"/>
        <v>0</v>
      </c>
      <c r="H17" s="5">
        <f t="shared" si="3"/>
        <v>0</v>
      </c>
      <c r="I17" s="18">
        <f t="shared" si="4"/>
        <v>0</v>
      </c>
      <c r="J17" s="23"/>
    </row>
    <row r="18" spans="1:12" x14ac:dyDescent="0.35">
      <c r="A18" s="10" t="s">
        <v>73</v>
      </c>
      <c r="B18" s="5">
        <v>2</v>
      </c>
      <c r="C18" s="5">
        <v>1.2</v>
      </c>
      <c r="D18" s="5">
        <f t="shared" si="0"/>
        <v>2.4</v>
      </c>
      <c r="E18" s="55">
        <v>0</v>
      </c>
      <c r="F18" s="5">
        <f t="shared" si="1"/>
        <v>0</v>
      </c>
      <c r="G18" s="5">
        <f t="shared" si="2"/>
        <v>0</v>
      </c>
      <c r="H18" s="5">
        <f t="shared" si="3"/>
        <v>0</v>
      </c>
      <c r="I18" s="18">
        <f t="shared" si="4"/>
        <v>0</v>
      </c>
      <c r="J18" s="23"/>
    </row>
    <row r="19" spans="1:12" x14ac:dyDescent="0.35">
      <c r="A19" s="10" t="s">
        <v>21</v>
      </c>
      <c r="B19" s="5">
        <v>2</v>
      </c>
      <c r="C19" s="5">
        <v>1</v>
      </c>
      <c r="D19" s="5">
        <f t="shared" si="0"/>
        <v>2</v>
      </c>
      <c r="E19" s="55">
        <v>0</v>
      </c>
      <c r="F19" s="5">
        <f t="shared" si="1"/>
        <v>0</v>
      </c>
      <c r="G19" s="5">
        <f t="shared" si="2"/>
        <v>0</v>
      </c>
      <c r="H19" s="5">
        <f t="shared" si="3"/>
        <v>0</v>
      </c>
      <c r="I19" s="18">
        <f t="shared" si="4"/>
        <v>0</v>
      </c>
      <c r="J19" s="23"/>
    </row>
    <row r="20" spans="1:12" x14ac:dyDescent="0.35">
      <c r="A20" s="10" t="s">
        <v>22</v>
      </c>
      <c r="B20" s="5" t="s">
        <v>17</v>
      </c>
      <c r="C20" s="6"/>
      <c r="D20" s="5"/>
      <c r="E20" s="56"/>
      <c r="F20" s="6"/>
      <c r="G20" s="6"/>
      <c r="H20" s="6"/>
      <c r="I20" s="9"/>
    </row>
    <row r="21" spans="1:12" ht="15.5" x14ac:dyDescent="0.35">
      <c r="A21" s="10" t="s">
        <v>46</v>
      </c>
      <c r="B21" s="5">
        <v>8</v>
      </c>
      <c r="C21" s="5">
        <v>2</v>
      </c>
      <c r="D21" s="5">
        <f t="shared" si="0"/>
        <v>16</v>
      </c>
      <c r="E21" s="83">
        <f>0.8*E8</f>
        <v>585.6</v>
      </c>
      <c r="F21" s="11">
        <f t="shared" si="1"/>
        <v>9369.6</v>
      </c>
      <c r="G21" s="11">
        <f t="shared" si="2"/>
        <v>468.48</v>
      </c>
      <c r="H21" s="11">
        <f t="shared" si="3"/>
        <v>936.96</v>
      </c>
      <c r="I21" s="9">
        <f t="shared" si="4"/>
        <v>1264010.5727999997</v>
      </c>
      <c r="J21" s="23"/>
    </row>
    <row r="22" spans="1:12" ht="15.5" x14ac:dyDescent="0.35">
      <c r="A22" s="10" t="s">
        <v>47</v>
      </c>
      <c r="B22" s="5">
        <v>8</v>
      </c>
      <c r="C22" s="5">
        <v>4</v>
      </c>
      <c r="D22" s="5">
        <f t="shared" si="0"/>
        <v>32</v>
      </c>
      <c r="E22" s="83">
        <f>0.2*E8</f>
        <v>146.4</v>
      </c>
      <c r="F22" s="11">
        <f t="shared" si="1"/>
        <v>4684.8</v>
      </c>
      <c r="G22" s="11">
        <f t="shared" si="2"/>
        <v>234.24</v>
      </c>
      <c r="H22" s="11">
        <f t="shared" si="3"/>
        <v>468.48</v>
      </c>
      <c r="I22" s="9">
        <f t="shared" si="4"/>
        <v>632005.28639999987</v>
      </c>
      <c r="J22" s="23"/>
    </row>
    <row r="23" spans="1:12" x14ac:dyDescent="0.35">
      <c r="A23" s="12" t="s">
        <v>23</v>
      </c>
      <c r="B23" s="6"/>
      <c r="C23" s="6"/>
      <c r="D23" s="5"/>
      <c r="E23" s="56"/>
      <c r="F23" s="91">
        <f>SUM(F8:H22)</f>
        <v>17004.36</v>
      </c>
      <c r="G23" s="91"/>
      <c r="H23" s="91"/>
      <c r="I23" s="13">
        <f>SUM(I8:I22)</f>
        <v>1994766.6851999995</v>
      </c>
    </row>
    <row r="24" spans="1:12" x14ac:dyDescent="0.35">
      <c r="A24" s="4" t="s">
        <v>24</v>
      </c>
      <c r="B24" s="6"/>
      <c r="C24" s="6"/>
      <c r="D24" s="5"/>
      <c r="E24" s="56"/>
      <c r="F24" s="6"/>
      <c r="G24" s="6"/>
      <c r="H24" s="6"/>
      <c r="I24" s="7"/>
    </row>
    <row r="25" spans="1:12" x14ac:dyDescent="0.35">
      <c r="A25" s="8" t="s">
        <v>41</v>
      </c>
      <c r="B25" s="5" t="s">
        <v>25</v>
      </c>
      <c r="C25" s="6"/>
      <c r="D25" s="5"/>
      <c r="E25" s="56"/>
      <c r="F25" s="6"/>
      <c r="G25" s="6"/>
      <c r="H25" s="6"/>
      <c r="I25" s="7"/>
    </row>
    <row r="26" spans="1:12" x14ac:dyDescent="0.35">
      <c r="A26" s="8" t="s">
        <v>26</v>
      </c>
      <c r="B26" s="5" t="s">
        <v>27</v>
      </c>
      <c r="C26" s="6"/>
      <c r="D26" s="5"/>
      <c r="E26" s="56"/>
      <c r="F26" s="6"/>
      <c r="G26" s="6"/>
      <c r="H26" s="6"/>
      <c r="I26" s="7"/>
    </row>
    <row r="27" spans="1:12" x14ac:dyDescent="0.35">
      <c r="A27" s="10" t="s">
        <v>28</v>
      </c>
      <c r="B27" s="5" t="s">
        <v>17</v>
      </c>
      <c r="C27" s="6"/>
      <c r="D27" s="5"/>
      <c r="E27" s="56"/>
      <c r="F27" s="6"/>
      <c r="G27" s="6"/>
      <c r="H27" s="6"/>
      <c r="I27" s="7"/>
    </row>
    <row r="28" spans="1:12" x14ac:dyDescent="0.35">
      <c r="A28" s="10" t="s">
        <v>29</v>
      </c>
      <c r="B28" s="5" t="s">
        <v>10</v>
      </c>
      <c r="C28" s="6"/>
      <c r="D28" s="5"/>
      <c r="E28" s="56"/>
      <c r="F28" s="6"/>
      <c r="G28" s="6"/>
      <c r="H28" s="6"/>
      <c r="I28" s="7"/>
    </row>
    <row r="29" spans="1:12" ht="15.5" x14ac:dyDescent="0.35">
      <c r="A29" s="8" t="s">
        <v>48</v>
      </c>
      <c r="B29" s="5">
        <v>0.5</v>
      </c>
      <c r="C29" s="5">
        <v>365</v>
      </c>
      <c r="D29" s="5">
        <f t="shared" si="0"/>
        <v>182.5</v>
      </c>
      <c r="E29" s="55">
        <v>732</v>
      </c>
      <c r="F29" s="11">
        <f t="shared" ref="F29" si="5">D29*E29</f>
        <v>133590</v>
      </c>
      <c r="G29" s="11">
        <f t="shared" ref="G29" si="6">+F29*0.05</f>
        <v>6679.5</v>
      </c>
      <c r="H29" s="11">
        <f t="shared" ref="H29" si="7">+F29*0.1</f>
        <v>13359</v>
      </c>
      <c r="I29" s="9">
        <f t="shared" ref="I29" si="8">+$F$2*F29+$G$2*G29+$H$2*H29</f>
        <v>18022025.744999997</v>
      </c>
      <c r="J29" s="23"/>
    </row>
    <row r="30" spans="1:12" x14ac:dyDescent="0.35">
      <c r="A30" s="8" t="s">
        <v>30</v>
      </c>
      <c r="B30" s="5" t="s">
        <v>10</v>
      </c>
      <c r="C30" s="6"/>
      <c r="D30" s="5"/>
      <c r="E30" s="6"/>
      <c r="F30" s="6"/>
      <c r="G30" s="6"/>
      <c r="H30" s="6"/>
      <c r="I30" s="7"/>
    </row>
    <row r="31" spans="1:12" x14ac:dyDescent="0.35">
      <c r="A31" s="8" t="s">
        <v>31</v>
      </c>
      <c r="B31" s="5" t="s">
        <v>10</v>
      </c>
      <c r="C31" s="6"/>
      <c r="D31" s="5"/>
      <c r="E31" s="6"/>
      <c r="F31" s="6"/>
      <c r="G31" s="6"/>
      <c r="H31" s="6"/>
      <c r="I31" s="7"/>
    </row>
    <row r="32" spans="1:12" x14ac:dyDescent="0.35">
      <c r="A32" s="12" t="s">
        <v>32</v>
      </c>
      <c r="B32" s="6"/>
      <c r="C32" s="6"/>
      <c r="D32" s="6"/>
      <c r="E32" s="6"/>
      <c r="F32" s="91">
        <f>SUM(F24:H31)</f>
        <v>153628.5</v>
      </c>
      <c r="G32" s="91"/>
      <c r="H32" s="91"/>
      <c r="I32" s="13">
        <f>SUM(I24:I31)</f>
        <v>18022025.744999997</v>
      </c>
      <c r="K32" t="s">
        <v>89</v>
      </c>
      <c r="L32" t="s">
        <v>90</v>
      </c>
    </row>
    <row r="33" spans="1:12" ht="15" x14ac:dyDescent="0.35">
      <c r="A33" s="14" t="s">
        <v>132</v>
      </c>
      <c r="B33" s="14"/>
      <c r="C33" s="14"/>
      <c r="D33" s="14"/>
      <c r="E33" s="14"/>
      <c r="F33" s="91">
        <f>ROUND(F23+F32,-3)</f>
        <v>171000</v>
      </c>
      <c r="G33" s="91"/>
      <c r="H33" s="91"/>
      <c r="I33" s="13">
        <f>ROUND(I23+I32,-5)</f>
        <v>20000000</v>
      </c>
      <c r="K33" s="75">
        <f>'Total Annual Responses'!F13</f>
        <v>1756</v>
      </c>
      <c r="L33" s="22">
        <f>F33/K33</f>
        <v>97.380410022779046</v>
      </c>
    </row>
    <row r="34" spans="1:12" ht="15" x14ac:dyDescent="0.35">
      <c r="A34" s="14" t="s">
        <v>50</v>
      </c>
      <c r="B34" s="15"/>
      <c r="C34" s="15"/>
      <c r="D34" s="15"/>
      <c r="E34" s="15"/>
      <c r="F34" s="15"/>
      <c r="G34" s="15"/>
      <c r="H34" s="15"/>
      <c r="I34" s="13">
        <f>ROUND('Capital &amp; O&amp;M'!H9,-5)</f>
        <v>11000000</v>
      </c>
    </row>
    <row r="35" spans="1:12" ht="15" x14ac:dyDescent="0.35">
      <c r="A35" s="14" t="s">
        <v>49</v>
      </c>
      <c r="B35" s="15"/>
      <c r="C35" s="15"/>
      <c r="D35" s="15"/>
      <c r="E35" s="15"/>
      <c r="F35" s="15"/>
      <c r="G35" s="15"/>
      <c r="H35" s="15"/>
      <c r="I35" s="13">
        <f>ROUND(SUM(I33:I34),-5)</f>
        <v>31000000</v>
      </c>
    </row>
    <row r="37" spans="1:12" x14ac:dyDescent="0.35">
      <c r="A37" s="17" t="s">
        <v>44</v>
      </c>
    </row>
    <row r="38" spans="1:12" ht="15.5" x14ac:dyDescent="0.35">
      <c r="A38" s="16" t="s">
        <v>125</v>
      </c>
    </row>
    <row r="39" spans="1:12" ht="15.5" x14ac:dyDescent="0.35">
      <c r="A39" s="16" t="s">
        <v>126</v>
      </c>
    </row>
    <row r="40" spans="1:12" ht="15.5" x14ac:dyDescent="0.35">
      <c r="A40" s="16" t="s">
        <v>45</v>
      </c>
    </row>
    <row r="41" spans="1:12" ht="15.5" x14ac:dyDescent="0.35">
      <c r="A41" s="16" t="s">
        <v>130</v>
      </c>
    </row>
    <row r="42" spans="1:12" ht="15.5" x14ac:dyDescent="0.35">
      <c r="A42" s="16" t="s">
        <v>51</v>
      </c>
    </row>
    <row r="43" spans="1:12" ht="15.5" x14ac:dyDescent="0.35">
      <c r="A43" s="16" t="s">
        <v>52</v>
      </c>
    </row>
    <row r="44" spans="1:12" ht="15.5" x14ac:dyDescent="0.35">
      <c r="A44" s="16" t="s">
        <v>53</v>
      </c>
    </row>
    <row r="45" spans="1:12" ht="15.5" x14ac:dyDescent="0.35">
      <c r="A45" s="16" t="s">
        <v>54</v>
      </c>
    </row>
  </sheetData>
  <mergeCells count="4">
    <mergeCell ref="A3:A4"/>
    <mergeCell ref="F23:H23"/>
    <mergeCell ref="F32:H32"/>
    <mergeCell ref="F33:H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workbookViewId="0">
      <selection activeCell="A16" sqref="A16"/>
    </sheetView>
  </sheetViews>
  <sheetFormatPr defaultRowHeight="14.5" x14ac:dyDescent="0.35"/>
  <cols>
    <col min="1" max="1" width="42.453125" customWidth="1"/>
    <col min="2" max="2" width="14.1796875" customWidth="1"/>
    <col min="3" max="3" width="12.1796875" customWidth="1"/>
    <col min="4" max="4" width="12.26953125" customWidth="1"/>
    <col min="5" max="5" width="11" customWidth="1"/>
    <col min="6" max="6" width="11.81640625" customWidth="1"/>
    <col min="7" max="7" width="14" bestFit="1" customWidth="1"/>
    <col min="8" max="8" width="9.453125" customWidth="1"/>
    <col min="9" max="9" width="12.453125" customWidth="1"/>
  </cols>
  <sheetData>
    <row r="1" spans="1:10" x14ac:dyDescent="0.35">
      <c r="A1" s="1" t="s">
        <v>61</v>
      </c>
    </row>
    <row r="2" spans="1:10" x14ac:dyDescent="0.35">
      <c r="F2">
        <v>50.72</v>
      </c>
      <c r="G2">
        <v>68.37</v>
      </c>
      <c r="H2">
        <v>27.46</v>
      </c>
      <c r="J2" t="s">
        <v>124</v>
      </c>
    </row>
    <row r="3" spans="1:10" x14ac:dyDescent="0.35">
      <c r="A3" s="90" t="s">
        <v>0</v>
      </c>
      <c r="B3" s="2" t="s">
        <v>55</v>
      </c>
      <c r="C3" s="2" t="s">
        <v>56</v>
      </c>
      <c r="D3" s="2" t="s">
        <v>78</v>
      </c>
      <c r="E3" s="2" t="s">
        <v>57</v>
      </c>
      <c r="F3" s="2" t="s">
        <v>79</v>
      </c>
      <c r="G3" s="2" t="s">
        <v>59</v>
      </c>
      <c r="H3" s="2" t="s">
        <v>60</v>
      </c>
      <c r="I3" s="2" t="s">
        <v>80</v>
      </c>
    </row>
    <row r="4" spans="1:10" ht="65" x14ac:dyDescent="0.35">
      <c r="A4" s="90"/>
      <c r="B4" s="3" t="s">
        <v>76</v>
      </c>
      <c r="C4" s="3" t="s">
        <v>35</v>
      </c>
      <c r="D4" s="3" t="s">
        <v>77</v>
      </c>
      <c r="E4" s="3" t="s">
        <v>37</v>
      </c>
      <c r="F4" s="3" t="s">
        <v>81</v>
      </c>
      <c r="G4" s="3" t="s">
        <v>82</v>
      </c>
      <c r="H4" s="3" t="s">
        <v>83</v>
      </c>
      <c r="I4" s="3" t="s">
        <v>42</v>
      </c>
    </row>
    <row r="5" spans="1:10" x14ac:dyDescent="0.35">
      <c r="A5" s="4" t="s">
        <v>62</v>
      </c>
      <c r="B5" s="6"/>
      <c r="C5" s="6"/>
      <c r="D5" s="6"/>
      <c r="E5" s="6"/>
      <c r="F5" s="6"/>
      <c r="G5" s="6"/>
      <c r="H5" s="6"/>
      <c r="I5" s="7" t="s">
        <v>63</v>
      </c>
    </row>
    <row r="6" spans="1:10" x14ac:dyDescent="0.35">
      <c r="A6" s="8" t="s">
        <v>64</v>
      </c>
      <c r="B6" s="5">
        <v>24</v>
      </c>
      <c r="C6" s="5">
        <v>1.2</v>
      </c>
      <c r="D6" s="5">
        <f>+B6*C6</f>
        <v>28.799999999999997</v>
      </c>
      <c r="E6" s="55">
        <v>0</v>
      </c>
      <c r="F6" s="5">
        <f>+D6*E6</f>
        <v>0</v>
      </c>
      <c r="G6" s="88">
        <f>+F6*0.05</f>
        <v>0</v>
      </c>
      <c r="H6" s="5">
        <f>+F6*0.1</f>
        <v>0</v>
      </c>
      <c r="I6" s="18">
        <f>+$F$2*F6+$G$2*G6+$H$2*H6</f>
        <v>0</v>
      </c>
      <c r="J6" s="23"/>
    </row>
    <row r="7" spans="1:10" ht="15.5" x14ac:dyDescent="0.35">
      <c r="A7" s="8" t="s">
        <v>65</v>
      </c>
      <c r="B7" s="5">
        <v>40</v>
      </c>
      <c r="C7" s="5">
        <v>1.2</v>
      </c>
      <c r="D7" s="5">
        <f t="shared" ref="D7:D15" si="0">+B7*C7</f>
        <v>48</v>
      </c>
      <c r="E7" s="55">
        <v>0</v>
      </c>
      <c r="F7" s="5">
        <f t="shared" ref="F7:F15" si="1">+D7*E7</f>
        <v>0</v>
      </c>
      <c r="G7" s="88">
        <f t="shared" ref="G7:G15" si="2">+F7*0.05</f>
        <v>0</v>
      </c>
      <c r="H7" s="5">
        <f t="shared" ref="H7:H15" si="3">+F7*0.1</f>
        <v>0</v>
      </c>
      <c r="I7" s="18">
        <f t="shared" ref="I7:I15" si="4">+$F$2*F7+$G$2*G7+$H$2*H7</f>
        <v>0</v>
      </c>
      <c r="J7" s="23"/>
    </row>
    <row r="8" spans="1:10" x14ac:dyDescent="0.35">
      <c r="A8" s="4" t="s">
        <v>66</v>
      </c>
      <c r="B8" s="6"/>
      <c r="C8" s="6"/>
      <c r="D8" s="5"/>
      <c r="E8" s="56"/>
      <c r="F8" s="6"/>
      <c r="G8" s="89"/>
      <c r="H8" s="6"/>
      <c r="I8" s="18"/>
    </row>
    <row r="9" spans="1:10" x14ac:dyDescent="0.35">
      <c r="A9" s="8" t="s">
        <v>75</v>
      </c>
      <c r="B9" s="5">
        <v>2</v>
      </c>
      <c r="C9" s="5">
        <v>1</v>
      </c>
      <c r="D9" s="5">
        <f t="shared" si="0"/>
        <v>2</v>
      </c>
      <c r="E9" s="55">
        <v>0</v>
      </c>
      <c r="F9" s="5">
        <f t="shared" si="1"/>
        <v>0</v>
      </c>
      <c r="G9" s="88">
        <f t="shared" si="2"/>
        <v>0</v>
      </c>
      <c r="H9" s="5">
        <f t="shared" si="3"/>
        <v>0</v>
      </c>
      <c r="I9" s="18">
        <f t="shared" si="4"/>
        <v>0</v>
      </c>
      <c r="J9" s="23"/>
    </row>
    <row r="10" spans="1:10" x14ac:dyDescent="0.35">
      <c r="A10" s="8" t="s">
        <v>67</v>
      </c>
      <c r="B10" s="5">
        <v>0.5</v>
      </c>
      <c r="C10" s="5">
        <v>1</v>
      </c>
      <c r="D10" s="5">
        <f t="shared" si="0"/>
        <v>0.5</v>
      </c>
      <c r="E10" s="55">
        <v>0</v>
      </c>
      <c r="F10" s="5">
        <f t="shared" si="1"/>
        <v>0</v>
      </c>
      <c r="G10" s="88">
        <f t="shared" si="2"/>
        <v>0</v>
      </c>
      <c r="H10" s="5">
        <f t="shared" si="3"/>
        <v>0</v>
      </c>
      <c r="I10" s="18">
        <f t="shared" si="4"/>
        <v>0</v>
      </c>
      <c r="J10" s="23"/>
    </row>
    <row r="11" spans="1:10" x14ac:dyDescent="0.35">
      <c r="A11" s="8" t="s">
        <v>68</v>
      </c>
      <c r="B11" s="5">
        <v>0.5</v>
      </c>
      <c r="C11" s="5">
        <v>1.2</v>
      </c>
      <c r="D11" s="5">
        <f t="shared" si="0"/>
        <v>0.6</v>
      </c>
      <c r="E11" s="55">
        <v>0</v>
      </c>
      <c r="F11" s="5">
        <f t="shared" si="1"/>
        <v>0</v>
      </c>
      <c r="G11" s="88">
        <f t="shared" si="2"/>
        <v>0</v>
      </c>
      <c r="H11" s="5">
        <f t="shared" si="3"/>
        <v>0</v>
      </c>
      <c r="I11" s="18">
        <f t="shared" si="4"/>
        <v>0</v>
      </c>
      <c r="J11" s="23"/>
    </row>
    <row r="12" spans="1:10" x14ac:dyDescent="0.35">
      <c r="A12" s="8" t="s">
        <v>69</v>
      </c>
      <c r="B12" s="5">
        <v>0.5</v>
      </c>
      <c r="C12" s="5">
        <v>1</v>
      </c>
      <c r="D12" s="5">
        <f t="shared" si="0"/>
        <v>0.5</v>
      </c>
      <c r="E12" s="55">
        <v>0</v>
      </c>
      <c r="F12" s="5">
        <f t="shared" si="1"/>
        <v>0</v>
      </c>
      <c r="G12" s="88">
        <f t="shared" si="2"/>
        <v>0</v>
      </c>
      <c r="H12" s="5">
        <f t="shared" si="3"/>
        <v>0</v>
      </c>
      <c r="I12" s="18">
        <f t="shared" si="4"/>
        <v>0</v>
      </c>
      <c r="J12" s="23"/>
    </row>
    <row r="13" spans="1:10" x14ac:dyDescent="0.35">
      <c r="A13" s="4" t="s">
        <v>70</v>
      </c>
      <c r="B13" s="6"/>
      <c r="C13" s="6"/>
      <c r="D13" s="5"/>
      <c r="E13" s="56"/>
      <c r="F13" s="6"/>
      <c r="G13" s="89"/>
      <c r="H13" s="6"/>
      <c r="I13" s="7"/>
    </row>
    <row r="14" spans="1:10" ht="15.5" x14ac:dyDescent="0.35">
      <c r="A14" s="8" t="s">
        <v>71</v>
      </c>
      <c r="B14" s="5">
        <v>8</v>
      </c>
      <c r="C14" s="5">
        <v>2</v>
      </c>
      <c r="D14" s="5">
        <f t="shared" si="0"/>
        <v>16</v>
      </c>
      <c r="E14" s="83">
        <f>'Table 1'!E21</f>
        <v>585.6</v>
      </c>
      <c r="F14" s="11">
        <f t="shared" si="1"/>
        <v>9369.6</v>
      </c>
      <c r="G14" s="5">
        <f t="shared" si="2"/>
        <v>468.48</v>
      </c>
      <c r="H14" s="5">
        <f t="shared" si="3"/>
        <v>936.96</v>
      </c>
      <c r="I14" s="9">
        <f t="shared" si="4"/>
        <v>532985.01120000007</v>
      </c>
      <c r="J14" s="23"/>
    </row>
    <row r="15" spans="1:10" ht="15.5" x14ac:dyDescent="0.35">
      <c r="A15" s="8" t="s">
        <v>72</v>
      </c>
      <c r="B15" s="5">
        <v>8</v>
      </c>
      <c r="C15" s="5">
        <v>4</v>
      </c>
      <c r="D15" s="5">
        <f t="shared" si="0"/>
        <v>32</v>
      </c>
      <c r="E15" s="83">
        <f>'Table 1'!E22</f>
        <v>146.4</v>
      </c>
      <c r="F15" s="11">
        <f t="shared" si="1"/>
        <v>4684.8</v>
      </c>
      <c r="G15" s="5">
        <f t="shared" si="2"/>
        <v>234.24</v>
      </c>
      <c r="H15" s="5">
        <f t="shared" si="3"/>
        <v>468.48</v>
      </c>
      <c r="I15" s="9">
        <f t="shared" si="4"/>
        <v>266492.50560000003</v>
      </c>
      <c r="J15" s="23"/>
    </row>
    <row r="16" spans="1:10" ht="15" customHeight="1" x14ac:dyDescent="0.35">
      <c r="A16" s="14" t="s">
        <v>131</v>
      </c>
      <c r="B16" s="14"/>
      <c r="C16" s="14"/>
      <c r="D16" s="14"/>
      <c r="E16" s="14"/>
      <c r="F16" s="91">
        <f>ROUND(SUM(F5:H15),-2)</f>
        <v>16200</v>
      </c>
      <c r="G16" s="91"/>
      <c r="H16" s="91"/>
      <c r="I16" s="13">
        <f>ROUND(SUM(I5:I15),-3)</f>
        <v>799000</v>
      </c>
    </row>
    <row r="18" spans="1:1" ht="15" x14ac:dyDescent="0.35">
      <c r="A18" s="20" t="s">
        <v>84</v>
      </c>
    </row>
    <row r="19" spans="1:1" ht="15.5" x14ac:dyDescent="0.35">
      <c r="A19" s="16" t="s">
        <v>125</v>
      </c>
    </row>
    <row r="20" spans="1:1" ht="15.5" x14ac:dyDescent="0.35">
      <c r="A20" s="21" t="s">
        <v>127</v>
      </c>
    </row>
    <row r="21" spans="1:1" ht="15.5" x14ac:dyDescent="0.35">
      <c r="A21" s="21" t="s">
        <v>85</v>
      </c>
    </row>
    <row r="22" spans="1:1" ht="15.5" x14ac:dyDescent="0.35">
      <c r="A22" s="21" t="s">
        <v>86</v>
      </c>
    </row>
    <row r="23" spans="1:1" ht="16" x14ac:dyDescent="0.35">
      <c r="A23" s="19" t="s">
        <v>87</v>
      </c>
    </row>
    <row r="24" spans="1:1" ht="15.5" x14ac:dyDescent="0.35">
      <c r="A24" s="16" t="s">
        <v>88</v>
      </c>
    </row>
  </sheetData>
  <mergeCells count="2">
    <mergeCell ref="A3:A4"/>
    <mergeCell ref="F16:H1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AE337-BDCA-4017-970F-36559DAAB2FD}">
  <dimension ref="B2:H10"/>
  <sheetViews>
    <sheetView workbookViewId="0">
      <selection activeCell="C19" sqref="C19"/>
    </sheetView>
  </sheetViews>
  <sheetFormatPr defaultRowHeight="14.5" x14ac:dyDescent="0.35"/>
  <cols>
    <col min="3" max="3" width="12.26953125" customWidth="1"/>
    <col min="5" max="5" width="12.54296875" customWidth="1"/>
    <col min="6" max="6" width="15.7265625" customWidth="1"/>
    <col min="8" max="8" width="19" customWidth="1"/>
  </cols>
  <sheetData>
    <row r="2" spans="2:8" ht="15.5" x14ac:dyDescent="0.35">
      <c r="B2" s="92"/>
      <c r="C2" s="93"/>
      <c r="D2" s="93"/>
      <c r="E2" s="93"/>
      <c r="F2" s="93"/>
      <c r="G2" s="93"/>
      <c r="H2" s="94"/>
    </row>
    <row r="3" spans="2:8" ht="15.5" thickBot="1" x14ac:dyDescent="0.4">
      <c r="B3" s="95" t="s">
        <v>91</v>
      </c>
      <c r="C3" s="96"/>
      <c r="D3" s="96"/>
      <c r="E3" s="96"/>
      <c r="F3" s="96"/>
      <c r="G3" s="96"/>
      <c r="H3" s="97"/>
    </row>
    <row r="4" spans="2:8" ht="15" x14ac:dyDescent="0.35">
      <c r="B4" s="53"/>
      <c r="C4" s="26"/>
      <c r="D4" s="26"/>
      <c r="E4" s="26"/>
      <c r="F4" s="26"/>
      <c r="G4" s="26"/>
      <c r="H4" s="54"/>
    </row>
    <row r="5" spans="2:8" x14ac:dyDescent="0.35">
      <c r="B5" s="52" t="s">
        <v>55</v>
      </c>
      <c r="C5" s="52" t="s">
        <v>56</v>
      </c>
      <c r="D5" s="52" t="s">
        <v>94</v>
      </c>
      <c r="E5" s="52" t="s">
        <v>57</v>
      </c>
      <c r="F5" s="52" t="s">
        <v>97</v>
      </c>
      <c r="G5" s="52" t="s">
        <v>59</v>
      </c>
      <c r="H5" s="52" t="s">
        <v>60</v>
      </c>
    </row>
    <row r="6" spans="2:8" ht="52" x14ac:dyDescent="0.35">
      <c r="B6" s="47" t="s">
        <v>92</v>
      </c>
      <c r="C6" s="47" t="s">
        <v>93</v>
      </c>
      <c r="D6" s="47" t="s">
        <v>95</v>
      </c>
      <c r="E6" s="47" t="s">
        <v>96</v>
      </c>
      <c r="F6" s="47" t="s">
        <v>98</v>
      </c>
      <c r="G6" s="47" t="s">
        <v>99</v>
      </c>
      <c r="H6" s="47" t="s">
        <v>100</v>
      </c>
    </row>
    <row r="7" spans="2:8" x14ac:dyDescent="0.35">
      <c r="B7" s="48"/>
      <c r="C7" s="48"/>
      <c r="D7" s="48"/>
      <c r="E7" s="48"/>
      <c r="F7" s="48"/>
      <c r="G7" s="48"/>
      <c r="H7" s="47" t="s">
        <v>101</v>
      </c>
    </row>
    <row r="8" spans="2:8" ht="26" x14ac:dyDescent="0.35">
      <c r="B8" s="47" t="s">
        <v>102</v>
      </c>
      <c r="C8" s="49">
        <v>200000</v>
      </c>
      <c r="D8" s="50">
        <f>Respondents!C26</f>
        <v>0</v>
      </c>
      <c r="E8" s="49">
        <f>C8*D8</f>
        <v>0</v>
      </c>
      <c r="F8" s="49">
        <v>15000</v>
      </c>
      <c r="G8" s="50">
        <f>Respondents!G26</f>
        <v>732</v>
      </c>
      <c r="H8" s="49">
        <f>F8*G8</f>
        <v>10980000</v>
      </c>
    </row>
    <row r="9" spans="2:8" x14ac:dyDescent="0.35">
      <c r="B9" s="98" t="s">
        <v>103</v>
      </c>
      <c r="C9" s="98"/>
      <c r="D9" s="98"/>
      <c r="E9" s="51">
        <f>ROUND(SUM(E8),-4)</f>
        <v>0</v>
      </c>
      <c r="F9" s="52"/>
      <c r="G9" s="52"/>
      <c r="H9" s="51">
        <f>ROUND(SUM(H8),-5)</f>
        <v>11000000</v>
      </c>
    </row>
    <row r="10" spans="2:8" x14ac:dyDescent="0.35">
      <c r="H10" s="57"/>
    </row>
  </sheetData>
  <mergeCells count="3">
    <mergeCell ref="B2:H2"/>
    <mergeCell ref="B3:H3"/>
    <mergeCell ref="B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49531-4E6C-4EA2-B57F-7D2F3F7505BC}">
  <dimension ref="B2:F13"/>
  <sheetViews>
    <sheetView workbookViewId="0">
      <selection activeCell="C19" sqref="C19"/>
    </sheetView>
  </sheetViews>
  <sheetFormatPr defaultRowHeight="14.5" x14ac:dyDescent="0.35"/>
  <cols>
    <col min="2" max="2" width="31.54296875" customWidth="1"/>
    <col min="3" max="3" width="16" customWidth="1"/>
    <col min="5" max="5" width="16" customWidth="1"/>
  </cols>
  <sheetData>
    <row r="2" spans="2:6" ht="15.5" x14ac:dyDescent="0.35">
      <c r="B2" s="92"/>
      <c r="C2" s="93"/>
      <c r="D2" s="93"/>
      <c r="E2" s="93"/>
      <c r="F2" s="94"/>
    </row>
    <row r="3" spans="2:6" ht="15" x14ac:dyDescent="0.35">
      <c r="B3" s="99" t="s">
        <v>115</v>
      </c>
      <c r="C3" s="100"/>
      <c r="D3" s="100"/>
      <c r="E3" s="100"/>
      <c r="F3" s="101"/>
    </row>
    <row r="4" spans="2:6" x14ac:dyDescent="0.35">
      <c r="B4" s="79"/>
      <c r="C4" s="80"/>
      <c r="D4" s="80"/>
      <c r="E4" s="80"/>
      <c r="F4" s="81"/>
    </row>
    <row r="5" spans="2:6" x14ac:dyDescent="0.35">
      <c r="B5" s="76" t="s">
        <v>55</v>
      </c>
      <c r="C5" s="77" t="s">
        <v>56</v>
      </c>
      <c r="D5" s="77" t="s">
        <v>94</v>
      </c>
      <c r="E5" s="77" t="s">
        <v>57</v>
      </c>
      <c r="F5" s="78" t="s">
        <v>97</v>
      </c>
    </row>
    <row r="6" spans="2:6" ht="57.5" x14ac:dyDescent="0.35">
      <c r="B6" s="39" t="s">
        <v>116</v>
      </c>
      <c r="C6" s="39" t="s">
        <v>104</v>
      </c>
      <c r="D6" s="39" t="s">
        <v>117</v>
      </c>
      <c r="E6" s="39" t="s">
        <v>118</v>
      </c>
      <c r="F6" s="39" t="s">
        <v>128</v>
      </c>
    </row>
    <row r="7" spans="2:6" x14ac:dyDescent="0.35">
      <c r="B7" s="44" t="s">
        <v>119</v>
      </c>
      <c r="C7" s="46">
        <f>'Table 1'!E16</f>
        <v>0</v>
      </c>
      <c r="D7" s="39">
        <v>1</v>
      </c>
      <c r="E7" s="39">
        <v>0</v>
      </c>
      <c r="F7" s="39">
        <f>C7*D7+E7</f>
        <v>0</v>
      </c>
    </row>
    <row r="8" spans="2:6" x14ac:dyDescent="0.35">
      <c r="B8" s="44" t="s">
        <v>67</v>
      </c>
      <c r="C8" s="46">
        <f>'Table 1'!E17</f>
        <v>0</v>
      </c>
      <c r="D8" s="39">
        <v>1</v>
      </c>
      <c r="E8" s="39">
        <v>0</v>
      </c>
      <c r="F8" s="39">
        <f t="shared" ref="F8:F12" si="0">C8*D8+E8</f>
        <v>0</v>
      </c>
    </row>
    <row r="9" spans="2:6" x14ac:dyDescent="0.35">
      <c r="B9" s="44" t="s">
        <v>120</v>
      </c>
      <c r="C9" s="46">
        <f>'Table 1'!E18</f>
        <v>0</v>
      </c>
      <c r="D9" s="39">
        <v>1.2</v>
      </c>
      <c r="E9" s="39">
        <v>0</v>
      </c>
      <c r="F9" s="39">
        <f t="shared" si="0"/>
        <v>0</v>
      </c>
    </row>
    <row r="10" spans="2:6" x14ac:dyDescent="0.35">
      <c r="B10" s="44" t="s">
        <v>21</v>
      </c>
      <c r="C10" s="46">
        <f>'Table 1'!E19</f>
        <v>0</v>
      </c>
      <c r="D10" s="39">
        <v>1</v>
      </c>
      <c r="E10" s="39">
        <v>0</v>
      </c>
      <c r="F10" s="39">
        <f t="shared" si="0"/>
        <v>0</v>
      </c>
    </row>
    <row r="11" spans="2:6" x14ac:dyDescent="0.35">
      <c r="B11" s="44" t="s">
        <v>121</v>
      </c>
      <c r="C11" s="85">
        <v>586</v>
      </c>
      <c r="D11" s="39">
        <v>2</v>
      </c>
      <c r="E11" s="39">
        <v>0</v>
      </c>
      <c r="F11" s="87">
        <f>C11*D11+E11</f>
        <v>1172</v>
      </c>
    </row>
    <row r="12" spans="2:6" x14ac:dyDescent="0.35">
      <c r="B12" s="44" t="s">
        <v>122</v>
      </c>
      <c r="C12" s="85">
        <v>146</v>
      </c>
      <c r="D12" s="39">
        <v>4</v>
      </c>
      <c r="E12" s="39">
        <v>0</v>
      </c>
      <c r="F12" s="86">
        <f t="shared" si="0"/>
        <v>584</v>
      </c>
    </row>
    <row r="13" spans="2:6" x14ac:dyDescent="0.35">
      <c r="B13" s="82"/>
      <c r="C13" s="80"/>
      <c r="D13" s="80"/>
      <c r="E13" s="45" t="s">
        <v>123</v>
      </c>
      <c r="F13" s="58">
        <f>SUM(F7:F12)</f>
        <v>1756</v>
      </c>
    </row>
  </sheetData>
  <mergeCells count="2">
    <mergeCell ref="B2:F2"/>
    <mergeCell ref="B3:F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EF18-A358-4E46-9C9B-C6CBE7D6B9B7}">
  <dimension ref="B1:H36"/>
  <sheetViews>
    <sheetView zoomScaleNormal="100" workbookViewId="0">
      <selection activeCell="C19" sqref="C19"/>
    </sheetView>
  </sheetViews>
  <sheetFormatPr defaultRowHeight="14.5" x14ac:dyDescent="0.35"/>
  <cols>
    <col min="3" max="3" width="12.26953125" customWidth="1"/>
    <col min="4" max="4" width="17.54296875" customWidth="1"/>
    <col min="5" max="5" width="20.54296875" customWidth="1"/>
    <col min="6" max="6" width="23.1796875" customWidth="1"/>
    <col min="7" max="7" width="20.453125" customWidth="1"/>
  </cols>
  <sheetData>
    <row r="1" spans="2:8" ht="15" thickBot="1" x14ac:dyDescent="0.4">
      <c r="B1" s="23" t="s">
        <v>114</v>
      </c>
    </row>
    <row r="2" spans="2:8" ht="15.5" x14ac:dyDescent="0.35">
      <c r="B2" s="115"/>
      <c r="C2" s="116"/>
      <c r="D2" s="116"/>
      <c r="E2" s="116"/>
      <c r="F2" s="116"/>
      <c r="G2" s="117"/>
    </row>
    <row r="3" spans="2:8" ht="15.5" thickBot="1" x14ac:dyDescent="0.4">
      <c r="B3" s="118" t="s">
        <v>104</v>
      </c>
      <c r="C3" s="96"/>
      <c r="D3" s="96"/>
      <c r="E3" s="96"/>
      <c r="F3" s="96"/>
      <c r="G3" s="119"/>
    </row>
    <row r="4" spans="2:8" x14ac:dyDescent="0.35">
      <c r="B4" s="120"/>
      <c r="C4" s="122"/>
      <c r="D4" s="123"/>
      <c r="E4" s="32"/>
      <c r="F4" s="122"/>
      <c r="G4" s="126"/>
    </row>
    <row r="5" spans="2:8" ht="23.5" thickBot="1" x14ac:dyDescent="0.4">
      <c r="B5" s="121"/>
      <c r="C5" s="124" t="s">
        <v>105</v>
      </c>
      <c r="D5" s="125"/>
      <c r="E5" s="33" t="s">
        <v>106</v>
      </c>
      <c r="F5" s="124"/>
      <c r="G5" s="127"/>
    </row>
    <row r="6" spans="2:8" x14ac:dyDescent="0.35">
      <c r="B6" s="34"/>
      <c r="C6" s="26"/>
      <c r="D6" s="26"/>
      <c r="E6" s="28"/>
      <c r="F6" s="30"/>
      <c r="G6" s="28"/>
    </row>
    <row r="7" spans="2:8" x14ac:dyDescent="0.35">
      <c r="B7" s="25"/>
      <c r="C7" s="27" t="s">
        <v>55</v>
      </c>
      <c r="D7" s="27" t="s">
        <v>56</v>
      </c>
      <c r="E7" s="29" t="s">
        <v>94</v>
      </c>
      <c r="F7" s="31" t="s">
        <v>57</v>
      </c>
      <c r="G7" s="29" t="s">
        <v>97</v>
      </c>
    </row>
    <row r="8" spans="2:8" ht="52" x14ac:dyDescent="0.35">
      <c r="B8" s="24" t="s">
        <v>107</v>
      </c>
      <c r="C8" s="26" t="s">
        <v>108</v>
      </c>
      <c r="D8" s="26" t="s">
        <v>109</v>
      </c>
      <c r="E8" s="28" t="s">
        <v>110</v>
      </c>
      <c r="F8" s="30" t="s">
        <v>111</v>
      </c>
      <c r="G8" s="28" t="s">
        <v>104</v>
      </c>
    </row>
    <row r="9" spans="2:8" x14ac:dyDescent="0.35">
      <c r="B9" s="35"/>
      <c r="C9" s="36"/>
      <c r="D9" s="36"/>
      <c r="E9" s="37"/>
      <c r="F9" s="38"/>
      <c r="G9" s="28" t="s">
        <v>112</v>
      </c>
    </row>
    <row r="10" spans="2:8" x14ac:dyDescent="0.35">
      <c r="B10" s="39">
        <v>1</v>
      </c>
      <c r="C10" s="39">
        <v>11</v>
      </c>
      <c r="D10" s="39">
        <v>721</v>
      </c>
      <c r="E10" s="39">
        <v>0</v>
      </c>
      <c r="F10" s="39">
        <v>0</v>
      </c>
      <c r="G10" s="39">
        <f>C10+D10+E10-F10</f>
        <v>732</v>
      </c>
    </row>
    <row r="11" spans="2:8" x14ac:dyDescent="0.35">
      <c r="B11" s="39">
        <v>2</v>
      </c>
      <c r="C11" s="39">
        <v>11</v>
      </c>
      <c r="D11" s="39">
        <f>D10+C11</f>
        <v>732</v>
      </c>
      <c r="E11" s="39">
        <v>0</v>
      </c>
      <c r="F11" s="39">
        <v>0</v>
      </c>
      <c r="G11" s="39">
        <f>C11+D11+E11-F11</f>
        <v>743</v>
      </c>
    </row>
    <row r="12" spans="2:8" x14ac:dyDescent="0.35">
      <c r="B12" s="39">
        <v>3</v>
      </c>
      <c r="C12" s="39">
        <v>11</v>
      </c>
      <c r="D12" s="39">
        <f>D11+C12</f>
        <v>743</v>
      </c>
      <c r="E12" s="39">
        <v>0</v>
      </c>
      <c r="F12" s="39">
        <v>0</v>
      </c>
      <c r="G12" s="39">
        <f>C12+D12+E12-F12</f>
        <v>754</v>
      </c>
    </row>
    <row r="13" spans="2:8" x14ac:dyDescent="0.35">
      <c r="B13" s="39" t="s">
        <v>113</v>
      </c>
      <c r="C13" s="39">
        <v>11</v>
      </c>
      <c r="D13" s="84">
        <f>AVERAGE(D10:D12)</f>
        <v>732</v>
      </c>
      <c r="E13" s="39">
        <v>0</v>
      </c>
      <c r="F13" s="39">
        <v>0</v>
      </c>
      <c r="G13" s="40">
        <f>AVERAGE(G10:G12)</f>
        <v>743</v>
      </c>
    </row>
    <row r="14" spans="2:8" ht="15" thickBot="1" x14ac:dyDescent="0.4">
      <c r="B14" s="23" t="s">
        <v>129</v>
      </c>
    </row>
    <row r="15" spans="2:8" ht="15.5" x14ac:dyDescent="0.35">
      <c r="B15" s="102"/>
      <c r="C15" s="103"/>
      <c r="D15" s="103"/>
      <c r="E15" s="103"/>
      <c r="F15" s="103"/>
      <c r="G15" s="104"/>
      <c r="H15" s="41"/>
    </row>
    <row r="16" spans="2:8" ht="15" x14ac:dyDescent="0.35">
      <c r="B16" s="105" t="s">
        <v>104</v>
      </c>
      <c r="C16" s="100"/>
      <c r="D16" s="100"/>
      <c r="E16" s="100"/>
      <c r="F16" s="100"/>
      <c r="G16" s="106"/>
      <c r="H16" s="41"/>
    </row>
    <row r="17" spans="2:8" x14ac:dyDescent="0.35">
      <c r="B17" s="107"/>
      <c r="C17" s="109"/>
      <c r="D17" s="110"/>
      <c r="E17" s="61"/>
      <c r="F17" s="109"/>
      <c r="G17" s="111"/>
      <c r="H17" s="41"/>
    </row>
    <row r="18" spans="2:8" ht="23" x14ac:dyDescent="0.35">
      <c r="B18" s="108"/>
      <c r="C18" s="112" t="s">
        <v>105</v>
      </c>
      <c r="D18" s="114"/>
      <c r="E18" s="62" t="s">
        <v>106</v>
      </c>
      <c r="F18" s="112"/>
      <c r="G18" s="113"/>
      <c r="H18" s="41"/>
    </row>
    <row r="19" spans="2:8" x14ac:dyDescent="0.35">
      <c r="B19" s="64"/>
      <c r="C19" s="59"/>
      <c r="D19" s="60"/>
      <c r="E19" s="63"/>
      <c r="F19" s="59"/>
      <c r="G19" s="65"/>
      <c r="H19" s="41"/>
    </row>
    <row r="20" spans="2:8" x14ac:dyDescent="0.35">
      <c r="B20" s="66"/>
      <c r="C20" s="52" t="s">
        <v>55</v>
      </c>
      <c r="D20" s="52" t="s">
        <v>56</v>
      </c>
      <c r="E20" s="52" t="s">
        <v>94</v>
      </c>
      <c r="F20" s="52" t="s">
        <v>57</v>
      </c>
      <c r="G20" s="67" t="s">
        <v>97</v>
      </c>
      <c r="H20" s="41"/>
    </row>
    <row r="21" spans="2:8" ht="52" x14ac:dyDescent="0.35">
      <c r="B21" s="68" t="s">
        <v>107</v>
      </c>
      <c r="C21" s="47" t="s">
        <v>108</v>
      </c>
      <c r="D21" s="47" t="s">
        <v>109</v>
      </c>
      <c r="E21" s="47" t="s">
        <v>110</v>
      </c>
      <c r="F21" s="47" t="s">
        <v>111</v>
      </c>
      <c r="G21" s="69" t="s">
        <v>104</v>
      </c>
      <c r="H21" s="41"/>
    </row>
    <row r="22" spans="2:8" x14ac:dyDescent="0.35">
      <c r="B22" s="70"/>
      <c r="C22" s="48"/>
      <c r="D22" s="48"/>
      <c r="E22" s="48"/>
      <c r="F22" s="48"/>
      <c r="G22" s="69" t="s">
        <v>112</v>
      </c>
      <c r="H22" s="41"/>
    </row>
    <row r="23" spans="2:8" x14ac:dyDescent="0.35">
      <c r="B23" s="71">
        <v>1</v>
      </c>
      <c r="C23" s="46">
        <v>0</v>
      </c>
      <c r="D23" s="39">
        <f>D13</f>
        <v>732</v>
      </c>
      <c r="E23" s="39">
        <v>0</v>
      </c>
      <c r="F23" s="39">
        <v>0</v>
      </c>
      <c r="G23" s="39">
        <f t="shared" ref="G23:G25" si="0">C23+D23+E23-F23</f>
        <v>732</v>
      </c>
      <c r="H23" s="41"/>
    </row>
    <row r="24" spans="2:8" x14ac:dyDescent="0.35">
      <c r="B24" s="71">
        <v>2</v>
      </c>
      <c r="C24" s="46">
        <v>0</v>
      </c>
      <c r="D24" s="39">
        <f>D23+C24</f>
        <v>732</v>
      </c>
      <c r="E24" s="39">
        <v>0</v>
      </c>
      <c r="F24" s="39">
        <v>0</v>
      </c>
      <c r="G24" s="39">
        <f t="shared" si="0"/>
        <v>732</v>
      </c>
      <c r="H24" s="41"/>
    </row>
    <row r="25" spans="2:8" x14ac:dyDescent="0.35">
      <c r="B25" s="71">
        <v>3</v>
      </c>
      <c r="C25" s="46">
        <v>0</v>
      </c>
      <c r="D25" s="39">
        <f>D24+C25</f>
        <v>732</v>
      </c>
      <c r="E25" s="39">
        <v>0</v>
      </c>
      <c r="F25" s="39">
        <v>0</v>
      </c>
      <c r="G25" s="39">
        <f t="shared" si="0"/>
        <v>732</v>
      </c>
      <c r="H25" s="41"/>
    </row>
    <row r="26" spans="2:8" ht="15" thickBot="1" x14ac:dyDescent="0.4">
      <c r="B26" s="72" t="s">
        <v>113</v>
      </c>
      <c r="C26" s="73">
        <f>AVERAGE(C23:C25)</f>
        <v>0</v>
      </c>
      <c r="D26" s="73">
        <f>AVERAGE(D23:D25)</f>
        <v>732</v>
      </c>
      <c r="E26" s="73">
        <v>0</v>
      </c>
      <c r="F26" s="73">
        <v>0</v>
      </c>
      <c r="G26" s="74">
        <f>AVERAGE(G23:G25)</f>
        <v>732</v>
      </c>
      <c r="H26" s="41"/>
    </row>
    <row r="27" spans="2:8" x14ac:dyDescent="0.35">
      <c r="B27" s="41"/>
      <c r="C27" s="41"/>
      <c r="D27" s="41"/>
      <c r="E27" s="41"/>
      <c r="F27" s="41"/>
      <c r="G27" s="41"/>
      <c r="H27" s="41"/>
    </row>
    <row r="28" spans="2:8" x14ac:dyDescent="0.35">
      <c r="C28" s="41"/>
      <c r="D28" s="41"/>
      <c r="E28" s="41"/>
      <c r="F28" s="41"/>
      <c r="G28" s="41"/>
      <c r="H28" s="41"/>
    </row>
    <row r="29" spans="2:8" x14ac:dyDescent="0.35">
      <c r="C29" s="42"/>
      <c r="D29" s="42"/>
      <c r="E29" s="42"/>
      <c r="F29" s="42"/>
      <c r="G29" s="42"/>
      <c r="H29" s="41"/>
    </row>
    <row r="30" spans="2:8" x14ac:dyDescent="0.35">
      <c r="C30" s="42"/>
      <c r="D30" s="42"/>
      <c r="E30" s="42"/>
      <c r="F30" s="42"/>
      <c r="G30" s="42"/>
      <c r="H30" s="41"/>
    </row>
    <row r="31" spans="2:8" x14ac:dyDescent="0.35">
      <c r="C31" s="42"/>
      <c r="D31" s="42"/>
      <c r="E31" s="42"/>
      <c r="F31" s="42"/>
      <c r="G31" s="42"/>
      <c r="H31" s="41"/>
    </row>
    <row r="32" spans="2:8" x14ac:dyDescent="0.35">
      <c r="C32" s="42"/>
      <c r="D32" s="42"/>
      <c r="E32" s="42"/>
      <c r="F32" s="42"/>
      <c r="G32" s="43"/>
      <c r="H32" s="41"/>
    </row>
    <row r="33" spans="3:8" x14ac:dyDescent="0.35">
      <c r="C33" s="41"/>
      <c r="D33" s="41"/>
      <c r="E33" s="41"/>
      <c r="F33" s="41"/>
      <c r="G33" s="41"/>
      <c r="H33" s="41"/>
    </row>
    <row r="34" spans="3:8" x14ac:dyDescent="0.35">
      <c r="C34" s="41"/>
      <c r="D34" s="41"/>
      <c r="E34" s="41"/>
      <c r="F34" s="41"/>
      <c r="G34" s="41"/>
      <c r="H34" s="41"/>
    </row>
    <row r="35" spans="3:8" x14ac:dyDescent="0.35">
      <c r="C35" s="41"/>
      <c r="D35" s="41"/>
      <c r="E35" s="41"/>
      <c r="F35" s="41"/>
      <c r="G35" s="41"/>
      <c r="H35" s="41"/>
    </row>
    <row r="36" spans="3:8" x14ac:dyDescent="0.35">
      <c r="C36" s="41"/>
      <c r="D36" s="41"/>
      <c r="E36" s="41"/>
      <c r="F36" s="41"/>
      <c r="G36" s="41"/>
      <c r="H36" s="41"/>
    </row>
  </sheetData>
  <mergeCells count="12">
    <mergeCell ref="B2:G2"/>
    <mergeCell ref="B3:G3"/>
    <mergeCell ref="B4:B5"/>
    <mergeCell ref="C4:D4"/>
    <mergeCell ref="C5:D5"/>
    <mergeCell ref="F4:G5"/>
    <mergeCell ref="B15:G15"/>
    <mergeCell ref="B16:G16"/>
    <mergeCell ref="B17:B18"/>
    <mergeCell ref="C17:D17"/>
    <mergeCell ref="F17:G18"/>
    <mergeCell ref="C18:D18"/>
  </mergeCells>
  <pageMargins left="0.7" right="0.7" top="0.75" bottom="0.75" header="0.3" footer="0.3"/>
  <pageSetup scale="7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2020-09-28T17:14:03+00:00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0B0CE-5E00-4579-AC8F-479737D19F31}">
  <ds:schemaRefs>
    <ds:schemaRef ds:uri="http://www.w3.org/XML/1998/namespace"/>
    <ds:schemaRef ds:uri="4ffa91fb-a0ff-4ac5-b2db-65c790d184a4"/>
    <ds:schemaRef ds:uri="http://schemas.microsoft.com/office/2006/metadata/properties"/>
    <ds:schemaRef ds:uri="http://schemas.microsoft.com/office/2006/documentManagement/types"/>
    <ds:schemaRef ds:uri="80377dfa-2fcc-4c15-9433-ebfcd06defd6"/>
    <ds:schemaRef ds:uri="http://schemas.microsoft.com/office/infopath/2007/PartnerControls"/>
    <ds:schemaRef ds:uri="http://schemas.openxmlformats.org/package/2006/metadata/core-properties"/>
    <ds:schemaRef ds:uri="0a649cfe-4b5c-4768-8616-91f3c5fa8351"/>
    <ds:schemaRef ds:uri="http://purl.org/dc/terms/"/>
    <ds:schemaRef ds:uri="http://purl.org/dc/elements/1.1/"/>
    <ds:schemaRef ds:uri="http://schemas.microsoft.com/sharepoint/v3/fields"/>
    <ds:schemaRef ds:uri="http://schemas.microsoft.com/sharepoint.v3"/>
    <ds:schemaRef ds:uri="http://schemas.microsoft.com/sharepoint/v3"/>
    <ds:schemaRef ds:uri="http://purl.org/dc/dcmitype/"/>
  </ds:schemaRefs>
</ds:datastoreItem>
</file>

<file path=customXml/itemProps2.xml><?xml version="1.0" encoding="utf-8"?>
<ds:datastoreItem xmlns:ds="http://schemas.openxmlformats.org/officeDocument/2006/customXml" ds:itemID="{989C09D2-1ACA-4753-BEE1-AA87DD4DF31B}">
  <ds:schemaRefs>
    <ds:schemaRef ds:uri="http://schemas.microsoft.com/sharepoint/v3/contenttype/forms"/>
  </ds:schemaRefs>
</ds:datastoreItem>
</file>

<file path=customXml/itemProps3.xml><?xml version="1.0" encoding="utf-8"?>
<ds:datastoreItem xmlns:ds="http://schemas.openxmlformats.org/officeDocument/2006/customXml" ds:itemID="{86CDE905-0106-4C3F-93C5-48BCEB88B9A4}">
  <ds:schemaRefs>
    <ds:schemaRef ds:uri="Microsoft.SharePoint.Taxonomy.ContentTypeSync"/>
  </ds:schemaRefs>
</ds:datastoreItem>
</file>

<file path=customXml/itemProps4.xml><?xml version="1.0" encoding="utf-8"?>
<ds:datastoreItem xmlns:ds="http://schemas.openxmlformats.org/officeDocument/2006/customXml" ds:itemID="{B02DB14F-D098-46EC-9CBD-A7D4728D9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1</vt:lpstr>
      <vt:lpstr>Table 2</vt:lpstr>
      <vt:lpstr>Capital &amp; O&amp;M</vt:lpstr>
      <vt:lpstr>Total Annual Responses</vt:lpstr>
      <vt:lpstr>Respondents</vt:lpstr>
      <vt:lpstr>Respondents!Print_Area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cp:lastPrinted>2020-08-24T19:29:58Z</cp:lastPrinted>
  <dcterms:created xsi:type="dcterms:W3CDTF">2017-04-04T18:27:11Z</dcterms:created>
  <dcterms:modified xsi:type="dcterms:W3CDTF">2020-11-30T19:07:42Z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